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mc:AlternateContent xmlns:mc="http://schemas.openxmlformats.org/markup-compatibility/2006">
    <mc:Choice Requires="x15">
      <x15ac:absPath xmlns:x15ac="http://schemas.microsoft.com/office/spreadsheetml/2010/11/ac" url="https://eyindia-my.sharepoint.com/personal/ankita_poddar_in_ey_com/Documents/Desktop/Work/2021_Sept_Bajaj Hindustan Sugar/Model/"/>
    </mc:Choice>
  </mc:AlternateContent>
  <xr:revisionPtr revIDLastSave="31" documentId="11_8FECF717C739D6B4138D90179905A7F70DC2AA4A" xr6:coauthVersionLast="46" xr6:coauthVersionMax="46" xr10:uidLastSave="{E9729162-4176-4BD8-A1F0-A926F46BD825}"/>
  <bookViews>
    <workbookView xWindow="-110" yWindow="-110" windowWidth="19420" windowHeight="10420" tabRatio="826" firstSheet="1" activeTab="4" xr2:uid="{00000000-000D-0000-FFFF-FFFF00000000}"/>
  </bookViews>
  <sheets>
    <sheet name="Key Financial and CF Seg Wise" sheetId="58" state="veryHidden" r:id="rId1"/>
    <sheet name="Cover" sheetId="38" r:id="rId2"/>
    <sheet name="Changes" sheetId="59" state="hidden" r:id="rId3"/>
    <sheet name="Disclaimer" sheetId="39" r:id="rId4"/>
    <sheet name="Assumptions" sheetId="4" r:id="rId5"/>
    <sheet name="P&amp;L" sheetId="26" r:id="rId6"/>
    <sheet name="Cashflow" sheetId="28" r:id="rId7"/>
    <sheet name="Balance Sheet" sheetId="27" r:id="rId8"/>
    <sheet name="Plant-wise details" sheetId="40" state="veryHidden" r:id="rId9"/>
    <sheet name="Plant wise cane details" sheetId="43" state="veryHidden" r:id="rId10"/>
    <sheet name="Working - Sugar + Cogen" sheetId="45" r:id="rId11"/>
    <sheet name="Working - Distillery" sheetId="46" r:id="rId12"/>
    <sheet name="Working - Corporate" sheetId="1" r:id="rId13"/>
    <sheet name="CD" sheetId="57" state="veryHidden" r:id="rId14"/>
    <sheet name="Stock movement" sheetId="10" r:id="rId15"/>
    <sheet name="Debt Assumptions &amp; working" sheetId="7" r:id="rId16"/>
    <sheet name="Debt repayment Schedule" sheetId="35" r:id="rId17"/>
    <sheet name="YTM" sheetId="11" r:id="rId18"/>
    <sheet name="WC &amp; DP" sheetId="18" r:id="rId19"/>
    <sheet name="Promoter Loan &amp; Equity workings" sheetId="36" r:id="rId20"/>
    <sheet name="OCD working" sheetId="51" state="hidden" r:id="rId21"/>
    <sheet name="Key output &amp; ratios" sheetId="31" state="hidden" r:id="rId22"/>
    <sheet name="Fixed Asset schedule" sheetId="33" state="hidden" r:id="rId23"/>
    <sheet name="Tax calc" sheetId="32" state="hidden" r:id="rId24"/>
    <sheet name="Key Assumptions" sheetId="60" state="hidden" r:id="rId25"/>
    <sheet name="CMA" sheetId="48" state="veryHidden" r:id="rId26"/>
    <sheet name="Trend in past prices" sheetId="19" state="veryHidden" r:id="rId27"/>
  </sheets>
  <externalReferences>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s>
  <definedNames>
    <definedName name="_" hidden="1">[1]BB!#REF!</definedName>
    <definedName name="_________________AAA1"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_________________Grp16" hidden="1">{#N/A,#N/A,FALSE,"PMTABB";#N/A,#N/A,FALSE,"PMTABB"}</definedName>
    <definedName name="________________AAA1"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________________Grp16" hidden="1">{#N/A,#N/A,FALSE,"PMTABB";#N/A,#N/A,FALSE,"PMTABB"}</definedName>
    <definedName name="________________sec3" hidden="1">#REF!</definedName>
    <definedName name="_______________AAA1"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_______________Grp16" hidden="1">{#N/A,#N/A,FALSE,"PMTABB";#N/A,#N/A,FALSE,"PMTABB"}</definedName>
    <definedName name="_______________sec3" hidden="1">#REF!</definedName>
    <definedName name="______________AAA1"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______________Grp16" hidden="1">{#N/A,#N/A,FALSE,"PMTABB";#N/A,#N/A,FALSE,"PMTABB"}</definedName>
    <definedName name="______________sec3" hidden="1">#REF!</definedName>
    <definedName name="_____________AAA1"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_____________b31" hidden="1">{#N/A,#N/A,FALSE,"Budget at a Glance";#N/A,#N/A,FALSE,"Receipts";#N/A,#N/A,FALSE,"Expenditure";#N/A,#N/A,FALSE,"Impact";#N/A,#N/A,FALSE,"Non-Durables";#N/A,#N/A,FALSE,"Durables";#N/A,#N/A,FALSE,"Cement";#N/A,#N/A,FALSE,"Power Cables";#N/A,#N/A,FALSE,"NFM";#N/A,#N/A,FALSE,"Auto";#N/A,#N/A,FALSE,"Auto1";#N/A,#N/A,FALSE,"Chemicals";#N/A,#N/A,FALSE,"Steel duty";#N/A,#N/A,FALSE,"Petrochemicals";#N/A,#N/A,FALSE,"Paper";#N/A,#N/A,FALSE,"Fibres";#N/A,#N/A,FALSE,"Tyre";#N/A,#N/A,FALSE,"Tyre1";#N/A,#N/A,FALSE,"Cotton (prices &amp; Duty)";#N/A,#N/A,FALSE,"Telecom Equipment";#N/A,#N/A,FALSE,"Cigarettes"}</definedName>
    <definedName name="_____________Grp16" hidden="1">{#N/A,#N/A,FALSE,"PMTABB";#N/A,#N/A,FALSE,"PMTABB"}</definedName>
    <definedName name="_____________sec3" hidden="1">#REF!</definedName>
    <definedName name="____________AAA1"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____________b31" hidden="1">{#N/A,#N/A,FALSE,"Budget at a Glance";#N/A,#N/A,FALSE,"Receipts";#N/A,#N/A,FALSE,"Expenditure";#N/A,#N/A,FALSE,"Impact";#N/A,#N/A,FALSE,"Non-Durables";#N/A,#N/A,FALSE,"Durables";#N/A,#N/A,FALSE,"Cement";#N/A,#N/A,FALSE,"Power Cables";#N/A,#N/A,FALSE,"NFM";#N/A,#N/A,FALSE,"Auto";#N/A,#N/A,FALSE,"Auto1";#N/A,#N/A,FALSE,"Chemicals";#N/A,#N/A,FALSE,"Steel duty";#N/A,#N/A,FALSE,"Petrochemicals";#N/A,#N/A,FALSE,"Paper";#N/A,#N/A,FALSE,"Fibres";#N/A,#N/A,FALSE,"Tyre";#N/A,#N/A,FALSE,"Tyre1";#N/A,#N/A,FALSE,"Cotton (prices &amp; Duty)";#N/A,#N/A,FALSE,"Telecom Equipment";#N/A,#N/A,FALSE,"Cigarettes"}</definedName>
    <definedName name="____________Grp16" hidden="1">{#N/A,#N/A,FALSE,"PMTABB";#N/A,#N/A,FALSE,"PMTABB"}</definedName>
    <definedName name="____________sec3" hidden="1">#REF!</definedName>
    <definedName name="___________AAA1"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___________Grp16" hidden="1">{#N/A,#N/A,FALSE,"PMTABB";#N/A,#N/A,FALSE,"PMTABB"}</definedName>
    <definedName name="___________sec3" hidden="1">#REF!</definedName>
    <definedName name="__________AAA1"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__________Grp16" hidden="1">{#N/A,#N/A,FALSE,"PMTABB";#N/A,#N/A,FALSE,"PMTABB"}</definedName>
    <definedName name="__________sec3" hidden="1">#REF!</definedName>
    <definedName name="__________xlfn.IFERROR" hidden="1">#NAME?</definedName>
    <definedName name="_________AAA1"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_________Grp16" hidden="1">{#N/A,#N/A,FALSE,"PMTABB";#N/A,#N/A,FALSE,"PMTABB"}</definedName>
    <definedName name="_________key1" hidden="1">[2]sheet6!#REF!</definedName>
    <definedName name="_________sec3" hidden="1">#REF!</definedName>
    <definedName name="_________xlfn.IFERROR" hidden="1">#NAME?</definedName>
    <definedName name="________AAA1"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________BOQ3" hidden="1">{#N/A,#N/A,FALSE,"mpph1";#N/A,#N/A,FALSE,"mpmseb";#N/A,#N/A,FALSE,"mpph2"}</definedName>
    <definedName name="________Grp16" hidden="1">{#N/A,#N/A,FALSE,"PMTABB";#N/A,#N/A,FALSE,"PMTABB"}</definedName>
    <definedName name="________key1" hidden="1">[2]sheet6!#REF!</definedName>
    <definedName name="________sec3" hidden="1">#REF!</definedName>
    <definedName name="________xlfn.IFERROR" hidden="1">#NAME?</definedName>
    <definedName name="_______AAA1"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_______ask2" hidden="1">#REF!</definedName>
    <definedName name="_______BOQ3" hidden="1">{#N/A,#N/A,FALSE,"mpph1";#N/A,#N/A,FALSE,"mpmseb";#N/A,#N/A,FALSE,"mpph2"}</definedName>
    <definedName name="_______Grp16" hidden="1">{#N/A,#N/A,FALSE,"PMTABB";#N/A,#N/A,FALSE,"PMTABB"}</definedName>
    <definedName name="_______key1" hidden="1">[2]sheet6!#REF!</definedName>
    <definedName name="_______sec3" hidden="1">#REF!</definedName>
    <definedName name="_______xlfn.IFERROR" hidden="1">#NAME?</definedName>
    <definedName name="______AAA1"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______app4" hidden="1">{#N/A,#N/A,TRUE,"Cover sheet";#N/A,#N/A,TRUE,"Summary";#N/A,#N/A,TRUE,"Key Assumptions";#N/A,#N/A,TRUE,"Profit &amp; Loss";#N/A,#N/A,TRUE,"Balance Sheet";#N/A,#N/A,TRUE,"Cashflow";#N/A,#N/A,TRUE,"IRR";#N/A,#N/A,TRUE,"Ratios";#N/A,#N/A,TRUE,"Debt analysis"}</definedName>
    <definedName name="______ask2" hidden="1">#REF!</definedName>
    <definedName name="______BOQ3" hidden="1">{#N/A,#N/A,FALSE,"mpph1";#N/A,#N/A,FALSE,"mpmseb";#N/A,#N/A,FALSE,"mpph2"}</definedName>
    <definedName name="______c" hidden="1">{#N/A,#N/A,FALSE,"Layout Cash Flow"}</definedName>
    <definedName name="______est1" hidden="1">{"EVA",#N/A,FALSE,"EVA";"WACC",#N/A,FALSE,"WACC"}</definedName>
    <definedName name="______est1_1" hidden="1">{"EVA",#N/A,FALSE,"EVA";"WACC",#N/A,FALSE,"WACC"}</definedName>
    <definedName name="______ff2" hidden="1">{"adj95mult",#N/A,FALSE,"COMPCO";"adj95est",#N/A,FALSE,"COMPCO"}</definedName>
    <definedName name="______ff2_1" hidden="1">{"adj95mult",#N/A,FALSE,"COMPCO";"adj95est",#N/A,FALSE,"COMPCO"}</definedName>
    <definedName name="______ffe1" hidden="1">{"adj95mult",#N/A,FALSE,"COMPCO";"adj95est",#N/A,FALSE,"COMPCO"}</definedName>
    <definedName name="______ffe1_1" hidden="1">{"adj95mult",#N/A,FALSE,"COMPCO";"adj95est",#N/A,FALSE,"COMPCO"}</definedName>
    <definedName name="______Grp16" hidden="1">{#N/A,#N/A,FALSE,"PMTABB";#N/A,#N/A,FALSE,"PMTABB"}</definedName>
    <definedName name="______key1" hidden="1">[2]sheet6!#REF!</definedName>
    <definedName name="______new2" hidden="1">{"Graphic",#N/A,TRUE,"Graphic"}</definedName>
    <definedName name="______new2_1" hidden="1">{"Graphic",#N/A,TRUE,"Graphic"}</definedName>
    <definedName name="______one2" hidden="1">{"adj95mult",#N/A,FALSE,"COMPCO";"adj95est",#N/A,FALSE,"COMPCO"}</definedName>
    <definedName name="______one2_1" hidden="1">{"adj95mult",#N/A,FALSE,"COMPCO";"adj95est",#N/A,FALSE,"COMPCO"}</definedName>
    <definedName name="______sec3" hidden="1">#REF!</definedName>
    <definedName name="______xlfn.IFERROR" hidden="1">#NAME?</definedName>
    <definedName name="______zz11" hidden="1">{#N/A,#N/A,FALSE,"FREE"}</definedName>
    <definedName name="_____AAA1"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_____ask2" hidden="1">#REF!</definedName>
    <definedName name="_____BOQ3" hidden="1">{#N/A,#N/A,FALSE,"mpph1";#N/A,#N/A,FALSE,"mpmseb";#N/A,#N/A,FALSE,"mpph2"}</definedName>
    <definedName name="_____est1" hidden="1">{"EVA",#N/A,FALSE,"EVA";"WACC",#N/A,FALSE,"WACC"}</definedName>
    <definedName name="_____est1_1" hidden="1">{"EVA",#N/A,FALSE,"EVA";"WACC",#N/A,FALSE,"WACC"}</definedName>
    <definedName name="_____ff2" hidden="1">{"adj95mult",#N/A,FALSE,"COMPCO";"adj95est",#N/A,FALSE,"COMPCO"}</definedName>
    <definedName name="_____ff2_1" hidden="1">{"adj95mult",#N/A,FALSE,"COMPCO";"adj95est",#N/A,FALSE,"COMPCO"}</definedName>
    <definedName name="_____ffe1" hidden="1">{"adj95mult",#N/A,FALSE,"COMPCO";"adj95est",#N/A,FALSE,"COMPCO"}</definedName>
    <definedName name="_____ffe1_1" hidden="1">{"adj95mult",#N/A,FALSE,"COMPCO";"adj95est",#N/A,FALSE,"COMPCO"}</definedName>
    <definedName name="_____Grp16" hidden="1">{#N/A,#N/A,FALSE,"PMTABB";#N/A,#N/A,FALSE,"PMTABB"}</definedName>
    <definedName name="_____key1" hidden="1">[2]sheet6!#REF!</definedName>
    <definedName name="_____new2" hidden="1">{"Graphic",#N/A,TRUE,"Graphic"}</definedName>
    <definedName name="_____new2_1" hidden="1">{"Graphic",#N/A,TRUE,"Graphic"}</definedName>
    <definedName name="_____NSO2" hidden="1">{"'Sheet1'!$L$16"}</definedName>
    <definedName name="_____one2" hidden="1">{"adj95mult",#N/A,FALSE,"COMPCO";"adj95est",#N/A,FALSE,"COMPCO"}</definedName>
    <definedName name="_____one2_1" hidden="1">{"adj95mult",#N/A,FALSE,"COMPCO";"adj95est",#N/A,FALSE,"COMPCO"}</definedName>
    <definedName name="_____sec3" hidden="1">#REF!</definedName>
    <definedName name="_____xlfn.IFERROR" hidden="1">#NAME?</definedName>
    <definedName name="_____zz11" hidden="1">{#N/A,#N/A,FALSE,"FREE"}</definedName>
    <definedName name="____AAA1"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____ask2" hidden="1">#REF!</definedName>
    <definedName name="____b31" hidden="1">{#N/A,#N/A,FALSE,"Budget at a Glance";#N/A,#N/A,FALSE,"Receipts";#N/A,#N/A,FALSE,"Expenditure";#N/A,#N/A,FALSE,"Impact";#N/A,#N/A,FALSE,"Non-Durables";#N/A,#N/A,FALSE,"Durables";#N/A,#N/A,FALSE,"Cement";#N/A,#N/A,FALSE,"Power Cables";#N/A,#N/A,FALSE,"NFM";#N/A,#N/A,FALSE,"Auto";#N/A,#N/A,FALSE,"Auto1";#N/A,#N/A,FALSE,"Chemicals";#N/A,#N/A,FALSE,"Steel duty";#N/A,#N/A,FALSE,"Petrochemicals";#N/A,#N/A,FALSE,"Paper";#N/A,#N/A,FALSE,"Fibres";#N/A,#N/A,FALSE,"Tyre";#N/A,#N/A,FALSE,"Tyre1";#N/A,#N/A,FALSE,"Cotton (prices &amp; Duty)";#N/A,#N/A,FALSE,"Telecom Equipment";#N/A,#N/A,FALSE,"Cigarettes"}</definedName>
    <definedName name="____BOQ3" hidden="1">{#N/A,#N/A,FALSE,"mpph1";#N/A,#N/A,FALSE,"mpmseb";#N/A,#N/A,FALSE,"mpph2"}</definedName>
    <definedName name="____est1" hidden="1">{"EVA",#N/A,FALSE,"EVA";"WACC",#N/A,FALSE,"WACC"}</definedName>
    <definedName name="____est1_1" hidden="1">{"EVA",#N/A,FALSE,"EVA";"WACC",#N/A,FALSE,"WACC"}</definedName>
    <definedName name="____ff2" hidden="1">{"adj95mult",#N/A,FALSE,"COMPCO";"adj95est",#N/A,FALSE,"COMPCO"}</definedName>
    <definedName name="____ff2_1" hidden="1">{"adj95mult",#N/A,FALSE,"COMPCO";"adj95est",#N/A,FALSE,"COMPCO"}</definedName>
    <definedName name="____ffe1" hidden="1">{"adj95mult",#N/A,FALSE,"COMPCO";"adj95est",#N/A,FALSE,"COMPCO"}</definedName>
    <definedName name="____ffe1_1" hidden="1">{"adj95mult",#N/A,FALSE,"COMPCO";"adj95est",#N/A,FALSE,"COMPCO"}</definedName>
    <definedName name="____g1" hidden="1">{"'August 2000'!$A$1:$J$101"}</definedName>
    <definedName name="____Grp16" hidden="1">{#N/A,#N/A,FALSE,"PMTABB";#N/A,#N/A,FALSE,"PMTABB"}</definedName>
    <definedName name="____key1" hidden="1">[2]sheet6!#REF!</definedName>
    <definedName name="____new2" hidden="1">{"Graphic",#N/A,TRUE,"Graphic"}</definedName>
    <definedName name="____new2_1" hidden="1">{"Graphic",#N/A,TRUE,"Graphic"}</definedName>
    <definedName name="____one2" hidden="1">{"adj95mult",#N/A,FALSE,"COMPCO";"adj95est",#N/A,FALSE,"COMPCO"}</definedName>
    <definedName name="____one2_1" hidden="1">{"adj95mult",#N/A,FALSE,"COMPCO";"adj95est",#N/A,FALSE,"COMPCO"}</definedName>
    <definedName name="____sec3" hidden="1">#REF!</definedName>
    <definedName name="____xlfn.IFERROR" hidden="1">#NAME?</definedName>
    <definedName name="____zz11" hidden="1">{#N/A,#N/A,FALSE,"FREE"}</definedName>
    <definedName name="___AAA1"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___ask2" hidden="1">#REF!</definedName>
    <definedName name="___b31" hidden="1">{#N/A,#N/A,FALSE,"Budget at a Glance";#N/A,#N/A,FALSE,"Receipts";#N/A,#N/A,FALSE,"Expenditure";#N/A,#N/A,FALSE,"Impact";#N/A,#N/A,FALSE,"Non-Durables";#N/A,#N/A,FALSE,"Durables";#N/A,#N/A,FALSE,"Cement";#N/A,#N/A,FALSE,"Power Cables";#N/A,#N/A,FALSE,"NFM";#N/A,#N/A,FALSE,"Auto";#N/A,#N/A,FALSE,"Auto1";#N/A,#N/A,FALSE,"Chemicals";#N/A,#N/A,FALSE,"Steel duty";#N/A,#N/A,FALSE,"Petrochemicals";#N/A,#N/A,FALSE,"Paper";#N/A,#N/A,FALSE,"Fibres";#N/A,#N/A,FALSE,"Tyre";#N/A,#N/A,FALSE,"Tyre1";#N/A,#N/A,FALSE,"Cotton (prices &amp; Duty)";#N/A,#N/A,FALSE,"Telecom Equipment";#N/A,#N/A,FALSE,"Cigarettes"}</definedName>
    <definedName name="___est1" hidden="1">{"EVA",#N/A,FALSE,"EVA";"WACC",#N/A,FALSE,"WACC"}</definedName>
    <definedName name="___est1_1" hidden="1">{"EVA",#N/A,FALSE,"EVA";"WACC",#N/A,FALSE,"WACC"}</definedName>
    <definedName name="___ff2" hidden="1">{"adj95mult",#N/A,FALSE,"COMPCO";"adj95est",#N/A,FALSE,"COMPCO"}</definedName>
    <definedName name="___ff2_1" hidden="1">{"adj95mult",#N/A,FALSE,"COMPCO";"adj95est",#N/A,FALSE,"COMPCO"}</definedName>
    <definedName name="___ffe1" hidden="1">{"adj95mult",#N/A,FALSE,"COMPCO";"adj95est",#N/A,FALSE,"COMPCO"}</definedName>
    <definedName name="___ffe1_1" hidden="1">{"adj95mult",#N/A,FALSE,"COMPCO";"adj95est",#N/A,FALSE,"COMPCO"}</definedName>
    <definedName name="___Grp16" hidden="1">{#N/A,#N/A,FALSE,"PMTABB";#N/A,#N/A,FALSE,"PMTABB"}</definedName>
    <definedName name="___key1" hidden="1">[2]sheet6!#REF!</definedName>
    <definedName name="___new2" hidden="1">{"Graphic",#N/A,TRUE,"Graphic"}</definedName>
    <definedName name="___new2_1" hidden="1">{"Graphic",#N/A,TRUE,"Graphic"}</definedName>
    <definedName name="___one2" hidden="1">{"adj95mult",#N/A,FALSE,"COMPCO";"adj95est",#N/A,FALSE,"COMPCO"}</definedName>
    <definedName name="___one2_1" hidden="1">{"adj95mult",#N/A,FALSE,"COMPCO";"adj95est",#N/A,FALSE,"COMPCO"}</definedName>
    <definedName name="___re1" hidden="1">{"'Sheet1'!$B$1:$B$2"}</definedName>
    <definedName name="___sec3" hidden="1">#REF!</definedName>
    <definedName name="___thinkcellNUYAAAAAAAAEAAAA.XWhtY3YV0u4EKVwUEtH8A" hidden="1">#REF!</definedName>
    <definedName name="___thinkcellNUYAAAAAAAAEAAAAKMGy6vw4oU2szwQ5ORj5gQ" hidden="1">#REF!</definedName>
    <definedName name="___thinkcellNUYAAAAAAAAEAAAAYECzHThvFUqShi.ib_UvWA" hidden="1">#REF!</definedName>
    <definedName name="___xlfn.IFERROR" hidden="1">#NAME?</definedName>
    <definedName name="___zz11" hidden="1">{#N/A,#N/A,FALSE,"FREE"}</definedName>
    <definedName name="__1__123Graph_Aグラフ_1" hidden="1">#REF!</definedName>
    <definedName name="__123Graph_A" hidden="1">[3]損益分岐点!#REF!</definedName>
    <definedName name="__123Graph_AKNS" hidden="1">[4]Antrag!$E$78:$X$78</definedName>
    <definedName name="__123Graph_AKVS" hidden="1">[4]Antrag!$E$77:$X$77</definedName>
    <definedName name="__123Graph_AMONTH" hidden="1">[5]SALES!#REF!</definedName>
    <definedName name="__123Graph_ASTATPROG" hidden="1">[6]COMPLEXALL!#REF!</definedName>
    <definedName name="__123Graph_ATREND" hidden="1">[5]SALES!#REF!</definedName>
    <definedName name="__123Graph_AYEAR" hidden="1">[5]SALES!#REF!</definedName>
    <definedName name="__123Graph_B" hidden="1">[3]損益分岐点!#REF!</definedName>
    <definedName name="__123Graph_BCURRENT" hidden="1">#REF!</definedName>
    <definedName name="__123Graph_BMONTH" hidden="1">[5]SALES!#REF!</definedName>
    <definedName name="__123Graph_BTREND" hidden="1">[5]SALES!#REF!</definedName>
    <definedName name="__123Graph_BYEAR" hidden="1">[5]SALES!#REF!</definedName>
    <definedName name="__123Graph_C" hidden="1">[7]CAUSTIC!#REF!</definedName>
    <definedName name="__123Graph_CCURRENT" hidden="1">#REF!</definedName>
    <definedName name="__123Graph_D" hidden="1">[7]CAUSTIC!#REF!</definedName>
    <definedName name="__123Graph_DCURRENT" hidden="1">#REF!</definedName>
    <definedName name="__123Graph_E" hidden="1">[7]CAUSTIC!#REF!</definedName>
    <definedName name="__123Graph_F" hidden="1">[7]CAUSTIC!#REF!</definedName>
    <definedName name="__123Graph_LBL_A" hidden="1">[3]損益分岐点!#REF!</definedName>
    <definedName name="__123Graph_LBL_AMONTH" hidden="1">[5]SALES!#REF!</definedName>
    <definedName name="__123Graph_LBL_ATREND" hidden="1">[5]SALES!#REF!</definedName>
    <definedName name="__123Graph_LBL_AYEAR" hidden="1">[5]SALES!#REF!</definedName>
    <definedName name="__123Graph_LBL_B" hidden="1">[3]損益分岐点!#REF!</definedName>
    <definedName name="__123Graph_LBL_BMONTH" hidden="1">[5]SALES!#REF!</definedName>
    <definedName name="__123Graph_LBL_BTREND" hidden="1">[5]SALES!#REF!</definedName>
    <definedName name="__123Graph_LBL_BYEAR" hidden="1">[5]SALES!#REF!</definedName>
    <definedName name="__123Graph_X" hidden="1">[3]損益分岐点!#REF!</definedName>
    <definedName name="__123Graph_XKNS" hidden="1">[4]Antrag!$E$32:$X$32</definedName>
    <definedName name="__123Graph_XKVS" hidden="1">[4]Antrag!$E$32:$X$32</definedName>
    <definedName name="__123Graph_XLAYOUT" hidden="1">'[8]Balance Sheet'!#REF!</definedName>
    <definedName name="__123Graph_XMONTH" hidden="1">[5]SALES!#REF!</definedName>
    <definedName name="__123Graph_XSTATPROG" hidden="1">[6]COMPLEXALL!#REF!</definedName>
    <definedName name="__123Graph_XTREND" hidden="1">[5]SALES!#REF!</definedName>
    <definedName name="__123Graph_XYEAR" hidden="1">[5]SALES!#REF!</definedName>
    <definedName name="__2__123Graph_Bグラフ_1" hidden="1">#REF!</definedName>
    <definedName name="__3__123Graph_Xグラフ_1" hidden="1">#REF!</definedName>
    <definedName name="__AAA1"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__app4" hidden="1">{#N/A,#N/A,TRUE,"Cover sheet";#N/A,#N/A,TRUE,"Summary";#N/A,#N/A,TRUE,"Key Assumptions";#N/A,#N/A,TRUE,"Profit &amp; Loss";#N/A,#N/A,TRUE,"Balance Sheet";#N/A,#N/A,TRUE,"Cashflow";#N/A,#N/A,TRUE,"IRR";#N/A,#N/A,TRUE,"Ratios";#N/A,#N/A,TRUE,"Debt analysis"}</definedName>
    <definedName name="__APW_RESTORE_DATA36__" hidden="1">#REF!,#REF!,#REF!,#REF!,#REF!,#REF!,#REF!,#REF!,#REF!,#REF!,#REF!,#REF!,#REF!,#REF!,#REF!,#REF!</definedName>
    <definedName name="__APW_RESTORE_DATA37__" hidden="1">#REF!,#REF!,#REF!,#REF!,#REF!,#REF!,#REF!,#REF!,#REF!,#REF!,#REF!,#REF!,#REF!,#REF!,#REF!,#REF!</definedName>
    <definedName name="__APW_RESTORE_DATA38__" hidden="1">#REF!,#REF!,#REF!,#REF!,#REF!,#REF!,#REF!,#REF!,#REF!,#REF!,#REF!,#REF!,#REF!,#REF!,#REF!,#REF!</definedName>
    <definedName name="__APW_RESTORE_DATA39__" hidden="1">#REF!,#REF!</definedName>
    <definedName name="__APW_RESTORE_DATA40__" hidden="1">#REF!,#REF!,#REF!,#REF!,#REF!,#REF!,#REF!,#REF!,#REF!,#REF!,#REF!,#REF!,#REF!,#REF!,#REF!,#REF!</definedName>
    <definedName name="__APW_RESTORE_DATA41__" hidden="1">#REF!,#REF!,#REF!,#REF!,#REF!,#REF!,#REF!,#REF!,#REF!,#REF!,#REF!,#REF!,#REF!,#REF!,#REF!,#REF!</definedName>
    <definedName name="__APW_RESTORE_DATA42__" hidden="1">#REF!,#REF!,#REF!,#REF!,#REF!,#REF!,#REF!,#REF!,#REF!,#REF!,#REF!,#REF!,#REF!,#REF!,#REF!,#REF!</definedName>
    <definedName name="__APW_RESTORE_DATA43__" hidden="1">#REF!,#REF!</definedName>
    <definedName name="__APW_RESTORE_DATA44__" hidden="1">#REF!,#REF!,#REF!,#REF!,#REF!,#REF!,#REF!,#REF!,#REF!,#REF!,#REF!,#REF!,#REF!,#REF!,#REF!,#REF!</definedName>
    <definedName name="__APW_RESTORE_DATA45__" hidden="1">#REF!,#REF!,#REF!,#REF!,#REF!,#REF!,#REF!,#REF!,#REF!,#REF!,#REF!,#REF!,#REF!,#REF!,#REF!,#REF!</definedName>
    <definedName name="__APW_RESTORE_DATA46__" hidden="1">#REF!,#REF!,#REF!,#REF!,#REF!,#REF!,#REF!,#REF!,#REF!,#REF!,#REF!,#REF!,#REF!,#REF!,#REF!,#REF!</definedName>
    <definedName name="__APW_RESTORE_DATA47__" hidden="1">#REF!,#REF!</definedName>
    <definedName name="__APW_RESTORE_DATA72__" hidden="1">#REF!,#REF!,#REF!,#REF!,#REF!</definedName>
    <definedName name="__APW_RESTORE_DATA73__" hidden="1">#REF!,#REF!,#REF!,#REF!,#REF!</definedName>
    <definedName name="__APW_RESTORE_DATA74__" hidden="1">#REF!,#REF!,#REF!,#REF!,#REF!</definedName>
    <definedName name="__ask2" hidden="1">#REF!</definedName>
    <definedName name="__b31" hidden="1">{#N/A,#N/A,FALSE,"Budget at a Glance";#N/A,#N/A,FALSE,"Receipts";#N/A,#N/A,FALSE,"Expenditure";#N/A,#N/A,FALSE,"Impact";#N/A,#N/A,FALSE,"Non-Durables";#N/A,#N/A,FALSE,"Durables";#N/A,#N/A,FALSE,"Cement";#N/A,#N/A,FALSE,"Power Cables";#N/A,#N/A,FALSE,"NFM";#N/A,#N/A,FALSE,"Auto";#N/A,#N/A,FALSE,"Auto1";#N/A,#N/A,FALSE,"Chemicals";#N/A,#N/A,FALSE,"Steel duty";#N/A,#N/A,FALSE,"Petrochemicals";#N/A,#N/A,FALSE,"Paper";#N/A,#N/A,FALSE,"Fibres";#N/A,#N/A,FALSE,"Tyre";#N/A,#N/A,FALSE,"Tyre1";#N/A,#N/A,FALSE,"Cotton (prices &amp; Duty)";#N/A,#N/A,FALSE,"Telecom Equipment";#N/A,#N/A,FALSE,"Cigarettes"}</definedName>
    <definedName name="__BOQ3" hidden="1">{#N/A,#N/A,FALSE,"mpph1";#N/A,#N/A,FALSE,"mpmseb";#N/A,#N/A,FALSE,"mpph2"}</definedName>
    <definedName name="__c" hidden="1">{#N/A,#N/A,FALSE,"Layout Cash Flow"}</definedName>
    <definedName name="__dec05" hidden="1">{"'Sheet1'!$A$4386:$N$4591"}</definedName>
    <definedName name="__dk1" hidden="1">{#N/A,#N/A,FALSE,"COVER.XLS";#N/A,#N/A,FALSE,"RACT1.XLS";#N/A,#N/A,FALSE,"RACT2.XLS";#N/A,#N/A,FALSE,"ECCMP";#N/A,#N/A,FALSE,"WELDER.XLS"}</definedName>
    <definedName name="__est1" hidden="1">{"EVA",#N/A,FALSE,"EVA";"WACC",#N/A,FALSE,"WACC"}</definedName>
    <definedName name="__est1_1" hidden="1">{"EVA",#N/A,FALSE,"EVA";"WACC",#N/A,FALSE,"WACC"}</definedName>
    <definedName name="__FDS_HYPERLINK_TOGGLE_STATE__" hidden="1">"ON"</definedName>
    <definedName name="__FDS_UNIQUE_RANGE_ID_GENERATOR_COUNTER" hidden="1">2</definedName>
    <definedName name="__ff2" hidden="1">{"adj95mult",#N/A,FALSE,"COMPCO";"adj95est",#N/A,FALSE,"COMPCO"}</definedName>
    <definedName name="__ff2_1" hidden="1">{"adj95mult",#N/A,FALSE,"COMPCO";"adj95est",#N/A,FALSE,"COMPCO"}</definedName>
    <definedName name="__ffe1" hidden="1">{"adj95mult",#N/A,FALSE,"COMPCO";"adj95est",#N/A,FALSE,"COMPCO"}</definedName>
    <definedName name="__ffe1_1" hidden="1">{"adj95mult",#N/A,FALSE,"COMPCO";"adj95est",#N/A,FALSE,"COMPCO"}</definedName>
    <definedName name="__Grp16" hidden="1">{#N/A,#N/A,FALSE,"PMTABB";#N/A,#N/A,FALSE,"PMTABB"}</definedName>
    <definedName name="__IntlFixup" hidden="1">TRUE</definedName>
    <definedName name="__key1" hidden="1">[2]sheet6!#REF!</definedName>
    <definedName name="__kvs1" hidden="1">{#N/A,#N/A,FALSE,"COVER1.XLS ";#N/A,#N/A,FALSE,"RACT1.XLS";#N/A,#N/A,FALSE,"RACT2.XLS";#N/A,#N/A,FALSE,"ECCMP";#N/A,#N/A,FALSE,"WELDER.XLS"}</definedName>
    <definedName name="__kvs2" hidden="1">{#N/A,#N/A,FALSE,"COVER1.XLS ";#N/A,#N/A,FALSE,"RACT1.XLS";#N/A,#N/A,FALSE,"RACT2.XLS";#N/A,#N/A,FALSE,"ECCMP";#N/A,#N/A,FALSE,"WELDER.XLS"}</definedName>
    <definedName name="__kvs5" hidden="1">{#N/A,#N/A,FALSE,"COVER.XLS";#N/A,#N/A,FALSE,"RACT1.XLS";#N/A,#N/A,FALSE,"RACT2.XLS";#N/A,#N/A,FALSE,"ECCMP";#N/A,#N/A,FALSE,"WELDER.XLS"}</definedName>
    <definedName name="__kvs8" hidden="1">{#N/A,#N/A,FALSE,"COVER1.XLS ";#N/A,#N/A,FALSE,"RACT1.XLS";#N/A,#N/A,FALSE,"RACT2.XLS";#N/A,#N/A,FALSE,"ECCMP";#N/A,#N/A,FALSE,"WELDER.XLS"}</definedName>
    <definedName name="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new2" hidden="1">{"Graphic",#N/A,TRUE,"Graphic"}</definedName>
    <definedName name="__new2_1" hidden="1">{"Graphic",#N/A,TRUE,"Graphic"}</definedName>
    <definedName name="__ns1" hidden="1">{#N/A,#N/A,FALSE,"COVER1.XLS ";#N/A,#N/A,FALSE,"RACT1.XLS";#N/A,#N/A,FALSE,"RACT2.XLS";#N/A,#N/A,FALSE,"ECCMP";#N/A,#N/A,FALSE,"WELDER.XLS"}</definedName>
    <definedName name="__one2" hidden="1">{"adj95mult",#N/A,FALSE,"COMPCO";"adj95est",#N/A,FALSE,"COMPCO"}</definedName>
    <definedName name="__one2_1" hidden="1">{"adj95mult",#N/A,FALSE,"COMPCO";"adj95est",#N/A,FALSE,"COMPCO"}</definedName>
    <definedName name="__PRN1" hidden="1">{#N/A,#N/A,FALSE,"COVER.XLS";#N/A,#N/A,FALSE,"RACT1.XLS";#N/A,#N/A,FALSE,"RACT2.XLS";#N/A,#N/A,FALSE,"ECCMP";#N/A,#N/A,FALSE,"WELDER.XLS"}</definedName>
    <definedName name="__re1" hidden="1">{"'Sheet1'!$B$1:$B$2"}</definedName>
    <definedName name="__sec3" hidden="1">#REF!</definedName>
    <definedName name="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wrn1" hidden="1">{#N/A,#N/A,FALSE,"SUMMARY";#N/A,#N/A,FALSE,"SUMMARY"}</definedName>
    <definedName name="__WRN2" hidden="1">{#N/A,#N/A,FALSE,"COVER1.XLS ";#N/A,#N/A,FALSE,"RACT1.XLS";#N/A,#N/A,FALSE,"RACT2.XLS";#N/A,#N/A,FALSE,"ECCMP";#N/A,#N/A,FALSE,"WELDER.XLS"}</definedName>
    <definedName name="__WRN3" hidden="1">{#N/A,#N/A,FALSE,"consu_cover";#N/A,#N/A,FALSE,"consu_strategy";#N/A,#N/A,FALSE,"consu_flow";#N/A,#N/A,FALSE,"Summary_reqmt";#N/A,#N/A,FALSE,"field_ppg";#N/A,#N/A,FALSE,"ppg_shop";#N/A,#N/A,FALSE,"strl";#N/A,#N/A,FALSE,"tankages";#N/A,#N/A,FALSE,"gases"}</definedName>
    <definedName name="__xlfn.IFERROR" hidden="1">#NAME?</definedName>
    <definedName name="__xlfn.RTD" hidden="1">#NAME?</definedName>
    <definedName name="__zz11" hidden="1">{#N/A,#N/A,FALSE,"FREE"}</definedName>
    <definedName name="_1__123Graph_AMKT_MONTH" hidden="1">[5]SALES!#REF!</definedName>
    <definedName name="_1__123Graph_Aグラフ_1" hidden="1">#REF!</definedName>
    <definedName name="_1__FDSAUDITLINK__" hidden="1">{"fdsup://directions/FAT Viewer?action=UPDATE&amp;creator=factset&amp;DYN_ARGS=TRUE&amp;DOC_NAME=FAT:FQL_AUDITING_CLIENT_TEMPLATE.FAT&amp;display_string=Audit&amp;VAR:KEY=BKRMHYHIVS&amp;VAR:QUERY=RkZfQ0FQRVgoQU5OLC00KQ==&amp;WINDOW=FIRST_POPUP&amp;HEIGHT=450&amp;WIDTH=450&amp;START_MAXIMIZED=FALS","E&amp;VAR:CALENDAR=FIVEDAY&amp;VAR:SYMBOL=B0JGGR&amp;VAR:INDEX=0"}</definedName>
    <definedName name="_10__123Graph_ACHART_111" hidden="1">[9]Menu!$D$23:$M$23</definedName>
    <definedName name="_10__123Graph_LBL_AMKT_MONTH" hidden="1">[5]SALES!#REF!</definedName>
    <definedName name="_10__123Graph_XMKT_YTD" hidden="1">[5]SALES!#REF!</definedName>
    <definedName name="_10__FDSAUDITLINK__" hidden="1">{"fdsup://IBCentral/FAT Viewer?action=UPDATE&amp;creator=factset&amp;DOC_NAME=fat:reuters_qtrly_source_window.fat&amp;display_string=Audit&amp;DYN_ARGS=TRUE&amp;VAR:ID1=527343&amp;VAR:RCODE=LMIN&amp;VAR:SDATE=20080699&amp;VAR:FREQ=Quarterly&amp;VAR:RELITEM=RP&amp;VAR:CURRENCY=&amp;VAR:CURRSOURCE=EXSH","ARE&amp;VAR:NATFREQ=QUARTERLY&amp;VAR:RFIELD=FINALIZED&amp;VAR:DB_TYPE=&amp;VAR:UNITS=M&amp;window=popup&amp;width=450&amp;height=300&amp;START_MAXIMIZED=FALSE"}</definedName>
    <definedName name="_100__FDSAUDITLINK__" hidden="1">{"fdsup://IBCentral/FAT Viewer?action=UPDATE&amp;creator=factset&amp;DOC_NAME=fat:reuters_qtrly_source_window.fat&amp;display_string=Audit&amp;DYN_ARGS=TRUE&amp;VAR:ID1=527343&amp;VAR:RCODE=DSTT&amp;VAR:SDATE=20070699&amp;VAR:FREQ=Quarterly&amp;VAR:RELITEM=RP&amp;VAR:CURRENCY=&amp;VAR:CURRSOURCE=EXSH","ARE&amp;VAR:NATFREQ=QUARTERLY&amp;VAR:RFIELD=FINALIZED&amp;VAR:DB_TYPE=&amp;VAR:UNITS=M&amp;window=popup&amp;width=450&amp;height=300&amp;START_MAXIMIZED=FALSE"}</definedName>
    <definedName name="_101__FDSAUDITLINK__" hidden="1">{"fdsup://IBCentral/FAT Viewer?action=UPDATE&amp;creator=factset&amp;DOC_NAME=fat:reuters_qtrly_source_window.fat&amp;display_string=Audit&amp;DYN_ARGS=TRUE&amp;VAR:ID1=527343&amp;VAR:RCODE=DSTT&amp;VAR:SDATE=20070399&amp;VAR:FREQ=Quarterly&amp;VAR:RELITEM=RP&amp;VAR:CURRENCY=&amp;VAR:CURRSOURCE=EXSH","ARE&amp;VAR:NATFREQ=QUARTERLY&amp;VAR:RFIELD=FINALIZED&amp;VAR:DB_TYPE=&amp;VAR:UNITS=M&amp;window=popup&amp;width=450&amp;height=300&amp;START_MAXIMIZED=FALSE"}</definedName>
    <definedName name="_102__FDSAUDITLINK__" hidden="1">{"fdsup://IBCentral/FAT Viewer?action=UPDATE&amp;creator=factset&amp;DOC_NAME=fat:reuters_qtrly_source_window.fat&amp;display_string=Audit&amp;DYN_ARGS=TRUE&amp;VAR:ID1=527343&amp;VAR:RCODE=DSTT&amp;VAR:SDATE=20061299&amp;VAR:FREQ=Quarterly&amp;VAR:RELITEM=RP&amp;VAR:CURRENCY=&amp;VAR:CURRSOURCE=EXSH","ARE&amp;VAR:NATFREQ=QUARTERLY&amp;VAR:RFIELD=FINALIZED&amp;VAR:DB_TYPE=&amp;VAR:UNITS=M&amp;window=popup&amp;width=450&amp;height=300&amp;START_MAXIMIZED=FALSE"}</definedName>
    <definedName name="_103__FDSAUDITLINK__" hidden="1">{"fdsup://IBCentral/FAT Viewer?action=UPDATE&amp;creator=factset&amp;DOC_NAME=fat:reuters_qtrly_source_window.fat&amp;display_string=Audit&amp;DYN_ARGS=TRUE&amp;VAR:ID1=527343&amp;VAR:RCODE=DSTT&amp;VAR:SDATE=20060999&amp;VAR:FREQ=Quarterly&amp;VAR:RELITEM=RP&amp;VAR:CURRENCY=&amp;VAR:CURRSOURCE=EXSH","ARE&amp;VAR:NATFREQ=QUARTERLY&amp;VAR:RFIELD=FINALIZED&amp;VAR:DB_TYPE=&amp;VAR:UNITS=M&amp;window=popup&amp;width=450&amp;height=300&amp;START_MAXIMIZED=FALSE"}</definedName>
    <definedName name="_104__FDSAUDITLINK__" hidden="1">{"fdsup://IBCentral/FAT Viewer?action=UPDATE&amp;creator=factset&amp;DOC_NAME=fat:reuters_qtrly_source_window.fat&amp;display_string=Audit&amp;DYN_ARGS=TRUE&amp;VAR:ID1=527343&amp;VAR:RCODE=DSTT&amp;VAR:SDATE=20060699&amp;VAR:FREQ=Quarterly&amp;VAR:RELITEM=RP&amp;VAR:CURRENCY=&amp;VAR:CURRSOURCE=EXSH","ARE&amp;VAR:NATFREQ=QUARTERLY&amp;VAR:RFIELD=FINALIZED&amp;VAR:DB_TYPE=&amp;VAR:UNITS=M&amp;window=popup&amp;width=450&amp;height=300&amp;START_MAXIMIZED=FALSE"}</definedName>
    <definedName name="_105__FDSAUDITLINK__" hidden="1">{"fdsup://IBCentral/FAT Viewer?action=UPDATE&amp;creator=factset&amp;DOC_NAME=fat:reuters_qtrly_source_window.fat&amp;display_string=Audit&amp;DYN_ARGS=TRUE&amp;VAR:ID1=527343&amp;VAR:RCODE=DSTT&amp;VAR:SDATE=20060399&amp;VAR:FREQ=Quarterly&amp;VAR:RELITEM=RP&amp;VAR:CURRENCY=&amp;VAR:CURRSOURCE=EXSH","ARE&amp;VAR:NATFREQ=QUARTERLY&amp;VAR:RFIELD=FINALIZED&amp;VAR:DB_TYPE=&amp;VAR:UNITS=M&amp;window=popup&amp;width=450&amp;height=300&amp;START_MAXIMIZED=FALSE"}</definedName>
    <definedName name="_106__FDSAUDITLINK__" hidden="1">{"fdsup://IBCentral/FAT Viewer?action=UPDATE&amp;creator=factset&amp;DOC_NAME=fat:reuters_qtrly_source_window.fat&amp;display_string=Audit&amp;DYN_ARGS=TRUE&amp;VAR:ID1=527343&amp;VAR:RCODE=DSTT&amp;VAR:SDATE=20051299&amp;VAR:FREQ=Quarterly&amp;VAR:RELITEM=RP&amp;VAR:CURRENCY=&amp;VAR:CURRSOURCE=EXSH","ARE&amp;VAR:NATFREQ=QUARTERLY&amp;VAR:RFIELD=FINALIZED&amp;VAR:DB_TYPE=&amp;VAR:UNITS=M&amp;window=popup&amp;width=450&amp;height=300&amp;START_MAXIMIZED=FALSE"}</definedName>
    <definedName name="_107__FDSAUDITLINK__" hidden="1">{"fdsup://IBCentral/FAT Viewer?action=UPDATE&amp;creator=factset&amp;DOC_NAME=fat:reuters_qtrly_source_window.fat&amp;display_string=Audit&amp;DYN_ARGS=TRUE&amp;VAR:ID1=527343&amp;VAR:RCODE=DSTT&amp;VAR:SDATE=20050999&amp;VAR:FREQ=Quarterly&amp;VAR:RELITEM=RP&amp;VAR:CURRENCY=&amp;VAR:CURRSOURCE=EXSH","ARE&amp;VAR:NATFREQ=QUARTERLY&amp;VAR:RFIELD=FINALIZED&amp;VAR:DB_TYPE=&amp;VAR:UNITS=M&amp;window=popup&amp;width=450&amp;height=300&amp;START_MAXIMIZED=FALSE"}</definedName>
    <definedName name="_108__FDSAUDITLINK__" hidden="1">{"fdsup://IBCentral/FAT Viewer?action=UPDATE&amp;creator=factset&amp;DOC_NAME=fat:reuters_qtrly_source_window.fat&amp;display_string=Audit&amp;DYN_ARGS=TRUE&amp;VAR:ID1=527343&amp;VAR:RCODE=DSTT&amp;VAR:SDATE=20050699&amp;VAR:FREQ=Quarterly&amp;VAR:RELITEM=RP&amp;VAR:CURRENCY=&amp;VAR:CURRSOURCE=EXSH","ARE&amp;VAR:NATFREQ=QUARTERLY&amp;VAR:RFIELD=FINALIZED&amp;VAR:DB_TYPE=&amp;VAR:UNITS=M&amp;window=popup&amp;width=450&amp;height=300&amp;START_MAXIMIZED=FALSE"}</definedName>
    <definedName name="_109__FDSAUDITLINK__" hidden="1">{"fdsup://IBCentral/FAT Viewer?action=UPDATE&amp;creator=factset&amp;DOC_NAME=fat:reuters_qtrly_source_window.fat&amp;display_string=Audit&amp;DYN_ARGS=TRUE&amp;VAR:ID1=527343&amp;VAR:RCODE=DSTT&amp;VAR:SDATE=20050399&amp;VAR:FREQ=Quarterly&amp;VAR:RELITEM=RP&amp;VAR:CURRENCY=&amp;VAR:CURRSOURCE=EXSH","ARE&amp;VAR:NATFREQ=QUARTERLY&amp;VAR:RFIELD=FINALIZED&amp;VAR:DB_TYPE=&amp;VAR:UNITS=M&amp;window=popup&amp;width=450&amp;height=300&amp;START_MAXIMIZED=FALSE"}</definedName>
    <definedName name="_11__123Graph_ACHART_112" hidden="1">[9]Menu!$D$17:$M$17</definedName>
    <definedName name="_11__FDSAUDITLINK__" hidden="1">{"fdsup://IBCentral/FAT Viewer?action=UPDATE&amp;creator=factset&amp;DOC_NAME=fat:reuters_qtrly_source_window.fat&amp;display_string=Audit&amp;DYN_ARGS=TRUE&amp;VAR:ID1=527343&amp;VAR:RCODE=LMIN&amp;VAR:SDATE=20080399&amp;VAR:FREQ=Quarterly&amp;VAR:RELITEM=RP&amp;VAR:CURRENCY=&amp;VAR:CURRSOURCE=EXSH","ARE&amp;VAR:NATFREQ=QUARTERLY&amp;VAR:RFIELD=FINALIZED&amp;VAR:DB_TYPE=&amp;VAR:UNITS=M&amp;window=popup&amp;width=450&amp;height=300&amp;START_MAXIMIZED=FALSE"}</definedName>
    <definedName name="_110__FDSAUDITLINK__" hidden="1">{"fdsup://IBCentral/FAT Viewer?action=UPDATE&amp;creator=factset&amp;DOC_NAME=fat:reuters_qtrly_source_window.fat&amp;display_string=Audit&amp;DYN_ARGS=TRUE&amp;VAR:ID1=527343&amp;VAR:RCODE=DSTT&amp;VAR:SDATE=20041299&amp;VAR:FREQ=Quarterly&amp;VAR:RELITEM=RP&amp;VAR:CURRENCY=&amp;VAR:CURRSOURCE=EXSH","ARE&amp;VAR:NATFREQ=QUARTERLY&amp;VAR:RFIELD=FINALIZED&amp;VAR:DB_TYPE=&amp;VAR:UNITS=M&amp;window=popup&amp;width=450&amp;height=300&amp;START_MAXIMIZED=FALSE"}</definedName>
    <definedName name="_111__FDSAUDITLINK__" hidden="1">{"fdsup://IBCentral/FAT Viewer?action=UPDATE&amp;creator=factset&amp;DOC_NAME=fat:reuters_qtrly_source_window.fat&amp;display_string=Audit&amp;DYN_ARGS=TRUE&amp;VAR:ID1=527343&amp;VAR:RCODE=DSTT&amp;VAR:SDATE=20040999&amp;VAR:FREQ=Quarterly&amp;VAR:RELITEM=RP&amp;VAR:CURRENCY=&amp;VAR:CURRSOURCE=EXSH","ARE&amp;VAR:NATFREQ=QUARTERLY&amp;VAR:RFIELD=FINALIZED&amp;VAR:DB_TYPE=&amp;VAR:UNITS=M&amp;window=popup&amp;width=450&amp;height=300&amp;START_MAXIMIZED=FALSE"}</definedName>
    <definedName name="_112__FDSAUDITLINK__" hidden="1">{"fdsup://IBCentral/FAT Viewer?action=UPDATE&amp;creator=factset&amp;DOC_NAME=fat:reuters_qtrly_source_window.fat&amp;display_string=Audit&amp;DYN_ARGS=TRUE&amp;VAR:ID1=527343&amp;VAR:RCODE=DSTT&amp;VAR:SDATE=20040699&amp;VAR:FREQ=Quarterly&amp;VAR:RELITEM=RP&amp;VAR:CURRENCY=&amp;VAR:CURRSOURCE=EXSH","ARE&amp;VAR:NATFREQ=QUARTERLY&amp;VAR:RFIELD=FINALIZED&amp;VAR:DB_TYPE=&amp;VAR:UNITS=M&amp;window=popup&amp;width=450&amp;height=300&amp;START_MAXIMIZED=FALSE"}</definedName>
    <definedName name="_113__FDSAUDITLINK__" hidden="1">{"fdsup://IBCentral/FAT Viewer?action=UPDATE&amp;creator=factset&amp;DOC_NAME=fat:reuters_qtrly_source_window.fat&amp;display_string=Audit&amp;DYN_ARGS=TRUE&amp;VAR:ID1=527343&amp;VAR:RCODE=DSTT&amp;VAR:SDATE=20040399&amp;VAR:FREQ=Quarterly&amp;VAR:RELITEM=RP&amp;VAR:CURRENCY=&amp;VAR:CURRSOURCE=EXSH","ARE&amp;VAR:NATFREQ=QUARTERLY&amp;VAR:RFIELD=FINALIZED&amp;VAR:DB_TYPE=&amp;VAR:UNITS=M&amp;window=popup&amp;width=450&amp;height=300&amp;START_MAXIMIZED=FALSE"}</definedName>
    <definedName name="_114__FDSAUDITLINK__" hidden="1">{"fdsup://IBCentral/FAT Viewer?action=UPDATE&amp;creator=factset&amp;DOC_NAME=fat:reuters_qtrly_source_window.fat&amp;display_string=Audit&amp;DYN_ARGS=TRUE&amp;VAR:ID1=527343&amp;VAR:RCODE=DSTT&amp;VAR:SDATE=20031299&amp;VAR:FREQ=Quarterly&amp;VAR:RELITEM=RP&amp;VAR:CURRENCY=&amp;VAR:CURRSOURCE=EXSH","ARE&amp;VAR:NATFREQ=QUARTERLY&amp;VAR:RFIELD=FINALIZED&amp;VAR:DB_TYPE=&amp;VAR:UNITS=M&amp;window=popup&amp;width=450&amp;height=300&amp;START_MAXIMIZED=FALSE"}</definedName>
    <definedName name="_115__FDSAUDITLINK__" hidden="1">{"fdsup://IBCentral/FAT Viewer?action=UPDATE&amp;creator=factset&amp;DOC_NAME=fat:reuters_qtrly_source_window.fat&amp;display_string=Audit&amp;DYN_ARGS=TRUE&amp;VAR:ID1=527343&amp;VAR:RCODE=DSTT&amp;VAR:SDATE=20030999&amp;VAR:FREQ=Quarterly&amp;VAR:RELITEM=RP&amp;VAR:CURRENCY=&amp;VAR:CURRSOURCE=EXSH","ARE&amp;VAR:NATFREQ=QUARTERLY&amp;VAR:RFIELD=FINALIZED&amp;VAR:DB_TYPE=&amp;VAR:UNITS=M&amp;window=popup&amp;width=450&amp;height=300&amp;START_MAXIMIZED=FALSE"}</definedName>
    <definedName name="_116__FDSAUDITLINK__" hidden="1">{"fdsup://IBCentral/FAT Viewer?action=UPDATE&amp;creator=factset&amp;DOC_NAME=fat:reuters_qtrly_source_window.fat&amp;display_string=Audit&amp;DYN_ARGS=TRUE&amp;VAR:ID1=527343&amp;VAR:RCODE=DSTT&amp;VAR:SDATE=20030699&amp;VAR:FREQ=Quarterly&amp;VAR:RELITEM=RP&amp;VAR:CURRENCY=&amp;VAR:CURRSOURCE=EXSH","ARE&amp;VAR:NATFREQ=QUARTERLY&amp;VAR:RFIELD=FINALIZED&amp;VAR:DB_TYPE=&amp;VAR:UNITS=M&amp;window=popup&amp;width=450&amp;height=300&amp;START_MAXIMIZED=FALSE"}</definedName>
    <definedName name="_117__FDSAUDITLINK__" hidden="1">{"fdsup://IBCentral/FAT Viewer?action=UPDATE&amp;creator=factset&amp;DOC_NAME=fat:reuters_qtrly_source_window.fat&amp;display_string=Audit&amp;DYN_ARGS=TRUE&amp;VAR:ID1=527343&amp;VAR:RCODE=DSTT&amp;VAR:SDATE=20030399&amp;VAR:FREQ=Quarterly&amp;VAR:RELITEM=RP&amp;VAR:CURRENCY=&amp;VAR:CURRSOURCE=EXSH","ARE&amp;VAR:NATFREQ=QUARTERLY&amp;VAR:RFIELD=FINALIZED&amp;VAR:DB_TYPE=&amp;VAR:UNITS=M&amp;window=popup&amp;width=450&amp;height=300&amp;START_MAXIMIZED=FALSE"}</definedName>
    <definedName name="_118__FDSAUDITLINK__" hidden="1">{"fdsup://IBCentral/FAT Viewer?action=UPDATE&amp;creator=factset&amp;DOC_NAME=fat:reuters_qtrly_source_window.fat&amp;display_string=Audit&amp;DYN_ARGS=TRUE&amp;VAR:ID1=527343&amp;VAR:RCODE=DSTT&amp;VAR:SDATE=20021299&amp;VAR:FREQ=Quarterly&amp;VAR:RELITEM=RP&amp;VAR:CURRENCY=&amp;VAR:CURRSOURCE=EXSH","ARE&amp;VAR:NATFREQ=QUARTERLY&amp;VAR:RFIELD=FINALIZED&amp;VAR:DB_TYPE=&amp;VAR:UNITS=M&amp;window=popup&amp;width=450&amp;height=300&amp;START_MAXIMIZED=FALSE"}</definedName>
    <definedName name="_119__FDSAUDITLINK__" hidden="1">{"fdsup://IBCentral/FAT Viewer?action=UPDATE&amp;creator=factset&amp;DOC_NAME=fat:reuters_qtrly_source_window.fat&amp;display_string=Audit&amp;DYN_ARGS=TRUE&amp;VAR:ID1=527343&amp;VAR:RCODE=DSTT&amp;VAR:SDATE=20020999&amp;VAR:FREQ=Quarterly&amp;VAR:RELITEM=RP&amp;VAR:CURRENCY=&amp;VAR:CURRSOURCE=EXSH","ARE&amp;VAR:NATFREQ=QUARTERLY&amp;VAR:RFIELD=FINALIZED&amp;VAR:DB_TYPE=&amp;VAR:UNITS=M&amp;window=popup&amp;width=450&amp;height=300&amp;START_MAXIMIZED=FALSE"}</definedName>
    <definedName name="_12__123Graph_AChart_1A" hidden="1">#REF!</definedName>
    <definedName name="_12__123Graph_LBL_AMKT_YTD" hidden="1">[5]SALES!#REF!</definedName>
    <definedName name="_12__FDSAUDITLINK__" hidden="1">{"fdsup://IBCentral/FAT Viewer?action=UPDATE&amp;creator=factset&amp;DOC_NAME=fat:reuters_qtrly_source_window.fat&amp;display_string=Audit&amp;DYN_ARGS=TRUE&amp;VAR:ID1=527343&amp;VAR:RCODE=LMIN&amp;VAR:SDATE=20071299&amp;VAR:FREQ=Quarterly&amp;VAR:RELITEM=RP&amp;VAR:CURRENCY=&amp;VAR:CURRSOURCE=EXSH","ARE&amp;VAR:NATFREQ=QUARTERLY&amp;VAR:RFIELD=FINALIZED&amp;VAR:DB_TYPE=&amp;VAR:UNITS=M&amp;window=popup&amp;width=450&amp;height=300&amp;START_MAXIMIZED=FALSE"}</definedName>
    <definedName name="_120__FDSAUDITLINK__" hidden="1">{"fdsup://IBCentral/FAT Viewer?action=UPDATE&amp;creator=factset&amp;DOC_NAME=fat:reuters_qtrly_source_window.fat&amp;display_string=Audit&amp;DYN_ARGS=TRUE&amp;VAR:ID1=527343&amp;VAR:RCODE=DSTT&amp;VAR:SDATE=20020699&amp;VAR:FREQ=Quarterly&amp;VAR:RELITEM=RP&amp;VAR:CURRENCY=&amp;VAR:CURRSOURCE=EXSH","ARE&amp;VAR:NATFREQ=QUARTERLY&amp;VAR:RFIELD=FINALIZED&amp;VAR:DB_TYPE=&amp;VAR:UNITS=M&amp;window=popup&amp;width=450&amp;height=300&amp;START_MAXIMIZED=FALSE"}</definedName>
    <definedName name="_121__FDSAUDITLINK__" hidden="1">{"fdsup://IBCentral/FAT Viewer?action=UPDATE&amp;creator=factset&amp;DOC_NAME=fat:reuters_qtrly_source_window.fat&amp;display_string=Audit&amp;DYN_ARGS=TRUE&amp;VAR:ID1=527343&amp;VAR:RCODE=DSTT&amp;VAR:SDATE=20020399&amp;VAR:FREQ=Quarterly&amp;VAR:RELITEM=RP&amp;VAR:CURRENCY=&amp;VAR:CURRSOURCE=EXSH","ARE&amp;VAR:NATFREQ=QUARTERLY&amp;VAR:RFIELD=FINALIZED&amp;VAR:DB_TYPE=&amp;VAR:UNITS=M&amp;window=popup&amp;width=450&amp;height=300&amp;START_MAXIMIZED=FALSE"}</definedName>
    <definedName name="_122__FDSAUDITLINK__" hidden="1">{"fdsup://IBCentral/FAT Viewer?action=UPDATE&amp;creator=factset&amp;DOC_NAME=fat:reuters_qtrly_source_window.fat&amp;display_string=Audit&amp;DYN_ARGS=TRUE&amp;VAR:ID1=527343&amp;VAR:RCODE=DSTT&amp;VAR:SDATE=20011299&amp;VAR:FREQ=Quarterly&amp;VAR:RELITEM=RP&amp;VAR:CURRENCY=&amp;VAR:CURRSOURCE=EXSH","ARE&amp;VAR:NATFREQ=QUARTERLY&amp;VAR:RFIELD=FINALIZED&amp;VAR:DB_TYPE=&amp;VAR:UNITS=M&amp;window=popup&amp;width=450&amp;height=300&amp;START_MAXIMIZED=FALSE"}</definedName>
    <definedName name="_123__FDSAUDITLINK__" hidden="1">{"fdsup://IBCentral/FAT Viewer?action=UPDATE&amp;creator=factset&amp;DOC_NAME=fat:reuters_qtrly_source_window.fat&amp;display_string=Audit&amp;DYN_ARGS=TRUE&amp;VAR:ID1=527343&amp;VAR:RCODE=DSTT&amp;VAR:SDATE=20010999&amp;VAR:FREQ=Quarterly&amp;VAR:RELITEM=RP&amp;VAR:CURRENCY=&amp;VAR:CURRSOURCE=EXSH","ARE&amp;VAR:NATFREQ=QUARTERLY&amp;VAR:RFIELD=FINALIZED&amp;VAR:DB_TYPE=&amp;VAR:UNITS=M&amp;window=popup&amp;width=450&amp;height=300&amp;START_MAXIMIZED=FALSE"}</definedName>
    <definedName name="_123Graph__x" hidden="1">[10]損益分岐点!#REF!</definedName>
    <definedName name="_123Graph_X" hidden="1">[10]損益分岐点!#REF!</definedName>
    <definedName name="_124__FDSAUDITLINK__" hidden="1">{"fdsup://IBCentral/FAT Viewer?action=UPDATE&amp;creator=factset&amp;DOC_NAME=fat:reuters_qtrly_source_window.fat&amp;display_string=Audit&amp;DYN_ARGS=TRUE&amp;VAR:ID1=527343&amp;VAR:RCODE=DSTT&amp;VAR:SDATE=20010699&amp;VAR:FREQ=Quarterly&amp;VAR:RELITEM=RP&amp;VAR:CURRENCY=&amp;VAR:CURRSOURCE=EXSH","ARE&amp;VAR:NATFREQ=QUARTERLY&amp;VAR:RFIELD=FINALIZED&amp;VAR:DB_TYPE=&amp;VAR:UNITS=M&amp;window=popup&amp;width=450&amp;height=300&amp;START_MAXIMIZED=FALSE"}</definedName>
    <definedName name="_125__FDSAUDITLINK__" hidden="1">{"fdsup://IBCentral/FAT Viewer?action=UPDATE&amp;creator=factset&amp;DOC_NAME=fat:reuters_qtrly_source_window.fat&amp;display_string=Audit&amp;DYN_ARGS=TRUE&amp;VAR:ID1=527343&amp;VAR:RCODE=DSTT&amp;VAR:SDATE=20010399&amp;VAR:FREQ=Quarterly&amp;VAR:RELITEM=RP&amp;VAR:CURRENCY=&amp;VAR:CURRSOURCE=EXSH","ARE&amp;VAR:NATFREQ=QUARTERLY&amp;VAR:RFIELD=FINALIZED&amp;VAR:DB_TYPE=&amp;VAR:UNITS=M&amp;window=popup&amp;width=450&amp;height=300&amp;START_MAXIMIZED=FALSE"}</definedName>
    <definedName name="_126__FDSAUDITLINK__" hidden="1">{"fdsup://IBCentral/FAT Viewer?action=UPDATE&amp;creator=factset&amp;DOC_NAME=fat:reuters_qtrly_source_window.fat&amp;display_string=Audit&amp;DYN_ARGS=TRUE&amp;VAR:ID1=527343&amp;VAR:RCODE=DSTT&amp;VAR:SDATE=20001299&amp;VAR:FREQ=Quarterly&amp;VAR:RELITEM=RP&amp;VAR:CURRENCY=&amp;VAR:CURRSOURCE=EXSH","ARE&amp;VAR:NATFREQ=QUARTERLY&amp;VAR:RFIELD=FINALIZED&amp;VAR:DB_TYPE=&amp;VAR:UNITS=M&amp;window=popup&amp;width=450&amp;height=300&amp;START_MAXIMIZED=FALSE"}</definedName>
    <definedName name="_127__FDSAUDITLINK__" hidden="1">{"fdsup://IBCentral/FAT Viewer?action=UPDATE&amp;creator=factset&amp;DOC_NAME=fat:reuters_qtrly_source_window.fat&amp;display_string=Audit&amp;DYN_ARGS=TRUE&amp;VAR:ID1=527343&amp;VAR:RCODE=DSTT&amp;VAR:SDATE=20000999&amp;VAR:FREQ=Quarterly&amp;VAR:RELITEM=RP&amp;VAR:CURRENCY=&amp;VAR:CURRSOURCE=EXSH","ARE&amp;VAR:NATFREQ=QUARTERLY&amp;VAR:RFIELD=FINALIZED&amp;VAR:DB_TYPE=&amp;VAR:UNITS=M&amp;window=popup&amp;width=450&amp;height=300&amp;START_MAXIMIZED=FALSE"}</definedName>
    <definedName name="_128__FDSAUDITLINK__" hidden="1">{"fdsup://IBCentral/FAT Viewer?action=UPDATE&amp;creator=factset&amp;DOC_NAME=fat:reuters_qtrly_source_window.fat&amp;display_string=Audit&amp;DYN_ARGS=TRUE&amp;VAR:ID1=527343&amp;VAR:RCODE=DSTT&amp;VAR:SDATE=20000699&amp;VAR:FREQ=Quarterly&amp;VAR:RELITEM=RP&amp;VAR:CURRENCY=&amp;VAR:CURRSOURCE=EXSH","ARE&amp;VAR:NATFREQ=QUARTERLY&amp;VAR:RFIELD=FINALIZED&amp;VAR:DB_TYPE=&amp;VAR:UNITS=M&amp;window=popup&amp;width=450&amp;height=300&amp;START_MAXIMIZED=FALSE"}</definedName>
    <definedName name="_129__FDSAUDITLINK__" hidden="1">{"fdsup://IBCentral/FAT Viewer?action=UPDATE&amp;creator=factset&amp;DOC_NAME=fat:reuters_qtrly_source_window.fat&amp;display_string=Audit&amp;DYN_ARGS=TRUE&amp;VAR:ID1=527343&amp;VAR:RCODE=DSTT&amp;VAR:SDATE=20000399&amp;VAR:FREQ=Quarterly&amp;VAR:RELITEM=RP&amp;VAR:CURRENCY=&amp;VAR:CURRSOURCE=EXSH","ARE&amp;VAR:NATFREQ=QUARTERLY&amp;VAR:RFIELD=FINALIZED&amp;VAR:DB_TYPE=&amp;VAR:UNITS=M&amp;window=popup&amp;width=450&amp;height=300&amp;START_MAXIMIZED=FALSE"}</definedName>
    <definedName name="_13__123Graph_ACHART_26" hidden="1">[9]Menu!$D$83:$M$83</definedName>
    <definedName name="_13__FDSAUDITLINK__" hidden="1">{"fdsup://IBCentral/FAT Viewer?action=UPDATE&amp;creator=factset&amp;DOC_NAME=fat:reuters_qtrly_source_window.fat&amp;display_string=Audit&amp;DYN_ARGS=TRUE&amp;VAR:ID1=527343&amp;VAR:RCODE=LMIN&amp;VAR:SDATE=20070999&amp;VAR:FREQ=Quarterly&amp;VAR:RELITEM=RP&amp;VAR:CURRENCY=&amp;VAR:CURRSOURCE=EXSH","ARE&amp;VAR:NATFREQ=QUARTERLY&amp;VAR:RFIELD=FINALIZED&amp;VAR:DB_TYPE=&amp;VAR:UNITS=M&amp;window=popup&amp;width=450&amp;height=300&amp;START_MAXIMIZED=FALSE"}</definedName>
    <definedName name="_130__FDSAUDITLINK__" hidden="1">{"fdsup://IBCentral/FAT Viewer?action=UPDATE&amp;creator=factset&amp;DOC_NAME=fat:reuters_qtrly_source_window.fat&amp;display_string=Audit&amp;DYN_ARGS=TRUE&amp;VAR:ID1=527343&amp;VAR:RCODE=SCSI&amp;VAR:SDATE=20100999&amp;VAR:FREQ=Quarterly&amp;VAR:RELITEM=RP&amp;VAR:CURRENCY=&amp;VAR:CURRSOURCE=EXSH","ARE&amp;VAR:NATFREQ=QUARTERLY&amp;VAR:RFIELD=FINALIZED&amp;VAR:DB_TYPE=&amp;VAR:UNITS=M&amp;window=popup&amp;width=450&amp;height=300&amp;START_MAXIMIZED=FALSE"}</definedName>
    <definedName name="_131__FDSAUDITLINK__" hidden="1">{"fdsup://IBCentral/FAT Viewer?action=UPDATE&amp;creator=factset&amp;DOC_NAME=fat:reuters_qtrly_source_window.fat&amp;display_string=Audit&amp;DYN_ARGS=TRUE&amp;VAR:ID1=527343&amp;VAR:RCODE=SCSI&amp;VAR:SDATE=20100699&amp;VAR:FREQ=Quarterly&amp;VAR:RELITEM=RP&amp;VAR:CURRENCY=&amp;VAR:CURRSOURCE=EXSH","ARE&amp;VAR:NATFREQ=QUARTERLY&amp;VAR:RFIELD=FINALIZED&amp;VAR:DB_TYPE=&amp;VAR:UNITS=M&amp;window=popup&amp;width=450&amp;height=300&amp;START_MAXIMIZED=FALSE"}</definedName>
    <definedName name="_132__FDSAUDITLINK__" hidden="1">{"fdsup://IBCentral/FAT Viewer?action=UPDATE&amp;creator=factset&amp;DOC_NAME=fat:reuters_qtrly_source_window.fat&amp;display_string=Audit&amp;DYN_ARGS=TRUE&amp;VAR:ID1=527343&amp;VAR:RCODE=SCSI&amp;VAR:SDATE=20100399&amp;VAR:FREQ=Quarterly&amp;VAR:RELITEM=RP&amp;VAR:CURRENCY=&amp;VAR:CURRSOURCE=EXSH","ARE&amp;VAR:NATFREQ=QUARTERLY&amp;VAR:RFIELD=FINALIZED&amp;VAR:DB_TYPE=&amp;VAR:UNITS=M&amp;window=popup&amp;width=450&amp;height=300&amp;START_MAXIMIZED=FALSE"}</definedName>
    <definedName name="_133__FDSAUDITLINK__" hidden="1">{"fdsup://IBCentral/FAT Viewer?action=UPDATE&amp;creator=factset&amp;DOC_NAME=fat:reuters_qtrly_source_window.fat&amp;display_string=Audit&amp;DYN_ARGS=TRUE&amp;VAR:ID1=527343&amp;VAR:RCODE=SCSI&amp;VAR:SDATE=20091299&amp;VAR:FREQ=Quarterly&amp;VAR:RELITEM=RP&amp;VAR:CURRENCY=&amp;VAR:CURRSOURCE=EXSH","ARE&amp;VAR:NATFREQ=QUARTERLY&amp;VAR:RFIELD=FINALIZED&amp;VAR:DB_TYPE=&amp;VAR:UNITS=M&amp;window=popup&amp;width=450&amp;height=300&amp;START_MAXIMIZED=FALSE"}</definedName>
    <definedName name="_134__FDSAUDITLINK__" hidden="1">{"fdsup://IBCentral/FAT Viewer?action=UPDATE&amp;creator=factset&amp;DOC_NAME=fat:reuters_qtrly_source_window.fat&amp;display_string=Audit&amp;DYN_ARGS=TRUE&amp;VAR:ID1=527343&amp;VAR:RCODE=SCSI&amp;VAR:SDATE=20090999&amp;VAR:FREQ=Quarterly&amp;VAR:RELITEM=RP&amp;VAR:CURRENCY=&amp;VAR:CURRSOURCE=EXSH","ARE&amp;VAR:NATFREQ=QUARTERLY&amp;VAR:RFIELD=FINALIZED&amp;VAR:DB_TYPE=&amp;VAR:UNITS=M&amp;window=popup&amp;width=450&amp;height=300&amp;START_MAXIMIZED=FALSE"}</definedName>
    <definedName name="_135__FDSAUDITLINK__" hidden="1">{"fdsup://IBCentral/FAT Viewer?action=UPDATE&amp;creator=factset&amp;DOC_NAME=fat:reuters_qtrly_source_window.fat&amp;display_string=Audit&amp;DYN_ARGS=TRUE&amp;VAR:ID1=527343&amp;VAR:RCODE=SCSI&amp;VAR:SDATE=20090699&amp;VAR:FREQ=Quarterly&amp;VAR:RELITEM=RP&amp;VAR:CURRENCY=&amp;VAR:CURRSOURCE=EXSH","ARE&amp;VAR:NATFREQ=QUARTERLY&amp;VAR:RFIELD=FINALIZED&amp;VAR:DB_TYPE=&amp;VAR:UNITS=M&amp;window=popup&amp;width=450&amp;height=300&amp;START_MAXIMIZED=FALSE"}</definedName>
    <definedName name="_136__FDSAUDITLINK__" hidden="1">{"fdsup://IBCentral/FAT Viewer?action=UPDATE&amp;creator=factset&amp;DOC_NAME=fat:reuters_qtrly_source_window.fat&amp;display_string=Audit&amp;DYN_ARGS=TRUE&amp;VAR:ID1=527343&amp;VAR:RCODE=SCSI&amp;VAR:SDATE=20090399&amp;VAR:FREQ=Quarterly&amp;VAR:RELITEM=RP&amp;VAR:CURRENCY=&amp;VAR:CURRSOURCE=EXSH","ARE&amp;VAR:NATFREQ=QUARTERLY&amp;VAR:RFIELD=FINALIZED&amp;VAR:DB_TYPE=&amp;VAR:UNITS=M&amp;window=popup&amp;width=450&amp;height=300&amp;START_MAXIMIZED=FALSE"}</definedName>
    <definedName name="_137__FDSAUDITLINK__" hidden="1">{"fdsup://IBCentral/FAT Viewer?action=UPDATE&amp;creator=factset&amp;DOC_NAME=fat:reuters_qtrly_source_window.fat&amp;display_string=Audit&amp;DYN_ARGS=TRUE&amp;VAR:ID1=527343&amp;VAR:RCODE=SCSI&amp;VAR:SDATE=20081299&amp;VAR:FREQ=Quarterly&amp;VAR:RELITEM=RP&amp;VAR:CURRENCY=&amp;VAR:CURRSOURCE=EXSH","ARE&amp;VAR:NATFREQ=QUARTERLY&amp;VAR:RFIELD=FINALIZED&amp;VAR:DB_TYPE=&amp;VAR:UNITS=M&amp;window=popup&amp;width=450&amp;height=300&amp;START_MAXIMIZED=FALSE"}</definedName>
    <definedName name="_138__FDSAUDITLINK__" hidden="1">{"fdsup://IBCentral/FAT Viewer?action=UPDATE&amp;creator=factset&amp;DOC_NAME=fat:reuters_qtrly_source_window.fat&amp;display_string=Audit&amp;DYN_ARGS=TRUE&amp;VAR:ID1=527343&amp;VAR:RCODE=SCSI&amp;VAR:SDATE=20080999&amp;VAR:FREQ=Quarterly&amp;VAR:RELITEM=RP&amp;VAR:CURRENCY=&amp;VAR:CURRSOURCE=EXSH","ARE&amp;VAR:NATFREQ=QUARTERLY&amp;VAR:RFIELD=FINALIZED&amp;VAR:DB_TYPE=&amp;VAR:UNITS=M&amp;window=popup&amp;width=450&amp;height=300&amp;START_MAXIMIZED=FALSE"}</definedName>
    <definedName name="_139__FDSAUDITLINK__" hidden="1">{"fdsup://IBCentral/FAT Viewer?action=UPDATE&amp;creator=factset&amp;DOC_NAME=fat:reuters_qtrly_source_window.fat&amp;display_string=Audit&amp;DYN_ARGS=TRUE&amp;VAR:ID1=527343&amp;VAR:RCODE=SCSI&amp;VAR:SDATE=20080699&amp;VAR:FREQ=Quarterly&amp;VAR:RELITEM=RP&amp;VAR:CURRENCY=&amp;VAR:CURRSOURCE=EXSH","ARE&amp;VAR:NATFREQ=QUARTERLY&amp;VAR:RFIELD=FINALIZED&amp;VAR:DB_TYPE=&amp;VAR:UNITS=M&amp;window=popup&amp;width=450&amp;height=300&amp;START_MAXIMIZED=FALSE"}</definedName>
    <definedName name="_14__123Graph_ACHART_29" hidden="1">[9]Menu!#REF!</definedName>
    <definedName name="_14__123Graph_LBL_BMKT_MONTH" hidden="1">[5]SALES!#REF!</definedName>
    <definedName name="_14__FDSAUDITLINK__" hidden="1">{"fdsup://IBCentral/FAT Viewer?action=UPDATE&amp;creator=factset&amp;DOC_NAME=fat:reuters_qtrly_source_window.fat&amp;display_string=Audit&amp;DYN_ARGS=TRUE&amp;VAR:ID1=527343&amp;VAR:RCODE=LMIN&amp;VAR:SDATE=20070699&amp;VAR:FREQ=Quarterly&amp;VAR:RELITEM=RP&amp;VAR:CURRENCY=&amp;VAR:CURRSOURCE=EXSH","ARE&amp;VAR:NATFREQ=QUARTERLY&amp;VAR:RFIELD=FINALIZED&amp;VAR:DB_TYPE=&amp;VAR:UNITS=M&amp;window=popup&amp;width=450&amp;height=300&amp;START_MAXIMIZED=FALSE"}</definedName>
    <definedName name="_140__FDSAUDITLINK__" hidden="1">{"fdsup://IBCentral/FAT Viewer?action=UPDATE&amp;creator=factset&amp;DOC_NAME=fat:reuters_qtrly_source_window.fat&amp;display_string=Audit&amp;DYN_ARGS=TRUE&amp;VAR:ID1=527343&amp;VAR:RCODE=SCSI&amp;VAR:SDATE=20080399&amp;VAR:FREQ=Quarterly&amp;VAR:RELITEM=RP&amp;VAR:CURRENCY=&amp;VAR:CURRSOURCE=EXSH","ARE&amp;VAR:NATFREQ=QUARTERLY&amp;VAR:RFIELD=FINALIZED&amp;VAR:DB_TYPE=&amp;VAR:UNITS=M&amp;window=popup&amp;width=450&amp;height=300&amp;START_MAXIMIZED=FALSE"}</definedName>
    <definedName name="_141__FDSAUDITLINK__" hidden="1">{"fdsup://IBCentral/FAT Viewer?action=UPDATE&amp;creator=factset&amp;DOC_NAME=fat:reuters_qtrly_source_window.fat&amp;display_string=Audit&amp;DYN_ARGS=TRUE&amp;VAR:ID1=527343&amp;VAR:RCODE=SCSI&amp;VAR:SDATE=20071299&amp;VAR:FREQ=Quarterly&amp;VAR:RELITEM=RP&amp;VAR:CURRENCY=&amp;VAR:CURRSOURCE=EXSH","ARE&amp;VAR:NATFREQ=QUARTERLY&amp;VAR:RFIELD=FINALIZED&amp;VAR:DB_TYPE=&amp;VAR:UNITS=M&amp;window=popup&amp;width=450&amp;height=300&amp;START_MAXIMIZED=FALSE"}</definedName>
    <definedName name="_142__FDSAUDITLINK__" hidden="1">{"fdsup://IBCentral/FAT Viewer?action=UPDATE&amp;creator=factset&amp;DOC_NAME=fat:reuters_qtrly_source_window.fat&amp;display_string=Audit&amp;DYN_ARGS=TRUE&amp;VAR:ID1=527343&amp;VAR:RCODE=SCSI&amp;VAR:SDATE=20070999&amp;VAR:FREQ=Quarterly&amp;VAR:RELITEM=RP&amp;VAR:CURRENCY=&amp;VAR:CURRSOURCE=EXSH","ARE&amp;VAR:NATFREQ=QUARTERLY&amp;VAR:RFIELD=FINALIZED&amp;VAR:DB_TYPE=&amp;VAR:UNITS=M&amp;window=popup&amp;width=450&amp;height=300&amp;START_MAXIMIZED=FALSE"}</definedName>
    <definedName name="_143__FDSAUDITLINK__" hidden="1">{"fdsup://IBCentral/FAT Viewer?action=UPDATE&amp;creator=factset&amp;DOC_NAME=fat:reuters_qtrly_source_window.fat&amp;display_string=Audit&amp;DYN_ARGS=TRUE&amp;VAR:ID1=527343&amp;VAR:RCODE=SCSI&amp;VAR:SDATE=20070699&amp;VAR:FREQ=Quarterly&amp;VAR:RELITEM=RP&amp;VAR:CURRENCY=&amp;VAR:CURRSOURCE=EXSH","ARE&amp;VAR:NATFREQ=QUARTERLY&amp;VAR:RFIELD=FINALIZED&amp;VAR:DB_TYPE=&amp;VAR:UNITS=M&amp;window=popup&amp;width=450&amp;height=300&amp;START_MAXIMIZED=FALSE"}</definedName>
    <definedName name="_144__FDSAUDITLINK__" hidden="1">{"fdsup://IBCentral/FAT Viewer?action=UPDATE&amp;creator=factset&amp;DOC_NAME=fat:reuters_qtrly_source_window.fat&amp;display_string=Audit&amp;DYN_ARGS=TRUE&amp;VAR:ID1=527343&amp;VAR:RCODE=SCSI&amp;VAR:SDATE=20070399&amp;VAR:FREQ=Quarterly&amp;VAR:RELITEM=RP&amp;VAR:CURRENCY=&amp;VAR:CURRSOURCE=EXSH","ARE&amp;VAR:NATFREQ=QUARTERLY&amp;VAR:RFIELD=FINALIZED&amp;VAR:DB_TYPE=&amp;VAR:UNITS=M&amp;window=popup&amp;width=450&amp;height=300&amp;START_MAXIMIZED=FALSE"}</definedName>
    <definedName name="_145__FDSAUDITLINK__" hidden="1">{"fdsup://IBCentral/FAT Viewer?action=UPDATE&amp;creator=factset&amp;DOC_NAME=fat:reuters_qtrly_source_window.fat&amp;display_string=Audit&amp;DYN_ARGS=TRUE&amp;VAR:ID1=527343&amp;VAR:RCODE=SCSI&amp;VAR:SDATE=20061299&amp;VAR:FREQ=Quarterly&amp;VAR:RELITEM=RP&amp;VAR:CURRENCY=&amp;VAR:CURRSOURCE=EXSH","ARE&amp;VAR:NATFREQ=QUARTERLY&amp;VAR:RFIELD=FINALIZED&amp;VAR:DB_TYPE=&amp;VAR:UNITS=M&amp;window=popup&amp;width=450&amp;height=300&amp;START_MAXIMIZED=FALSE"}</definedName>
    <definedName name="_146__FDSAUDITLINK__" hidden="1">{"fdsup://IBCentral/FAT Viewer?action=UPDATE&amp;creator=factset&amp;DOC_NAME=fat:reuters_qtrly_source_window.fat&amp;display_string=Audit&amp;DYN_ARGS=TRUE&amp;VAR:ID1=527343&amp;VAR:RCODE=SCSI&amp;VAR:SDATE=20060999&amp;VAR:FREQ=Quarterly&amp;VAR:RELITEM=RP&amp;VAR:CURRENCY=&amp;VAR:CURRSOURCE=EXSH","ARE&amp;VAR:NATFREQ=QUARTERLY&amp;VAR:RFIELD=FINALIZED&amp;VAR:DB_TYPE=&amp;VAR:UNITS=M&amp;window=popup&amp;width=450&amp;height=300&amp;START_MAXIMIZED=FALSE"}</definedName>
    <definedName name="_147__FDSAUDITLINK__" hidden="1">{"fdsup://IBCentral/FAT Viewer?action=UPDATE&amp;creator=factset&amp;DOC_NAME=fat:reuters_qtrly_source_window.fat&amp;display_string=Audit&amp;DYN_ARGS=TRUE&amp;VAR:ID1=527343&amp;VAR:RCODE=SCSI&amp;VAR:SDATE=20060699&amp;VAR:FREQ=Quarterly&amp;VAR:RELITEM=RP&amp;VAR:CURRENCY=&amp;VAR:CURRSOURCE=EXSH","ARE&amp;VAR:NATFREQ=QUARTERLY&amp;VAR:RFIELD=FINALIZED&amp;VAR:DB_TYPE=&amp;VAR:UNITS=M&amp;window=popup&amp;width=450&amp;height=300&amp;START_MAXIMIZED=FALSE"}</definedName>
    <definedName name="_148__FDSAUDITLINK__" hidden="1">{"fdsup://IBCentral/FAT Viewer?action=UPDATE&amp;creator=factset&amp;DOC_NAME=fat:reuters_qtrly_source_window.fat&amp;display_string=Audit&amp;DYN_ARGS=TRUE&amp;VAR:ID1=527343&amp;VAR:RCODE=SCSI&amp;VAR:SDATE=20060399&amp;VAR:FREQ=Quarterly&amp;VAR:RELITEM=RP&amp;VAR:CURRENCY=&amp;VAR:CURRSOURCE=EXSH","ARE&amp;VAR:NATFREQ=QUARTERLY&amp;VAR:RFIELD=FINALIZED&amp;VAR:DB_TYPE=&amp;VAR:UNITS=M&amp;window=popup&amp;width=450&amp;height=300&amp;START_MAXIMIZED=FALSE"}</definedName>
    <definedName name="_149__FDSAUDITLINK__" hidden="1">{"fdsup://IBCentral/FAT Viewer?action=UPDATE&amp;creator=factset&amp;DOC_NAME=fat:reuters_qtrly_source_window.fat&amp;display_string=Audit&amp;DYN_ARGS=TRUE&amp;VAR:ID1=527343&amp;VAR:RCODE=SCSI&amp;VAR:SDATE=20051299&amp;VAR:FREQ=Quarterly&amp;VAR:RELITEM=RP&amp;VAR:CURRENCY=&amp;VAR:CURRSOURCE=EXSH","ARE&amp;VAR:NATFREQ=QUARTERLY&amp;VAR:RFIELD=FINALIZED&amp;VAR:DB_TYPE=&amp;VAR:UNITS=M&amp;window=popup&amp;width=450&amp;height=300&amp;START_MAXIMIZED=FALSE"}</definedName>
    <definedName name="_15__123Graph_AChart_2A" hidden="1">#REF!</definedName>
    <definedName name="_15__FDSAUDITLINK__" hidden="1">{"fdsup://IBCentral/FAT Viewer?action=UPDATE&amp;creator=factset&amp;DOC_NAME=fat:reuters_qtrly_source_window.fat&amp;display_string=Audit&amp;DYN_ARGS=TRUE&amp;VAR:ID1=527343&amp;VAR:RCODE=LMIN&amp;VAR:SDATE=20070399&amp;VAR:FREQ=Quarterly&amp;VAR:RELITEM=RP&amp;VAR:CURRENCY=&amp;VAR:CURRSOURCE=EXSH","ARE&amp;VAR:NATFREQ=QUARTERLY&amp;VAR:RFIELD=FINALIZED&amp;VAR:DB_TYPE=&amp;VAR:UNITS=M&amp;window=popup&amp;width=450&amp;height=300&amp;START_MAXIMIZED=FALSE"}</definedName>
    <definedName name="_150__FDSAUDITLINK__" hidden="1">{"fdsup://IBCentral/FAT Viewer?action=UPDATE&amp;creator=factset&amp;DOC_NAME=fat:reuters_qtrly_source_window.fat&amp;display_string=Audit&amp;DYN_ARGS=TRUE&amp;VAR:ID1=527343&amp;VAR:RCODE=SCSI&amp;VAR:SDATE=20050999&amp;VAR:FREQ=Quarterly&amp;VAR:RELITEM=RP&amp;VAR:CURRENCY=&amp;VAR:CURRSOURCE=EXSH","ARE&amp;VAR:NATFREQ=QUARTERLY&amp;VAR:RFIELD=FINALIZED&amp;VAR:DB_TYPE=&amp;VAR:UNITS=M&amp;window=popup&amp;width=450&amp;height=300&amp;START_MAXIMIZED=FALSE"}</definedName>
    <definedName name="_151__FDSAUDITLINK__" hidden="1">{"fdsup://IBCentral/FAT Viewer?action=UPDATE&amp;creator=factset&amp;DOC_NAME=fat:reuters_qtrly_source_window.fat&amp;display_string=Audit&amp;DYN_ARGS=TRUE&amp;VAR:ID1=527343&amp;VAR:RCODE=SCSI&amp;VAR:SDATE=20050699&amp;VAR:FREQ=Quarterly&amp;VAR:RELITEM=RP&amp;VAR:CURRENCY=&amp;VAR:CURRSOURCE=EXSH","ARE&amp;VAR:NATFREQ=QUARTERLY&amp;VAR:RFIELD=FINALIZED&amp;VAR:DB_TYPE=&amp;VAR:UNITS=M&amp;window=popup&amp;width=450&amp;height=300&amp;START_MAXIMIZED=FALSE"}</definedName>
    <definedName name="_152__FDSAUDITLINK__" hidden="1">{"fdsup://IBCentral/FAT Viewer?action=UPDATE&amp;creator=factset&amp;DOC_NAME=fat:reuters_qtrly_source_window.fat&amp;display_string=Audit&amp;DYN_ARGS=TRUE&amp;VAR:ID1=527343&amp;VAR:RCODE=SCSI&amp;VAR:SDATE=20050399&amp;VAR:FREQ=Quarterly&amp;VAR:RELITEM=RP&amp;VAR:CURRENCY=&amp;VAR:CURRSOURCE=EXSH","ARE&amp;VAR:NATFREQ=QUARTERLY&amp;VAR:RFIELD=FINALIZED&amp;VAR:DB_TYPE=&amp;VAR:UNITS=M&amp;window=popup&amp;width=450&amp;height=300&amp;START_MAXIMIZED=FALSE"}</definedName>
    <definedName name="_153__FDSAUDITLINK__" hidden="1">{"fdsup://IBCentral/FAT Viewer?action=UPDATE&amp;creator=factset&amp;DOC_NAME=fat:reuters_qtrly_source_window.fat&amp;display_string=Audit&amp;DYN_ARGS=TRUE&amp;VAR:ID1=527343&amp;VAR:RCODE=SCSI&amp;VAR:SDATE=20041299&amp;VAR:FREQ=Quarterly&amp;VAR:RELITEM=RP&amp;VAR:CURRENCY=&amp;VAR:CURRSOURCE=EXSH","ARE&amp;VAR:NATFREQ=QUARTERLY&amp;VAR:RFIELD=FINALIZED&amp;VAR:DB_TYPE=&amp;VAR:UNITS=M&amp;window=popup&amp;width=450&amp;height=300&amp;START_MAXIMIZED=FALSE"}</definedName>
    <definedName name="_154__FDSAUDITLINK__" hidden="1">{"fdsup://IBCentral/FAT Viewer?action=UPDATE&amp;creator=factset&amp;DOC_NAME=fat:reuters_qtrly_source_window.fat&amp;display_string=Audit&amp;DYN_ARGS=TRUE&amp;VAR:ID1=527343&amp;VAR:RCODE=SCSI&amp;VAR:SDATE=20040999&amp;VAR:FREQ=Quarterly&amp;VAR:RELITEM=RP&amp;VAR:CURRENCY=&amp;VAR:CURRSOURCE=EXSH","ARE&amp;VAR:NATFREQ=QUARTERLY&amp;VAR:RFIELD=FINALIZED&amp;VAR:DB_TYPE=&amp;VAR:UNITS=M&amp;window=popup&amp;width=450&amp;height=300&amp;START_MAXIMIZED=FALSE"}</definedName>
    <definedName name="_155__FDSAUDITLINK__" hidden="1">{"fdsup://IBCentral/FAT Viewer?action=UPDATE&amp;creator=factset&amp;DOC_NAME=fat:reuters_qtrly_source_window.fat&amp;display_string=Audit&amp;DYN_ARGS=TRUE&amp;VAR:ID1=527343&amp;VAR:RCODE=SCSI&amp;VAR:SDATE=20040699&amp;VAR:FREQ=Quarterly&amp;VAR:RELITEM=RP&amp;VAR:CURRENCY=&amp;VAR:CURRSOURCE=EXSH","ARE&amp;VAR:NATFREQ=QUARTERLY&amp;VAR:RFIELD=FINALIZED&amp;VAR:DB_TYPE=&amp;VAR:UNITS=M&amp;window=popup&amp;width=450&amp;height=300&amp;START_MAXIMIZED=FALSE"}</definedName>
    <definedName name="_156__FDSAUDITLINK__" hidden="1">{"fdsup://IBCentral/FAT Viewer?action=UPDATE&amp;creator=factset&amp;DOC_NAME=fat:reuters_qtrly_source_window.fat&amp;display_string=Audit&amp;DYN_ARGS=TRUE&amp;VAR:ID1=527343&amp;VAR:RCODE=SCSI&amp;VAR:SDATE=20040399&amp;VAR:FREQ=Quarterly&amp;VAR:RELITEM=RP&amp;VAR:CURRENCY=&amp;VAR:CURRSOURCE=EXSH","ARE&amp;VAR:NATFREQ=QUARTERLY&amp;VAR:RFIELD=FINALIZED&amp;VAR:DB_TYPE=&amp;VAR:UNITS=M&amp;window=popup&amp;width=450&amp;height=300&amp;START_MAXIMIZED=FALSE"}</definedName>
    <definedName name="_157__FDSAUDITLINK__" hidden="1">{"fdsup://IBCentral/FAT Viewer?action=UPDATE&amp;creator=factset&amp;DOC_NAME=fat:reuters_qtrly_source_window.fat&amp;display_string=Audit&amp;DYN_ARGS=TRUE&amp;VAR:ID1=527343&amp;VAR:RCODE=SCSI&amp;VAR:SDATE=20031299&amp;VAR:FREQ=Quarterly&amp;VAR:RELITEM=RP&amp;VAR:CURRENCY=&amp;VAR:CURRSOURCE=EXSH","ARE&amp;VAR:NATFREQ=QUARTERLY&amp;VAR:RFIELD=FINALIZED&amp;VAR:DB_TYPE=&amp;VAR:UNITS=M&amp;window=popup&amp;width=450&amp;height=300&amp;START_MAXIMIZED=FALSE"}</definedName>
    <definedName name="_158__FDSAUDITLINK__" hidden="1">{"fdsup://IBCentral/FAT Viewer?action=UPDATE&amp;creator=factset&amp;DOC_NAME=fat:reuters_qtrly_source_window.fat&amp;display_string=Audit&amp;DYN_ARGS=TRUE&amp;VAR:ID1=527343&amp;VAR:RCODE=SCSI&amp;VAR:SDATE=20030999&amp;VAR:FREQ=Quarterly&amp;VAR:RELITEM=RP&amp;VAR:CURRENCY=&amp;VAR:CURRSOURCE=EXSH","ARE&amp;VAR:NATFREQ=QUARTERLY&amp;VAR:RFIELD=FINALIZED&amp;VAR:DB_TYPE=&amp;VAR:UNITS=M&amp;window=popup&amp;width=450&amp;height=300&amp;START_MAXIMIZED=FALSE"}</definedName>
    <definedName name="_159__FDSAUDITLINK__" hidden="1">{"fdsup://IBCentral/FAT Viewer?action=UPDATE&amp;creator=factset&amp;DOC_NAME=fat:reuters_qtrly_source_window.fat&amp;display_string=Audit&amp;DYN_ARGS=TRUE&amp;VAR:ID1=527343&amp;VAR:RCODE=SCSI&amp;VAR:SDATE=20030699&amp;VAR:FREQ=Quarterly&amp;VAR:RELITEM=RP&amp;VAR:CURRENCY=&amp;VAR:CURRSOURCE=EXSH","ARE&amp;VAR:NATFREQ=QUARTERLY&amp;VAR:RFIELD=FINALIZED&amp;VAR:DB_TYPE=&amp;VAR:UNITS=M&amp;window=popup&amp;width=450&amp;height=300&amp;START_MAXIMIZED=FALSE"}</definedName>
    <definedName name="_16__123Graph_ACHART_30" hidden="1">[9]Menu!$D$11:$M$11</definedName>
    <definedName name="_16__123Graph_LBL_BMKT_YTD" hidden="1">[5]SALES!#REF!</definedName>
    <definedName name="_16__FDSAUDITLINK__" hidden="1">{"fdsup://IBCentral/FAT Viewer?action=UPDATE&amp;creator=factset&amp;DOC_NAME=fat:reuters_qtrly_source_window.fat&amp;display_string=Audit&amp;DYN_ARGS=TRUE&amp;VAR:ID1=527343&amp;VAR:RCODE=LMIN&amp;VAR:SDATE=20061299&amp;VAR:FREQ=Quarterly&amp;VAR:RELITEM=RP&amp;VAR:CURRENCY=&amp;VAR:CURRSOURCE=EXSH","ARE&amp;VAR:NATFREQ=QUARTERLY&amp;VAR:RFIELD=FINALIZED&amp;VAR:DB_TYPE=&amp;VAR:UNITS=M&amp;window=popup&amp;width=450&amp;height=300&amp;START_MAXIMIZED=FALSE"}</definedName>
    <definedName name="_160__FDSAUDITLINK__" hidden="1">{"fdsup://IBCentral/FAT Viewer?action=UPDATE&amp;creator=factset&amp;DOC_NAME=fat:reuters_qtrly_source_window.fat&amp;display_string=Audit&amp;DYN_ARGS=TRUE&amp;VAR:ID1=527343&amp;VAR:RCODE=SCSI&amp;VAR:SDATE=20030399&amp;VAR:FREQ=Quarterly&amp;VAR:RELITEM=RP&amp;VAR:CURRENCY=&amp;VAR:CURRSOURCE=EXSH","ARE&amp;VAR:NATFREQ=QUARTERLY&amp;VAR:RFIELD=FINALIZED&amp;VAR:DB_TYPE=&amp;VAR:UNITS=M&amp;window=popup&amp;width=450&amp;height=300&amp;START_MAXIMIZED=FALSE"}</definedName>
    <definedName name="_161__FDSAUDITLINK__" hidden="1">{"fdsup://IBCentral/FAT Viewer?action=UPDATE&amp;creator=factset&amp;DOC_NAME=fat:reuters_qtrly_source_window.fat&amp;display_string=Audit&amp;DYN_ARGS=TRUE&amp;VAR:ID1=527343&amp;VAR:RCODE=SCSI&amp;VAR:SDATE=20021299&amp;VAR:FREQ=Quarterly&amp;VAR:RELITEM=RP&amp;VAR:CURRENCY=&amp;VAR:CURRSOURCE=EXSH","ARE&amp;VAR:NATFREQ=QUARTERLY&amp;VAR:RFIELD=FINALIZED&amp;VAR:DB_TYPE=&amp;VAR:UNITS=M&amp;window=popup&amp;width=450&amp;height=300&amp;START_MAXIMIZED=FALSE"}</definedName>
    <definedName name="_162__FDSAUDITLINK__" hidden="1">{"fdsup://IBCentral/FAT Viewer?action=UPDATE&amp;creator=factset&amp;DOC_NAME=fat:reuters_qtrly_source_window.fat&amp;display_string=Audit&amp;DYN_ARGS=TRUE&amp;VAR:ID1=527343&amp;VAR:RCODE=SCSI&amp;VAR:SDATE=20020999&amp;VAR:FREQ=Quarterly&amp;VAR:RELITEM=RP&amp;VAR:CURRENCY=&amp;VAR:CURRSOURCE=EXSH","ARE&amp;VAR:NATFREQ=QUARTERLY&amp;VAR:RFIELD=FINALIZED&amp;VAR:DB_TYPE=&amp;VAR:UNITS=M&amp;window=popup&amp;width=450&amp;height=300&amp;START_MAXIMIZED=FALSE"}</definedName>
    <definedName name="_163__FDSAUDITLINK__" hidden="1">{"fdsup://IBCentral/FAT Viewer?action=UPDATE&amp;creator=factset&amp;DOC_NAME=fat:reuters_qtrly_source_window.fat&amp;display_string=Audit&amp;DYN_ARGS=TRUE&amp;VAR:ID1=527343&amp;VAR:RCODE=SCSI&amp;VAR:SDATE=20020699&amp;VAR:FREQ=Quarterly&amp;VAR:RELITEM=RP&amp;VAR:CURRENCY=&amp;VAR:CURRSOURCE=EXSH","ARE&amp;VAR:NATFREQ=QUARTERLY&amp;VAR:RFIELD=FINALIZED&amp;VAR:DB_TYPE=&amp;VAR:UNITS=M&amp;window=popup&amp;width=450&amp;height=300&amp;START_MAXIMIZED=FALSE"}</definedName>
    <definedName name="_164__FDSAUDITLINK__" hidden="1">{"fdsup://IBCentral/FAT Viewer?action=UPDATE&amp;creator=factset&amp;DOC_NAME=fat:reuters_qtrly_source_window.fat&amp;display_string=Audit&amp;DYN_ARGS=TRUE&amp;VAR:ID1=527343&amp;VAR:RCODE=SCSI&amp;VAR:SDATE=20020399&amp;VAR:FREQ=Quarterly&amp;VAR:RELITEM=RP&amp;VAR:CURRENCY=&amp;VAR:CURRSOURCE=EXSH","ARE&amp;VAR:NATFREQ=QUARTERLY&amp;VAR:RFIELD=FINALIZED&amp;VAR:DB_TYPE=&amp;VAR:UNITS=M&amp;window=popup&amp;width=450&amp;height=300&amp;START_MAXIMIZED=FALSE"}</definedName>
    <definedName name="_165__FDSAUDITLINK__" hidden="1">{"fdsup://IBCentral/FAT Viewer?action=UPDATE&amp;creator=factset&amp;DOC_NAME=fat:reuters_qtrly_source_window.fat&amp;display_string=Audit&amp;DYN_ARGS=TRUE&amp;VAR:ID1=527343&amp;VAR:RCODE=SCSI&amp;VAR:SDATE=20011299&amp;VAR:FREQ=Quarterly&amp;VAR:RELITEM=RP&amp;VAR:CURRENCY=&amp;VAR:CURRSOURCE=EXSH","ARE&amp;VAR:NATFREQ=QUARTERLY&amp;VAR:RFIELD=FINALIZED&amp;VAR:DB_TYPE=&amp;VAR:UNITS=M&amp;window=popup&amp;width=450&amp;height=300&amp;START_MAXIMIZED=FALSE"}</definedName>
    <definedName name="_166__FDSAUDITLINK__" hidden="1">{"fdsup://IBCentral/FAT Viewer?action=UPDATE&amp;creator=factset&amp;DOC_NAME=fat:reuters_qtrly_source_window.fat&amp;display_string=Audit&amp;DYN_ARGS=TRUE&amp;VAR:ID1=527343&amp;VAR:RCODE=SCSI&amp;VAR:SDATE=20010999&amp;VAR:FREQ=Quarterly&amp;VAR:RELITEM=RP&amp;VAR:CURRENCY=&amp;VAR:CURRSOURCE=EXSH","ARE&amp;VAR:NATFREQ=QUARTERLY&amp;VAR:RFIELD=FINALIZED&amp;VAR:DB_TYPE=&amp;VAR:UNITS=M&amp;window=popup&amp;width=450&amp;height=300&amp;START_MAXIMIZED=FALSE"}</definedName>
    <definedName name="_167__FDSAUDITLINK__" hidden="1">{"fdsup://IBCentral/FAT Viewer?action=UPDATE&amp;creator=factset&amp;DOC_NAME=fat:reuters_qtrly_source_window.fat&amp;display_string=Audit&amp;DYN_ARGS=TRUE&amp;VAR:ID1=527343&amp;VAR:RCODE=SCSI&amp;VAR:SDATE=20010699&amp;VAR:FREQ=Quarterly&amp;VAR:RELITEM=RP&amp;VAR:CURRENCY=&amp;VAR:CURRSOURCE=EXSH","ARE&amp;VAR:NATFREQ=QUARTERLY&amp;VAR:RFIELD=FINALIZED&amp;VAR:DB_TYPE=&amp;VAR:UNITS=M&amp;window=popup&amp;width=450&amp;height=300&amp;START_MAXIMIZED=FALSE"}</definedName>
    <definedName name="_168__FDSAUDITLINK__" hidden="1">{"fdsup://IBCentral/FAT Viewer?action=UPDATE&amp;creator=factset&amp;DOC_NAME=fat:reuters_qtrly_source_window.fat&amp;display_string=Audit&amp;DYN_ARGS=TRUE&amp;VAR:ID1=527343&amp;VAR:RCODE=SCSI&amp;VAR:SDATE=20010399&amp;VAR:FREQ=Quarterly&amp;VAR:RELITEM=RP&amp;VAR:CURRENCY=&amp;VAR:CURRSOURCE=EXSH","ARE&amp;VAR:NATFREQ=QUARTERLY&amp;VAR:RFIELD=FINALIZED&amp;VAR:DB_TYPE=&amp;VAR:UNITS=M&amp;window=popup&amp;width=450&amp;height=300&amp;START_MAXIMIZED=FALSE"}</definedName>
    <definedName name="_169__FDSAUDITLINK__" hidden="1">{"fdsup://IBCentral/FAT Viewer?action=UPDATE&amp;creator=factset&amp;DOC_NAME=fat:reuters_qtrly_source_window.fat&amp;display_string=Audit&amp;DYN_ARGS=TRUE&amp;VAR:ID1=527343&amp;VAR:RCODE=SCSI&amp;VAR:SDATE=20001299&amp;VAR:FREQ=Quarterly&amp;VAR:RELITEM=RP&amp;VAR:CURRENCY=&amp;VAR:CURRSOURCE=EXSH","ARE&amp;VAR:NATFREQ=QUARTERLY&amp;VAR:RFIELD=FINALIZED&amp;VAR:DB_TYPE=&amp;VAR:UNITS=M&amp;window=popup&amp;width=450&amp;height=300&amp;START_MAXIMIZED=FALSE"}</definedName>
    <definedName name="_17__123Graph_AGROSS_MARGINS" hidden="1">#REF!</definedName>
    <definedName name="_17__FDSAUDITLINK__" hidden="1">{"fdsup://IBCentral/FAT Viewer?action=UPDATE&amp;creator=factset&amp;DOC_NAME=fat:reuters_qtrly_source_window.fat&amp;display_string=Audit&amp;DYN_ARGS=TRUE&amp;VAR:ID1=527343&amp;VAR:RCODE=LMIN&amp;VAR:SDATE=20060999&amp;VAR:FREQ=Quarterly&amp;VAR:RELITEM=RP&amp;VAR:CURRENCY=&amp;VAR:CURRSOURCE=EXSH","ARE&amp;VAR:NATFREQ=QUARTERLY&amp;VAR:RFIELD=FINALIZED&amp;VAR:DB_TYPE=&amp;VAR:UNITS=M&amp;window=popup&amp;width=450&amp;height=300&amp;START_MAXIMIZED=FALSE"}</definedName>
    <definedName name="_170__FDSAUDITLINK__" hidden="1">{"fdsup://IBCentral/FAT Viewer?action=UPDATE&amp;creator=factset&amp;DOC_NAME=fat:reuters_qtrly_source_window.fat&amp;display_string=Audit&amp;DYN_ARGS=TRUE&amp;VAR:ID1=527343&amp;VAR:RCODE=SCSI&amp;VAR:SDATE=20000999&amp;VAR:FREQ=Quarterly&amp;VAR:RELITEM=RP&amp;VAR:CURRENCY=&amp;VAR:CURRSOURCE=EXSH","ARE&amp;VAR:NATFREQ=QUARTERLY&amp;VAR:RFIELD=FINALIZED&amp;VAR:DB_TYPE=&amp;VAR:UNITS=M&amp;window=popup&amp;width=450&amp;height=300&amp;START_MAXIMIZED=FALSE"}</definedName>
    <definedName name="_171__FDSAUDITLINK__" hidden="1">{"fdsup://IBCentral/FAT Viewer?action=UPDATE&amp;creator=factset&amp;DOC_NAME=fat:reuters_qtrly_source_window.fat&amp;display_string=Audit&amp;DYN_ARGS=TRUE&amp;VAR:ID1=527343&amp;VAR:RCODE=SCSI&amp;VAR:SDATE=20000699&amp;VAR:FREQ=Quarterly&amp;VAR:RELITEM=RP&amp;VAR:CURRENCY=&amp;VAR:CURRSOURCE=EXSH","ARE&amp;VAR:NATFREQ=QUARTERLY&amp;VAR:RFIELD=FINALIZED&amp;VAR:DB_TYPE=&amp;VAR:UNITS=M&amp;window=popup&amp;width=450&amp;height=300&amp;START_MAXIMIZED=FALSE"}</definedName>
    <definedName name="_172__FDSAUDITLINK__" hidden="1">{"fdsup://IBCentral/FAT Viewer?action=UPDATE&amp;creator=factset&amp;DOC_NAME=fat:reuters_qtrly_source_window.fat&amp;display_string=Audit&amp;DYN_ARGS=TRUE&amp;VAR:ID1=527343&amp;VAR:RCODE=SCSI&amp;VAR:SDATE=20000399&amp;VAR:FREQ=Quarterly&amp;VAR:RELITEM=RP&amp;VAR:CURRENCY=&amp;VAR:CURRSOURCE=EXSH","ARE&amp;VAR:NATFREQ=QUARTERLY&amp;VAR:RFIELD=FINALIZED&amp;VAR:DB_TYPE=&amp;VAR:UNITS=M&amp;window=popup&amp;width=450&amp;height=300&amp;START_MAXIMIZED=FALSE"}</definedName>
    <definedName name="_173__FDSAUDITLINK__" hidden="1">{"fdsup://IBCentral/FAT Viewer?action=UPDATE&amp;creator=factset&amp;DOC_NAME=fat:reuters_qtrly_source_window.fat&amp;display_string=Audit&amp;DYN_ARGS=TRUE&amp;VAR:ID1=527343&amp;VAR:RCODE=LMIN&amp;VAR:SDATE=20101299&amp;VAR:FREQ=Quarterly&amp;VAR:RELITEM=RP&amp;VAR:CURRENCY=&amp;VAR:CURRSOURCE=EXSH","ARE&amp;VAR:NATFREQ=QUARTERLY&amp;VAR:RFIELD=FINALIZED&amp;VAR:DB_TYPE=&amp;VAR:UNITS=M&amp;window=popup&amp;width=450&amp;height=300&amp;START_MAXIMIZED=FALSE"}</definedName>
    <definedName name="_174__FDSAUDITLINK__" hidden="1">{"fdsup://IBCentral/FAT Viewer?action=UPDATE&amp;creator=factset&amp;DOC_NAME=fat:reuters_qtrly_source_window.fat&amp;display_string=Audit&amp;DYN_ARGS=TRUE&amp;VAR:ID1=527343&amp;VAR:RCODE=LTTD&amp;VAR:SDATE=20101299&amp;VAR:FREQ=Quarterly&amp;VAR:RELITEM=RP&amp;VAR:CURRENCY=&amp;VAR:CURRSOURCE=EXSH","ARE&amp;VAR:NATFREQ=QUARTERLY&amp;VAR:RFIELD=FINALIZED&amp;VAR:DB_TYPE=&amp;VAR:UNITS=M&amp;window=popup&amp;width=450&amp;height=300&amp;START_MAXIMIZED=FALSE"}</definedName>
    <definedName name="_175__FDSAUDITLINK__" hidden="1">{"fdsup://IBCentral/FAT Viewer?action=UPDATE&amp;creator=factset&amp;DOC_NAME=fat:reuters_qtrly_source_window.fat&amp;display_string=Audit&amp;DYN_ARGS=TRUE&amp;VAR:ID1=527343&amp;VAR:RCODE=DSTT&amp;VAR:SDATE=20101299&amp;VAR:FREQ=Quarterly&amp;VAR:RELITEM=RP&amp;VAR:CURRENCY=&amp;VAR:CURRSOURCE=EXSH","ARE&amp;VAR:NATFREQ=QUARTERLY&amp;VAR:RFIELD=FINALIZED&amp;VAR:DB_TYPE=&amp;VAR:UNITS=M&amp;window=popup&amp;width=450&amp;height=300&amp;START_MAXIMIZED=FALSE"}</definedName>
    <definedName name="_176__FDSAUDITLINK__" hidden="1">{"fdsup://IBCentral/FAT Viewer?action=UPDATE&amp;creator=factset&amp;DOC_NAME=fat:reuters_qtrly_source_window.fat&amp;display_string=Audit&amp;DYN_ARGS=TRUE&amp;VAR:ID1=527343&amp;VAR:RCODE=SCSI&amp;VAR:SDATE=20101299&amp;VAR:FREQ=Quarterly&amp;VAR:RELITEM=RP&amp;VAR:CURRENCY=&amp;VAR:CURRSOURCE=EXSH","ARE&amp;VAR:NATFREQ=QUARTERLY&amp;VAR:RFIELD=FINALIZED&amp;VAR:DB_TYPE=&amp;VAR:UNITS=M&amp;window=popup&amp;width=450&amp;height=300&amp;START_MAXIMIZED=FALSE"}</definedName>
    <definedName name="_177__FDSAUDITLINK__" hidden="1">{"fdsup://IBCentral/FAT Viewer?action=UPDATE&amp;creator=factset&amp;DOC_NAME=fat:reuters_qtrly_source_window.fat&amp;display_string=Audit&amp;DYN_ARGS=TRUE&amp;VAR:ID1=527343&amp;VAR:RCODE=LMIN&amp;VAR:SDATE=20090999&amp;VAR:FREQ=Quarterly&amp;VAR:RELITEM=RP&amp;VAR:CURRENCY=&amp;VAR:CURRSOURCE=EXSH","ARE&amp;VAR:NATFREQ=QUARTERLY&amp;VAR:RFIELD=FINALIZED&amp;VAR:DB_TYPE=&amp;VAR:UNITS=M&amp;window=popup&amp;width=450&amp;height=300&amp;START_MAXIMIZED=FALSE"}</definedName>
    <definedName name="_178__FDSAUDITLINK__" hidden="1">{"fdsup://IBCentral/FAT Viewer?action=UPDATE&amp;creator=factset&amp;DOC_NAME=fat:reuters_qtrly_source_window.fat&amp;display_string=Audit&amp;DYN_ARGS=TRUE&amp;VAR:ID1=527343&amp;VAR:RCODE=LMIN&amp;VAR:SDATE=20090699&amp;VAR:FREQ=Quarterly&amp;VAR:RELITEM=RP&amp;VAR:CURRENCY=&amp;VAR:CURRSOURCE=EXSH","ARE&amp;VAR:NATFREQ=QUARTERLY&amp;VAR:RFIELD=FINALIZED&amp;VAR:DB_TYPE=&amp;VAR:UNITS=M&amp;window=popup&amp;width=450&amp;height=300&amp;START_MAXIMIZED=FALSE"}</definedName>
    <definedName name="_179__FDSAUDITLINK__" hidden="1">{"fdsup://IBCentral/FAT Viewer?action=UPDATE&amp;creator=factset&amp;DOC_NAME=fat:reuters_qtrly_source_window.fat&amp;display_string=Audit&amp;DYN_ARGS=TRUE&amp;VAR:ID1=527343&amp;VAR:RCODE=LMIN&amp;VAR:SDATE=20090399&amp;VAR:FREQ=Quarterly&amp;VAR:RELITEM=RP&amp;VAR:CURRENCY=&amp;VAR:CURRSOURCE=EXSH","ARE&amp;VAR:NATFREQ=QUARTERLY&amp;VAR:RFIELD=FINALIZED&amp;VAR:DB_TYPE=&amp;VAR:UNITS=M&amp;window=popup&amp;width=450&amp;height=300&amp;START_MAXIMIZED=FALSE"}</definedName>
    <definedName name="_18__123Graph_AGROWTH_REVS_A" hidden="1">#REF!</definedName>
    <definedName name="_18__123Graph_XMKT_MONTH" hidden="1">[5]SALES!#REF!</definedName>
    <definedName name="_18__FDSAUDITLINK__" hidden="1">{"fdsup://IBCentral/FAT Viewer?action=UPDATE&amp;creator=factset&amp;DOC_NAME=fat:reuters_qtrly_source_window.fat&amp;display_string=Audit&amp;DYN_ARGS=TRUE&amp;VAR:ID1=527343&amp;VAR:RCODE=LMIN&amp;VAR:SDATE=20060699&amp;VAR:FREQ=Quarterly&amp;VAR:RELITEM=RP&amp;VAR:CURRENCY=&amp;VAR:CURRSOURCE=EXSH","ARE&amp;VAR:NATFREQ=QUARTERLY&amp;VAR:RFIELD=FINALIZED&amp;VAR:DB_TYPE=&amp;VAR:UNITS=M&amp;window=popup&amp;width=450&amp;height=300&amp;START_MAXIMIZED=FALSE"}</definedName>
    <definedName name="_180__FDSAUDITLINK__" hidden="1">{"fdsup://IBCentral/FAT Viewer?action=UPDATE&amp;creator=factset&amp;DOC_NAME=fat:reuters_qtrly_source_window.fat&amp;display_string=Audit&amp;DYN_ARGS=TRUE&amp;VAR:ID1=527343&amp;VAR:RCODE=LMIN&amp;VAR:SDATE=20081299&amp;VAR:FREQ=Quarterly&amp;VAR:RELITEM=RP&amp;VAR:CURRENCY=&amp;VAR:CURRSOURCE=EXSH","ARE&amp;VAR:NATFREQ=QUARTERLY&amp;VAR:RFIELD=FINALIZED&amp;VAR:DB_TYPE=&amp;VAR:UNITS=M&amp;window=popup&amp;width=450&amp;height=300&amp;START_MAXIMIZED=FALSE"}</definedName>
    <definedName name="_181__FDSAUDITLINK__" hidden="1">{"fdsup://IBCentral/FAT Viewer?action=UPDATE&amp;creator=factset&amp;DOC_NAME=fat:reuters_qtrly_source_window.fat&amp;display_string=Audit&amp;DYN_ARGS=TRUE&amp;VAR:ID1=527343&amp;VAR:RCODE=LMIN&amp;VAR:SDATE=20080999&amp;VAR:FREQ=Quarterly&amp;VAR:RELITEM=RP&amp;VAR:CURRENCY=&amp;VAR:CURRSOURCE=EXSH","ARE&amp;VAR:NATFREQ=QUARTERLY&amp;VAR:RFIELD=FINALIZED&amp;VAR:DB_TYPE=&amp;VAR:UNITS=M&amp;window=popup&amp;width=450&amp;height=300&amp;START_MAXIMIZED=FALSE"}</definedName>
    <definedName name="_182__FDSAUDITLINK__" hidden="1">{"fdsup://IBCentral/FAT Viewer?action=UPDATE&amp;creator=factset&amp;DOC_NAME=fat:reuters_qtrly_source_window.fat&amp;display_string=Audit&amp;DYN_ARGS=TRUE&amp;VAR:ID1=527343&amp;VAR:RCODE=LMIN&amp;VAR:SDATE=20080699&amp;VAR:FREQ=Quarterly&amp;VAR:RELITEM=RP&amp;VAR:CURRENCY=&amp;VAR:CURRSOURCE=EXSH","ARE&amp;VAR:NATFREQ=QUARTERLY&amp;VAR:RFIELD=FINALIZED&amp;VAR:DB_TYPE=&amp;VAR:UNITS=M&amp;window=popup&amp;width=450&amp;height=300&amp;START_MAXIMIZED=FALSE"}</definedName>
    <definedName name="_183__FDSAUDITLINK__" hidden="1">{"fdsup://IBCentral/FAT Viewer?action=UPDATE&amp;creator=factset&amp;DOC_NAME=fat:reuters_qtrly_source_window.fat&amp;display_string=Audit&amp;DYN_ARGS=TRUE&amp;VAR:ID1=527343&amp;VAR:RCODE=LMIN&amp;VAR:SDATE=20080399&amp;VAR:FREQ=Quarterly&amp;VAR:RELITEM=RP&amp;VAR:CURRENCY=&amp;VAR:CURRSOURCE=EXSH","ARE&amp;VAR:NATFREQ=QUARTERLY&amp;VAR:RFIELD=FINALIZED&amp;VAR:DB_TYPE=&amp;VAR:UNITS=M&amp;window=popup&amp;width=450&amp;height=300&amp;START_MAXIMIZED=FALSE"}</definedName>
    <definedName name="_184__FDSAUDITLINK__" hidden="1">{"fdsup://IBCentral/FAT Viewer?action=UPDATE&amp;creator=factset&amp;DOC_NAME=fat:reuters_qtrly_source_window.fat&amp;display_string=Audit&amp;DYN_ARGS=TRUE&amp;VAR:ID1=527343&amp;VAR:RCODE=LMIN&amp;VAR:SDATE=20071299&amp;VAR:FREQ=Quarterly&amp;VAR:RELITEM=RP&amp;VAR:CURRENCY=&amp;VAR:CURRSOURCE=EXSH","ARE&amp;VAR:NATFREQ=QUARTERLY&amp;VAR:RFIELD=FINALIZED&amp;VAR:DB_TYPE=&amp;VAR:UNITS=M&amp;window=popup&amp;width=450&amp;height=300&amp;START_MAXIMIZED=FALSE"}</definedName>
    <definedName name="_185__FDSAUDITLINK__" hidden="1">{"fdsup://IBCentral/FAT Viewer?action=UPDATE&amp;creator=factset&amp;DOC_NAME=fat:reuters_qtrly_source_window.fat&amp;display_string=Audit&amp;DYN_ARGS=TRUE&amp;VAR:ID1=527343&amp;VAR:RCODE=LMIN&amp;VAR:SDATE=20070999&amp;VAR:FREQ=Quarterly&amp;VAR:RELITEM=RP&amp;VAR:CURRENCY=&amp;VAR:CURRSOURCE=EXSH","ARE&amp;VAR:NATFREQ=QUARTERLY&amp;VAR:RFIELD=FINALIZED&amp;VAR:DB_TYPE=&amp;VAR:UNITS=M&amp;window=popup&amp;width=450&amp;height=300&amp;START_MAXIMIZED=FALSE"}</definedName>
    <definedName name="_186__FDSAUDITLINK__" hidden="1">{"fdsup://IBCentral/FAT Viewer?action=UPDATE&amp;creator=factset&amp;DOC_NAME=fat:reuters_qtrly_source_window.fat&amp;display_string=Audit&amp;DYN_ARGS=TRUE&amp;VAR:ID1=527343&amp;VAR:RCODE=LMIN&amp;VAR:SDATE=20070699&amp;VAR:FREQ=Quarterly&amp;VAR:RELITEM=RP&amp;VAR:CURRENCY=&amp;VAR:CURRSOURCE=EXSH","ARE&amp;VAR:NATFREQ=QUARTERLY&amp;VAR:RFIELD=FINALIZED&amp;VAR:DB_TYPE=&amp;VAR:UNITS=M&amp;window=popup&amp;width=450&amp;height=300&amp;START_MAXIMIZED=FALSE"}</definedName>
    <definedName name="_187__FDSAUDITLINK__" hidden="1">{"fdsup://IBCentral/FAT Viewer?action=UPDATE&amp;creator=factset&amp;DOC_NAME=fat:reuters_qtrly_source_window.fat&amp;display_string=Audit&amp;DYN_ARGS=TRUE&amp;VAR:ID1=527343&amp;VAR:RCODE=LMIN&amp;VAR:SDATE=20070399&amp;VAR:FREQ=Quarterly&amp;VAR:RELITEM=RP&amp;VAR:CURRENCY=&amp;VAR:CURRSOURCE=EXSH","ARE&amp;VAR:NATFREQ=QUARTERLY&amp;VAR:RFIELD=FINALIZED&amp;VAR:DB_TYPE=&amp;VAR:UNITS=M&amp;window=popup&amp;width=450&amp;height=300&amp;START_MAXIMIZED=FALSE"}</definedName>
    <definedName name="_188__FDSAUDITLINK__" hidden="1">{"fdsup://IBCentral/FAT Viewer?action=UPDATE&amp;creator=factset&amp;DOC_NAME=fat:reuters_qtrly_source_window.fat&amp;display_string=Audit&amp;DYN_ARGS=TRUE&amp;VAR:ID1=527343&amp;VAR:RCODE=LMIN&amp;VAR:SDATE=20061299&amp;VAR:FREQ=Quarterly&amp;VAR:RELITEM=RP&amp;VAR:CURRENCY=&amp;VAR:CURRSOURCE=EXSH","ARE&amp;VAR:NATFREQ=QUARTERLY&amp;VAR:RFIELD=FINALIZED&amp;VAR:DB_TYPE=&amp;VAR:UNITS=M&amp;window=popup&amp;width=450&amp;height=300&amp;START_MAXIMIZED=FALSE"}</definedName>
    <definedName name="_189__FDSAUDITLINK__" hidden="1">{"fdsup://IBCentral/FAT Viewer?action=UPDATE&amp;creator=factset&amp;DOC_NAME=fat:reuters_qtrly_source_window.fat&amp;display_string=Audit&amp;DYN_ARGS=TRUE&amp;VAR:ID1=527343&amp;VAR:RCODE=LMIN&amp;VAR:SDATE=20060999&amp;VAR:FREQ=Quarterly&amp;VAR:RELITEM=RP&amp;VAR:CURRENCY=&amp;VAR:CURRSOURCE=EXSH","ARE&amp;VAR:NATFREQ=QUARTERLY&amp;VAR:RFIELD=FINALIZED&amp;VAR:DB_TYPE=&amp;VAR:UNITS=M&amp;window=popup&amp;width=450&amp;height=300&amp;START_MAXIMIZED=FALSE"}</definedName>
    <definedName name="_19__123Graph_AGROWTH_REVS_B" hidden="1">#REF!</definedName>
    <definedName name="_19__FDSAUDITLINK__" hidden="1">{"fdsup://IBCentral/FAT Viewer?action=UPDATE&amp;creator=factset&amp;DOC_NAME=fat:reuters_qtrly_source_window.fat&amp;display_string=Audit&amp;DYN_ARGS=TRUE&amp;VAR:ID1=527343&amp;VAR:RCODE=LMIN&amp;VAR:SDATE=20060399&amp;VAR:FREQ=Quarterly&amp;VAR:RELITEM=RP&amp;VAR:CURRENCY=&amp;VAR:CURRSOURCE=EXSH","ARE&amp;VAR:NATFREQ=QUARTERLY&amp;VAR:RFIELD=FINALIZED&amp;VAR:DB_TYPE=&amp;VAR:UNITS=M&amp;window=popup&amp;width=450&amp;height=300&amp;START_MAXIMIZED=FALSE"}</definedName>
    <definedName name="_190__FDSAUDITLINK__" hidden="1">{"fdsup://IBCentral/FAT Viewer?action=UPDATE&amp;creator=factset&amp;DOC_NAME=fat:reuters_qtrly_source_window.fat&amp;display_string=Audit&amp;DYN_ARGS=TRUE&amp;VAR:ID1=527343&amp;VAR:RCODE=LMIN&amp;VAR:SDATE=20060699&amp;VAR:FREQ=Quarterly&amp;VAR:RELITEM=RP&amp;VAR:CURRENCY=&amp;VAR:CURRSOURCE=EXSH","ARE&amp;VAR:NATFREQ=QUARTERLY&amp;VAR:RFIELD=FINALIZED&amp;VAR:DB_TYPE=&amp;VAR:UNITS=M&amp;window=popup&amp;width=450&amp;height=300&amp;START_MAXIMIZED=FALSE"}</definedName>
    <definedName name="_191__FDSAUDITLINK__" hidden="1">{"fdsup://IBCentral/FAT Viewer?action=UPDATE&amp;creator=factset&amp;DOC_NAME=fat:reuters_qtrly_source_window.fat&amp;display_string=Audit&amp;DYN_ARGS=TRUE&amp;VAR:ID1=527343&amp;VAR:RCODE=LMIN&amp;VAR:SDATE=20060399&amp;VAR:FREQ=Quarterly&amp;VAR:RELITEM=RP&amp;VAR:CURRENCY=&amp;VAR:CURRSOURCE=EXSH","ARE&amp;VAR:NATFREQ=QUARTERLY&amp;VAR:RFIELD=FINALIZED&amp;VAR:DB_TYPE=&amp;VAR:UNITS=M&amp;window=popup&amp;width=450&amp;height=300&amp;START_MAXIMIZED=FALSE"}</definedName>
    <definedName name="_192__FDSAUDITLINK__" hidden="1">{"fdsup://IBCentral/FAT Viewer?action=UPDATE&amp;creator=factset&amp;DOC_NAME=fat:reuters_qtrly_source_window.fat&amp;display_string=Audit&amp;DYN_ARGS=TRUE&amp;VAR:ID1=527343&amp;VAR:RCODE=LMIN&amp;VAR:SDATE=20051299&amp;VAR:FREQ=Quarterly&amp;VAR:RELITEM=RP&amp;VAR:CURRENCY=&amp;VAR:CURRSOURCE=EXSH","ARE&amp;VAR:NATFREQ=QUARTERLY&amp;VAR:RFIELD=FINALIZED&amp;VAR:DB_TYPE=&amp;VAR:UNITS=M&amp;window=popup&amp;width=450&amp;height=300&amp;START_MAXIMIZED=FALSE"}</definedName>
    <definedName name="_193__FDSAUDITLINK__" hidden="1">{"fdsup://IBCentral/FAT Viewer?action=UPDATE&amp;creator=factset&amp;DOC_NAME=fat:reuters_qtrly_source_window.fat&amp;display_string=Audit&amp;DYN_ARGS=TRUE&amp;VAR:ID1=527343&amp;VAR:RCODE=LMIN&amp;VAR:SDATE=20050999&amp;VAR:FREQ=Quarterly&amp;VAR:RELITEM=RP&amp;VAR:CURRENCY=&amp;VAR:CURRSOURCE=EXSH","ARE&amp;VAR:NATFREQ=QUARTERLY&amp;VAR:RFIELD=FINALIZED&amp;VAR:DB_TYPE=&amp;VAR:UNITS=M&amp;window=popup&amp;width=450&amp;height=300&amp;START_MAXIMIZED=FALSE"}</definedName>
    <definedName name="_194__FDSAUDITLINK__" hidden="1">{"fdsup://IBCentral/FAT Viewer?action=UPDATE&amp;creator=factset&amp;DOC_NAME=fat:reuters_qtrly_source_window.fat&amp;display_string=Audit&amp;DYN_ARGS=TRUE&amp;VAR:ID1=527343&amp;VAR:RCODE=LMIN&amp;VAR:SDATE=20050699&amp;VAR:FREQ=Quarterly&amp;VAR:RELITEM=RP&amp;VAR:CURRENCY=&amp;VAR:CURRSOURCE=EXSH","ARE&amp;VAR:NATFREQ=QUARTERLY&amp;VAR:RFIELD=FINALIZED&amp;VAR:DB_TYPE=&amp;VAR:UNITS=M&amp;window=popup&amp;width=450&amp;height=300&amp;START_MAXIMIZED=FALSE"}</definedName>
    <definedName name="_195__FDSAUDITLINK__" hidden="1">{"fdsup://IBCentral/FAT Viewer?action=UPDATE&amp;creator=factset&amp;DOC_NAME=fat:reuters_qtrly_source_window.fat&amp;display_string=Audit&amp;DYN_ARGS=TRUE&amp;VAR:ID1=527343&amp;VAR:RCODE=LMIN&amp;VAR:SDATE=20050399&amp;VAR:FREQ=Quarterly&amp;VAR:RELITEM=RP&amp;VAR:CURRENCY=&amp;VAR:CURRSOURCE=EXSH","ARE&amp;VAR:NATFREQ=QUARTERLY&amp;VAR:RFIELD=FINALIZED&amp;VAR:DB_TYPE=&amp;VAR:UNITS=M&amp;window=popup&amp;width=450&amp;height=300&amp;START_MAXIMIZED=FALSE"}</definedName>
    <definedName name="_196__FDSAUDITLINK__" hidden="1">{"fdsup://IBCentral/FAT Viewer?action=UPDATE&amp;creator=factset&amp;DOC_NAME=fat:reuters_qtrly_source_window.fat&amp;display_string=Audit&amp;DYN_ARGS=TRUE&amp;VAR:ID1=527343&amp;VAR:RCODE=LMIN&amp;VAR:SDATE=20041299&amp;VAR:FREQ=Quarterly&amp;VAR:RELITEM=RP&amp;VAR:CURRENCY=&amp;VAR:CURRSOURCE=EXSH","ARE&amp;VAR:NATFREQ=QUARTERLY&amp;VAR:RFIELD=FINALIZED&amp;VAR:DB_TYPE=&amp;VAR:UNITS=M&amp;window=popup&amp;width=450&amp;height=300&amp;START_MAXIMIZED=FALSE"}</definedName>
    <definedName name="_197__FDSAUDITLINK__" hidden="1">{"fdsup://IBCentral/FAT Viewer?action=UPDATE&amp;creator=factset&amp;DOC_NAME=fat:reuters_qtrly_source_window.fat&amp;display_string=Audit&amp;DYN_ARGS=TRUE&amp;VAR:ID1=527343&amp;VAR:RCODE=LMIN&amp;VAR:SDATE=20040999&amp;VAR:FREQ=Quarterly&amp;VAR:RELITEM=RP&amp;VAR:CURRENCY=&amp;VAR:CURRSOURCE=EXSH","ARE&amp;VAR:NATFREQ=QUARTERLY&amp;VAR:RFIELD=FINALIZED&amp;VAR:DB_TYPE=&amp;VAR:UNITS=M&amp;window=popup&amp;width=450&amp;height=300&amp;START_MAXIMIZED=FALSE"}</definedName>
    <definedName name="_198__FDSAUDITLINK__" hidden="1">{"fdsup://IBCentral/FAT Viewer?action=UPDATE&amp;creator=factset&amp;DOC_NAME=fat:reuters_qtrly_source_window.fat&amp;display_string=Audit&amp;DYN_ARGS=TRUE&amp;VAR:ID1=527343&amp;VAR:RCODE=LMIN&amp;VAR:SDATE=20040699&amp;VAR:FREQ=Quarterly&amp;VAR:RELITEM=RP&amp;VAR:CURRENCY=&amp;VAR:CURRSOURCE=EXSH","ARE&amp;VAR:NATFREQ=QUARTERLY&amp;VAR:RFIELD=FINALIZED&amp;VAR:DB_TYPE=&amp;VAR:UNITS=M&amp;window=popup&amp;width=450&amp;height=300&amp;START_MAXIMIZED=FALSE"}</definedName>
    <definedName name="_199__FDSAUDITLINK__" hidden="1">{"fdsup://IBCentral/FAT Viewer?action=UPDATE&amp;creator=factset&amp;DOC_NAME=fat:reuters_qtrly_source_window.fat&amp;display_string=Audit&amp;DYN_ARGS=TRUE&amp;VAR:ID1=527343&amp;VAR:RCODE=LMIN&amp;VAR:SDATE=20040399&amp;VAR:FREQ=Quarterly&amp;VAR:RELITEM=RP&amp;VAR:CURRENCY=&amp;VAR:CURRSOURCE=EXSH","ARE&amp;VAR:NATFREQ=QUARTERLY&amp;VAR:RFIELD=FINALIZED&amp;VAR:DB_TYPE=&amp;VAR:UNITS=M&amp;window=popup&amp;width=450&amp;height=300&amp;START_MAXIMIZED=FALSE"}</definedName>
    <definedName name="_2__123Graph_AMKT_MONTH" hidden="1">[5]SALES!#REF!</definedName>
    <definedName name="_2__123Graph_AMKT_YTD" hidden="1">[5]SALES!#REF!</definedName>
    <definedName name="_2__123Graph_Bグラフ_1" hidden="1">#REF!</definedName>
    <definedName name="_2__FDSAUDITLINK__" hidden="1">{"fdsup://IBCentral/FAT Viewer?action=UPDATE&amp;creator=factset&amp;DOC_NAME=fat:reuters_qtrly_source_window.fat&amp;display_string=Audit&amp;DYN_ARGS=TRUE&amp;VAR:ID1=527343&amp;VAR:RCODE=LMIN&amp;VAR:SDATE=20100699&amp;VAR:FREQ=Quarterly&amp;VAR:RELITEM=RP&amp;VAR:CURRENCY=&amp;VAR:CURRSOURCE=EXSH","ARE&amp;VAR:NATFREQ=QUARTERLY&amp;VAR:RFIELD=FINALIZED&amp;VAR:DB_TYPE=&amp;VAR:UNITS=M&amp;window=popup&amp;width=450&amp;height=300&amp;START_MAXIMIZED=FALSE"}</definedName>
    <definedName name="_20__123Graph_BCHART_111" hidden="1">[9]Menu!$D$24:$M$24</definedName>
    <definedName name="_20__123Graph_XMKT_YTD" hidden="1">[5]SALES!#REF!</definedName>
    <definedName name="_20__FDSAUDITLINK__" hidden="1">{"fdsup://IBCentral/FAT Viewer?action=UPDATE&amp;creator=factset&amp;DOC_NAME=fat:reuters_qtrly_source_window.fat&amp;display_string=Audit&amp;DYN_ARGS=TRUE&amp;VAR:ID1=527343&amp;VAR:RCODE=LMIN&amp;VAR:SDATE=20051299&amp;VAR:FREQ=Quarterly&amp;VAR:RELITEM=RP&amp;VAR:CURRENCY=&amp;VAR:CURRSOURCE=EXSH","ARE&amp;VAR:NATFREQ=QUARTERLY&amp;VAR:RFIELD=FINALIZED&amp;VAR:DB_TYPE=&amp;VAR:UNITS=M&amp;window=popup&amp;width=450&amp;height=300&amp;START_MAXIMIZED=FALSE"}</definedName>
    <definedName name="_200__FDSAUDITLINK__" hidden="1">{"fdsup://IBCentral/FAT Viewer?action=UPDATE&amp;creator=factset&amp;DOC_NAME=fat:reuters_qtrly_source_window.fat&amp;display_string=Audit&amp;DYN_ARGS=TRUE&amp;VAR:ID1=527343&amp;VAR:RCODE=LMIN&amp;VAR:SDATE=20031299&amp;VAR:FREQ=Quarterly&amp;VAR:RELITEM=RP&amp;VAR:CURRENCY=&amp;VAR:CURRSOURCE=EXSH","ARE&amp;VAR:NATFREQ=QUARTERLY&amp;VAR:RFIELD=FINALIZED&amp;VAR:DB_TYPE=&amp;VAR:UNITS=M&amp;window=popup&amp;width=450&amp;height=300&amp;START_MAXIMIZED=FALSE"}</definedName>
    <definedName name="_201__FDSAUDITLINK__" hidden="1">{"fdsup://IBCentral/FAT Viewer?action=UPDATE&amp;creator=factset&amp;DOC_NAME=fat:reuters_qtrly_source_window.fat&amp;display_string=Audit&amp;DYN_ARGS=TRUE&amp;VAR:ID1=527343&amp;VAR:RCODE=LMIN&amp;VAR:SDATE=20030999&amp;VAR:FREQ=Quarterly&amp;VAR:RELITEM=RP&amp;VAR:CURRENCY=&amp;VAR:CURRSOURCE=EXSH","ARE&amp;VAR:NATFREQ=QUARTERLY&amp;VAR:RFIELD=FINALIZED&amp;VAR:DB_TYPE=&amp;VAR:UNITS=M&amp;window=popup&amp;width=450&amp;height=300&amp;START_MAXIMIZED=FALSE"}</definedName>
    <definedName name="_202__FDSAUDITLINK__" hidden="1">{"fdsup://IBCentral/FAT Viewer?action=UPDATE&amp;creator=factset&amp;DOC_NAME=fat:reuters_qtrly_source_window.fat&amp;display_string=Audit&amp;DYN_ARGS=TRUE&amp;VAR:ID1=527343&amp;VAR:RCODE=LMIN&amp;VAR:SDATE=20030699&amp;VAR:FREQ=Quarterly&amp;VAR:RELITEM=RP&amp;VAR:CURRENCY=&amp;VAR:CURRSOURCE=EXSH","ARE&amp;VAR:NATFREQ=QUARTERLY&amp;VAR:RFIELD=FINALIZED&amp;VAR:DB_TYPE=&amp;VAR:UNITS=M&amp;window=popup&amp;width=450&amp;height=300&amp;START_MAXIMIZED=FALSE"}</definedName>
    <definedName name="_203__FDSAUDITLINK__" hidden="1">{"fdsup://IBCentral/FAT Viewer?action=UPDATE&amp;creator=factset&amp;DOC_NAME=fat:reuters_qtrly_source_window.fat&amp;display_string=Audit&amp;DYN_ARGS=TRUE&amp;VAR:ID1=527343&amp;VAR:RCODE=LMIN&amp;VAR:SDATE=20030399&amp;VAR:FREQ=Quarterly&amp;VAR:RELITEM=RP&amp;VAR:CURRENCY=&amp;VAR:CURRSOURCE=EXSH","ARE&amp;VAR:NATFREQ=QUARTERLY&amp;VAR:RFIELD=FINALIZED&amp;VAR:DB_TYPE=&amp;VAR:UNITS=M&amp;window=popup&amp;width=450&amp;height=300&amp;START_MAXIMIZED=FALSE"}</definedName>
    <definedName name="_204__FDSAUDITLINK__" hidden="1">{"fdsup://IBCentral/FAT Viewer?action=UPDATE&amp;creator=factset&amp;DOC_NAME=fat:reuters_qtrly_source_window.fat&amp;display_string=Audit&amp;DYN_ARGS=TRUE&amp;VAR:ID1=527343&amp;VAR:RCODE=LMIN&amp;VAR:SDATE=20021299&amp;VAR:FREQ=Quarterly&amp;VAR:RELITEM=RP&amp;VAR:CURRENCY=&amp;VAR:CURRSOURCE=EXSH","ARE&amp;VAR:NATFREQ=QUARTERLY&amp;VAR:RFIELD=FINALIZED&amp;VAR:DB_TYPE=&amp;VAR:UNITS=M&amp;window=popup&amp;width=450&amp;height=300&amp;START_MAXIMIZED=FALSE"}</definedName>
    <definedName name="_205__FDSAUDITLINK__" hidden="1">{"fdsup://IBCentral/FAT Viewer?action=UPDATE&amp;creator=factset&amp;DOC_NAME=fat:reuters_qtrly_source_window.fat&amp;display_string=Audit&amp;DYN_ARGS=TRUE&amp;VAR:ID1=527343&amp;VAR:RCODE=LMIN&amp;VAR:SDATE=20020999&amp;VAR:FREQ=Quarterly&amp;VAR:RELITEM=RP&amp;VAR:CURRENCY=&amp;VAR:CURRSOURCE=EXSH","ARE&amp;VAR:NATFREQ=QUARTERLY&amp;VAR:RFIELD=FINALIZED&amp;VAR:DB_TYPE=&amp;VAR:UNITS=M&amp;window=popup&amp;width=450&amp;height=300&amp;START_MAXIMIZED=FALSE"}</definedName>
    <definedName name="_206__FDSAUDITLINK__" hidden="1">{"fdsup://IBCentral/FAT Viewer?action=UPDATE&amp;creator=factset&amp;DOC_NAME=fat:reuters_qtrly_source_window.fat&amp;display_string=Audit&amp;DYN_ARGS=TRUE&amp;VAR:ID1=527343&amp;VAR:RCODE=LMIN&amp;VAR:SDATE=20020699&amp;VAR:FREQ=Quarterly&amp;VAR:RELITEM=RP&amp;VAR:CURRENCY=&amp;VAR:CURRSOURCE=EXSH","ARE&amp;VAR:NATFREQ=QUARTERLY&amp;VAR:RFIELD=FINALIZED&amp;VAR:DB_TYPE=&amp;VAR:UNITS=M&amp;window=popup&amp;width=450&amp;height=300&amp;START_MAXIMIZED=FALSE"}</definedName>
    <definedName name="_207__FDSAUDITLINK__" hidden="1">{"fdsup://IBCentral/FAT Viewer?action=UPDATE&amp;creator=factset&amp;DOC_NAME=fat:reuters_qtrly_source_window.fat&amp;display_string=Audit&amp;DYN_ARGS=TRUE&amp;VAR:ID1=527343&amp;VAR:RCODE=LMIN&amp;VAR:SDATE=20020399&amp;VAR:FREQ=Quarterly&amp;VAR:RELITEM=RP&amp;VAR:CURRENCY=&amp;VAR:CURRSOURCE=EXSH","ARE&amp;VAR:NATFREQ=QUARTERLY&amp;VAR:RFIELD=FINALIZED&amp;VAR:DB_TYPE=&amp;VAR:UNITS=M&amp;window=popup&amp;width=450&amp;height=300&amp;START_MAXIMIZED=FALSE"}</definedName>
    <definedName name="_208__FDSAUDITLINK__" hidden="1">{"fdsup://IBCentral/FAT Viewer?action=UPDATE&amp;creator=factset&amp;DOC_NAME=fat:reuters_qtrly_source_window.fat&amp;display_string=Audit&amp;DYN_ARGS=TRUE&amp;VAR:ID1=527343&amp;VAR:RCODE=LMIN&amp;VAR:SDATE=20011299&amp;VAR:FREQ=Quarterly&amp;VAR:RELITEM=RP&amp;VAR:CURRENCY=&amp;VAR:CURRSOURCE=EXSH","ARE&amp;VAR:NATFREQ=QUARTERLY&amp;VAR:RFIELD=FINALIZED&amp;VAR:DB_TYPE=&amp;VAR:UNITS=M&amp;window=popup&amp;width=450&amp;height=300&amp;START_MAXIMIZED=FALSE"}</definedName>
    <definedName name="_209__FDSAUDITLINK__" hidden="1">{"fdsup://IBCentral/FAT Viewer?action=UPDATE&amp;creator=factset&amp;DOC_NAME=fat:reuters_qtrly_source_window.fat&amp;display_string=Audit&amp;DYN_ARGS=TRUE&amp;VAR:ID1=527343&amp;VAR:RCODE=LMIN&amp;VAR:SDATE=20010999&amp;VAR:FREQ=Quarterly&amp;VAR:RELITEM=RP&amp;VAR:CURRENCY=&amp;VAR:CURRSOURCE=EXSH","ARE&amp;VAR:NATFREQ=QUARTERLY&amp;VAR:RFIELD=FINALIZED&amp;VAR:DB_TYPE=&amp;VAR:UNITS=M&amp;window=popup&amp;width=450&amp;height=300&amp;START_MAXIMIZED=FALSE"}</definedName>
    <definedName name="_21__123Graph_BCHART_112" hidden="1">[9]Menu!$D$18:$M$18</definedName>
    <definedName name="_21__FDSAUDITLINK__" hidden="1">{"fdsup://IBCentral/FAT Viewer?action=UPDATE&amp;creator=factset&amp;DOC_NAME=fat:reuters_qtrly_source_window.fat&amp;display_string=Audit&amp;DYN_ARGS=TRUE&amp;VAR:ID1=527343&amp;VAR:RCODE=LMIN&amp;VAR:SDATE=20050999&amp;VAR:FREQ=Quarterly&amp;VAR:RELITEM=RP&amp;VAR:CURRENCY=&amp;VAR:CURRSOURCE=EXSH","ARE&amp;VAR:NATFREQ=QUARTERLY&amp;VAR:RFIELD=FINALIZED&amp;VAR:DB_TYPE=&amp;VAR:UNITS=M&amp;window=popup&amp;width=450&amp;height=300&amp;START_MAXIMIZED=FALSE"}</definedName>
    <definedName name="_210__FDSAUDITLINK__" hidden="1">{"fdsup://IBCentral/FAT Viewer?action=UPDATE&amp;creator=factset&amp;DOC_NAME=fat:reuters_qtrly_source_window.fat&amp;display_string=Audit&amp;DYN_ARGS=TRUE&amp;VAR:ID1=527343&amp;VAR:RCODE=LMIN&amp;VAR:SDATE=20010699&amp;VAR:FREQ=Quarterly&amp;VAR:RELITEM=RP&amp;VAR:CURRENCY=&amp;VAR:CURRSOURCE=EXSH","ARE&amp;VAR:NATFREQ=QUARTERLY&amp;VAR:RFIELD=FINALIZED&amp;VAR:DB_TYPE=&amp;VAR:UNITS=M&amp;window=popup&amp;width=450&amp;height=300&amp;START_MAXIMIZED=FALSE"}</definedName>
    <definedName name="_211__FDSAUDITLINK__" hidden="1">{"fdsup://IBCentral/FAT Viewer?action=UPDATE&amp;creator=factset&amp;DOC_NAME=fat:reuters_qtrly_source_window.fat&amp;display_string=Audit&amp;DYN_ARGS=TRUE&amp;VAR:ID1=527343&amp;VAR:RCODE=LMIN&amp;VAR:SDATE=20010399&amp;VAR:FREQ=Quarterly&amp;VAR:RELITEM=RP&amp;VAR:CURRENCY=&amp;VAR:CURRSOURCE=EXSH","ARE&amp;VAR:NATFREQ=QUARTERLY&amp;VAR:RFIELD=FINALIZED&amp;VAR:DB_TYPE=&amp;VAR:UNITS=M&amp;window=popup&amp;width=450&amp;height=300&amp;START_MAXIMIZED=FALSE"}</definedName>
    <definedName name="_212__FDSAUDITLINK__" hidden="1">{"fdsup://IBCentral/FAT Viewer?action=UPDATE&amp;creator=factset&amp;DOC_NAME=fat:reuters_qtrly_source_window.fat&amp;display_string=Audit&amp;DYN_ARGS=TRUE&amp;VAR:ID1=527343&amp;VAR:RCODE=LMIN&amp;VAR:SDATE=20001299&amp;VAR:FREQ=Quarterly&amp;VAR:RELITEM=RP&amp;VAR:CURRENCY=&amp;VAR:CURRSOURCE=EXSH","ARE&amp;VAR:NATFREQ=QUARTERLY&amp;VAR:RFIELD=FINALIZED&amp;VAR:DB_TYPE=&amp;VAR:UNITS=M&amp;window=popup&amp;width=450&amp;height=300&amp;START_MAXIMIZED=FALSE"}</definedName>
    <definedName name="_213__FDSAUDITLINK__" hidden="1">{"fdsup://IBCentral/FAT Viewer?action=UPDATE&amp;creator=factset&amp;DOC_NAME=fat:reuters_qtrly_source_window.fat&amp;display_string=Audit&amp;DYN_ARGS=TRUE&amp;VAR:ID1=527343&amp;VAR:RCODE=LMIN&amp;VAR:SDATE=20000999&amp;VAR:FREQ=Quarterly&amp;VAR:RELITEM=RP&amp;VAR:CURRENCY=&amp;VAR:CURRSOURCE=EXSH","ARE&amp;VAR:NATFREQ=QUARTERLY&amp;VAR:RFIELD=FINALIZED&amp;VAR:DB_TYPE=&amp;VAR:UNITS=M&amp;window=popup&amp;width=450&amp;height=300&amp;START_MAXIMIZED=FALSE"}</definedName>
    <definedName name="_214__FDSAUDITLINK__" hidden="1">{"fdsup://IBCentral/FAT Viewer?action=UPDATE&amp;creator=factset&amp;DOC_NAME=fat:reuters_qtrly_source_window.fat&amp;display_string=Audit&amp;DYN_ARGS=TRUE&amp;VAR:ID1=527343&amp;VAR:RCODE=LMIN&amp;VAR:SDATE=20000699&amp;VAR:FREQ=Quarterly&amp;VAR:RELITEM=RP&amp;VAR:CURRENCY=&amp;VAR:CURRSOURCE=EXSH","ARE&amp;VAR:NATFREQ=QUARTERLY&amp;VAR:RFIELD=FINALIZED&amp;VAR:DB_TYPE=&amp;VAR:UNITS=M&amp;window=popup&amp;width=450&amp;height=300&amp;START_MAXIMIZED=FALSE"}</definedName>
    <definedName name="_215__FDSAUDITLINK__" hidden="1">{"fdsup://IBCentral/FAT Viewer?action=UPDATE&amp;creator=factset&amp;DOC_NAME=fat:reuters_qtrly_source_window.fat&amp;display_string=Audit&amp;DYN_ARGS=TRUE&amp;VAR:ID1=527343&amp;VAR:RCODE=LMIN&amp;VAR:SDATE=20000399&amp;VAR:FREQ=Quarterly&amp;VAR:RELITEM=RP&amp;VAR:CURRENCY=&amp;VAR:CURRSOURCE=EXSH","ARE&amp;VAR:NATFREQ=QUARTERLY&amp;VAR:RFIELD=FINALIZED&amp;VAR:DB_TYPE=&amp;VAR:UNITS=M&amp;window=popup&amp;width=450&amp;height=300&amp;START_MAXIMIZED=FALSE"}</definedName>
    <definedName name="_216__FDSAUDITLINK__" hidden="1">{"fdsup://IBCentral/FAT Viewer?action=UPDATE&amp;creator=factset&amp;DOC_NAME=fat:reuters_qtrly_source_window.fat&amp;display_string=Audit&amp;DYN_ARGS=TRUE&amp;VAR:ID1=527343&amp;VAR:RCODE=LTTD&amp;VAR:SDATE=20100999&amp;VAR:FREQ=Quarterly&amp;VAR:RELITEM=RP&amp;VAR:CURRENCY=&amp;VAR:CURRSOURCE=EXSH","ARE&amp;VAR:NATFREQ=QUARTERLY&amp;VAR:RFIELD=FINALIZED&amp;VAR:DB_TYPE=&amp;VAR:UNITS=M&amp;window=popup&amp;width=450&amp;height=300&amp;START_MAXIMIZED=FALSE"}</definedName>
    <definedName name="_217__FDSAUDITLINK__" hidden="1">{"fdsup://IBCentral/FAT Viewer?action=UPDATE&amp;creator=factset&amp;DOC_NAME=fat:reuters_qtrly_source_window.fat&amp;display_string=Audit&amp;DYN_ARGS=TRUE&amp;VAR:ID1=527343&amp;VAR:RCODE=LTTD&amp;VAR:SDATE=20100699&amp;VAR:FREQ=Quarterly&amp;VAR:RELITEM=RP&amp;VAR:CURRENCY=&amp;VAR:CURRSOURCE=EXSH","ARE&amp;VAR:NATFREQ=QUARTERLY&amp;VAR:RFIELD=FINALIZED&amp;VAR:DB_TYPE=&amp;VAR:UNITS=M&amp;window=popup&amp;width=450&amp;height=300&amp;START_MAXIMIZED=FALSE"}</definedName>
    <definedName name="_218__FDSAUDITLINK__" hidden="1">{"fdsup://IBCentral/FAT Viewer?action=UPDATE&amp;creator=factset&amp;DOC_NAME=fat:reuters_qtrly_source_window.fat&amp;display_string=Audit&amp;DYN_ARGS=TRUE&amp;VAR:ID1=527343&amp;VAR:RCODE=LTTD&amp;VAR:SDATE=20100399&amp;VAR:FREQ=Quarterly&amp;VAR:RELITEM=RP&amp;VAR:CURRENCY=&amp;VAR:CURRSOURCE=EXSH","ARE&amp;VAR:NATFREQ=QUARTERLY&amp;VAR:RFIELD=FINALIZED&amp;VAR:DB_TYPE=&amp;VAR:UNITS=M&amp;window=popup&amp;width=450&amp;height=300&amp;START_MAXIMIZED=FALSE"}</definedName>
    <definedName name="_219__FDSAUDITLINK__" hidden="1">{"fdsup://IBCentral/FAT Viewer?action=UPDATE&amp;creator=factset&amp;DOC_NAME=fat:reuters_qtrly_source_window.fat&amp;display_string=Audit&amp;DYN_ARGS=TRUE&amp;VAR:ID1=527343&amp;VAR:RCODE=LTTD&amp;VAR:SDATE=20091299&amp;VAR:FREQ=Quarterly&amp;VAR:RELITEM=RP&amp;VAR:CURRENCY=&amp;VAR:CURRSOURCE=EXSH","ARE&amp;VAR:NATFREQ=QUARTERLY&amp;VAR:RFIELD=FINALIZED&amp;VAR:DB_TYPE=&amp;VAR:UNITS=M&amp;window=popup&amp;width=450&amp;height=300&amp;START_MAXIMIZED=FALSE"}</definedName>
    <definedName name="_22__123Graph_BCHART_26" hidden="1">[9]Menu!$D$88:$M$88</definedName>
    <definedName name="_22__FDSAUDITLINK__" hidden="1">{"fdsup://IBCentral/FAT Viewer?action=UPDATE&amp;creator=factset&amp;DOC_NAME=fat:reuters_qtrly_source_window.fat&amp;display_string=Audit&amp;DYN_ARGS=TRUE&amp;VAR:ID1=527343&amp;VAR:RCODE=LMIN&amp;VAR:SDATE=20050699&amp;VAR:FREQ=Quarterly&amp;VAR:RELITEM=RP&amp;VAR:CURRENCY=&amp;VAR:CURRSOURCE=EXSH","ARE&amp;VAR:NATFREQ=QUARTERLY&amp;VAR:RFIELD=FINALIZED&amp;VAR:DB_TYPE=&amp;VAR:UNITS=M&amp;window=popup&amp;width=450&amp;height=300&amp;START_MAXIMIZED=FALSE"}</definedName>
    <definedName name="_220__FDSAUDITLINK__" hidden="1">{"fdsup://IBCentral/FAT Viewer?action=UPDATE&amp;creator=factset&amp;DOC_NAME=fat:reuters_qtrly_source_window.fat&amp;display_string=Audit&amp;DYN_ARGS=TRUE&amp;VAR:ID1=527343&amp;VAR:RCODE=LTTD&amp;VAR:SDATE=20090999&amp;VAR:FREQ=Quarterly&amp;VAR:RELITEM=RP&amp;VAR:CURRENCY=&amp;VAR:CURRSOURCE=EXSH","ARE&amp;VAR:NATFREQ=QUARTERLY&amp;VAR:RFIELD=FINALIZED&amp;VAR:DB_TYPE=&amp;VAR:UNITS=M&amp;window=popup&amp;width=450&amp;height=300&amp;START_MAXIMIZED=FALSE"}</definedName>
    <definedName name="_221__FDSAUDITLINK__" hidden="1">{"fdsup://IBCentral/FAT Viewer?action=UPDATE&amp;creator=factset&amp;DOC_NAME=fat:reuters_qtrly_source_window.fat&amp;display_string=Audit&amp;DYN_ARGS=TRUE&amp;VAR:ID1=527343&amp;VAR:RCODE=LTTD&amp;VAR:SDATE=20090699&amp;VAR:FREQ=Quarterly&amp;VAR:RELITEM=RP&amp;VAR:CURRENCY=&amp;VAR:CURRSOURCE=EXSH","ARE&amp;VAR:NATFREQ=QUARTERLY&amp;VAR:RFIELD=FINALIZED&amp;VAR:DB_TYPE=&amp;VAR:UNITS=M&amp;window=popup&amp;width=450&amp;height=300&amp;START_MAXIMIZED=FALSE"}</definedName>
    <definedName name="_222__FDSAUDITLINK__" hidden="1">{"fdsup://IBCentral/FAT Viewer?action=UPDATE&amp;creator=factset&amp;DOC_NAME=fat:reuters_qtrly_source_window.fat&amp;display_string=Audit&amp;DYN_ARGS=TRUE&amp;VAR:ID1=527343&amp;VAR:RCODE=LTTD&amp;VAR:SDATE=20090399&amp;VAR:FREQ=Quarterly&amp;VAR:RELITEM=RP&amp;VAR:CURRENCY=&amp;VAR:CURRSOURCE=EXSH","ARE&amp;VAR:NATFREQ=QUARTERLY&amp;VAR:RFIELD=FINALIZED&amp;VAR:DB_TYPE=&amp;VAR:UNITS=M&amp;window=popup&amp;width=450&amp;height=300&amp;START_MAXIMIZED=FALSE"}</definedName>
    <definedName name="_223__FDSAUDITLINK__" hidden="1">{"fdsup://IBCentral/FAT Viewer?action=UPDATE&amp;creator=factset&amp;DOC_NAME=fat:reuters_qtrly_source_window.fat&amp;display_string=Audit&amp;DYN_ARGS=TRUE&amp;VAR:ID1=527343&amp;VAR:RCODE=LTTD&amp;VAR:SDATE=20081299&amp;VAR:FREQ=Quarterly&amp;VAR:RELITEM=RP&amp;VAR:CURRENCY=&amp;VAR:CURRSOURCE=EXSH","ARE&amp;VAR:NATFREQ=QUARTERLY&amp;VAR:RFIELD=FINALIZED&amp;VAR:DB_TYPE=&amp;VAR:UNITS=M&amp;window=popup&amp;width=450&amp;height=300&amp;START_MAXIMIZED=FALSE"}</definedName>
    <definedName name="_224__FDSAUDITLINK__" hidden="1">{"fdsup://IBCentral/FAT Viewer?action=UPDATE&amp;creator=factset&amp;DOC_NAME=fat:reuters_qtrly_source_window.fat&amp;display_string=Audit&amp;DYN_ARGS=TRUE&amp;VAR:ID1=527343&amp;VAR:RCODE=LTTD&amp;VAR:SDATE=20080999&amp;VAR:FREQ=Quarterly&amp;VAR:RELITEM=RP&amp;VAR:CURRENCY=&amp;VAR:CURRSOURCE=EXSH","ARE&amp;VAR:NATFREQ=QUARTERLY&amp;VAR:RFIELD=FINALIZED&amp;VAR:DB_TYPE=&amp;VAR:UNITS=M&amp;window=popup&amp;width=450&amp;height=300&amp;START_MAXIMIZED=FALSE"}</definedName>
    <definedName name="_225__FDSAUDITLINK__" hidden="1">{"fdsup://IBCentral/FAT Viewer?action=UPDATE&amp;creator=factset&amp;DOC_NAME=fat:reuters_qtrly_source_window.fat&amp;display_string=Audit&amp;DYN_ARGS=TRUE&amp;VAR:ID1=527343&amp;VAR:RCODE=LTTD&amp;VAR:SDATE=20080699&amp;VAR:FREQ=Quarterly&amp;VAR:RELITEM=RP&amp;VAR:CURRENCY=&amp;VAR:CURRSOURCE=EXSH","ARE&amp;VAR:NATFREQ=QUARTERLY&amp;VAR:RFIELD=FINALIZED&amp;VAR:DB_TYPE=&amp;VAR:UNITS=M&amp;window=popup&amp;width=450&amp;height=300&amp;START_MAXIMIZED=FALSE"}</definedName>
    <definedName name="_226__FDSAUDITLINK__" hidden="1">{"fdsup://IBCentral/FAT Viewer?action=UPDATE&amp;creator=factset&amp;DOC_NAME=fat:reuters_qtrly_source_window.fat&amp;display_string=Audit&amp;DYN_ARGS=TRUE&amp;VAR:ID1=527343&amp;VAR:RCODE=LTTD&amp;VAR:SDATE=20080399&amp;VAR:FREQ=Quarterly&amp;VAR:RELITEM=RP&amp;VAR:CURRENCY=&amp;VAR:CURRSOURCE=EXSH","ARE&amp;VAR:NATFREQ=QUARTERLY&amp;VAR:RFIELD=FINALIZED&amp;VAR:DB_TYPE=&amp;VAR:UNITS=M&amp;window=popup&amp;width=450&amp;height=300&amp;START_MAXIMIZED=FALSE"}</definedName>
    <definedName name="_227__FDSAUDITLINK__" hidden="1">{"fdsup://IBCentral/FAT Viewer?action=UPDATE&amp;creator=factset&amp;DOC_NAME=fat:reuters_qtrly_source_window.fat&amp;display_string=Audit&amp;DYN_ARGS=TRUE&amp;VAR:ID1=527343&amp;VAR:RCODE=LTTD&amp;VAR:SDATE=20071299&amp;VAR:FREQ=Quarterly&amp;VAR:RELITEM=RP&amp;VAR:CURRENCY=&amp;VAR:CURRSOURCE=EXSH","ARE&amp;VAR:NATFREQ=QUARTERLY&amp;VAR:RFIELD=FINALIZED&amp;VAR:DB_TYPE=&amp;VAR:UNITS=M&amp;window=popup&amp;width=450&amp;height=300&amp;START_MAXIMIZED=FALSE"}</definedName>
    <definedName name="_228__FDSAUDITLINK__" hidden="1">{"fdsup://IBCentral/FAT Viewer?action=UPDATE&amp;creator=factset&amp;DOC_NAME=fat:reuters_qtrly_source_window.fat&amp;display_string=Audit&amp;DYN_ARGS=TRUE&amp;VAR:ID1=527343&amp;VAR:RCODE=LTTD&amp;VAR:SDATE=20070999&amp;VAR:FREQ=Quarterly&amp;VAR:RELITEM=RP&amp;VAR:CURRENCY=&amp;VAR:CURRSOURCE=EXSH","ARE&amp;VAR:NATFREQ=QUARTERLY&amp;VAR:RFIELD=FINALIZED&amp;VAR:DB_TYPE=&amp;VAR:UNITS=M&amp;window=popup&amp;width=450&amp;height=300&amp;START_MAXIMIZED=FALSE"}</definedName>
    <definedName name="_229__FDSAUDITLINK__" hidden="1">{"fdsup://IBCentral/FAT Viewer?action=UPDATE&amp;creator=factset&amp;DOC_NAME=fat:reuters_qtrly_source_window.fat&amp;display_string=Audit&amp;DYN_ARGS=TRUE&amp;VAR:ID1=527343&amp;VAR:RCODE=LTTD&amp;VAR:SDATE=20070699&amp;VAR:FREQ=Quarterly&amp;VAR:RELITEM=RP&amp;VAR:CURRENCY=&amp;VAR:CURRSOURCE=EXSH","ARE&amp;VAR:NATFREQ=QUARTERLY&amp;VAR:RFIELD=FINALIZED&amp;VAR:DB_TYPE=&amp;VAR:UNITS=M&amp;window=popup&amp;width=450&amp;height=300&amp;START_MAXIMIZED=FALSE"}</definedName>
    <definedName name="_23__123Graph_BCHART_29" hidden="1">[9]Menu!#REF!</definedName>
    <definedName name="_23__FDSAUDITLINK__" hidden="1">{"fdsup://IBCentral/FAT Viewer?action=UPDATE&amp;creator=factset&amp;DOC_NAME=fat:reuters_qtrly_source_window.fat&amp;display_string=Audit&amp;DYN_ARGS=TRUE&amp;VAR:ID1=527343&amp;VAR:RCODE=LMIN&amp;VAR:SDATE=20050399&amp;VAR:FREQ=Quarterly&amp;VAR:RELITEM=RP&amp;VAR:CURRENCY=&amp;VAR:CURRSOURCE=EXSH","ARE&amp;VAR:NATFREQ=QUARTERLY&amp;VAR:RFIELD=FINALIZED&amp;VAR:DB_TYPE=&amp;VAR:UNITS=M&amp;window=popup&amp;width=450&amp;height=300&amp;START_MAXIMIZED=FALSE"}</definedName>
    <definedName name="_230__FDSAUDITLINK__" hidden="1">{"fdsup://IBCentral/FAT Viewer?action=UPDATE&amp;creator=factset&amp;DOC_NAME=fat:reuters_qtrly_source_window.fat&amp;display_string=Audit&amp;DYN_ARGS=TRUE&amp;VAR:ID1=527343&amp;VAR:RCODE=LTTD&amp;VAR:SDATE=20070399&amp;VAR:FREQ=Quarterly&amp;VAR:RELITEM=RP&amp;VAR:CURRENCY=&amp;VAR:CURRSOURCE=EXSH","ARE&amp;VAR:NATFREQ=QUARTERLY&amp;VAR:RFIELD=FINALIZED&amp;VAR:DB_TYPE=&amp;VAR:UNITS=M&amp;window=popup&amp;width=450&amp;height=300&amp;START_MAXIMIZED=FALSE"}</definedName>
    <definedName name="_231__FDSAUDITLINK__" hidden="1">{"fdsup://IBCentral/FAT Viewer?action=UPDATE&amp;creator=factset&amp;DOC_NAME=fat:reuters_qtrly_source_window.fat&amp;display_string=Audit&amp;DYN_ARGS=TRUE&amp;VAR:ID1=527343&amp;VAR:RCODE=LTTD&amp;VAR:SDATE=20061299&amp;VAR:FREQ=Quarterly&amp;VAR:RELITEM=RP&amp;VAR:CURRENCY=&amp;VAR:CURRSOURCE=EXSH","ARE&amp;VAR:NATFREQ=QUARTERLY&amp;VAR:RFIELD=FINALIZED&amp;VAR:DB_TYPE=&amp;VAR:UNITS=M&amp;window=popup&amp;width=450&amp;height=300&amp;START_MAXIMIZED=FALSE"}</definedName>
    <definedName name="_232__FDSAUDITLINK__" hidden="1">{"fdsup://IBCentral/FAT Viewer?action=UPDATE&amp;creator=factset&amp;DOC_NAME=fat:reuters_qtrly_source_window.fat&amp;display_string=Audit&amp;DYN_ARGS=TRUE&amp;VAR:ID1=527343&amp;VAR:RCODE=LTTD&amp;VAR:SDATE=20060999&amp;VAR:FREQ=Quarterly&amp;VAR:RELITEM=RP&amp;VAR:CURRENCY=&amp;VAR:CURRSOURCE=EXSH","ARE&amp;VAR:NATFREQ=QUARTERLY&amp;VAR:RFIELD=FINALIZED&amp;VAR:DB_TYPE=&amp;VAR:UNITS=M&amp;window=popup&amp;width=450&amp;height=300&amp;START_MAXIMIZED=FALSE"}</definedName>
    <definedName name="_233__FDSAUDITLINK__" hidden="1">{"fdsup://IBCentral/FAT Viewer?action=UPDATE&amp;creator=factset&amp;DOC_NAME=fat:reuters_qtrly_source_window.fat&amp;display_string=Audit&amp;DYN_ARGS=TRUE&amp;VAR:ID1=527343&amp;VAR:RCODE=LTTD&amp;VAR:SDATE=20060699&amp;VAR:FREQ=Quarterly&amp;VAR:RELITEM=RP&amp;VAR:CURRENCY=&amp;VAR:CURRSOURCE=EXSH","ARE&amp;VAR:NATFREQ=QUARTERLY&amp;VAR:RFIELD=FINALIZED&amp;VAR:DB_TYPE=&amp;VAR:UNITS=M&amp;window=popup&amp;width=450&amp;height=300&amp;START_MAXIMIZED=FALSE"}</definedName>
    <definedName name="_234__FDSAUDITLINK__" hidden="1">{"fdsup://IBCentral/FAT Viewer?action=UPDATE&amp;creator=factset&amp;DOC_NAME=fat:reuters_qtrly_source_window.fat&amp;display_string=Audit&amp;DYN_ARGS=TRUE&amp;VAR:ID1=527343&amp;VAR:RCODE=LTTD&amp;VAR:SDATE=20060399&amp;VAR:FREQ=Quarterly&amp;VAR:RELITEM=RP&amp;VAR:CURRENCY=&amp;VAR:CURRSOURCE=EXSH","ARE&amp;VAR:NATFREQ=QUARTERLY&amp;VAR:RFIELD=FINALIZED&amp;VAR:DB_TYPE=&amp;VAR:UNITS=M&amp;window=popup&amp;width=450&amp;height=300&amp;START_MAXIMIZED=FALSE"}</definedName>
    <definedName name="_235__FDSAUDITLINK__" hidden="1">{"fdsup://IBCentral/FAT Viewer?action=UPDATE&amp;creator=factset&amp;DOC_NAME=fat:reuters_qtrly_source_window.fat&amp;display_string=Audit&amp;DYN_ARGS=TRUE&amp;VAR:ID1=527343&amp;VAR:RCODE=LTTD&amp;VAR:SDATE=20051299&amp;VAR:FREQ=Quarterly&amp;VAR:RELITEM=RP&amp;VAR:CURRENCY=&amp;VAR:CURRSOURCE=EXSH","ARE&amp;VAR:NATFREQ=QUARTERLY&amp;VAR:RFIELD=FINALIZED&amp;VAR:DB_TYPE=&amp;VAR:UNITS=M&amp;window=popup&amp;width=450&amp;height=300&amp;START_MAXIMIZED=FALSE"}</definedName>
    <definedName name="_236__FDSAUDITLINK__" hidden="1">{"fdsup://IBCentral/FAT Viewer?action=UPDATE&amp;creator=factset&amp;DOC_NAME=fat:reuters_qtrly_source_window.fat&amp;display_string=Audit&amp;DYN_ARGS=TRUE&amp;VAR:ID1=527343&amp;VAR:RCODE=LTTD&amp;VAR:SDATE=20050999&amp;VAR:FREQ=Quarterly&amp;VAR:RELITEM=RP&amp;VAR:CURRENCY=&amp;VAR:CURRSOURCE=EXSH","ARE&amp;VAR:NATFREQ=QUARTERLY&amp;VAR:RFIELD=FINALIZED&amp;VAR:DB_TYPE=&amp;VAR:UNITS=M&amp;window=popup&amp;width=450&amp;height=300&amp;START_MAXIMIZED=FALSE"}</definedName>
    <definedName name="_237__FDSAUDITLINK__" hidden="1">{"fdsup://IBCentral/FAT Viewer?action=UPDATE&amp;creator=factset&amp;DOC_NAME=fat:reuters_qtrly_source_window.fat&amp;display_string=Audit&amp;DYN_ARGS=TRUE&amp;VAR:ID1=527343&amp;VAR:RCODE=LTTD&amp;VAR:SDATE=20050699&amp;VAR:FREQ=Quarterly&amp;VAR:RELITEM=RP&amp;VAR:CURRENCY=&amp;VAR:CURRSOURCE=EXSH","ARE&amp;VAR:NATFREQ=QUARTERLY&amp;VAR:RFIELD=FINALIZED&amp;VAR:DB_TYPE=&amp;VAR:UNITS=M&amp;window=popup&amp;width=450&amp;height=300&amp;START_MAXIMIZED=FALSE"}</definedName>
    <definedName name="_238__FDSAUDITLINK__" hidden="1">{"fdsup://IBCentral/FAT Viewer?action=UPDATE&amp;creator=factset&amp;DOC_NAME=fat:reuters_qtrly_source_window.fat&amp;display_string=Audit&amp;DYN_ARGS=TRUE&amp;VAR:ID1=527343&amp;VAR:RCODE=LTTD&amp;VAR:SDATE=20050399&amp;VAR:FREQ=Quarterly&amp;VAR:RELITEM=RP&amp;VAR:CURRENCY=&amp;VAR:CURRSOURCE=EXSH","ARE&amp;VAR:NATFREQ=QUARTERLY&amp;VAR:RFIELD=FINALIZED&amp;VAR:DB_TYPE=&amp;VAR:UNITS=M&amp;window=popup&amp;width=450&amp;height=300&amp;START_MAXIMIZED=FALSE"}</definedName>
    <definedName name="_239__FDSAUDITLINK__" hidden="1">{"fdsup://IBCentral/FAT Viewer?action=UPDATE&amp;creator=factset&amp;DOC_NAME=fat:reuters_qtrly_source_window.fat&amp;display_string=Audit&amp;DYN_ARGS=TRUE&amp;VAR:ID1=527343&amp;VAR:RCODE=LTTD&amp;VAR:SDATE=20041299&amp;VAR:FREQ=Quarterly&amp;VAR:RELITEM=RP&amp;VAR:CURRENCY=&amp;VAR:CURRSOURCE=EXSH","ARE&amp;VAR:NATFREQ=QUARTERLY&amp;VAR:RFIELD=FINALIZED&amp;VAR:DB_TYPE=&amp;VAR:UNITS=M&amp;window=popup&amp;width=450&amp;height=300&amp;START_MAXIMIZED=FALSE"}</definedName>
    <definedName name="_24__123Graph_BGROSS_MARGINS" hidden="1">#REF!</definedName>
    <definedName name="_24__FDSAUDITLINK__" hidden="1">{"fdsup://IBCentral/FAT Viewer?action=UPDATE&amp;creator=factset&amp;DOC_NAME=fat:reuters_qtrly_source_window.fat&amp;display_string=Audit&amp;DYN_ARGS=TRUE&amp;VAR:ID1=527343&amp;VAR:RCODE=LMIN&amp;VAR:SDATE=20041299&amp;VAR:FREQ=Quarterly&amp;VAR:RELITEM=RP&amp;VAR:CURRENCY=&amp;VAR:CURRSOURCE=EXSH","ARE&amp;VAR:NATFREQ=QUARTERLY&amp;VAR:RFIELD=FINALIZED&amp;VAR:DB_TYPE=&amp;VAR:UNITS=M&amp;window=popup&amp;width=450&amp;height=300&amp;START_MAXIMIZED=FALSE"}</definedName>
    <definedName name="_240__FDSAUDITLINK__" hidden="1">{"fdsup://IBCentral/FAT Viewer?action=UPDATE&amp;creator=factset&amp;DOC_NAME=fat:reuters_qtrly_source_window.fat&amp;display_string=Audit&amp;DYN_ARGS=TRUE&amp;VAR:ID1=527343&amp;VAR:RCODE=LTTD&amp;VAR:SDATE=20040999&amp;VAR:FREQ=Quarterly&amp;VAR:RELITEM=RP&amp;VAR:CURRENCY=&amp;VAR:CURRSOURCE=EXSH","ARE&amp;VAR:NATFREQ=QUARTERLY&amp;VAR:RFIELD=FINALIZED&amp;VAR:DB_TYPE=&amp;VAR:UNITS=M&amp;window=popup&amp;width=450&amp;height=300&amp;START_MAXIMIZED=FALSE"}</definedName>
    <definedName name="_241__FDSAUDITLINK__" hidden="1">{"fdsup://IBCentral/FAT Viewer?action=UPDATE&amp;creator=factset&amp;DOC_NAME=fat:reuters_qtrly_source_window.fat&amp;display_string=Audit&amp;DYN_ARGS=TRUE&amp;VAR:ID1=527343&amp;VAR:RCODE=LTTD&amp;VAR:SDATE=20040699&amp;VAR:FREQ=Quarterly&amp;VAR:RELITEM=RP&amp;VAR:CURRENCY=&amp;VAR:CURRSOURCE=EXSH","ARE&amp;VAR:NATFREQ=QUARTERLY&amp;VAR:RFIELD=FINALIZED&amp;VAR:DB_TYPE=&amp;VAR:UNITS=M&amp;window=popup&amp;width=450&amp;height=300&amp;START_MAXIMIZED=FALSE"}</definedName>
    <definedName name="_242__FDSAUDITLINK__" hidden="1">{"fdsup://IBCentral/FAT Viewer?action=UPDATE&amp;creator=factset&amp;DOC_NAME=fat:reuters_qtrly_source_window.fat&amp;display_string=Audit&amp;DYN_ARGS=TRUE&amp;VAR:ID1=527343&amp;VAR:RCODE=LTTD&amp;VAR:SDATE=20040399&amp;VAR:FREQ=Quarterly&amp;VAR:RELITEM=RP&amp;VAR:CURRENCY=&amp;VAR:CURRSOURCE=EXSH","ARE&amp;VAR:NATFREQ=QUARTERLY&amp;VAR:RFIELD=FINALIZED&amp;VAR:DB_TYPE=&amp;VAR:UNITS=M&amp;window=popup&amp;width=450&amp;height=300&amp;START_MAXIMIZED=FALSE"}</definedName>
    <definedName name="_243__FDSAUDITLINK__" hidden="1">{"fdsup://IBCentral/FAT Viewer?action=UPDATE&amp;creator=factset&amp;DOC_NAME=fat:reuters_qtrly_source_window.fat&amp;display_string=Audit&amp;DYN_ARGS=TRUE&amp;VAR:ID1=527343&amp;VAR:RCODE=LTTD&amp;VAR:SDATE=20031299&amp;VAR:FREQ=Quarterly&amp;VAR:RELITEM=RP&amp;VAR:CURRENCY=&amp;VAR:CURRSOURCE=EXSH","ARE&amp;VAR:NATFREQ=QUARTERLY&amp;VAR:RFIELD=FINALIZED&amp;VAR:DB_TYPE=&amp;VAR:UNITS=M&amp;window=popup&amp;width=450&amp;height=300&amp;START_MAXIMIZED=FALSE"}</definedName>
    <definedName name="_244__FDSAUDITLINK__" hidden="1">{"fdsup://IBCentral/FAT Viewer?action=UPDATE&amp;creator=factset&amp;DOC_NAME=fat:reuters_qtrly_source_window.fat&amp;display_string=Audit&amp;DYN_ARGS=TRUE&amp;VAR:ID1=527343&amp;VAR:RCODE=LTTD&amp;VAR:SDATE=20030999&amp;VAR:FREQ=Quarterly&amp;VAR:RELITEM=RP&amp;VAR:CURRENCY=&amp;VAR:CURRSOURCE=EXSH","ARE&amp;VAR:NATFREQ=QUARTERLY&amp;VAR:RFIELD=FINALIZED&amp;VAR:DB_TYPE=&amp;VAR:UNITS=M&amp;window=popup&amp;width=450&amp;height=300&amp;START_MAXIMIZED=FALSE"}</definedName>
    <definedName name="_245__FDSAUDITLINK__" hidden="1">{"fdsup://IBCentral/FAT Viewer?action=UPDATE&amp;creator=factset&amp;DOC_NAME=fat:reuters_qtrly_source_window.fat&amp;display_string=Audit&amp;DYN_ARGS=TRUE&amp;VAR:ID1=527343&amp;VAR:RCODE=LTTD&amp;VAR:SDATE=20030699&amp;VAR:FREQ=Quarterly&amp;VAR:RELITEM=RP&amp;VAR:CURRENCY=&amp;VAR:CURRSOURCE=EXSH","ARE&amp;VAR:NATFREQ=QUARTERLY&amp;VAR:RFIELD=FINALIZED&amp;VAR:DB_TYPE=&amp;VAR:UNITS=M&amp;window=popup&amp;width=450&amp;height=300&amp;START_MAXIMIZED=FALSE"}</definedName>
    <definedName name="_246__FDSAUDITLINK__" hidden="1">{"fdsup://IBCentral/FAT Viewer?action=UPDATE&amp;creator=factset&amp;DOC_NAME=fat:reuters_qtrly_source_window.fat&amp;display_string=Audit&amp;DYN_ARGS=TRUE&amp;VAR:ID1=527343&amp;VAR:RCODE=LTTD&amp;VAR:SDATE=20030399&amp;VAR:FREQ=Quarterly&amp;VAR:RELITEM=RP&amp;VAR:CURRENCY=&amp;VAR:CURRSOURCE=EXSH","ARE&amp;VAR:NATFREQ=QUARTERLY&amp;VAR:RFIELD=FINALIZED&amp;VAR:DB_TYPE=&amp;VAR:UNITS=M&amp;window=popup&amp;width=450&amp;height=300&amp;START_MAXIMIZED=FALSE"}</definedName>
    <definedName name="_247__FDSAUDITLINK__" hidden="1">{"fdsup://IBCentral/FAT Viewer?action=UPDATE&amp;creator=factset&amp;DOC_NAME=fat:reuters_qtrly_source_window.fat&amp;display_string=Audit&amp;DYN_ARGS=TRUE&amp;VAR:ID1=527343&amp;VAR:RCODE=LTTD&amp;VAR:SDATE=20021299&amp;VAR:FREQ=Quarterly&amp;VAR:RELITEM=RP&amp;VAR:CURRENCY=&amp;VAR:CURRSOURCE=EXSH","ARE&amp;VAR:NATFREQ=QUARTERLY&amp;VAR:RFIELD=FINALIZED&amp;VAR:DB_TYPE=&amp;VAR:UNITS=M&amp;window=popup&amp;width=450&amp;height=300&amp;START_MAXIMIZED=FALSE"}</definedName>
    <definedName name="_248__FDSAUDITLINK__" hidden="1">{"fdsup://IBCentral/FAT Viewer?action=UPDATE&amp;creator=factset&amp;DOC_NAME=fat:reuters_qtrly_source_window.fat&amp;display_string=Audit&amp;DYN_ARGS=TRUE&amp;VAR:ID1=527343&amp;VAR:RCODE=LTTD&amp;VAR:SDATE=20020999&amp;VAR:FREQ=Quarterly&amp;VAR:RELITEM=RP&amp;VAR:CURRENCY=&amp;VAR:CURRSOURCE=EXSH","ARE&amp;VAR:NATFREQ=QUARTERLY&amp;VAR:RFIELD=FINALIZED&amp;VAR:DB_TYPE=&amp;VAR:UNITS=M&amp;window=popup&amp;width=450&amp;height=300&amp;START_MAXIMIZED=FALSE"}</definedName>
    <definedName name="_249__FDSAUDITLINK__" hidden="1">{"fdsup://IBCentral/FAT Viewer?action=UPDATE&amp;creator=factset&amp;DOC_NAME=fat:reuters_qtrly_source_window.fat&amp;display_string=Audit&amp;DYN_ARGS=TRUE&amp;VAR:ID1=527343&amp;VAR:RCODE=LTTD&amp;VAR:SDATE=20020699&amp;VAR:FREQ=Quarterly&amp;VAR:RELITEM=RP&amp;VAR:CURRENCY=&amp;VAR:CURRSOURCE=EXSH","ARE&amp;VAR:NATFREQ=QUARTERLY&amp;VAR:RFIELD=FINALIZED&amp;VAR:DB_TYPE=&amp;VAR:UNITS=M&amp;window=popup&amp;width=450&amp;height=300&amp;START_MAXIMIZED=FALSE"}</definedName>
    <definedName name="_25__123Graph_BGROWTH_REVS_A" hidden="1">#REF!</definedName>
    <definedName name="_25__FDSAUDITLINK__" hidden="1">{"fdsup://IBCentral/FAT Viewer?action=UPDATE&amp;creator=factset&amp;DOC_NAME=fat:reuters_qtrly_source_window.fat&amp;display_string=Audit&amp;DYN_ARGS=TRUE&amp;VAR:ID1=527343&amp;VAR:RCODE=LMIN&amp;VAR:SDATE=20040999&amp;VAR:FREQ=Quarterly&amp;VAR:RELITEM=RP&amp;VAR:CURRENCY=&amp;VAR:CURRSOURCE=EXSH","ARE&amp;VAR:NATFREQ=QUARTERLY&amp;VAR:RFIELD=FINALIZED&amp;VAR:DB_TYPE=&amp;VAR:UNITS=M&amp;window=popup&amp;width=450&amp;height=300&amp;START_MAXIMIZED=FALSE"}</definedName>
    <definedName name="_250__FDSAUDITLINK__" hidden="1">{"fdsup://IBCentral/FAT Viewer?action=UPDATE&amp;creator=factset&amp;DOC_NAME=fat:reuters_qtrly_source_window.fat&amp;display_string=Audit&amp;DYN_ARGS=TRUE&amp;VAR:ID1=527343&amp;VAR:RCODE=LTTD&amp;VAR:SDATE=20020399&amp;VAR:FREQ=Quarterly&amp;VAR:RELITEM=RP&amp;VAR:CURRENCY=&amp;VAR:CURRSOURCE=EXSH","ARE&amp;VAR:NATFREQ=QUARTERLY&amp;VAR:RFIELD=FINALIZED&amp;VAR:DB_TYPE=&amp;VAR:UNITS=M&amp;window=popup&amp;width=450&amp;height=300&amp;START_MAXIMIZED=FALSE"}</definedName>
    <definedName name="_251__FDSAUDITLINK__" hidden="1">{"fdsup://IBCentral/FAT Viewer?action=UPDATE&amp;creator=factset&amp;DOC_NAME=fat:reuters_qtrly_source_window.fat&amp;display_string=Audit&amp;DYN_ARGS=TRUE&amp;VAR:ID1=527343&amp;VAR:RCODE=LTTD&amp;VAR:SDATE=20011299&amp;VAR:FREQ=Quarterly&amp;VAR:RELITEM=RP&amp;VAR:CURRENCY=&amp;VAR:CURRSOURCE=EXSH","ARE&amp;VAR:NATFREQ=QUARTERLY&amp;VAR:RFIELD=FINALIZED&amp;VAR:DB_TYPE=&amp;VAR:UNITS=M&amp;window=popup&amp;width=450&amp;height=300&amp;START_MAXIMIZED=FALSE"}</definedName>
    <definedName name="_252__FDSAUDITLINK__" hidden="1">{"fdsup://IBCentral/FAT Viewer?action=UPDATE&amp;creator=factset&amp;DOC_NAME=fat:reuters_qtrly_source_window.fat&amp;display_string=Audit&amp;DYN_ARGS=TRUE&amp;VAR:ID1=527343&amp;VAR:RCODE=LTTD&amp;VAR:SDATE=20010999&amp;VAR:FREQ=Quarterly&amp;VAR:RELITEM=RP&amp;VAR:CURRENCY=&amp;VAR:CURRSOURCE=EXSH","ARE&amp;VAR:NATFREQ=QUARTERLY&amp;VAR:RFIELD=FINALIZED&amp;VAR:DB_TYPE=&amp;VAR:UNITS=M&amp;window=popup&amp;width=450&amp;height=300&amp;START_MAXIMIZED=FALSE"}</definedName>
    <definedName name="_253__FDSAUDITLINK__" hidden="1">{"fdsup://IBCentral/FAT Viewer?action=UPDATE&amp;creator=factset&amp;DOC_NAME=fat:reuters_qtrly_source_window.fat&amp;display_string=Audit&amp;DYN_ARGS=TRUE&amp;VAR:ID1=527343&amp;VAR:RCODE=LTTD&amp;VAR:SDATE=20010699&amp;VAR:FREQ=Quarterly&amp;VAR:RELITEM=RP&amp;VAR:CURRENCY=&amp;VAR:CURRSOURCE=EXSH","ARE&amp;VAR:NATFREQ=QUARTERLY&amp;VAR:RFIELD=FINALIZED&amp;VAR:DB_TYPE=&amp;VAR:UNITS=M&amp;window=popup&amp;width=450&amp;height=300&amp;START_MAXIMIZED=FALSE"}</definedName>
    <definedName name="_254__FDSAUDITLINK__" hidden="1">{"fdsup://IBCentral/FAT Viewer?action=UPDATE&amp;creator=factset&amp;DOC_NAME=fat:reuters_qtrly_source_window.fat&amp;display_string=Audit&amp;DYN_ARGS=TRUE&amp;VAR:ID1=527343&amp;VAR:RCODE=LTTD&amp;VAR:SDATE=20010399&amp;VAR:FREQ=Quarterly&amp;VAR:RELITEM=RP&amp;VAR:CURRENCY=&amp;VAR:CURRSOURCE=EXSH","ARE&amp;VAR:NATFREQ=QUARTERLY&amp;VAR:RFIELD=FINALIZED&amp;VAR:DB_TYPE=&amp;VAR:UNITS=M&amp;window=popup&amp;width=450&amp;height=300&amp;START_MAXIMIZED=FALSE"}</definedName>
    <definedName name="_255__FDSAUDITLINK__" hidden="1">{"fdsup://IBCentral/FAT Viewer?action=UPDATE&amp;creator=factset&amp;DOC_NAME=fat:reuters_qtrly_source_window.fat&amp;display_string=Audit&amp;DYN_ARGS=TRUE&amp;VAR:ID1=527343&amp;VAR:RCODE=LTTD&amp;VAR:SDATE=20001299&amp;VAR:FREQ=Quarterly&amp;VAR:RELITEM=RP&amp;VAR:CURRENCY=&amp;VAR:CURRSOURCE=EXSH","ARE&amp;VAR:NATFREQ=QUARTERLY&amp;VAR:RFIELD=FINALIZED&amp;VAR:DB_TYPE=&amp;VAR:UNITS=M&amp;window=popup&amp;width=450&amp;height=300&amp;START_MAXIMIZED=FALSE"}</definedName>
    <definedName name="_256__FDSAUDITLINK__" hidden="1">{"fdsup://IBCentral/FAT Viewer?action=UPDATE&amp;creator=factset&amp;DOC_NAME=fat:reuters_qtrly_source_window.fat&amp;display_string=Audit&amp;DYN_ARGS=TRUE&amp;VAR:ID1=527343&amp;VAR:RCODE=LTTD&amp;VAR:SDATE=20000999&amp;VAR:FREQ=Quarterly&amp;VAR:RELITEM=RP&amp;VAR:CURRENCY=&amp;VAR:CURRSOURCE=EXSH","ARE&amp;VAR:NATFREQ=QUARTERLY&amp;VAR:RFIELD=FINALIZED&amp;VAR:DB_TYPE=&amp;VAR:UNITS=M&amp;window=popup&amp;width=450&amp;height=300&amp;START_MAXIMIZED=FALSE"}</definedName>
    <definedName name="_257__FDSAUDITLINK__" hidden="1">{"fdsup://IBCentral/FAT Viewer?action=UPDATE&amp;creator=factset&amp;DOC_NAME=fat:reuters_qtrly_source_window.fat&amp;display_string=Audit&amp;DYN_ARGS=TRUE&amp;VAR:ID1=527343&amp;VAR:RCODE=LTTD&amp;VAR:SDATE=20000699&amp;VAR:FREQ=Quarterly&amp;VAR:RELITEM=RP&amp;VAR:CURRENCY=&amp;VAR:CURRSOURCE=EXSH","ARE&amp;VAR:NATFREQ=QUARTERLY&amp;VAR:RFIELD=FINALIZED&amp;VAR:DB_TYPE=&amp;VAR:UNITS=M&amp;window=popup&amp;width=450&amp;height=300&amp;START_MAXIMIZED=FALSE"}</definedName>
    <definedName name="_258__FDSAUDITLINK__" hidden="1">{"fdsup://IBCentral/FAT Viewer?action=UPDATE&amp;creator=factset&amp;DOC_NAME=fat:reuters_qtrly_source_window.fat&amp;display_string=Audit&amp;DYN_ARGS=TRUE&amp;VAR:ID1=527343&amp;VAR:RCODE=LTTD&amp;VAR:SDATE=20000399&amp;VAR:FREQ=Quarterly&amp;VAR:RELITEM=RP&amp;VAR:CURRENCY=&amp;VAR:CURRSOURCE=EXSH","ARE&amp;VAR:NATFREQ=QUARTERLY&amp;VAR:RFIELD=FINALIZED&amp;VAR:DB_TYPE=&amp;VAR:UNITS=M&amp;window=popup&amp;width=450&amp;height=300&amp;START_MAXIMIZED=FALSE"}</definedName>
    <definedName name="_259__FDSAUDITLINK__" hidden="1">{"fdsup://IBCentral/FAT Viewer?action=UPDATE&amp;creator=factset&amp;DOC_NAME=fat:reuters_qtrly_source_window.fat&amp;display_string=Audit&amp;DYN_ARGS=TRUE&amp;VAR:ID1=527343&amp;VAR:RCODE=DSTT&amp;VAR:SDATE=20100999&amp;VAR:FREQ=Quarterly&amp;VAR:RELITEM=RP&amp;VAR:CURRENCY=&amp;VAR:CURRSOURCE=EXSH","ARE&amp;VAR:NATFREQ=QUARTERLY&amp;VAR:RFIELD=FINALIZED&amp;VAR:DB_TYPE=&amp;VAR:UNITS=M&amp;window=popup&amp;width=450&amp;height=300&amp;START_MAXIMIZED=FALSE"}</definedName>
    <definedName name="_26__123Graph_BGROWTH_REVS_B" hidden="1">#REF!</definedName>
    <definedName name="_26__FDSAUDITLINK__" hidden="1">{"fdsup://IBCentral/FAT Viewer?action=UPDATE&amp;creator=factset&amp;DOC_NAME=fat:reuters_qtrly_source_window.fat&amp;display_string=Audit&amp;DYN_ARGS=TRUE&amp;VAR:ID1=527343&amp;VAR:RCODE=LMIN&amp;VAR:SDATE=20040699&amp;VAR:FREQ=Quarterly&amp;VAR:RELITEM=RP&amp;VAR:CURRENCY=&amp;VAR:CURRSOURCE=EXSH","ARE&amp;VAR:NATFREQ=QUARTERLY&amp;VAR:RFIELD=FINALIZED&amp;VAR:DB_TYPE=&amp;VAR:UNITS=M&amp;window=popup&amp;width=450&amp;height=300&amp;START_MAXIMIZED=FALSE"}</definedName>
    <definedName name="_260__FDSAUDITLINK__" hidden="1">{"fdsup://IBCentral/FAT Viewer?action=UPDATE&amp;creator=factset&amp;DOC_NAME=fat:reuters_qtrly_source_window.fat&amp;display_string=Audit&amp;DYN_ARGS=TRUE&amp;VAR:ID1=527343&amp;VAR:RCODE=DSTT&amp;VAR:SDATE=20100699&amp;VAR:FREQ=Quarterly&amp;VAR:RELITEM=RP&amp;VAR:CURRENCY=&amp;VAR:CURRSOURCE=EXSH","ARE&amp;VAR:NATFREQ=QUARTERLY&amp;VAR:RFIELD=FINALIZED&amp;VAR:DB_TYPE=&amp;VAR:UNITS=M&amp;window=popup&amp;width=450&amp;height=300&amp;START_MAXIMIZED=FALSE"}</definedName>
    <definedName name="_261__FDSAUDITLINK__" hidden="1">{"fdsup://IBCentral/FAT Viewer?action=UPDATE&amp;creator=factset&amp;DOC_NAME=fat:reuters_qtrly_source_window.fat&amp;display_string=Audit&amp;DYN_ARGS=TRUE&amp;VAR:ID1=527343&amp;VAR:RCODE=DSTT&amp;VAR:SDATE=20100399&amp;VAR:FREQ=Quarterly&amp;VAR:RELITEM=RP&amp;VAR:CURRENCY=&amp;VAR:CURRSOURCE=EXSH","ARE&amp;VAR:NATFREQ=QUARTERLY&amp;VAR:RFIELD=FINALIZED&amp;VAR:DB_TYPE=&amp;VAR:UNITS=M&amp;window=popup&amp;width=450&amp;height=300&amp;START_MAXIMIZED=FALSE"}</definedName>
    <definedName name="_262__FDSAUDITLINK__" hidden="1">{"fdsup://IBCentral/FAT Viewer?action=UPDATE&amp;creator=factset&amp;DOC_NAME=fat:reuters_qtrly_source_window.fat&amp;display_string=Audit&amp;DYN_ARGS=TRUE&amp;VAR:ID1=527343&amp;VAR:RCODE=DSTT&amp;VAR:SDATE=20091299&amp;VAR:FREQ=Quarterly&amp;VAR:RELITEM=RP&amp;VAR:CURRENCY=&amp;VAR:CURRSOURCE=EXSH","ARE&amp;VAR:NATFREQ=QUARTERLY&amp;VAR:RFIELD=FINALIZED&amp;VAR:DB_TYPE=&amp;VAR:UNITS=M&amp;window=popup&amp;width=450&amp;height=300&amp;START_MAXIMIZED=FALSE"}</definedName>
    <definedName name="_263__FDSAUDITLINK__" hidden="1">{"fdsup://IBCentral/FAT Viewer?action=UPDATE&amp;creator=factset&amp;DOC_NAME=fat:reuters_qtrly_source_window.fat&amp;display_string=Audit&amp;DYN_ARGS=TRUE&amp;VAR:ID1=527343&amp;VAR:RCODE=DSTT&amp;VAR:SDATE=20090999&amp;VAR:FREQ=Quarterly&amp;VAR:RELITEM=RP&amp;VAR:CURRENCY=&amp;VAR:CURRSOURCE=EXSH","ARE&amp;VAR:NATFREQ=QUARTERLY&amp;VAR:RFIELD=FINALIZED&amp;VAR:DB_TYPE=&amp;VAR:UNITS=M&amp;window=popup&amp;width=450&amp;height=300&amp;START_MAXIMIZED=FALSE"}</definedName>
    <definedName name="_264__FDSAUDITLINK__" hidden="1">{"fdsup://IBCentral/FAT Viewer?action=UPDATE&amp;creator=factset&amp;DOC_NAME=fat:reuters_qtrly_source_window.fat&amp;display_string=Audit&amp;DYN_ARGS=TRUE&amp;VAR:ID1=527343&amp;VAR:RCODE=DSTT&amp;VAR:SDATE=20090699&amp;VAR:FREQ=Quarterly&amp;VAR:RELITEM=RP&amp;VAR:CURRENCY=&amp;VAR:CURRSOURCE=EXSH","ARE&amp;VAR:NATFREQ=QUARTERLY&amp;VAR:RFIELD=FINALIZED&amp;VAR:DB_TYPE=&amp;VAR:UNITS=M&amp;window=popup&amp;width=450&amp;height=300&amp;START_MAXIMIZED=FALSE"}</definedName>
    <definedName name="_265__FDSAUDITLINK__" hidden="1">{"fdsup://IBCentral/FAT Viewer?action=UPDATE&amp;creator=factset&amp;DOC_NAME=fat:reuters_qtrly_source_window.fat&amp;display_string=Audit&amp;DYN_ARGS=TRUE&amp;VAR:ID1=527343&amp;VAR:RCODE=DSTT&amp;VAR:SDATE=20090399&amp;VAR:FREQ=Quarterly&amp;VAR:RELITEM=RP&amp;VAR:CURRENCY=&amp;VAR:CURRSOURCE=EXSH","ARE&amp;VAR:NATFREQ=QUARTERLY&amp;VAR:RFIELD=FINALIZED&amp;VAR:DB_TYPE=&amp;VAR:UNITS=M&amp;window=popup&amp;width=450&amp;height=300&amp;START_MAXIMIZED=FALSE"}</definedName>
    <definedName name="_266__FDSAUDITLINK__" hidden="1">{"fdsup://IBCentral/FAT Viewer?action=UPDATE&amp;creator=factset&amp;DOC_NAME=fat:reuters_qtrly_source_window.fat&amp;display_string=Audit&amp;DYN_ARGS=TRUE&amp;VAR:ID1=527343&amp;VAR:RCODE=DSTT&amp;VAR:SDATE=20081299&amp;VAR:FREQ=Quarterly&amp;VAR:RELITEM=RP&amp;VAR:CURRENCY=&amp;VAR:CURRSOURCE=EXSH","ARE&amp;VAR:NATFREQ=QUARTERLY&amp;VAR:RFIELD=FINALIZED&amp;VAR:DB_TYPE=&amp;VAR:UNITS=M&amp;window=popup&amp;width=450&amp;height=300&amp;START_MAXIMIZED=FALSE"}</definedName>
    <definedName name="_267__FDSAUDITLINK__" hidden="1">{"fdsup://IBCentral/FAT Viewer?action=UPDATE&amp;creator=factset&amp;DOC_NAME=fat:reuters_qtrly_source_window.fat&amp;display_string=Audit&amp;DYN_ARGS=TRUE&amp;VAR:ID1=527343&amp;VAR:RCODE=DSTT&amp;VAR:SDATE=20080999&amp;VAR:FREQ=Quarterly&amp;VAR:RELITEM=RP&amp;VAR:CURRENCY=&amp;VAR:CURRSOURCE=EXSH","ARE&amp;VAR:NATFREQ=QUARTERLY&amp;VAR:RFIELD=FINALIZED&amp;VAR:DB_TYPE=&amp;VAR:UNITS=M&amp;window=popup&amp;width=450&amp;height=300&amp;START_MAXIMIZED=FALSE"}</definedName>
    <definedName name="_268__FDSAUDITLINK__" hidden="1">{"fdsup://IBCentral/FAT Viewer?action=UPDATE&amp;creator=factset&amp;DOC_NAME=fat:reuters_qtrly_source_window.fat&amp;display_string=Audit&amp;DYN_ARGS=TRUE&amp;VAR:ID1=527343&amp;VAR:RCODE=DSTT&amp;VAR:SDATE=20080699&amp;VAR:FREQ=Quarterly&amp;VAR:RELITEM=RP&amp;VAR:CURRENCY=&amp;VAR:CURRSOURCE=EXSH","ARE&amp;VAR:NATFREQ=QUARTERLY&amp;VAR:RFIELD=FINALIZED&amp;VAR:DB_TYPE=&amp;VAR:UNITS=M&amp;window=popup&amp;width=450&amp;height=300&amp;START_MAXIMIZED=FALSE"}</definedName>
    <definedName name="_269__FDSAUDITLINK__" hidden="1">{"fdsup://IBCentral/FAT Viewer?action=UPDATE&amp;creator=factset&amp;DOC_NAME=fat:reuters_qtrly_source_window.fat&amp;display_string=Audit&amp;DYN_ARGS=TRUE&amp;VAR:ID1=527343&amp;VAR:RCODE=DSTT&amp;VAR:SDATE=20080399&amp;VAR:FREQ=Quarterly&amp;VAR:RELITEM=RP&amp;VAR:CURRENCY=&amp;VAR:CURRSOURCE=EXSH","ARE&amp;VAR:NATFREQ=QUARTERLY&amp;VAR:RFIELD=FINALIZED&amp;VAR:DB_TYPE=&amp;VAR:UNITS=M&amp;window=popup&amp;width=450&amp;height=300&amp;START_MAXIMIZED=FALSE"}</definedName>
    <definedName name="_27__123Graph_CCHART_111" hidden="1">[9]Menu!$D$25:$M$25</definedName>
    <definedName name="_27__FDSAUDITLINK__" hidden="1">{"fdsup://IBCentral/FAT Viewer?action=UPDATE&amp;creator=factset&amp;DOC_NAME=fat:reuters_qtrly_source_window.fat&amp;display_string=Audit&amp;DYN_ARGS=TRUE&amp;VAR:ID1=527343&amp;VAR:RCODE=LMIN&amp;VAR:SDATE=20040399&amp;VAR:FREQ=Quarterly&amp;VAR:RELITEM=RP&amp;VAR:CURRENCY=&amp;VAR:CURRSOURCE=EXSH","ARE&amp;VAR:NATFREQ=QUARTERLY&amp;VAR:RFIELD=FINALIZED&amp;VAR:DB_TYPE=&amp;VAR:UNITS=M&amp;window=popup&amp;width=450&amp;height=300&amp;START_MAXIMIZED=FALSE"}</definedName>
    <definedName name="_270__FDSAUDITLINK__" hidden="1">{"fdsup://IBCentral/FAT Viewer?action=UPDATE&amp;creator=factset&amp;DOC_NAME=fat:reuters_qtrly_source_window.fat&amp;display_string=Audit&amp;DYN_ARGS=TRUE&amp;VAR:ID1=527343&amp;VAR:RCODE=DSTT&amp;VAR:SDATE=20071299&amp;VAR:FREQ=Quarterly&amp;VAR:RELITEM=RP&amp;VAR:CURRENCY=&amp;VAR:CURRSOURCE=EXSH","ARE&amp;VAR:NATFREQ=QUARTERLY&amp;VAR:RFIELD=FINALIZED&amp;VAR:DB_TYPE=&amp;VAR:UNITS=M&amp;window=popup&amp;width=450&amp;height=300&amp;START_MAXIMIZED=FALSE"}</definedName>
    <definedName name="_271__FDSAUDITLINK__" hidden="1">{"fdsup://IBCentral/FAT Viewer?action=UPDATE&amp;creator=factset&amp;DOC_NAME=fat:reuters_qtrly_source_window.fat&amp;display_string=Audit&amp;DYN_ARGS=TRUE&amp;VAR:ID1=527343&amp;VAR:RCODE=DSTT&amp;VAR:SDATE=20070999&amp;VAR:FREQ=Quarterly&amp;VAR:RELITEM=RP&amp;VAR:CURRENCY=&amp;VAR:CURRSOURCE=EXSH","ARE&amp;VAR:NATFREQ=QUARTERLY&amp;VAR:RFIELD=FINALIZED&amp;VAR:DB_TYPE=&amp;VAR:UNITS=M&amp;window=popup&amp;width=450&amp;height=300&amp;START_MAXIMIZED=FALSE"}</definedName>
    <definedName name="_272__FDSAUDITLINK__" hidden="1">{"fdsup://IBCentral/FAT Viewer?action=UPDATE&amp;creator=factset&amp;DOC_NAME=fat:reuters_qtrly_source_window.fat&amp;display_string=Audit&amp;DYN_ARGS=TRUE&amp;VAR:ID1=527343&amp;VAR:RCODE=DSTT&amp;VAR:SDATE=20070699&amp;VAR:FREQ=Quarterly&amp;VAR:RELITEM=RP&amp;VAR:CURRENCY=&amp;VAR:CURRSOURCE=EXSH","ARE&amp;VAR:NATFREQ=QUARTERLY&amp;VAR:RFIELD=FINALIZED&amp;VAR:DB_TYPE=&amp;VAR:UNITS=M&amp;window=popup&amp;width=450&amp;height=300&amp;START_MAXIMIZED=FALSE"}</definedName>
    <definedName name="_273__FDSAUDITLINK__" hidden="1">{"fdsup://IBCentral/FAT Viewer?action=UPDATE&amp;creator=factset&amp;DOC_NAME=fat:reuters_qtrly_source_window.fat&amp;display_string=Audit&amp;DYN_ARGS=TRUE&amp;VAR:ID1=527343&amp;VAR:RCODE=DSTT&amp;VAR:SDATE=20070399&amp;VAR:FREQ=Quarterly&amp;VAR:RELITEM=RP&amp;VAR:CURRENCY=&amp;VAR:CURRSOURCE=EXSH","ARE&amp;VAR:NATFREQ=QUARTERLY&amp;VAR:RFIELD=FINALIZED&amp;VAR:DB_TYPE=&amp;VAR:UNITS=M&amp;window=popup&amp;width=450&amp;height=300&amp;START_MAXIMIZED=FALSE"}</definedName>
    <definedName name="_274__FDSAUDITLINK__" hidden="1">{"fdsup://IBCentral/FAT Viewer?action=UPDATE&amp;creator=factset&amp;DOC_NAME=fat:reuters_qtrly_source_window.fat&amp;display_string=Audit&amp;DYN_ARGS=TRUE&amp;VAR:ID1=527343&amp;VAR:RCODE=DSTT&amp;VAR:SDATE=20061299&amp;VAR:FREQ=Quarterly&amp;VAR:RELITEM=RP&amp;VAR:CURRENCY=&amp;VAR:CURRSOURCE=EXSH","ARE&amp;VAR:NATFREQ=QUARTERLY&amp;VAR:RFIELD=FINALIZED&amp;VAR:DB_TYPE=&amp;VAR:UNITS=M&amp;window=popup&amp;width=450&amp;height=300&amp;START_MAXIMIZED=FALSE"}</definedName>
    <definedName name="_275__FDSAUDITLINK__" hidden="1">{"fdsup://IBCentral/FAT Viewer?action=UPDATE&amp;creator=factset&amp;DOC_NAME=fat:reuters_qtrly_source_window.fat&amp;display_string=Audit&amp;DYN_ARGS=TRUE&amp;VAR:ID1=527343&amp;VAR:RCODE=DSTT&amp;VAR:SDATE=20060999&amp;VAR:FREQ=Quarterly&amp;VAR:RELITEM=RP&amp;VAR:CURRENCY=&amp;VAR:CURRSOURCE=EXSH","ARE&amp;VAR:NATFREQ=QUARTERLY&amp;VAR:RFIELD=FINALIZED&amp;VAR:DB_TYPE=&amp;VAR:UNITS=M&amp;window=popup&amp;width=450&amp;height=300&amp;START_MAXIMIZED=FALSE"}</definedName>
    <definedName name="_276__FDSAUDITLINK__" hidden="1">{"fdsup://IBCentral/FAT Viewer?action=UPDATE&amp;creator=factset&amp;DOC_NAME=fat:reuters_qtrly_source_window.fat&amp;display_string=Audit&amp;DYN_ARGS=TRUE&amp;VAR:ID1=527343&amp;VAR:RCODE=DSTT&amp;VAR:SDATE=20060699&amp;VAR:FREQ=Quarterly&amp;VAR:RELITEM=RP&amp;VAR:CURRENCY=&amp;VAR:CURRSOURCE=EXSH","ARE&amp;VAR:NATFREQ=QUARTERLY&amp;VAR:RFIELD=FINALIZED&amp;VAR:DB_TYPE=&amp;VAR:UNITS=M&amp;window=popup&amp;width=450&amp;height=300&amp;START_MAXIMIZED=FALSE"}</definedName>
    <definedName name="_277__FDSAUDITLINK__" hidden="1">{"fdsup://IBCentral/FAT Viewer?action=UPDATE&amp;creator=factset&amp;DOC_NAME=fat:reuters_qtrly_source_window.fat&amp;display_string=Audit&amp;DYN_ARGS=TRUE&amp;VAR:ID1=527343&amp;VAR:RCODE=DSTT&amp;VAR:SDATE=20060399&amp;VAR:FREQ=Quarterly&amp;VAR:RELITEM=RP&amp;VAR:CURRENCY=&amp;VAR:CURRSOURCE=EXSH","ARE&amp;VAR:NATFREQ=QUARTERLY&amp;VAR:RFIELD=FINALIZED&amp;VAR:DB_TYPE=&amp;VAR:UNITS=M&amp;window=popup&amp;width=450&amp;height=300&amp;START_MAXIMIZED=FALSE"}</definedName>
    <definedName name="_278__FDSAUDITLINK__" hidden="1">{"fdsup://IBCentral/FAT Viewer?action=UPDATE&amp;creator=factset&amp;DOC_NAME=fat:reuters_qtrly_source_window.fat&amp;display_string=Audit&amp;DYN_ARGS=TRUE&amp;VAR:ID1=527343&amp;VAR:RCODE=DSTT&amp;VAR:SDATE=20051299&amp;VAR:FREQ=Quarterly&amp;VAR:RELITEM=RP&amp;VAR:CURRENCY=&amp;VAR:CURRSOURCE=EXSH","ARE&amp;VAR:NATFREQ=QUARTERLY&amp;VAR:RFIELD=FINALIZED&amp;VAR:DB_TYPE=&amp;VAR:UNITS=M&amp;window=popup&amp;width=450&amp;height=300&amp;START_MAXIMIZED=FALSE"}</definedName>
    <definedName name="_279__FDSAUDITLINK__" hidden="1">{"fdsup://IBCentral/FAT Viewer?action=UPDATE&amp;creator=factset&amp;DOC_NAME=fat:reuters_qtrly_source_window.fat&amp;display_string=Audit&amp;DYN_ARGS=TRUE&amp;VAR:ID1=527343&amp;VAR:RCODE=DSTT&amp;VAR:SDATE=20050999&amp;VAR:FREQ=Quarterly&amp;VAR:RELITEM=RP&amp;VAR:CURRENCY=&amp;VAR:CURRSOURCE=EXSH","ARE&amp;VAR:NATFREQ=QUARTERLY&amp;VAR:RFIELD=FINALIZED&amp;VAR:DB_TYPE=&amp;VAR:UNITS=M&amp;window=popup&amp;width=450&amp;height=300&amp;START_MAXIMIZED=FALSE"}</definedName>
    <definedName name="_28__123Graph_CCHART_112" hidden="1">[9]Menu!$D$19:$M$19</definedName>
    <definedName name="_28__FDSAUDITLINK__" hidden="1">{"fdsup://IBCentral/FAT Viewer?action=UPDATE&amp;creator=factset&amp;DOC_NAME=fat:reuters_qtrly_source_window.fat&amp;display_string=Audit&amp;DYN_ARGS=TRUE&amp;VAR:ID1=527343&amp;VAR:RCODE=LMIN&amp;VAR:SDATE=20031299&amp;VAR:FREQ=Quarterly&amp;VAR:RELITEM=RP&amp;VAR:CURRENCY=&amp;VAR:CURRSOURCE=EXSH","ARE&amp;VAR:NATFREQ=QUARTERLY&amp;VAR:RFIELD=FINALIZED&amp;VAR:DB_TYPE=&amp;VAR:UNITS=M&amp;window=popup&amp;width=450&amp;height=300&amp;START_MAXIMIZED=FALSE"}</definedName>
    <definedName name="_280__FDSAUDITLINK__" hidden="1">{"fdsup://IBCentral/FAT Viewer?action=UPDATE&amp;creator=factset&amp;DOC_NAME=fat:reuters_qtrly_source_window.fat&amp;display_string=Audit&amp;DYN_ARGS=TRUE&amp;VAR:ID1=527343&amp;VAR:RCODE=DSTT&amp;VAR:SDATE=20050699&amp;VAR:FREQ=Quarterly&amp;VAR:RELITEM=RP&amp;VAR:CURRENCY=&amp;VAR:CURRSOURCE=EXSH","ARE&amp;VAR:NATFREQ=QUARTERLY&amp;VAR:RFIELD=FINALIZED&amp;VAR:DB_TYPE=&amp;VAR:UNITS=M&amp;window=popup&amp;width=450&amp;height=300&amp;START_MAXIMIZED=FALSE"}</definedName>
    <definedName name="_281__FDSAUDITLINK__" hidden="1">{"fdsup://IBCentral/FAT Viewer?action=UPDATE&amp;creator=factset&amp;DOC_NAME=fat:reuters_qtrly_source_window.fat&amp;display_string=Audit&amp;DYN_ARGS=TRUE&amp;VAR:ID1=527343&amp;VAR:RCODE=DSTT&amp;VAR:SDATE=20050399&amp;VAR:FREQ=Quarterly&amp;VAR:RELITEM=RP&amp;VAR:CURRENCY=&amp;VAR:CURRSOURCE=EXSH","ARE&amp;VAR:NATFREQ=QUARTERLY&amp;VAR:RFIELD=FINALIZED&amp;VAR:DB_TYPE=&amp;VAR:UNITS=M&amp;window=popup&amp;width=450&amp;height=300&amp;START_MAXIMIZED=FALSE"}</definedName>
    <definedName name="_282__FDSAUDITLINK__" hidden="1">{"fdsup://IBCentral/FAT Viewer?action=UPDATE&amp;creator=factset&amp;DOC_NAME=fat:reuters_qtrly_source_window.fat&amp;display_string=Audit&amp;DYN_ARGS=TRUE&amp;VAR:ID1=527343&amp;VAR:RCODE=DSTT&amp;VAR:SDATE=20041299&amp;VAR:FREQ=Quarterly&amp;VAR:RELITEM=RP&amp;VAR:CURRENCY=&amp;VAR:CURRSOURCE=EXSH","ARE&amp;VAR:NATFREQ=QUARTERLY&amp;VAR:RFIELD=FINALIZED&amp;VAR:DB_TYPE=&amp;VAR:UNITS=M&amp;window=popup&amp;width=450&amp;height=300&amp;START_MAXIMIZED=FALSE"}</definedName>
    <definedName name="_283__FDSAUDITLINK__" hidden="1">{"fdsup://IBCentral/FAT Viewer?action=UPDATE&amp;creator=factset&amp;DOC_NAME=fat:reuters_qtrly_source_window.fat&amp;display_string=Audit&amp;DYN_ARGS=TRUE&amp;VAR:ID1=527343&amp;VAR:RCODE=DSTT&amp;VAR:SDATE=20040999&amp;VAR:FREQ=Quarterly&amp;VAR:RELITEM=RP&amp;VAR:CURRENCY=&amp;VAR:CURRSOURCE=EXSH","ARE&amp;VAR:NATFREQ=QUARTERLY&amp;VAR:RFIELD=FINALIZED&amp;VAR:DB_TYPE=&amp;VAR:UNITS=M&amp;window=popup&amp;width=450&amp;height=300&amp;START_MAXIMIZED=FALSE"}</definedName>
    <definedName name="_284__FDSAUDITLINK__" hidden="1">{"fdsup://IBCentral/FAT Viewer?action=UPDATE&amp;creator=factset&amp;DOC_NAME=fat:reuters_qtrly_source_window.fat&amp;display_string=Audit&amp;DYN_ARGS=TRUE&amp;VAR:ID1=527343&amp;VAR:RCODE=DSTT&amp;VAR:SDATE=20040699&amp;VAR:FREQ=Quarterly&amp;VAR:RELITEM=RP&amp;VAR:CURRENCY=&amp;VAR:CURRSOURCE=EXSH","ARE&amp;VAR:NATFREQ=QUARTERLY&amp;VAR:RFIELD=FINALIZED&amp;VAR:DB_TYPE=&amp;VAR:UNITS=M&amp;window=popup&amp;width=450&amp;height=300&amp;START_MAXIMIZED=FALSE"}</definedName>
    <definedName name="_285__FDSAUDITLINK__" hidden="1">{"fdsup://IBCentral/FAT Viewer?action=UPDATE&amp;creator=factset&amp;DOC_NAME=fat:reuters_qtrly_source_window.fat&amp;display_string=Audit&amp;DYN_ARGS=TRUE&amp;VAR:ID1=527343&amp;VAR:RCODE=DSTT&amp;VAR:SDATE=20040399&amp;VAR:FREQ=Quarterly&amp;VAR:RELITEM=RP&amp;VAR:CURRENCY=&amp;VAR:CURRSOURCE=EXSH","ARE&amp;VAR:NATFREQ=QUARTERLY&amp;VAR:RFIELD=FINALIZED&amp;VAR:DB_TYPE=&amp;VAR:UNITS=M&amp;window=popup&amp;width=450&amp;height=300&amp;START_MAXIMIZED=FALSE"}</definedName>
    <definedName name="_286__FDSAUDITLINK__" hidden="1">{"fdsup://IBCentral/FAT Viewer?action=UPDATE&amp;creator=factset&amp;DOC_NAME=fat:reuters_qtrly_source_window.fat&amp;display_string=Audit&amp;DYN_ARGS=TRUE&amp;VAR:ID1=527343&amp;VAR:RCODE=DSTT&amp;VAR:SDATE=20031299&amp;VAR:FREQ=Quarterly&amp;VAR:RELITEM=RP&amp;VAR:CURRENCY=&amp;VAR:CURRSOURCE=EXSH","ARE&amp;VAR:NATFREQ=QUARTERLY&amp;VAR:RFIELD=FINALIZED&amp;VAR:DB_TYPE=&amp;VAR:UNITS=M&amp;window=popup&amp;width=450&amp;height=300&amp;START_MAXIMIZED=FALSE"}</definedName>
    <definedName name="_287__FDSAUDITLINK__" hidden="1">{"fdsup://IBCentral/FAT Viewer?action=UPDATE&amp;creator=factset&amp;DOC_NAME=fat:reuters_qtrly_source_window.fat&amp;display_string=Audit&amp;DYN_ARGS=TRUE&amp;VAR:ID1=527343&amp;VAR:RCODE=DSTT&amp;VAR:SDATE=20030999&amp;VAR:FREQ=Quarterly&amp;VAR:RELITEM=RP&amp;VAR:CURRENCY=&amp;VAR:CURRSOURCE=EXSH","ARE&amp;VAR:NATFREQ=QUARTERLY&amp;VAR:RFIELD=FINALIZED&amp;VAR:DB_TYPE=&amp;VAR:UNITS=M&amp;window=popup&amp;width=450&amp;height=300&amp;START_MAXIMIZED=FALSE"}</definedName>
    <definedName name="_288__FDSAUDITLINK__" hidden="1">{"fdsup://IBCentral/FAT Viewer?action=UPDATE&amp;creator=factset&amp;DOC_NAME=fat:reuters_qtrly_source_window.fat&amp;display_string=Audit&amp;DYN_ARGS=TRUE&amp;VAR:ID1=527343&amp;VAR:RCODE=DSTT&amp;VAR:SDATE=20030699&amp;VAR:FREQ=Quarterly&amp;VAR:RELITEM=RP&amp;VAR:CURRENCY=&amp;VAR:CURRSOURCE=EXSH","ARE&amp;VAR:NATFREQ=QUARTERLY&amp;VAR:RFIELD=FINALIZED&amp;VAR:DB_TYPE=&amp;VAR:UNITS=M&amp;window=popup&amp;width=450&amp;height=300&amp;START_MAXIMIZED=FALSE"}</definedName>
    <definedName name="_289__FDSAUDITLINK__" hidden="1">{"fdsup://IBCentral/FAT Viewer?action=UPDATE&amp;creator=factset&amp;DOC_NAME=fat:reuters_qtrly_source_window.fat&amp;display_string=Audit&amp;DYN_ARGS=TRUE&amp;VAR:ID1=527343&amp;VAR:RCODE=DSTT&amp;VAR:SDATE=20030399&amp;VAR:FREQ=Quarterly&amp;VAR:RELITEM=RP&amp;VAR:CURRENCY=&amp;VAR:CURRSOURCE=EXSH","ARE&amp;VAR:NATFREQ=QUARTERLY&amp;VAR:RFIELD=FINALIZED&amp;VAR:DB_TYPE=&amp;VAR:UNITS=M&amp;window=popup&amp;width=450&amp;height=300&amp;START_MAXIMIZED=FALSE"}</definedName>
    <definedName name="_29__123Graph_CCHART_26" hidden="1">[9]Menu!$D$92:$M$92</definedName>
    <definedName name="_29__FDSAUDITLINK__" hidden="1">{"fdsup://IBCentral/FAT Viewer?action=UPDATE&amp;creator=factset&amp;DOC_NAME=fat:reuters_qtrly_source_window.fat&amp;display_string=Audit&amp;DYN_ARGS=TRUE&amp;VAR:ID1=527343&amp;VAR:RCODE=LMIN&amp;VAR:SDATE=20030999&amp;VAR:FREQ=Quarterly&amp;VAR:RELITEM=RP&amp;VAR:CURRENCY=&amp;VAR:CURRSOURCE=EXSH","ARE&amp;VAR:NATFREQ=QUARTERLY&amp;VAR:RFIELD=FINALIZED&amp;VAR:DB_TYPE=&amp;VAR:UNITS=M&amp;window=popup&amp;width=450&amp;height=300&amp;START_MAXIMIZED=FALSE"}</definedName>
    <definedName name="_290__FDSAUDITLINK__" hidden="1">{"fdsup://IBCentral/FAT Viewer?action=UPDATE&amp;creator=factset&amp;DOC_NAME=fat:reuters_qtrly_source_window.fat&amp;display_string=Audit&amp;DYN_ARGS=TRUE&amp;VAR:ID1=527343&amp;VAR:RCODE=DSTT&amp;VAR:SDATE=20021299&amp;VAR:FREQ=Quarterly&amp;VAR:RELITEM=RP&amp;VAR:CURRENCY=&amp;VAR:CURRSOURCE=EXSH","ARE&amp;VAR:NATFREQ=QUARTERLY&amp;VAR:RFIELD=FINALIZED&amp;VAR:DB_TYPE=&amp;VAR:UNITS=M&amp;window=popup&amp;width=450&amp;height=300&amp;START_MAXIMIZED=FALSE"}</definedName>
    <definedName name="_291__FDSAUDITLINK__" hidden="1">{"fdsup://IBCentral/FAT Viewer?action=UPDATE&amp;creator=factset&amp;DOC_NAME=fat:reuters_qtrly_source_window.fat&amp;display_string=Audit&amp;DYN_ARGS=TRUE&amp;VAR:ID1=527343&amp;VAR:RCODE=DSTT&amp;VAR:SDATE=20020999&amp;VAR:FREQ=Quarterly&amp;VAR:RELITEM=RP&amp;VAR:CURRENCY=&amp;VAR:CURRSOURCE=EXSH","ARE&amp;VAR:NATFREQ=QUARTERLY&amp;VAR:RFIELD=FINALIZED&amp;VAR:DB_TYPE=&amp;VAR:UNITS=M&amp;window=popup&amp;width=450&amp;height=300&amp;START_MAXIMIZED=FALSE"}</definedName>
    <definedName name="_292__FDSAUDITLINK__" hidden="1">{"fdsup://IBCentral/FAT Viewer?action=UPDATE&amp;creator=factset&amp;DOC_NAME=fat:reuters_qtrly_source_window.fat&amp;display_string=Audit&amp;DYN_ARGS=TRUE&amp;VAR:ID1=527343&amp;VAR:RCODE=DSTT&amp;VAR:SDATE=20020699&amp;VAR:FREQ=Quarterly&amp;VAR:RELITEM=RP&amp;VAR:CURRENCY=&amp;VAR:CURRSOURCE=EXSH","ARE&amp;VAR:NATFREQ=QUARTERLY&amp;VAR:RFIELD=FINALIZED&amp;VAR:DB_TYPE=&amp;VAR:UNITS=M&amp;window=popup&amp;width=450&amp;height=300&amp;START_MAXIMIZED=FALSE"}</definedName>
    <definedName name="_293__FDSAUDITLINK__" hidden="1">{"fdsup://IBCentral/FAT Viewer?action=UPDATE&amp;creator=factset&amp;DOC_NAME=fat:reuters_qtrly_source_window.fat&amp;display_string=Audit&amp;DYN_ARGS=TRUE&amp;VAR:ID1=527343&amp;VAR:RCODE=DSTT&amp;VAR:SDATE=20020399&amp;VAR:FREQ=Quarterly&amp;VAR:RELITEM=RP&amp;VAR:CURRENCY=&amp;VAR:CURRSOURCE=EXSH","ARE&amp;VAR:NATFREQ=QUARTERLY&amp;VAR:RFIELD=FINALIZED&amp;VAR:DB_TYPE=&amp;VAR:UNITS=M&amp;window=popup&amp;width=450&amp;height=300&amp;START_MAXIMIZED=FALSE"}</definedName>
    <definedName name="_294__FDSAUDITLINK__" hidden="1">{"fdsup://IBCentral/FAT Viewer?action=UPDATE&amp;creator=factset&amp;DOC_NAME=fat:reuters_qtrly_source_window.fat&amp;display_string=Audit&amp;DYN_ARGS=TRUE&amp;VAR:ID1=527343&amp;VAR:RCODE=DSTT&amp;VAR:SDATE=20011299&amp;VAR:FREQ=Quarterly&amp;VAR:RELITEM=RP&amp;VAR:CURRENCY=&amp;VAR:CURRSOURCE=EXSH","ARE&amp;VAR:NATFREQ=QUARTERLY&amp;VAR:RFIELD=FINALIZED&amp;VAR:DB_TYPE=&amp;VAR:UNITS=M&amp;window=popup&amp;width=450&amp;height=300&amp;START_MAXIMIZED=FALSE"}</definedName>
    <definedName name="_295__FDSAUDITLINK__" hidden="1">{"fdsup://IBCentral/FAT Viewer?action=UPDATE&amp;creator=factset&amp;DOC_NAME=fat:reuters_qtrly_source_window.fat&amp;display_string=Audit&amp;DYN_ARGS=TRUE&amp;VAR:ID1=527343&amp;VAR:RCODE=DSTT&amp;VAR:SDATE=20010999&amp;VAR:FREQ=Quarterly&amp;VAR:RELITEM=RP&amp;VAR:CURRENCY=&amp;VAR:CURRSOURCE=EXSH","ARE&amp;VAR:NATFREQ=QUARTERLY&amp;VAR:RFIELD=FINALIZED&amp;VAR:DB_TYPE=&amp;VAR:UNITS=M&amp;window=popup&amp;width=450&amp;height=300&amp;START_MAXIMIZED=FALSE"}</definedName>
    <definedName name="_296__FDSAUDITLINK__" hidden="1">{"fdsup://IBCentral/FAT Viewer?action=UPDATE&amp;creator=factset&amp;DOC_NAME=fat:reuters_qtrly_source_window.fat&amp;display_string=Audit&amp;DYN_ARGS=TRUE&amp;VAR:ID1=527343&amp;VAR:RCODE=DSTT&amp;VAR:SDATE=20010699&amp;VAR:FREQ=Quarterly&amp;VAR:RELITEM=RP&amp;VAR:CURRENCY=&amp;VAR:CURRSOURCE=EXSH","ARE&amp;VAR:NATFREQ=QUARTERLY&amp;VAR:RFIELD=FINALIZED&amp;VAR:DB_TYPE=&amp;VAR:UNITS=M&amp;window=popup&amp;width=450&amp;height=300&amp;START_MAXIMIZED=FALSE"}</definedName>
    <definedName name="_297__FDSAUDITLINK__" hidden="1">{"fdsup://IBCentral/FAT Viewer?action=UPDATE&amp;creator=factset&amp;DOC_NAME=fat:reuters_qtrly_source_window.fat&amp;display_string=Audit&amp;DYN_ARGS=TRUE&amp;VAR:ID1=527343&amp;VAR:RCODE=DSTT&amp;VAR:SDATE=20010399&amp;VAR:FREQ=Quarterly&amp;VAR:RELITEM=RP&amp;VAR:CURRENCY=&amp;VAR:CURRSOURCE=EXSH","ARE&amp;VAR:NATFREQ=QUARTERLY&amp;VAR:RFIELD=FINALIZED&amp;VAR:DB_TYPE=&amp;VAR:UNITS=M&amp;window=popup&amp;width=450&amp;height=300&amp;START_MAXIMIZED=FALSE"}</definedName>
    <definedName name="_298__FDSAUDITLINK__" hidden="1">{"fdsup://IBCentral/FAT Viewer?action=UPDATE&amp;creator=factset&amp;DOC_NAME=fat:reuters_qtrly_source_window.fat&amp;display_string=Audit&amp;DYN_ARGS=TRUE&amp;VAR:ID1=527343&amp;VAR:RCODE=DSTT&amp;VAR:SDATE=20001299&amp;VAR:FREQ=Quarterly&amp;VAR:RELITEM=RP&amp;VAR:CURRENCY=&amp;VAR:CURRSOURCE=EXSH","ARE&amp;VAR:NATFREQ=QUARTERLY&amp;VAR:RFIELD=FINALIZED&amp;VAR:DB_TYPE=&amp;VAR:UNITS=M&amp;window=popup&amp;width=450&amp;height=300&amp;START_MAXIMIZED=FALSE"}</definedName>
    <definedName name="_299__FDSAUDITLINK__" hidden="1">{"fdsup://IBCentral/FAT Viewer?action=UPDATE&amp;creator=factset&amp;DOC_NAME=fat:reuters_qtrly_source_window.fat&amp;display_string=Audit&amp;DYN_ARGS=TRUE&amp;VAR:ID1=527343&amp;VAR:RCODE=DSTT&amp;VAR:SDATE=20000999&amp;VAR:FREQ=Quarterly&amp;VAR:RELITEM=RP&amp;VAR:CURRENCY=&amp;VAR:CURRSOURCE=EXSH","ARE&amp;VAR:NATFREQ=QUARTERLY&amp;VAR:RFIELD=FINALIZED&amp;VAR:DB_TYPE=&amp;VAR:UNITS=M&amp;window=popup&amp;width=450&amp;height=300&amp;START_MAXIMIZED=FALSE"}</definedName>
    <definedName name="_3__123Graph_BMKT_MONTH" hidden="1">[5]SALES!#REF!</definedName>
    <definedName name="_3__123Graph_Xグラフ_1" hidden="1">#REF!</definedName>
    <definedName name="_3__FDSAUDITLINK__" hidden="1">{"fdsup://IBCentral/FAT Viewer?action=UPDATE&amp;creator=factset&amp;DOC_NAME=fat:reuters_qtrly_source_window.fat&amp;display_string=Audit&amp;DYN_ARGS=TRUE&amp;VAR:ID1=527343&amp;VAR:RCODE=LMIN&amp;VAR:SDATE=20100399&amp;VAR:FREQ=Quarterly&amp;VAR:RELITEM=RP&amp;VAR:CURRENCY=&amp;VAR:CURRSOURCE=EXSH","ARE&amp;VAR:NATFREQ=QUARTERLY&amp;VAR:RFIELD=FINALIZED&amp;VAR:DB_TYPE=&amp;VAR:UNITS=M&amp;window=popup&amp;width=450&amp;height=300&amp;START_MAXIMIZED=FALSE"}</definedName>
    <definedName name="_30__123Graph_CCHART_30" hidden="1">[9]Menu!$D$12:$M$12</definedName>
    <definedName name="_30__FDSAUDITLINK__" hidden="1">{"fdsup://IBCentral/FAT Viewer?action=UPDATE&amp;creator=factset&amp;DOC_NAME=fat:reuters_qtrly_source_window.fat&amp;display_string=Audit&amp;DYN_ARGS=TRUE&amp;VAR:ID1=527343&amp;VAR:RCODE=LMIN&amp;VAR:SDATE=20030699&amp;VAR:FREQ=Quarterly&amp;VAR:RELITEM=RP&amp;VAR:CURRENCY=&amp;VAR:CURRSOURCE=EXSH","ARE&amp;VAR:NATFREQ=QUARTERLY&amp;VAR:RFIELD=FINALIZED&amp;VAR:DB_TYPE=&amp;VAR:UNITS=M&amp;window=popup&amp;width=450&amp;height=300&amp;START_MAXIMIZED=FALSE"}</definedName>
    <definedName name="_300__FDSAUDITLINK__" hidden="1">{"fdsup://IBCentral/FAT Viewer?action=UPDATE&amp;creator=factset&amp;DOC_NAME=fat:reuters_qtrly_source_window.fat&amp;display_string=Audit&amp;DYN_ARGS=TRUE&amp;VAR:ID1=527343&amp;VAR:RCODE=DSTT&amp;VAR:SDATE=20000699&amp;VAR:FREQ=Quarterly&amp;VAR:RELITEM=RP&amp;VAR:CURRENCY=&amp;VAR:CURRSOURCE=EXSH","ARE&amp;VAR:NATFREQ=QUARTERLY&amp;VAR:RFIELD=FINALIZED&amp;VAR:DB_TYPE=&amp;VAR:UNITS=M&amp;window=popup&amp;width=450&amp;height=300&amp;START_MAXIMIZED=FALSE"}</definedName>
    <definedName name="_301__FDSAUDITLINK__" hidden="1">{"fdsup://IBCentral/FAT Viewer?action=UPDATE&amp;creator=factset&amp;DOC_NAME=fat:reuters_qtrly_source_window.fat&amp;display_string=Audit&amp;DYN_ARGS=TRUE&amp;VAR:ID1=527343&amp;VAR:RCODE=DSTT&amp;VAR:SDATE=20000399&amp;VAR:FREQ=Quarterly&amp;VAR:RELITEM=RP&amp;VAR:CURRENCY=&amp;VAR:CURRSOURCE=EXSH","ARE&amp;VAR:NATFREQ=QUARTERLY&amp;VAR:RFIELD=FINALIZED&amp;VAR:DB_TYPE=&amp;VAR:UNITS=M&amp;window=popup&amp;width=450&amp;height=300&amp;START_MAXIMIZED=FALSE"}</definedName>
    <definedName name="_302__FDSAUDITLINK__" hidden="1">{"fdsup://IBCentral/FAT Viewer?action=UPDATE&amp;creator=factset&amp;DOC_NAME=fat:reuters_qtrly_source_window.fat&amp;display_string=Audit&amp;DYN_ARGS=TRUE&amp;VAR:ID1=527343&amp;VAR:RCODE=SCSI&amp;VAR:SDATE=20100999&amp;VAR:FREQ=Quarterly&amp;VAR:RELITEM=RP&amp;VAR:CURRENCY=&amp;VAR:CURRSOURCE=EXSH","ARE&amp;VAR:NATFREQ=QUARTERLY&amp;VAR:RFIELD=FINALIZED&amp;VAR:DB_TYPE=&amp;VAR:UNITS=M&amp;window=popup&amp;width=450&amp;height=300&amp;START_MAXIMIZED=FALSE"}</definedName>
    <definedName name="_303__FDSAUDITLINK__" hidden="1">{"fdsup://IBCentral/FAT Viewer?action=UPDATE&amp;creator=factset&amp;DOC_NAME=fat:reuters_qtrly_source_window.fat&amp;display_string=Audit&amp;DYN_ARGS=TRUE&amp;VAR:ID1=527343&amp;VAR:RCODE=SCSI&amp;VAR:SDATE=20100699&amp;VAR:FREQ=Quarterly&amp;VAR:RELITEM=RP&amp;VAR:CURRENCY=&amp;VAR:CURRSOURCE=EXSH","ARE&amp;VAR:NATFREQ=QUARTERLY&amp;VAR:RFIELD=FINALIZED&amp;VAR:DB_TYPE=&amp;VAR:UNITS=M&amp;window=popup&amp;width=450&amp;height=300&amp;START_MAXIMIZED=FALSE"}</definedName>
    <definedName name="_304__FDSAUDITLINK__" hidden="1">{"fdsup://IBCentral/FAT Viewer?action=UPDATE&amp;creator=factset&amp;DOC_NAME=fat:reuters_qtrly_source_window.fat&amp;display_string=Audit&amp;DYN_ARGS=TRUE&amp;VAR:ID1=527343&amp;VAR:RCODE=SCSI&amp;VAR:SDATE=20100399&amp;VAR:FREQ=Quarterly&amp;VAR:RELITEM=RP&amp;VAR:CURRENCY=&amp;VAR:CURRSOURCE=EXSH","ARE&amp;VAR:NATFREQ=QUARTERLY&amp;VAR:RFIELD=FINALIZED&amp;VAR:DB_TYPE=&amp;VAR:UNITS=M&amp;window=popup&amp;width=450&amp;height=300&amp;START_MAXIMIZED=FALSE"}</definedName>
    <definedName name="_305__FDSAUDITLINK__" hidden="1">{"fdsup://IBCentral/FAT Viewer?action=UPDATE&amp;creator=factset&amp;DOC_NAME=fat:reuters_qtrly_source_window.fat&amp;display_string=Audit&amp;DYN_ARGS=TRUE&amp;VAR:ID1=527343&amp;VAR:RCODE=SCSI&amp;VAR:SDATE=20091299&amp;VAR:FREQ=Quarterly&amp;VAR:RELITEM=RP&amp;VAR:CURRENCY=&amp;VAR:CURRSOURCE=EXSH","ARE&amp;VAR:NATFREQ=QUARTERLY&amp;VAR:RFIELD=FINALIZED&amp;VAR:DB_TYPE=&amp;VAR:UNITS=M&amp;window=popup&amp;width=450&amp;height=300&amp;START_MAXIMIZED=FALSE"}</definedName>
    <definedName name="_306__FDSAUDITLINK__" hidden="1">{"fdsup://IBCentral/FAT Viewer?action=UPDATE&amp;creator=factset&amp;DOC_NAME=fat:reuters_qtrly_source_window.fat&amp;display_string=Audit&amp;DYN_ARGS=TRUE&amp;VAR:ID1=527343&amp;VAR:RCODE=SCSI&amp;VAR:SDATE=20090999&amp;VAR:FREQ=Quarterly&amp;VAR:RELITEM=RP&amp;VAR:CURRENCY=&amp;VAR:CURRSOURCE=EXSH","ARE&amp;VAR:NATFREQ=QUARTERLY&amp;VAR:RFIELD=FINALIZED&amp;VAR:DB_TYPE=&amp;VAR:UNITS=M&amp;window=popup&amp;width=450&amp;height=300&amp;START_MAXIMIZED=FALSE"}</definedName>
    <definedName name="_307__FDSAUDITLINK__" hidden="1">{"fdsup://IBCentral/FAT Viewer?action=UPDATE&amp;creator=factset&amp;DOC_NAME=fat:reuters_qtrly_source_window.fat&amp;display_string=Audit&amp;DYN_ARGS=TRUE&amp;VAR:ID1=527343&amp;VAR:RCODE=SCSI&amp;VAR:SDATE=20090699&amp;VAR:FREQ=Quarterly&amp;VAR:RELITEM=RP&amp;VAR:CURRENCY=&amp;VAR:CURRSOURCE=EXSH","ARE&amp;VAR:NATFREQ=QUARTERLY&amp;VAR:RFIELD=FINALIZED&amp;VAR:DB_TYPE=&amp;VAR:UNITS=M&amp;window=popup&amp;width=450&amp;height=300&amp;START_MAXIMIZED=FALSE"}</definedName>
    <definedName name="_308__FDSAUDITLINK__" hidden="1">{"fdsup://IBCentral/FAT Viewer?action=UPDATE&amp;creator=factset&amp;DOC_NAME=fat:reuters_qtrly_source_window.fat&amp;display_string=Audit&amp;DYN_ARGS=TRUE&amp;VAR:ID1=527343&amp;VAR:RCODE=SCSI&amp;VAR:SDATE=20090399&amp;VAR:FREQ=Quarterly&amp;VAR:RELITEM=RP&amp;VAR:CURRENCY=&amp;VAR:CURRSOURCE=EXSH","ARE&amp;VAR:NATFREQ=QUARTERLY&amp;VAR:RFIELD=FINALIZED&amp;VAR:DB_TYPE=&amp;VAR:UNITS=M&amp;window=popup&amp;width=450&amp;height=300&amp;START_MAXIMIZED=FALSE"}</definedName>
    <definedName name="_309__FDSAUDITLINK__" hidden="1">{"fdsup://IBCentral/FAT Viewer?action=UPDATE&amp;creator=factset&amp;DOC_NAME=fat:reuters_qtrly_source_window.fat&amp;display_string=Audit&amp;DYN_ARGS=TRUE&amp;VAR:ID1=527343&amp;VAR:RCODE=SCSI&amp;VAR:SDATE=20081299&amp;VAR:FREQ=Quarterly&amp;VAR:RELITEM=RP&amp;VAR:CURRENCY=&amp;VAR:CURRSOURCE=EXSH","ARE&amp;VAR:NATFREQ=QUARTERLY&amp;VAR:RFIELD=FINALIZED&amp;VAR:DB_TYPE=&amp;VAR:UNITS=M&amp;window=popup&amp;width=450&amp;height=300&amp;START_MAXIMIZED=FALSE"}</definedName>
    <definedName name="_31__123Graph_CGROWTH_REVS_A" hidden="1">#REF!</definedName>
    <definedName name="_31__FDSAUDITLINK__" hidden="1">{"fdsup://IBCentral/FAT Viewer?action=UPDATE&amp;creator=factset&amp;DOC_NAME=fat:reuters_qtrly_source_window.fat&amp;display_string=Audit&amp;DYN_ARGS=TRUE&amp;VAR:ID1=527343&amp;VAR:RCODE=LMIN&amp;VAR:SDATE=20030399&amp;VAR:FREQ=Quarterly&amp;VAR:RELITEM=RP&amp;VAR:CURRENCY=&amp;VAR:CURRSOURCE=EXSH","ARE&amp;VAR:NATFREQ=QUARTERLY&amp;VAR:RFIELD=FINALIZED&amp;VAR:DB_TYPE=&amp;VAR:UNITS=M&amp;window=popup&amp;width=450&amp;height=300&amp;START_MAXIMIZED=FALSE"}</definedName>
    <definedName name="_310__FDSAUDITLINK__" hidden="1">{"fdsup://IBCentral/FAT Viewer?action=UPDATE&amp;creator=factset&amp;DOC_NAME=fat:reuters_qtrly_source_window.fat&amp;display_string=Audit&amp;DYN_ARGS=TRUE&amp;VAR:ID1=527343&amp;VAR:RCODE=SCSI&amp;VAR:SDATE=20080999&amp;VAR:FREQ=Quarterly&amp;VAR:RELITEM=RP&amp;VAR:CURRENCY=&amp;VAR:CURRSOURCE=EXSH","ARE&amp;VAR:NATFREQ=QUARTERLY&amp;VAR:RFIELD=FINALIZED&amp;VAR:DB_TYPE=&amp;VAR:UNITS=M&amp;window=popup&amp;width=450&amp;height=300&amp;START_MAXIMIZED=FALSE"}</definedName>
    <definedName name="_311__FDSAUDITLINK__" hidden="1">{"fdsup://IBCentral/FAT Viewer?action=UPDATE&amp;creator=factset&amp;DOC_NAME=fat:reuters_qtrly_source_window.fat&amp;display_string=Audit&amp;DYN_ARGS=TRUE&amp;VAR:ID1=527343&amp;VAR:RCODE=SCSI&amp;VAR:SDATE=20080699&amp;VAR:FREQ=Quarterly&amp;VAR:RELITEM=RP&amp;VAR:CURRENCY=&amp;VAR:CURRSOURCE=EXSH","ARE&amp;VAR:NATFREQ=QUARTERLY&amp;VAR:RFIELD=FINALIZED&amp;VAR:DB_TYPE=&amp;VAR:UNITS=M&amp;window=popup&amp;width=450&amp;height=300&amp;START_MAXIMIZED=FALSE"}</definedName>
    <definedName name="_312__FDSAUDITLINK__" hidden="1">{"fdsup://IBCentral/FAT Viewer?action=UPDATE&amp;creator=factset&amp;DOC_NAME=fat:reuters_qtrly_source_window.fat&amp;display_string=Audit&amp;DYN_ARGS=TRUE&amp;VAR:ID1=527343&amp;VAR:RCODE=SCSI&amp;VAR:SDATE=20080399&amp;VAR:FREQ=Quarterly&amp;VAR:RELITEM=RP&amp;VAR:CURRENCY=&amp;VAR:CURRSOURCE=EXSH","ARE&amp;VAR:NATFREQ=QUARTERLY&amp;VAR:RFIELD=FINALIZED&amp;VAR:DB_TYPE=&amp;VAR:UNITS=M&amp;window=popup&amp;width=450&amp;height=300&amp;START_MAXIMIZED=FALSE"}</definedName>
    <definedName name="_313__FDSAUDITLINK__" hidden="1">{"fdsup://IBCentral/FAT Viewer?action=UPDATE&amp;creator=factset&amp;DOC_NAME=fat:reuters_qtrly_source_window.fat&amp;display_string=Audit&amp;DYN_ARGS=TRUE&amp;VAR:ID1=527343&amp;VAR:RCODE=SCSI&amp;VAR:SDATE=20071299&amp;VAR:FREQ=Quarterly&amp;VAR:RELITEM=RP&amp;VAR:CURRENCY=&amp;VAR:CURRSOURCE=EXSH","ARE&amp;VAR:NATFREQ=QUARTERLY&amp;VAR:RFIELD=FINALIZED&amp;VAR:DB_TYPE=&amp;VAR:UNITS=M&amp;window=popup&amp;width=450&amp;height=300&amp;START_MAXIMIZED=FALSE"}</definedName>
    <definedName name="_314__FDSAUDITLINK__" hidden="1">{"fdsup://IBCentral/FAT Viewer?action=UPDATE&amp;creator=factset&amp;DOC_NAME=fat:reuters_qtrly_source_window.fat&amp;display_string=Audit&amp;DYN_ARGS=TRUE&amp;VAR:ID1=527343&amp;VAR:RCODE=SCSI&amp;VAR:SDATE=20070999&amp;VAR:FREQ=Quarterly&amp;VAR:RELITEM=RP&amp;VAR:CURRENCY=&amp;VAR:CURRSOURCE=EXSH","ARE&amp;VAR:NATFREQ=QUARTERLY&amp;VAR:RFIELD=FINALIZED&amp;VAR:DB_TYPE=&amp;VAR:UNITS=M&amp;window=popup&amp;width=450&amp;height=300&amp;START_MAXIMIZED=FALSE"}</definedName>
    <definedName name="_315__FDSAUDITLINK__" hidden="1">{"fdsup://IBCentral/FAT Viewer?action=UPDATE&amp;creator=factset&amp;DOC_NAME=fat:reuters_qtrly_source_window.fat&amp;display_string=Audit&amp;DYN_ARGS=TRUE&amp;VAR:ID1=527343&amp;VAR:RCODE=SCSI&amp;VAR:SDATE=20070699&amp;VAR:FREQ=Quarterly&amp;VAR:RELITEM=RP&amp;VAR:CURRENCY=&amp;VAR:CURRSOURCE=EXSH","ARE&amp;VAR:NATFREQ=QUARTERLY&amp;VAR:RFIELD=FINALIZED&amp;VAR:DB_TYPE=&amp;VAR:UNITS=M&amp;window=popup&amp;width=450&amp;height=300&amp;START_MAXIMIZED=FALSE"}</definedName>
    <definedName name="_316__FDSAUDITLINK__" hidden="1">{"fdsup://IBCentral/FAT Viewer?action=UPDATE&amp;creator=factset&amp;DOC_NAME=fat:reuters_qtrly_source_window.fat&amp;display_string=Audit&amp;DYN_ARGS=TRUE&amp;VAR:ID1=527343&amp;VAR:RCODE=SCSI&amp;VAR:SDATE=20070399&amp;VAR:FREQ=Quarterly&amp;VAR:RELITEM=RP&amp;VAR:CURRENCY=&amp;VAR:CURRSOURCE=EXSH","ARE&amp;VAR:NATFREQ=QUARTERLY&amp;VAR:RFIELD=FINALIZED&amp;VAR:DB_TYPE=&amp;VAR:UNITS=M&amp;window=popup&amp;width=450&amp;height=300&amp;START_MAXIMIZED=FALSE"}</definedName>
    <definedName name="_317__FDSAUDITLINK__" hidden="1">{"fdsup://IBCentral/FAT Viewer?action=UPDATE&amp;creator=factset&amp;DOC_NAME=fat:reuters_qtrly_source_window.fat&amp;display_string=Audit&amp;DYN_ARGS=TRUE&amp;VAR:ID1=527343&amp;VAR:RCODE=SCSI&amp;VAR:SDATE=20061299&amp;VAR:FREQ=Quarterly&amp;VAR:RELITEM=RP&amp;VAR:CURRENCY=&amp;VAR:CURRSOURCE=EXSH","ARE&amp;VAR:NATFREQ=QUARTERLY&amp;VAR:RFIELD=FINALIZED&amp;VAR:DB_TYPE=&amp;VAR:UNITS=M&amp;window=popup&amp;width=450&amp;height=300&amp;START_MAXIMIZED=FALSE"}</definedName>
    <definedName name="_318__FDSAUDITLINK__" hidden="1">{"fdsup://IBCentral/FAT Viewer?action=UPDATE&amp;creator=factset&amp;DOC_NAME=fat:reuters_qtrly_source_window.fat&amp;display_string=Audit&amp;DYN_ARGS=TRUE&amp;VAR:ID1=527343&amp;VAR:RCODE=SCSI&amp;VAR:SDATE=20060999&amp;VAR:FREQ=Quarterly&amp;VAR:RELITEM=RP&amp;VAR:CURRENCY=&amp;VAR:CURRSOURCE=EXSH","ARE&amp;VAR:NATFREQ=QUARTERLY&amp;VAR:RFIELD=FINALIZED&amp;VAR:DB_TYPE=&amp;VAR:UNITS=M&amp;window=popup&amp;width=450&amp;height=300&amp;START_MAXIMIZED=FALSE"}</definedName>
    <definedName name="_319__FDSAUDITLINK__" hidden="1">{"fdsup://IBCentral/FAT Viewer?action=UPDATE&amp;creator=factset&amp;DOC_NAME=fat:reuters_qtrly_source_window.fat&amp;display_string=Audit&amp;DYN_ARGS=TRUE&amp;VAR:ID1=527343&amp;VAR:RCODE=SCSI&amp;VAR:SDATE=20060699&amp;VAR:FREQ=Quarterly&amp;VAR:RELITEM=RP&amp;VAR:CURRENCY=&amp;VAR:CURRSOURCE=EXSH","ARE&amp;VAR:NATFREQ=QUARTERLY&amp;VAR:RFIELD=FINALIZED&amp;VAR:DB_TYPE=&amp;VAR:UNITS=M&amp;window=popup&amp;width=450&amp;height=300&amp;START_MAXIMIZED=FALSE"}</definedName>
    <definedName name="_32__123Graph_CGROWTH_REVS_B" hidden="1">#REF!</definedName>
    <definedName name="_32__FDSAUDITLINK__" hidden="1">{"fdsup://IBCentral/FAT Viewer?action=UPDATE&amp;creator=factset&amp;DOC_NAME=fat:reuters_qtrly_source_window.fat&amp;display_string=Audit&amp;DYN_ARGS=TRUE&amp;VAR:ID1=527343&amp;VAR:RCODE=LMIN&amp;VAR:SDATE=20021299&amp;VAR:FREQ=Quarterly&amp;VAR:RELITEM=RP&amp;VAR:CURRENCY=&amp;VAR:CURRSOURCE=EXSH","ARE&amp;VAR:NATFREQ=QUARTERLY&amp;VAR:RFIELD=FINALIZED&amp;VAR:DB_TYPE=&amp;VAR:UNITS=M&amp;window=popup&amp;width=450&amp;height=300&amp;START_MAXIMIZED=FALSE"}</definedName>
    <definedName name="_320__FDSAUDITLINK__" hidden="1">{"fdsup://IBCentral/FAT Viewer?action=UPDATE&amp;creator=factset&amp;DOC_NAME=fat:reuters_qtrly_source_window.fat&amp;display_string=Audit&amp;DYN_ARGS=TRUE&amp;VAR:ID1=527343&amp;VAR:RCODE=SCSI&amp;VAR:SDATE=20060399&amp;VAR:FREQ=Quarterly&amp;VAR:RELITEM=RP&amp;VAR:CURRENCY=&amp;VAR:CURRSOURCE=EXSH","ARE&amp;VAR:NATFREQ=QUARTERLY&amp;VAR:RFIELD=FINALIZED&amp;VAR:DB_TYPE=&amp;VAR:UNITS=M&amp;window=popup&amp;width=450&amp;height=300&amp;START_MAXIMIZED=FALSE"}</definedName>
    <definedName name="_321__FDSAUDITLINK__" hidden="1">{"fdsup://IBCentral/FAT Viewer?action=UPDATE&amp;creator=factset&amp;DOC_NAME=fat:reuters_qtrly_source_window.fat&amp;display_string=Audit&amp;DYN_ARGS=TRUE&amp;VAR:ID1=527343&amp;VAR:RCODE=SCSI&amp;VAR:SDATE=20051299&amp;VAR:FREQ=Quarterly&amp;VAR:RELITEM=RP&amp;VAR:CURRENCY=&amp;VAR:CURRSOURCE=EXSH","ARE&amp;VAR:NATFREQ=QUARTERLY&amp;VAR:RFIELD=FINALIZED&amp;VAR:DB_TYPE=&amp;VAR:UNITS=M&amp;window=popup&amp;width=450&amp;height=300&amp;START_MAXIMIZED=FALSE"}</definedName>
    <definedName name="_322__FDSAUDITLINK__" hidden="1">{"fdsup://IBCentral/FAT Viewer?action=UPDATE&amp;creator=factset&amp;DOC_NAME=fat:reuters_qtrly_source_window.fat&amp;display_string=Audit&amp;DYN_ARGS=TRUE&amp;VAR:ID1=527343&amp;VAR:RCODE=SCSI&amp;VAR:SDATE=20050999&amp;VAR:FREQ=Quarterly&amp;VAR:RELITEM=RP&amp;VAR:CURRENCY=&amp;VAR:CURRSOURCE=EXSH","ARE&amp;VAR:NATFREQ=QUARTERLY&amp;VAR:RFIELD=FINALIZED&amp;VAR:DB_TYPE=&amp;VAR:UNITS=M&amp;window=popup&amp;width=450&amp;height=300&amp;START_MAXIMIZED=FALSE"}</definedName>
    <definedName name="_323__FDSAUDITLINK__" hidden="1">{"fdsup://IBCentral/FAT Viewer?action=UPDATE&amp;creator=factset&amp;DOC_NAME=fat:reuters_qtrly_source_window.fat&amp;display_string=Audit&amp;DYN_ARGS=TRUE&amp;VAR:ID1=527343&amp;VAR:RCODE=SCSI&amp;VAR:SDATE=20050699&amp;VAR:FREQ=Quarterly&amp;VAR:RELITEM=RP&amp;VAR:CURRENCY=&amp;VAR:CURRSOURCE=EXSH","ARE&amp;VAR:NATFREQ=QUARTERLY&amp;VAR:RFIELD=FINALIZED&amp;VAR:DB_TYPE=&amp;VAR:UNITS=M&amp;window=popup&amp;width=450&amp;height=300&amp;START_MAXIMIZED=FALSE"}</definedName>
    <definedName name="_324__FDSAUDITLINK__" hidden="1">{"fdsup://IBCentral/FAT Viewer?action=UPDATE&amp;creator=factset&amp;DOC_NAME=fat:reuters_qtrly_source_window.fat&amp;display_string=Audit&amp;DYN_ARGS=TRUE&amp;VAR:ID1=527343&amp;VAR:RCODE=SCSI&amp;VAR:SDATE=20050399&amp;VAR:FREQ=Quarterly&amp;VAR:RELITEM=RP&amp;VAR:CURRENCY=&amp;VAR:CURRSOURCE=EXSH","ARE&amp;VAR:NATFREQ=QUARTERLY&amp;VAR:RFIELD=FINALIZED&amp;VAR:DB_TYPE=&amp;VAR:UNITS=M&amp;window=popup&amp;width=450&amp;height=300&amp;START_MAXIMIZED=FALSE"}</definedName>
    <definedName name="_325__FDSAUDITLINK__" hidden="1">{"fdsup://IBCentral/FAT Viewer?action=UPDATE&amp;creator=factset&amp;DOC_NAME=fat:reuters_qtrly_source_window.fat&amp;display_string=Audit&amp;DYN_ARGS=TRUE&amp;VAR:ID1=527343&amp;VAR:RCODE=SCSI&amp;VAR:SDATE=20041299&amp;VAR:FREQ=Quarterly&amp;VAR:RELITEM=RP&amp;VAR:CURRENCY=&amp;VAR:CURRSOURCE=EXSH","ARE&amp;VAR:NATFREQ=QUARTERLY&amp;VAR:RFIELD=FINALIZED&amp;VAR:DB_TYPE=&amp;VAR:UNITS=M&amp;window=popup&amp;width=450&amp;height=300&amp;START_MAXIMIZED=FALSE"}</definedName>
    <definedName name="_326__FDSAUDITLINK__" hidden="1">{"fdsup://IBCentral/FAT Viewer?action=UPDATE&amp;creator=factset&amp;DOC_NAME=fat:reuters_qtrly_source_window.fat&amp;display_string=Audit&amp;DYN_ARGS=TRUE&amp;VAR:ID1=527343&amp;VAR:RCODE=SCSI&amp;VAR:SDATE=20040999&amp;VAR:FREQ=Quarterly&amp;VAR:RELITEM=RP&amp;VAR:CURRENCY=&amp;VAR:CURRSOURCE=EXSH","ARE&amp;VAR:NATFREQ=QUARTERLY&amp;VAR:RFIELD=FINALIZED&amp;VAR:DB_TYPE=&amp;VAR:UNITS=M&amp;window=popup&amp;width=450&amp;height=300&amp;START_MAXIMIZED=FALSE"}</definedName>
    <definedName name="_327__FDSAUDITLINK__" hidden="1">{"fdsup://IBCentral/FAT Viewer?action=UPDATE&amp;creator=factset&amp;DOC_NAME=fat:reuters_qtrly_source_window.fat&amp;display_string=Audit&amp;DYN_ARGS=TRUE&amp;VAR:ID1=527343&amp;VAR:RCODE=SCSI&amp;VAR:SDATE=20040699&amp;VAR:FREQ=Quarterly&amp;VAR:RELITEM=RP&amp;VAR:CURRENCY=&amp;VAR:CURRSOURCE=EXSH","ARE&amp;VAR:NATFREQ=QUARTERLY&amp;VAR:RFIELD=FINALIZED&amp;VAR:DB_TYPE=&amp;VAR:UNITS=M&amp;window=popup&amp;width=450&amp;height=300&amp;START_MAXIMIZED=FALSE"}</definedName>
    <definedName name="_328__FDSAUDITLINK__" hidden="1">{"fdsup://IBCentral/FAT Viewer?action=UPDATE&amp;creator=factset&amp;DOC_NAME=fat:reuters_qtrly_source_window.fat&amp;display_string=Audit&amp;DYN_ARGS=TRUE&amp;VAR:ID1=527343&amp;VAR:RCODE=SCSI&amp;VAR:SDATE=20040399&amp;VAR:FREQ=Quarterly&amp;VAR:RELITEM=RP&amp;VAR:CURRENCY=&amp;VAR:CURRSOURCE=EXSH","ARE&amp;VAR:NATFREQ=QUARTERLY&amp;VAR:RFIELD=FINALIZED&amp;VAR:DB_TYPE=&amp;VAR:UNITS=M&amp;window=popup&amp;width=450&amp;height=300&amp;START_MAXIMIZED=FALSE"}</definedName>
    <definedName name="_329__FDSAUDITLINK__" hidden="1">{"fdsup://IBCentral/FAT Viewer?action=UPDATE&amp;creator=factset&amp;DOC_NAME=fat:reuters_qtrly_source_window.fat&amp;display_string=Audit&amp;DYN_ARGS=TRUE&amp;VAR:ID1=527343&amp;VAR:RCODE=SCSI&amp;VAR:SDATE=20031299&amp;VAR:FREQ=Quarterly&amp;VAR:RELITEM=RP&amp;VAR:CURRENCY=&amp;VAR:CURRSOURCE=EXSH","ARE&amp;VAR:NATFREQ=QUARTERLY&amp;VAR:RFIELD=FINALIZED&amp;VAR:DB_TYPE=&amp;VAR:UNITS=M&amp;window=popup&amp;width=450&amp;height=300&amp;START_MAXIMIZED=FALSE"}</definedName>
    <definedName name="_33__123Graph_DCHART_112" hidden="1">[9]Menu!$D$16:$M$16</definedName>
    <definedName name="_33__FDSAUDITLINK__" hidden="1">{"fdsup://IBCentral/FAT Viewer?action=UPDATE&amp;creator=factset&amp;DOC_NAME=fat:reuters_qtrly_source_window.fat&amp;display_string=Audit&amp;DYN_ARGS=TRUE&amp;VAR:ID1=527343&amp;VAR:RCODE=LMIN&amp;VAR:SDATE=20020999&amp;VAR:FREQ=Quarterly&amp;VAR:RELITEM=RP&amp;VAR:CURRENCY=&amp;VAR:CURRSOURCE=EXSH","ARE&amp;VAR:NATFREQ=QUARTERLY&amp;VAR:RFIELD=FINALIZED&amp;VAR:DB_TYPE=&amp;VAR:UNITS=M&amp;window=popup&amp;width=450&amp;height=300&amp;START_MAXIMIZED=FALSE"}</definedName>
    <definedName name="_330__FDSAUDITLINK__" hidden="1">{"fdsup://IBCentral/FAT Viewer?action=UPDATE&amp;creator=factset&amp;DOC_NAME=fat:reuters_qtrly_source_window.fat&amp;display_string=Audit&amp;DYN_ARGS=TRUE&amp;VAR:ID1=527343&amp;VAR:RCODE=SCSI&amp;VAR:SDATE=20030999&amp;VAR:FREQ=Quarterly&amp;VAR:RELITEM=RP&amp;VAR:CURRENCY=&amp;VAR:CURRSOURCE=EXSH","ARE&amp;VAR:NATFREQ=QUARTERLY&amp;VAR:RFIELD=FINALIZED&amp;VAR:DB_TYPE=&amp;VAR:UNITS=M&amp;window=popup&amp;width=450&amp;height=300&amp;START_MAXIMIZED=FALSE"}</definedName>
    <definedName name="_331__FDSAUDITLINK__" hidden="1">{"fdsup://IBCentral/FAT Viewer?action=UPDATE&amp;creator=factset&amp;DOC_NAME=fat:reuters_qtrly_source_window.fat&amp;display_string=Audit&amp;DYN_ARGS=TRUE&amp;VAR:ID1=527343&amp;VAR:RCODE=SCSI&amp;VAR:SDATE=20030699&amp;VAR:FREQ=Quarterly&amp;VAR:RELITEM=RP&amp;VAR:CURRENCY=&amp;VAR:CURRSOURCE=EXSH","ARE&amp;VAR:NATFREQ=QUARTERLY&amp;VAR:RFIELD=FINALIZED&amp;VAR:DB_TYPE=&amp;VAR:UNITS=M&amp;window=popup&amp;width=450&amp;height=300&amp;START_MAXIMIZED=FALSE"}</definedName>
    <definedName name="_332__FDSAUDITLINK__" hidden="1">{"fdsup://IBCentral/FAT Viewer?action=UPDATE&amp;creator=factset&amp;DOC_NAME=fat:reuters_qtrly_source_window.fat&amp;display_string=Audit&amp;DYN_ARGS=TRUE&amp;VAR:ID1=527343&amp;VAR:RCODE=SCSI&amp;VAR:SDATE=20030399&amp;VAR:FREQ=Quarterly&amp;VAR:RELITEM=RP&amp;VAR:CURRENCY=&amp;VAR:CURRSOURCE=EXSH","ARE&amp;VAR:NATFREQ=QUARTERLY&amp;VAR:RFIELD=FINALIZED&amp;VAR:DB_TYPE=&amp;VAR:UNITS=M&amp;window=popup&amp;width=450&amp;height=300&amp;START_MAXIMIZED=FALSE"}</definedName>
    <definedName name="_333__FDSAUDITLINK__" hidden="1">{"fdsup://IBCentral/FAT Viewer?action=UPDATE&amp;creator=factset&amp;DOC_NAME=fat:reuters_qtrly_source_window.fat&amp;display_string=Audit&amp;DYN_ARGS=TRUE&amp;VAR:ID1=527343&amp;VAR:RCODE=SCSI&amp;VAR:SDATE=20021299&amp;VAR:FREQ=Quarterly&amp;VAR:RELITEM=RP&amp;VAR:CURRENCY=&amp;VAR:CURRSOURCE=EXSH","ARE&amp;VAR:NATFREQ=QUARTERLY&amp;VAR:RFIELD=FINALIZED&amp;VAR:DB_TYPE=&amp;VAR:UNITS=M&amp;window=popup&amp;width=450&amp;height=300&amp;START_MAXIMIZED=FALSE"}</definedName>
    <definedName name="_334__FDSAUDITLINK__" hidden="1">{"fdsup://IBCentral/FAT Viewer?action=UPDATE&amp;creator=factset&amp;DOC_NAME=fat:reuters_qtrly_source_window.fat&amp;display_string=Audit&amp;DYN_ARGS=TRUE&amp;VAR:ID1=527343&amp;VAR:RCODE=SCSI&amp;VAR:SDATE=20020999&amp;VAR:FREQ=Quarterly&amp;VAR:RELITEM=RP&amp;VAR:CURRENCY=&amp;VAR:CURRSOURCE=EXSH","ARE&amp;VAR:NATFREQ=QUARTERLY&amp;VAR:RFIELD=FINALIZED&amp;VAR:DB_TYPE=&amp;VAR:UNITS=M&amp;window=popup&amp;width=450&amp;height=300&amp;START_MAXIMIZED=FALSE"}</definedName>
    <definedName name="_335__FDSAUDITLINK__" hidden="1">{"fdsup://IBCentral/FAT Viewer?action=UPDATE&amp;creator=factset&amp;DOC_NAME=fat:reuters_qtrly_source_window.fat&amp;display_string=Audit&amp;DYN_ARGS=TRUE&amp;VAR:ID1=527343&amp;VAR:RCODE=SCSI&amp;VAR:SDATE=20020699&amp;VAR:FREQ=Quarterly&amp;VAR:RELITEM=RP&amp;VAR:CURRENCY=&amp;VAR:CURRSOURCE=EXSH","ARE&amp;VAR:NATFREQ=QUARTERLY&amp;VAR:RFIELD=FINALIZED&amp;VAR:DB_TYPE=&amp;VAR:UNITS=M&amp;window=popup&amp;width=450&amp;height=300&amp;START_MAXIMIZED=FALSE"}</definedName>
    <definedName name="_336__FDSAUDITLINK__" hidden="1">{"fdsup://IBCentral/FAT Viewer?action=UPDATE&amp;creator=factset&amp;DOC_NAME=fat:reuters_qtrly_source_window.fat&amp;display_string=Audit&amp;DYN_ARGS=TRUE&amp;VAR:ID1=527343&amp;VAR:RCODE=SCSI&amp;VAR:SDATE=20020399&amp;VAR:FREQ=Quarterly&amp;VAR:RELITEM=RP&amp;VAR:CURRENCY=&amp;VAR:CURRSOURCE=EXSH","ARE&amp;VAR:NATFREQ=QUARTERLY&amp;VAR:RFIELD=FINALIZED&amp;VAR:DB_TYPE=&amp;VAR:UNITS=M&amp;window=popup&amp;width=450&amp;height=300&amp;START_MAXIMIZED=FALSE"}</definedName>
    <definedName name="_337__FDSAUDITLINK__" hidden="1">{"fdsup://IBCentral/FAT Viewer?action=UPDATE&amp;creator=factset&amp;DOC_NAME=fat:reuters_qtrly_source_window.fat&amp;display_string=Audit&amp;DYN_ARGS=TRUE&amp;VAR:ID1=527343&amp;VAR:RCODE=SCSI&amp;VAR:SDATE=20011299&amp;VAR:FREQ=Quarterly&amp;VAR:RELITEM=RP&amp;VAR:CURRENCY=&amp;VAR:CURRSOURCE=EXSH","ARE&amp;VAR:NATFREQ=QUARTERLY&amp;VAR:RFIELD=FINALIZED&amp;VAR:DB_TYPE=&amp;VAR:UNITS=M&amp;window=popup&amp;width=450&amp;height=300&amp;START_MAXIMIZED=FALSE"}</definedName>
    <definedName name="_338__FDSAUDITLINK__" hidden="1">{"fdsup://IBCentral/FAT Viewer?action=UPDATE&amp;creator=factset&amp;DOC_NAME=fat:reuters_qtrly_source_window.fat&amp;display_string=Audit&amp;DYN_ARGS=TRUE&amp;VAR:ID1=527343&amp;VAR:RCODE=SCSI&amp;VAR:SDATE=20010999&amp;VAR:FREQ=Quarterly&amp;VAR:RELITEM=RP&amp;VAR:CURRENCY=&amp;VAR:CURRSOURCE=EXSH","ARE&amp;VAR:NATFREQ=QUARTERLY&amp;VAR:RFIELD=FINALIZED&amp;VAR:DB_TYPE=&amp;VAR:UNITS=M&amp;window=popup&amp;width=450&amp;height=300&amp;START_MAXIMIZED=FALSE"}</definedName>
    <definedName name="_339__FDSAUDITLINK__" hidden="1">{"fdsup://IBCentral/FAT Viewer?action=UPDATE&amp;creator=factset&amp;DOC_NAME=fat:reuters_qtrly_source_window.fat&amp;display_string=Audit&amp;DYN_ARGS=TRUE&amp;VAR:ID1=527343&amp;VAR:RCODE=SCSI&amp;VAR:SDATE=20010699&amp;VAR:FREQ=Quarterly&amp;VAR:RELITEM=RP&amp;VAR:CURRENCY=&amp;VAR:CURRSOURCE=EXSH","ARE&amp;VAR:NATFREQ=QUARTERLY&amp;VAR:RFIELD=FINALIZED&amp;VAR:DB_TYPE=&amp;VAR:UNITS=M&amp;window=popup&amp;width=450&amp;height=300&amp;START_MAXIMIZED=FALSE"}</definedName>
    <definedName name="_34__123Graph_DGROWTH_REVS_A" hidden="1">#REF!</definedName>
    <definedName name="_34__FDSAUDITLINK__" hidden="1">{"fdsup://IBCentral/FAT Viewer?action=UPDATE&amp;creator=factset&amp;DOC_NAME=fat:reuters_qtrly_source_window.fat&amp;display_string=Audit&amp;DYN_ARGS=TRUE&amp;VAR:ID1=527343&amp;VAR:RCODE=LMIN&amp;VAR:SDATE=20020699&amp;VAR:FREQ=Quarterly&amp;VAR:RELITEM=RP&amp;VAR:CURRENCY=&amp;VAR:CURRSOURCE=EXSH","ARE&amp;VAR:NATFREQ=QUARTERLY&amp;VAR:RFIELD=FINALIZED&amp;VAR:DB_TYPE=&amp;VAR:UNITS=M&amp;window=popup&amp;width=450&amp;height=300&amp;START_MAXIMIZED=FALSE"}</definedName>
    <definedName name="_340__FDSAUDITLINK__" hidden="1">{"fdsup://IBCentral/FAT Viewer?action=UPDATE&amp;creator=factset&amp;DOC_NAME=fat:reuters_qtrly_source_window.fat&amp;display_string=Audit&amp;DYN_ARGS=TRUE&amp;VAR:ID1=527343&amp;VAR:RCODE=SCSI&amp;VAR:SDATE=20010399&amp;VAR:FREQ=Quarterly&amp;VAR:RELITEM=RP&amp;VAR:CURRENCY=&amp;VAR:CURRSOURCE=EXSH","ARE&amp;VAR:NATFREQ=QUARTERLY&amp;VAR:RFIELD=FINALIZED&amp;VAR:DB_TYPE=&amp;VAR:UNITS=M&amp;window=popup&amp;width=450&amp;height=300&amp;START_MAXIMIZED=FALSE"}</definedName>
    <definedName name="_341__FDSAUDITLINK__" hidden="1">{"fdsup://IBCentral/FAT Viewer?action=UPDATE&amp;creator=factset&amp;DOC_NAME=fat:reuters_qtrly_source_window.fat&amp;display_string=Audit&amp;DYN_ARGS=TRUE&amp;VAR:ID1=527343&amp;VAR:RCODE=SCSI&amp;VAR:SDATE=20001299&amp;VAR:FREQ=Quarterly&amp;VAR:RELITEM=RP&amp;VAR:CURRENCY=&amp;VAR:CURRSOURCE=EXSH","ARE&amp;VAR:NATFREQ=QUARTERLY&amp;VAR:RFIELD=FINALIZED&amp;VAR:DB_TYPE=&amp;VAR:UNITS=M&amp;window=popup&amp;width=450&amp;height=300&amp;START_MAXIMIZED=FALSE"}</definedName>
    <definedName name="_342__FDSAUDITLINK__" hidden="1">{"fdsup://IBCentral/FAT Viewer?action=UPDATE&amp;creator=factset&amp;DOC_NAME=fat:reuters_qtrly_source_window.fat&amp;display_string=Audit&amp;DYN_ARGS=TRUE&amp;VAR:ID1=527343&amp;VAR:RCODE=SCSI&amp;VAR:SDATE=20000999&amp;VAR:FREQ=Quarterly&amp;VAR:RELITEM=RP&amp;VAR:CURRENCY=&amp;VAR:CURRSOURCE=EXSH","ARE&amp;VAR:NATFREQ=QUARTERLY&amp;VAR:RFIELD=FINALIZED&amp;VAR:DB_TYPE=&amp;VAR:UNITS=M&amp;window=popup&amp;width=450&amp;height=300&amp;START_MAXIMIZED=FALSE"}</definedName>
    <definedName name="_343__FDSAUDITLINK__" hidden="1">{"fdsup://IBCentral/FAT Viewer?action=UPDATE&amp;creator=factset&amp;DOC_NAME=fat:reuters_qtrly_source_window.fat&amp;display_string=Audit&amp;DYN_ARGS=TRUE&amp;VAR:ID1=527343&amp;VAR:RCODE=SCSI&amp;VAR:SDATE=20000699&amp;VAR:FREQ=Quarterly&amp;VAR:RELITEM=RP&amp;VAR:CURRENCY=&amp;VAR:CURRSOURCE=EXSH","ARE&amp;VAR:NATFREQ=QUARTERLY&amp;VAR:RFIELD=FINALIZED&amp;VAR:DB_TYPE=&amp;VAR:UNITS=M&amp;window=popup&amp;width=450&amp;height=300&amp;START_MAXIMIZED=FALSE"}</definedName>
    <definedName name="_344__FDSAUDITLINK__" hidden="1">{"fdsup://IBCentral/FAT Viewer?action=UPDATE&amp;creator=factset&amp;DOC_NAME=fat:reuters_qtrly_source_window.fat&amp;display_string=Audit&amp;DYN_ARGS=TRUE&amp;VAR:ID1=527343&amp;VAR:RCODE=SCSI&amp;VAR:SDATE=20000399&amp;VAR:FREQ=Quarterly&amp;VAR:RELITEM=RP&amp;VAR:CURRENCY=&amp;VAR:CURRSOURCE=EXSH","ARE&amp;VAR:NATFREQ=QUARTERLY&amp;VAR:RFIELD=FINALIZED&amp;VAR:DB_TYPE=&amp;VAR:UNITS=M&amp;window=popup&amp;width=450&amp;height=300&amp;START_MAXIMIZED=FALSE"}</definedName>
    <definedName name="_345__FDSAUDITLINK__" hidden="1">{"fdsup://IBCentral/FAT Viewer?action=UPDATE&amp;creator=factset&amp;DOC_NAME=fat:reuters_qtrly_source_window.fat&amp;display_string=Audit&amp;DYN_ARGS=TRUE&amp;VAR:ID1=527343&amp;VAR:RCODE=LMIN&amp;VAR:SDATE=20100999&amp;VAR:FREQ=Quarterly&amp;VAR:RELITEM=RP&amp;VAR:CURRENCY=&amp;VAR:CURRSOURCE=EXSH","ARE&amp;VAR:NATFREQ=QUARTERLY&amp;VAR:RFIELD=FINALIZED&amp;VAR:DB_TYPE=&amp;VAR:UNITS=M&amp;window=popup&amp;width=450&amp;height=300&amp;START_MAXIMIZED=FALSE"}</definedName>
    <definedName name="_346__FDSAUDITLINK__" hidden="1">{"fdsup://IBCentral/FAT Viewer?action=UPDATE&amp;creator=factset&amp;DOC_NAME=fat:reuters_qtrly_source_window.fat&amp;display_string=Audit&amp;DYN_ARGS=TRUE&amp;VAR:ID1=527343&amp;VAR:RCODE=LMIN&amp;VAR:SDATE=20100699&amp;VAR:FREQ=Quarterly&amp;VAR:RELITEM=RP&amp;VAR:CURRENCY=&amp;VAR:CURRSOURCE=EXSH","ARE&amp;VAR:NATFREQ=QUARTERLY&amp;VAR:RFIELD=FINALIZED&amp;VAR:DB_TYPE=&amp;VAR:UNITS=M&amp;window=popup&amp;width=450&amp;height=300&amp;START_MAXIMIZED=FALSE"}</definedName>
    <definedName name="_347__FDSAUDITLINK__" hidden="1">{"fdsup://IBCentral/FAT Viewer?action=UPDATE&amp;creator=factset&amp;DOC_NAME=fat:reuters_qtrly_source_window.fat&amp;display_string=Audit&amp;DYN_ARGS=TRUE&amp;VAR:ID1=527343&amp;VAR:RCODE=LMIN&amp;VAR:SDATE=20100399&amp;VAR:FREQ=Quarterly&amp;VAR:RELITEM=RP&amp;VAR:CURRENCY=&amp;VAR:CURRSOURCE=EXSH","ARE&amp;VAR:NATFREQ=QUARTERLY&amp;VAR:RFIELD=FINALIZED&amp;VAR:DB_TYPE=&amp;VAR:UNITS=M&amp;window=popup&amp;width=450&amp;height=300&amp;START_MAXIMIZED=FALSE"}</definedName>
    <definedName name="_348__FDSAUDITLINK__" hidden="1">{"fdsup://IBCentral/FAT Viewer?action=UPDATE&amp;creator=factset&amp;DOC_NAME=fat:reuters_qtrly_source_window.fat&amp;display_string=Audit&amp;DYN_ARGS=TRUE&amp;VAR:ID1=527343&amp;VAR:RCODE=LMIN&amp;VAR:SDATE=20091299&amp;VAR:FREQ=Quarterly&amp;VAR:RELITEM=RP&amp;VAR:CURRENCY=&amp;VAR:CURRSOURCE=EXSH","ARE&amp;VAR:NATFREQ=QUARTERLY&amp;VAR:RFIELD=FINALIZED&amp;VAR:DB_TYPE=&amp;VAR:UNITS=M&amp;window=popup&amp;width=450&amp;height=300&amp;START_MAXIMIZED=FALSE"}</definedName>
    <definedName name="_349__FDSAUDITLINK__" hidden="1">{"fdsup://IBCentral/FAT Viewer?action=UPDATE&amp;creator=factset&amp;DOC_NAME=fat:reuters_qtrly_source_window.fat&amp;display_string=Audit&amp;DYN_ARGS=TRUE&amp;VAR:ID1=527343&amp;VAR:RCODE=LMIN&amp;VAR:SDATE=20090999&amp;VAR:FREQ=Quarterly&amp;VAR:RELITEM=RP&amp;VAR:CURRENCY=&amp;VAR:CURRSOURCE=EXSH","ARE&amp;VAR:NATFREQ=QUARTERLY&amp;VAR:RFIELD=FINALIZED&amp;VAR:DB_TYPE=&amp;VAR:UNITS=M&amp;window=popup&amp;width=450&amp;height=300&amp;START_MAXIMIZED=FALSE"}</definedName>
    <definedName name="_35__123Graph_DGROWTH_REVS_B" hidden="1">#REF!</definedName>
    <definedName name="_35__FDSAUDITLINK__" hidden="1">{"fdsup://IBCentral/FAT Viewer?action=UPDATE&amp;creator=factset&amp;DOC_NAME=fat:reuters_qtrly_source_window.fat&amp;display_string=Audit&amp;DYN_ARGS=TRUE&amp;VAR:ID1=527343&amp;VAR:RCODE=LMIN&amp;VAR:SDATE=20020399&amp;VAR:FREQ=Quarterly&amp;VAR:RELITEM=RP&amp;VAR:CURRENCY=&amp;VAR:CURRSOURCE=EXSH","ARE&amp;VAR:NATFREQ=QUARTERLY&amp;VAR:RFIELD=FINALIZED&amp;VAR:DB_TYPE=&amp;VAR:UNITS=M&amp;window=popup&amp;width=450&amp;height=300&amp;START_MAXIMIZED=FALSE"}</definedName>
    <definedName name="_350__FDSAUDITLINK__" hidden="1">{"fdsup://IBCentral/FAT Viewer?action=UPDATE&amp;creator=factset&amp;DOC_NAME=fat:reuters_qtrly_source_window.fat&amp;display_string=Audit&amp;DYN_ARGS=TRUE&amp;VAR:ID1=527343&amp;VAR:RCODE=LMIN&amp;VAR:SDATE=20090699&amp;VAR:FREQ=Quarterly&amp;VAR:RELITEM=RP&amp;VAR:CURRENCY=&amp;VAR:CURRSOURCE=EXSH","ARE&amp;VAR:NATFREQ=QUARTERLY&amp;VAR:RFIELD=FINALIZED&amp;VAR:DB_TYPE=&amp;VAR:UNITS=M&amp;window=popup&amp;width=450&amp;height=300&amp;START_MAXIMIZED=FALSE"}</definedName>
    <definedName name="_351__FDSAUDITLINK__" hidden="1">{"fdsup://IBCentral/FAT Viewer?action=UPDATE&amp;creator=factset&amp;DOC_NAME=fat:reuters_qtrly_source_window.fat&amp;display_string=Audit&amp;DYN_ARGS=TRUE&amp;VAR:ID1=527343&amp;VAR:RCODE=LMIN&amp;VAR:SDATE=20090399&amp;VAR:FREQ=Quarterly&amp;VAR:RELITEM=RP&amp;VAR:CURRENCY=&amp;VAR:CURRSOURCE=EXSH","ARE&amp;VAR:NATFREQ=QUARTERLY&amp;VAR:RFIELD=FINALIZED&amp;VAR:DB_TYPE=&amp;VAR:UNITS=M&amp;window=popup&amp;width=450&amp;height=300&amp;START_MAXIMIZED=FALSE"}</definedName>
    <definedName name="_352__FDSAUDITLINK__" hidden="1">{"fdsup://IBCentral/FAT Viewer?action=UPDATE&amp;creator=factset&amp;DOC_NAME=fat:reuters_qtrly_source_window.fat&amp;display_string=Audit&amp;DYN_ARGS=TRUE&amp;VAR:ID1=527343&amp;VAR:RCODE=LMIN&amp;VAR:SDATE=20081299&amp;VAR:FREQ=Quarterly&amp;VAR:RELITEM=RP&amp;VAR:CURRENCY=&amp;VAR:CURRSOURCE=EXSH","ARE&amp;VAR:NATFREQ=QUARTERLY&amp;VAR:RFIELD=FINALIZED&amp;VAR:DB_TYPE=&amp;VAR:UNITS=M&amp;window=popup&amp;width=450&amp;height=300&amp;START_MAXIMIZED=FALSE"}</definedName>
    <definedName name="_353__FDSAUDITLINK__" hidden="1">{"fdsup://IBCentral/FAT Viewer?action=UPDATE&amp;creator=factset&amp;DOC_NAME=fat:reuters_qtrly_source_window.fat&amp;display_string=Audit&amp;DYN_ARGS=TRUE&amp;VAR:ID1=527343&amp;VAR:RCODE=LMIN&amp;VAR:SDATE=20080999&amp;VAR:FREQ=Quarterly&amp;VAR:RELITEM=RP&amp;VAR:CURRENCY=&amp;VAR:CURRSOURCE=EXSH","ARE&amp;VAR:NATFREQ=QUARTERLY&amp;VAR:RFIELD=FINALIZED&amp;VAR:DB_TYPE=&amp;VAR:UNITS=M&amp;window=popup&amp;width=450&amp;height=300&amp;START_MAXIMIZED=FALSE"}</definedName>
    <definedName name="_354__FDSAUDITLINK__" hidden="1">{"fdsup://IBCentral/FAT Viewer?action=UPDATE&amp;creator=factset&amp;DOC_NAME=fat:reuters_qtrly_source_window.fat&amp;display_string=Audit&amp;DYN_ARGS=TRUE&amp;VAR:ID1=527343&amp;VAR:RCODE=LMIN&amp;VAR:SDATE=20080699&amp;VAR:FREQ=Quarterly&amp;VAR:RELITEM=RP&amp;VAR:CURRENCY=&amp;VAR:CURRSOURCE=EXSH","ARE&amp;VAR:NATFREQ=QUARTERLY&amp;VAR:RFIELD=FINALIZED&amp;VAR:DB_TYPE=&amp;VAR:UNITS=M&amp;window=popup&amp;width=450&amp;height=300&amp;START_MAXIMIZED=FALSE"}</definedName>
    <definedName name="_355__FDSAUDITLINK__" hidden="1">{"fdsup://IBCentral/FAT Viewer?action=UPDATE&amp;creator=factset&amp;DOC_NAME=fat:reuters_qtrly_source_window.fat&amp;display_string=Audit&amp;DYN_ARGS=TRUE&amp;VAR:ID1=527343&amp;VAR:RCODE=LMIN&amp;VAR:SDATE=20080399&amp;VAR:FREQ=Quarterly&amp;VAR:RELITEM=RP&amp;VAR:CURRENCY=&amp;VAR:CURRSOURCE=EXSH","ARE&amp;VAR:NATFREQ=QUARTERLY&amp;VAR:RFIELD=FINALIZED&amp;VAR:DB_TYPE=&amp;VAR:UNITS=M&amp;window=popup&amp;width=450&amp;height=300&amp;START_MAXIMIZED=FALSE"}</definedName>
    <definedName name="_356__FDSAUDITLINK__" hidden="1">{"fdsup://IBCentral/FAT Viewer?action=UPDATE&amp;creator=factset&amp;DOC_NAME=fat:reuters_qtrly_source_window.fat&amp;display_string=Audit&amp;DYN_ARGS=TRUE&amp;VAR:ID1=527343&amp;VAR:RCODE=LMIN&amp;VAR:SDATE=20071299&amp;VAR:FREQ=Quarterly&amp;VAR:RELITEM=RP&amp;VAR:CURRENCY=&amp;VAR:CURRSOURCE=EXSH","ARE&amp;VAR:NATFREQ=QUARTERLY&amp;VAR:RFIELD=FINALIZED&amp;VAR:DB_TYPE=&amp;VAR:UNITS=M&amp;window=popup&amp;width=450&amp;height=300&amp;START_MAXIMIZED=FALSE"}</definedName>
    <definedName name="_357__FDSAUDITLINK__" hidden="1">{"fdsup://IBCentral/FAT Viewer?action=UPDATE&amp;creator=factset&amp;DOC_NAME=fat:reuters_qtrly_source_window.fat&amp;display_string=Audit&amp;DYN_ARGS=TRUE&amp;VAR:ID1=527343&amp;VAR:RCODE=LMIN&amp;VAR:SDATE=20070999&amp;VAR:FREQ=Quarterly&amp;VAR:RELITEM=RP&amp;VAR:CURRENCY=&amp;VAR:CURRSOURCE=EXSH","ARE&amp;VAR:NATFREQ=QUARTERLY&amp;VAR:RFIELD=FINALIZED&amp;VAR:DB_TYPE=&amp;VAR:UNITS=M&amp;window=popup&amp;width=450&amp;height=300&amp;START_MAXIMIZED=FALSE"}</definedName>
    <definedName name="_358__FDSAUDITLINK__" hidden="1">{"fdsup://IBCentral/FAT Viewer?action=UPDATE&amp;creator=factset&amp;DOC_NAME=fat:reuters_qtrly_source_window.fat&amp;display_string=Audit&amp;DYN_ARGS=TRUE&amp;VAR:ID1=527343&amp;VAR:RCODE=LMIN&amp;VAR:SDATE=20070699&amp;VAR:FREQ=Quarterly&amp;VAR:RELITEM=RP&amp;VAR:CURRENCY=&amp;VAR:CURRSOURCE=EXSH","ARE&amp;VAR:NATFREQ=QUARTERLY&amp;VAR:RFIELD=FINALIZED&amp;VAR:DB_TYPE=&amp;VAR:UNITS=M&amp;window=popup&amp;width=450&amp;height=300&amp;START_MAXIMIZED=FALSE"}</definedName>
    <definedName name="_359__FDSAUDITLINK__" hidden="1">{"fdsup://IBCentral/FAT Viewer?action=UPDATE&amp;creator=factset&amp;DOC_NAME=fat:reuters_qtrly_source_window.fat&amp;display_string=Audit&amp;DYN_ARGS=TRUE&amp;VAR:ID1=527343&amp;VAR:RCODE=LMIN&amp;VAR:SDATE=20070399&amp;VAR:FREQ=Quarterly&amp;VAR:RELITEM=RP&amp;VAR:CURRENCY=&amp;VAR:CURRSOURCE=EXSH","ARE&amp;VAR:NATFREQ=QUARTERLY&amp;VAR:RFIELD=FINALIZED&amp;VAR:DB_TYPE=&amp;VAR:UNITS=M&amp;window=popup&amp;width=450&amp;height=300&amp;START_MAXIMIZED=FALSE"}</definedName>
    <definedName name="_36__123Graph_XCHART_112" hidden="1">[9]Menu!$AF$15:$AO$15</definedName>
    <definedName name="_36__FDSAUDITLINK__" hidden="1">{"fdsup://IBCentral/FAT Viewer?action=UPDATE&amp;creator=factset&amp;DOC_NAME=fat:reuters_qtrly_source_window.fat&amp;display_string=Audit&amp;DYN_ARGS=TRUE&amp;VAR:ID1=527343&amp;VAR:RCODE=LMIN&amp;VAR:SDATE=20011299&amp;VAR:FREQ=Quarterly&amp;VAR:RELITEM=RP&amp;VAR:CURRENCY=&amp;VAR:CURRSOURCE=EXSH","ARE&amp;VAR:NATFREQ=QUARTERLY&amp;VAR:RFIELD=FINALIZED&amp;VAR:DB_TYPE=&amp;VAR:UNITS=M&amp;window=popup&amp;width=450&amp;height=300&amp;START_MAXIMIZED=FALSE"}</definedName>
    <definedName name="_360__FDSAUDITLINK__" hidden="1">{"fdsup://IBCentral/FAT Viewer?action=UPDATE&amp;creator=factset&amp;DOC_NAME=fat:reuters_qtrly_source_window.fat&amp;display_string=Audit&amp;DYN_ARGS=TRUE&amp;VAR:ID1=527343&amp;VAR:RCODE=LMIN&amp;VAR:SDATE=20061299&amp;VAR:FREQ=Quarterly&amp;VAR:RELITEM=RP&amp;VAR:CURRENCY=&amp;VAR:CURRSOURCE=EXSH","ARE&amp;VAR:NATFREQ=QUARTERLY&amp;VAR:RFIELD=FINALIZED&amp;VAR:DB_TYPE=&amp;VAR:UNITS=M&amp;window=popup&amp;width=450&amp;height=300&amp;START_MAXIMIZED=FALSE"}</definedName>
    <definedName name="_361__FDSAUDITLINK__" hidden="1">{"fdsup://IBCentral/FAT Viewer?action=UPDATE&amp;creator=factset&amp;DOC_NAME=fat:reuters_qtrly_source_window.fat&amp;display_string=Audit&amp;DYN_ARGS=TRUE&amp;VAR:ID1=527343&amp;VAR:RCODE=LMIN&amp;VAR:SDATE=20060999&amp;VAR:FREQ=Quarterly&amp;VAR:RELITEM=RP&amp;VAR:CURRENCY=&amp;VAR:CURRSOURCE=EXSH","ARE&amp;VAR:NATFREQ=QUARTERLY&amp;VAR:RFIELD=FINALIZED&amp;VAR:DB_TYPE=&amp;VAR:UNITS=M&amp;window=popup&amp;width=450&amp;height=300&amp;START_MAXIMIZED=FALSE"}</definedName>
    <definedName name="_362__FDSAUDITLINK__" hidden="1">{"fdsup://IBCentral/FAT Viewer?action=UPDATE&amp;creator=factset&amp;DOC_NAME=fat:reuters_qtrly_source_window.fat&amp;display_string=Audit&amp;DYN_ARGS=TRUE&amp;VAR:ID1=527343&amp;VAR:RCODE=LMIN&amp;VAR:SDATE=20060699&amp;VAR:FREQ=Quarterly&amp;VAR:RELITEM=RP&amp;VAR:CURRENCY=&amp;VAR:CURRSOURCE=EXSH","ARE&amp;VAR:NATFREQ=QUARTERLY&amp;VAR:RFIELD=FINALIZED&amp;VAR:DB_TYPE=&amp;VAR:UNITS=M&amp;window=popup&amp;width=450&amp;height=300&amp;START_MAXIMIZED=FALSE"}</definedName>
    <definedName name="_363__FDSAUDITLINK__" hidden="1">{"fdsup://IBCentral/FAT Viewer?action=UPDATE&amp;creator=factset&amp;DOC_NAME=fat:reuters_qtrly_source_window.fat&amp;display_string=Audit&amp;DYN_ARGS=TRUE&amp;VAR:ID1=527343&amp;VAR:RCODE=LMIN&amp;VAR:SDATE=20060399&amp;VAR:FREQ=Quarterly&amp;VAR:RELITEM=RP&amp;VAR:CURRENCY=&amp;VAR:CURRSOURCE=EXSH","ARE&amp;VAR:NATFREQ=QUARTERLY&amp;VAR:RFIELD=FINALIZED&amp;VAR:DB_TYPE=&amp;VAR:UNITS=M&amp;window=popup&amp;width=450&amp;height=300&amp;START_MAXIMIZED=FALSE"}</definedName>
    <definedName name="_364__FDSAUDITLINK__" hidden="1">{"fdsup://IBCentral/FAT Viewer?action=UPDATE&amp;creator=factset&amp;DOC_NAME=fat:reuters_qtrly_source_window.fat&amp;display_string=Audit&amp;DYN_ARGS=TRUE&amp;VAR:ID1=527343&amp;VAR:RCODE=LMIN&amp;VAR:SDATE=20051299&amp;VAR:FREQ=Quarterly&amp;VAR:RELITEM=RP&amp;VAR:CURRENCY=&amp;VAR:CURRSOURCE=EXSH","ARE&amp;VAR:NATFREQ=QUARTERLY&amp;VAR:RFIELD=FINALIZED&amp;VAR:DB_TYPE=&amp;VAR:UNITS=M&amp;window=popup&amp;width=450&amp;height=300&amp;START_MAXIMIZED=FALSE"}</definedName>
    <definedName name="_365__FDSAUDITLINK__" hidden="1">{"fdsup://IBCentral/FAT Viewer?action=UPDATE&amp;creator=factset&amp;DOC_NAME=fat:reuters_qtrly_source_window.fat&amp;display_string=Audit&amp;DYN_ARGS=TRUE&amp;VAR:ID1=527343&amp;VAR:RCODE=LMIN&amp;VAR:SDATE=20050999&amp;VAR:FREQ=Quarterly&amp;VAR:RELITEM=RP&amp;VAR:CURRENCY=&amp;VAR:CURRSOURCE=EXSH","ARE&amp;VAR:NATFREQ=QUARTERLY&amp;VAR:RFIELD=FINALIZED&amp;VAR:DB_TYPE=&amp;VAR:UNITS=M&amp;window=popup&amp;width=450&amp;height=300&amp;START_MAXIMIZED=FALSE"}</definedName>
    <definedName name="_366__FDSAUDITLINK__" hidden="1">{"fdsup://IBCentral/FAT Viewer?action=UPDATE&amp;creator=factset&amp;DOC_NAME=fat:reuters_qtrly_source_window.fat&amp;display_string=Audit&amp;DYN_ARGS=TRUE&amp;VAR:ID1=527343&amp;VAR:RCODE=LMIN&amp;VAR:SDATE=20050699&amp;VAR:FREQ=Quarterly&amp;VAR:RELITEM=RP&amp;VAR:CURRENCY=&amp;VAR:CURRSOURCE=EXSH","ARE&amp;VAR:NATFREQ=QUARTERLY&amp;VAR:RFIELD=FINALIZED&amp;VAR:DB_TYPE=&amp;VAR:UNITS=M&amp;window=popup&amp;width=450&amp;height=300&amp;START_MAXIMIZED=FALSE"}</definedName>
    <definedName name="_367__FDSAUDITLINK__" hidden="1">{"fdsup://IBCentral/FAT Viewer?action=UPDATE&amp;creator=factset&amp;DOC_NAME=fat:reuters_qtrly_source_window.fat&amp;display_string=Audit&amp;DYN_ARGS=TRUE&amp;VAR:ID1=527343&amp;VAR:RCODE=LMIN&amp;VAR:SDATE=20050399&amp;VAR:FREQ=Quarterly&amp;VAR:RELITEM=RP&amp;VAR:CURRENCY=&amp;VAR:CURRSOURCE=EXSH","ARE&amp;VAR:NATFREQ=QUARTERLY&amp;VAR:RFIELD=FINALIZED&amp;VAR:DB_TYPE=&amp;VAR:UNITS=M&amp;window=popup&amp;width=450&amp;height=300&amp;START_MAXIMIZED=FALSE"}</definedName>
    <definedName name="_368__FDSAUDITLINK__" hidden="1">{"fdsup://IBCentral/FAT Viewer?action=UPDATE&amp;creator=factset&amp;DOC_NAME=fat:reuters_qtrly_source_window.fat&amp;display_string=Audit&amp;DYN_ARGS=TRUE&amp;VAR:ID1=527343&amp;VAR:RCODE=LMIN&amp;VAR:SDATE=20041299&amp;VAR:FREQ=Quarterly&amp;VAR:RELITEM=RP&amp;VAR:CURRENCY=&amp;VAR:CURRSOURCE=EXSH","ARE&amp;VAR:NATFREQ=QUARTERLY&amp;VAR:RFIELD=FINALIZED&amp;VAR:DB_TYPE=&amp;VAR:UNITS=M&amp;window=popup&amp;width=450&amp;height=300&amp;START_MAXIMIZED=FALSE"}</definedName>
    <definedName name="_369__FDSAUDITLINK__" hidden="1">{"fdsup://IBCentral/FAT Viewer?action=UPDATE&amp;creator=factset&amp;DOC_NAME=fat:reuters_qtrly_source_window.fat&amp;display_string=Audit&amp;DYN_ARGS=TRUE&amp;VAR:ID1=527343&amp;VAR:RCODE=LMIN&amp;VAR:SDATE=20040999&amp;VAR:FREQ=Quarterly&amp;VAR:RELITEM=RP&amp;VAR:CURRENCY=&amp;VAR:CURRSOURCE=EXSH","ARE&amp;VAR:NATFREQ=QUARTERLY&amp;VAR:RFIELD=FINALIZED&amp;VAR:DB_TYPE=&amp;VAR:UNITS=M&amp;window=popup&amp;width=450&amp;height=300&amp;START_MAXIMIZED=FALSE"}</definedName>
    <definedName name="_37__123Graph_XChart_1A" hidden="1">#REF!</definedName>
    <definedName name="_37__FDSAUDITLINK__" hidden="1">{"fdsup://IBCentral/FAT Viewer?action=UPDATE&amp;creator=factset&amp;DOC_NAME=fat:reuters_qtrly_source_window.fat&amp;display_string=Audit&amp;DYN_ARGS=TRUE&amp;VAR:ID1=527343&amp;VAR:RCODE=LMIN&amp;VAR:SDATE=20010999&amp;VAR:FREQ=Quarterly&amp;VAR:RELITEM=RP&amp;VAR:CURRENCY=&amp;VAR:CURRSOURCE=EXSH","ARE&amp;VAR:NATFREQ=QUARTERLY&amp;VAR:RFIELD=FINALIZED&amp;VAR:DB_TYPE=&amp;VAR:UNITS=M&amp;window=popup&amp;width=450&amp;height=300&amp;START_MAXIMIZED=FALSE"}</definedName>
    <definedName name="_370__FDSAUDITLINK__" hidden="1">{"fdsup://IBCentral/FAT Viewer?action=UPDATE&amp;creator=factset&amp;DOC_NAME=fat:reuters_qtrly_source_window.fat&amp;display_string=Audit&amp;DYN_ARGS=TRUE&amp;VAR:ID1=527343&amp;VAR:RCODE=LMIN&amp;VAR:SDATE=20040699&amp;VAR:FREQ=Quarterly&amp;VAR:RELITEM=RP&amp;VAR:CURRENCY=&amp;VAR:CURRSOURCE=EXSH","ARE&amp;VAR:NATFREQ=QUARTERLY&amp;VAR:RFIELD=FINALIZED&amp;VAR:DB_TYPE=&amp;VAR:UNITS=M&amp;window=popup&amp;width=450&amp;height=300&amp;START_MAXIMIZED=FALSE"}</definedName>
    <definedName name="_371__FDSAUDITLINK__" hidden="1">{"fdsup://IBCentral/FAT Viewer?action=UPDATE&amp;creator=factset&amp;DOC_NAME=fat:reuters_qtrly_source_window.fat&amp;display_string=Audit&amp;DYN_ARGS=TRUE&amp;VAR:ID1=527343&amp;VAR:RCODE=LMIN&amp;VAR:SDATE=20040399&amp;VAR:FREQ=Quarterly&amp;VAR:RELITEM=RP&amp;VAR:CURRENCY=&amp;VAR:CURRSOURCE=EXSH","ARE&amp;VAR:NATFREQ=QUARTERLY&amp;VAR:RFIELD=FINALIZED&amp;VAR:DB_TYPE=&amp;VAR:UNITS=M&amp;window=popup&amp;width=450&amp;height=300&amp;START_MAXIMIZED=FALSE"}</definedName>
    <definedName name="_372__FDSAUDITLINK__" hidden="1">{"fdsup://IBCentral/FAT Viewer?action=UPDATE&amp;creator=factset&amp;DOC_NAME=fat:reuters_qtrly_source_window.fat&amp;display_string=Audit&amp;DYN_ARGS=TRUE&amp;VAR:ID1=527343&amp;VAR:RCODE=LMIN&amp;VAR:SDATE=20031299&amp;VAR:FREQ=Quarterly&amp;VAR:RELITEM=RP&amp;VAR:CURRENCY=&amp;VAR:CURRSOURCE=EXSH","ARE&amp;VAR:NATFREQ=QUARTERLY&amp;VAR:RFIELD=FINALIZED&amp;VAR:DB_TYPE=&amp;VAR:UNITS=M&amp;window=popup&amp;width=450&amp;height=300&amp;START_MAXIMIZED=FALSE"}</definedName>
    <definedName name="_373__FDSAUDITLINK__" hidden="1">{"fdsup://IBCentral/FAT Viewer?action=UPDATE&amp;creator=factset&amp;DOC_NAME=fat:reuters_qtrly_source_window.fat&amp;display_string=Audit&amp;DYN_ARGS=TRUE&amp;VAR:ID1=527343&amp;VAR:RCODE=LMIN&amp;VAR:SDATE=20030999&amp;VAR:FREQ=Quarterly&amp;VAR:RELITEM=RP&amp;VAR:CURRENCY=&amp;VAR:CURRSOURCE=EXSH","ARE&amp;VAR:NATFREQ=QUARTERLY&amp;VAR:RFIELD=FINALIZED&amp;VAR:DB_TYPE=&amp;VAR:UNITS=M&amp;window=popup&amp;width=450&amp;height=300&amp;START_MAXIMIZED=FALSE"}</definedName>
    <definedName name="_374__FDSAUDITLINK__" hidden="1">{"fdsup://IBCentral/FAT Viewer?action=UPDATE&amp;creator=factset&amp;DOC_NAME=fat:reuters_qtrly_source_window.fat&amp;display_string=Audit&amp;DYN_ARGS=TRUE&amp;VAR:ID1=527343&amp;VAR:RCODE=LMIN&amp;VAR:SDATE=20030699&amp;VAR:FREQ=Quarterly&amp;VAR:RELITEM=RP&amp;VAR:CURRENCY=&amp;VAR:CURRSOURCE=EXSH","ARE&amp;VAR:NATFREQ=QUARTERLY&amp;VAR:RFIELD=FINALIZED&amp;VAR:DB_TYPE=&amp;VAR:UNITS=M&amp;window=popup&amp;width=450&amp;height=300&amp;START_MAXIMIZED=FALSE"}</definedName>
    <definedName name="_375__FDSAUDITLINK__" hidden="1">{"fdsup://IBCentral/FAT Viewer?action=UPDATE&amp;creator=factset&amp;DOC_NAME=fat:reuters_qtrly_source_window.fat&amp;display_string=Audit&amp;DYN_ARGS=TRUE&amp;VAR:ID1=527343&amp;VAR:RCODE=LMIN&amp;VAR:SDATE=20030399&amp;VAR:FREQ=Quarterly&amp;VAR:RELITEM=RP&amp;VAR:CURRENCY=&amp;VAR:CURRSOURCE=EXSH","ARE&amp;VAR:NATFREQ=QUARTERLY&amp;VAR:RFIELD=FINALIZED&amp;VAR:DB_TYPE=&amp;VAR:UNITS=M&amp;window=popup&amp;width=450&amp;height=300&amp;START_MAXIMIZED=FALSE"}</definedName>
    <definedName name="_376__FDSAUDITLINK__" hidden="1">{"fdsup://IBCentral/FAT Viewer?action=UPDATE&amp;creator=factset&amp;DOC_NAME=fat:reuters_qtrly_source_window.fat&amp;display_string=Audit&amp;DYN_ARGS=TRUE&amp;VAR:ID1=527343&amp;VAR:RCODE=LMIN&amp;VAR:SDATE=20021299&amp;VAR:FREQ=Quarterly&amp;VAR:RELITEM=RP&amp;VAR:CURRENCY=&amp;VAR:CURRSOURCE=EXSH","ARE&amp;VAR:NATFREQ=QUARTERLY&amp;VAR:RFIELD=FINALIZED&amp;VAR:DB_TYPE=&amp;VAR:UNITS=M&amp;window=popup&amp;width=450&amp;height=300&amp;START_MAXIMIZED=FALSE"}</definedName>
    <definedName name="_377__FDSAUDITLINK__" hidden="1">{"fdsup://IBCentral/FAT Viewer?action=UPDATE&amp;creator=factset&amp;DOC_NAME=fat:reuters_qtrly_source_window.fat&amp;display_string=Audit&amp;DYN_ARGS=TRUE&amp;VAR:ID1=527343&amp;VAR:RCODE=LMIN&amp;VAR:SDATE=20020999&amp;VAR:FREQ=Quarterly&amp;VAR:RELITEM=RP&amp;VAR:CURRENCY=&amp;VAR:CURRSOURCE=EXSH","ARE&amp;VAR:NATFREQ=QUARTERLY&amp;VAR:RFIELD=FINALIZED&amp;VAR:DB_TYPE=&amp;VAR:UNITS=M&amp;window=popup&amp;width=450&amp;height=300&amp;START_MAXIMIZED=FALSE"}</definedName>
    <definedName name="_378__FDSAUDITLINK__" hidden="1">{"fdsup://IBCentral/FAT Viewer?action=UPDATE&amp;creator=factset&amp;DOC_NAME=fat:reuters_qtrly_source_window.fat&amp;display_string=Audit&amp;DYN_ARGS=TRUE&amp;VAR:ID1=527343&amp;VAR:RCODE=LMIN&amp;VAR:SDATE=20020699&amp;VAR:FREQ=Quarterly&amp;VAR:RELITEM=RP&amp;VAR:CURRENCY=&amp;VAR:CURRSOURCE=EXSH","ARE&amp;VAR:NATFREQ=QUARTERLY&amp;VAR:RFIELD=FINALIZED&amp;VAR:DB_TYPE=&amp;VAR:UNITS=M&amp;window=popup&amp;width=450&amp;height=300&amp;START_MAXIMIZED=FALSE"}</definedName>
    <definedName name="_379__FDSAUDITLINK__" hidden="1">{"fdsup://IBCentral/FAT Viewer?action=UPDATE&amp;creator=factset&amp;DOC_NAME=fat:reuters_qtrly_source_window.fat&amp;display_string=Audit&amp;DYN_ARGS=TRUE&amp;VAR:ID1=527343&amp;VAR:RCODE=LMIN&amp;VAR:SDATE=20020399&amp;VAR:FREQ=Quarterly&amp;VAR:RELITEM=RP&amp;VAR:CURRENCY=&amp;VAR:CURRSOURCE=EXSH","ARE&amp;VAR:NATFREQ=QUARTERLY&amp;VAR:RFIELD=FINALIZED&amp;VAR:DB_TYPE=&amp;VAR:UNITS=M&amp;window=popup&amp;width=450&amp;height=300&amp;START_MAXIMIZED=FALSE"}</definedName>
    <definedName name="_38__123Graph_XChart_2A" hidden="1">#REF!</definedName>
    <definedName name="_38__FDSAUDITLINK__" hidden="1">{"fdsup://IBCentral/FAT Viewer?action=UPDATE&amp;creator=factset&amp;DOC_NAME=fat:reuters_qtrly_source_window.fat&amp;display_string=Audit&amp;DYN_ARGS=TRUE&amp;VAR:ID1=527343&amp;VAR:RCODE=LMIN&amp;VAR:SDATE=20010699&amp;VAR:FREQ=Quarterly&amp;VAR:RELITEM=RP&amp;VAR:CURRENCY=&amp;VAR:CURRSOURCE=EXSH","ARE&amp;VAR:NATFREQ=QUARTERLY&amp;VAR:RFIELD=FINALIZED&amp;VAR:DB_TYPE=&amp;VAR:UNITS=M&amp;window=popup&amp;width=450&amp;height=300&amp;START_MAXIMIZED=FALSE"}</definedName>
    <definedName name="_380__FDSAUDITLINK__" hidden="1">{"fdsup://IBCentral/FAT Viewer?action=UPDATE&amp;creator=factset&amp;DOC_NAME=fat:reuters_qtrly_source_window.fat&amp;display_string=Audit&amp;DYN_ARGS=TRUE&amp;VAR:ID1=527343&amp;VAR:RCODE=LMIN&amp;VAR:SDATE=20011299&amp;VAR:FREQ=Quarterly&amp;VAR:RELITEM=RP&amp;VAR:CURRENCY=&amp;VAR:CURRSOURCE=EXSH","ARE&amp;VAR:NATFREQ=QUARTERLY&amp;VAR:RFIELD=FINALIZED&amp;VAR:DB_TYPE=&amp;VAR:UNITS=M&amp;window=popup&amp;width=450&amp;height=300&amp;START_MAXIMIZED=FALSE"}</definedName>
    <definedName name="_381__FDSAUDITLINK__" hidden="1">{"fdsup://IBCentral/FAT Viewer?action=UPDATE&amp;creator=factset&amp;DOC_NAME=fat:reuters_qtrly_source_window.fat&amp;display_string=Audit&amp;DYN_ARGS=TRUE&amp;VAR:ID1=527343&amp;VAR:RCODE=LMIN&amp;VAR:SDATE=20010999&amp;VAR:FREQ=Quarterly&amp;VAR:RELITEM=RP&amp;VAR:CURRENCY=&amp;VAR:CURRSOURCE=EXSH","ARE&amp;VAR:NATFREQ=QUARTERLY&amp;VAR:RFIELD=FINALIZED&amp;VAR:DB_TYPE=&amp;VAR:UNITS=M&amp;window=popup&amp;width=450&amp;height=300&amp;START_MAXIMIZED=FALSE"}</definedName>
    <definedName name="_382__FDSAUDITLINK__" hidden="1">{"fdsup://IBCentral/FAT Viewer?action=UPDATE&amp;creator=factset&amp;DOC_NAME=fat:reuters_qtrly_source_window.fat&amp;display_string=Audit&amp;DYN_ARGS=TRUE&amp;VAR:ID1=527343&amp;VAR:RCODE=LMIN&amp;VAR:SDATE=20010699&amp;VAR:FREQ=Quarterly&amp;VAR:RELITEM=RP&amp;VAR:CURRENCY=&amp;VAR:CURRSOURCE=EXSH","ARE&amp;VAR:NATFREQ=QUARTERLY&amp;VAR:RFIELD=FINALIZED&amp;VAR:DB_TYPE=&amp;VAR:UNITS=M&amp;window=popup&amp;width=450&amp;height=300&amp;START_MAXIMIZED=FALSE"}</definedName>
    <definedName name="_383__FDSAUDITLINK__" hidden="1">{"fdsup://IBCentral/FAT Viewer?action=UPDATE&amp;creator=factset&amp;DOC_NAME=fat:reuters_qtrly_source_window.fat&amp;display_string=Audit&amp;DYN_ARGS=TRUE&amp;VAR:ID1=527343&amp;VAR:RCODE=LMIN&amp;VAR:SDATE=20010399&amp;VAR:FREQ=Quarterly&amp;VAR:RELITEM=RP&amp;VAR:CURRENCY=&amp;VAR:CURRSOURCE=EXSH","ARE&amp;VAR:NATFREQ=QUARTERLY&amp;VAR:RFIELD=FINALIZED&amp;VAR:DB_TYPE=&amp;VAR:UNITS=M&amp;window=popup&amp;width=450&amp;height=300&amp;START_MAXIMIZED=FALSE"}</definedName>
    <definedName name="_384__FDSAUDITLINK__" hidden="1">{"fdsup://IBCentral/FAT Viewer?action=UPDATE&amp;creator=factset&amp;DOC_NAME=fat:reuters_qtrly_source_window.fat&amp;display_string=Audit&amp;DYN_ARGS=TRUE&amp;VAR:ID1=527343&amp;VAR:RCODE=LMIN&amp;VAR:SDATE=20001299&amp;VAR:FREQ=Quarterly&amp;VAR:RELITEM=RP&amp;VAR:CURRENCY=&amp;VAR:CURRSOURCE=EXSH","ARE&amp;VAR:NATFREQ=QUARTERLY&amp;VAR:RFIELD=FINALIZED&amp;VAR:DB_TYPE=&amp;VAR:UNITS=M&amp;window=popup&amp;width=450&amp;height=300&amp;START_MAXIMIZED=FALSE"}</definedName>
    <definedName name="_385__FDSAUDITLINK__" hidden="1">{"fdsup://IBCentral/FAT Viewer?action=UPDATE&amp;creator=factset&amp;DOC_NAME=fat:reuters_qtrly_source_window.fat&amp;display_string=Audit&amp;DYN_ARGS=TRUE&amp;VAR:ID1=527343&amp;VAR:RCODE=LMIN&amp;VAR:SDATE=20000999&amp;VAR:FREQ=Quarterly&amp;VAR:RELITEM=RP&amp;VAR:CURRENCY=&amp;VAR:CURRSOURCE=EXSH","ARE&amp;VAR:NATFREQ=QUARTERLY&amp;VAR:RFIELD=FINALIZED&amp;VAR:DB_TYPE=&amp;VAR:UNITS=M&amp;window=popup&amp;width=450&amp;height=300&amp;START_MAXIMIZED=FALSE"}</definedName>
    <definedName name="_386__FDSAUDITLINK__" hidden="1">{"fdsup://IBCentral/FAT Viewer?action=UPDATE&amp;creator=factset&amp;DOC_NAME=fat:reuters_qtrly_source_window.fat&amp;display_string=Audit&amp;DYN_ARGS=TRUE&amp;VAR:ID1=527343&amp;VAR:RCODE=LMIN&amp;VAR:SDATE=20000699&amp;VAR:FREQ=Quarterly&amp;VAR:RELITEM=RP&amp;VAR:CURRENCY=&amp;VAR:CURRSOURCE=EXSH","ARE&amp;VAR:NATFREQ=QUARTERLY&amp;VAR:RFIELD=FINALIZED&amp;VAR:DB_TYPE=&amp;VAR:UNITS=M&amp;window=popup&amp;width=450&amp;height=300&amp;START_MAXIMIZED=FALSE"}</definedName>
    <definedName name="_387__FDSAUDITLINK__" hidden="1">{"fdsup://IBCentral/FAT Viewer?action=UPDATE&amp;creator=factset&amp;DOC_NAME=fat:reuters_qtrly_source_window.fat&amp;display_string=Audit&amp;DYN_ARGS=TRUE&amp;VAR:ID1=527343&amp;VAR:RCODE=LMIN&amp;VAR:SDATE=20000399&amp;VAR:FREQ=Quarterly&amp;VAR:RELITEM=RP&amp;VAR:CURRENCY=&amp;VAR:CURRSOURCE=EXSH","ARE&amp;VAR:NATFREQ=QUARTERLY&amp;VAR:RFIELD=FINALIZED&amp;VAR:DB_TYPE=&amp;VAR:UNITS=M&amp;window=popup&amp;width=450&amp;height=300&amp;START_MAXIMIZED=FALSE"}</definedName>
    <definedName name="_388__FDSAUDITLINK__" hidden="1">{"fdsup://IBCentral/FAT Viewer?action=UPDATE&amp;creator=factset&amp;DOC_NAME=fat:reuters_qtrly_source_window.fat&amp;display_string=Audit&amp;DYN_ARGS=TRUE&amp;VAR:ID1=527343&amp;VAR:RCODE=LTTD&amp;VAR:SDATE=20100999&amp;VAR:FREQ=Quarterly&amp;VAR:RELITEM=RP&amp;VAR:CURRENCY=&amp;VAR:CURRSOURCE=EXSH","ARE&amp;VAR:NATFREQ=QUARTERLY&amp;VAR:RFIELD=FINALIZED&amp;VAR:DB_TYPE=&amp;VAR:UNITS=M&amp;window=popup&amp;width=450&amp;height=300&amp;START_MAXIMIZED=FALSE"}</definedName>
    <definedName name="_389__FDSAUDITLINK__" hidden="1">{"fdsup://IBCentral/FAT Viewer?action=UPDATE&amp;creator=factset&amp;DOC_NAME=fat:reuters_qtrly_source_window.fat&amp;display_string=Audit&amp;DYN_ARGS=TRUE&amp;VAR:ID1=527343&amp;VAR:RCODE=LTTD&amp;VAR:SDATE=20100699&amp;VAR:FREQ=Quarterly&amp;VAR:RELITEM=RP&amp;VAR:CURRENCY=&amp;VAR:CURRSOURCE=EXSH","ARE&amp;VAR:NATFREQ=QUARTERLY&amp;VAR:RFIELD=FINALIZED&amp;VAR:DB_TYPE=&amp;VAR:UNITS=M&amp;window=popup&amp;width=450&amp;height=300&amp;START_MAXIMIZED=FALSE"}</definedName>
    <definedName name="_39__123Graph_XCHART_30" hidden="1">[9]Menu!$AF$15:$AO$15</definedName>
    <definedName name="_39__FDSAUDITLINK__" hidden="1">{"fdsup://IBCentral/FAT Viewer?action=UPDATE&amp;creator=factset&amp;DOC_NAME=fat:reuters_qtrly_source_window.fat&amp;display_string=Audit&amp;DYN_ARGS=TRUE&amp;VAR:ID1=527343&amp;VAR:RCODE=LMIN&amp;VAR:SDATE=20010399&amp;VAR:FREQ=Quarterly&amp;VAR:RELITEM=RP&amp;VAR:CURRENCY=&amp;VAR:CURRSOURCE=EXSH","ARE&amp;VAR:NATFREQ=QUARTERLY&amp;VAR:RFIELD=FINALIZED&amp;VAR:DB_TYPE=&amp;VAR:UNITS=M&amp;window=popup&amp;width=450&amp;height=300&amp;START_MAXIMIZED=FALSE"}</definedName>
    <definedName name="_390__FDSAUDITLINK__" hidden="1">{"fdsup://IBCentral/FAT Viewer?action=UPDATE&amp;creator=factset&amp;DOC_NAME=fat:reuters_qtrly_source_window.fat&amp;display_string=Audit&amp;DYN_ARGS=TRUE&amp;VAR:ID1=527343&amp;VAR:RCODE=LTTD&amp;VAR:SDATE=20100399&amp;VAR:FREQ=Quarterly&amp;VAR:RELITEM=RP&amp;VAR:CURRENCY=&amp;VAR:CURRSOURCE=EXSH","ARE&amp;VAR:NATFREQ=QUARTERLY&amp;VAR:RFIELD=FINALIZED&amp;VAR:DB_TYPE=&amp;VAR:UNITS=M&amp;window=popup&amp;width=450&amp;height=300&amp;START_MAXIMIZED=FALSE"}</definedName>
    <definedName name="_391__FDSAUDITLINK__" hidden="1">{"fdsup://IBCentral/FAT Viewer?action=UPDATE&amp;creator=factset&amp;DOC_NAME=fat:reuters_qtrly_source_window.fat&amp;display_string=Audit&amp;DYN_ARGS=TRUE&amp;VAR:ID1=527343&amp;VAR:RCODE=LTTD&amp;VAR:SDATE=20091299&amp;VAR:FREQ=Quarterly&amp;VAR:RELITEM=RP&amp;VAR:CURRENCY=&amp;VAR:CURRSOURCE=EXSH","ARE&amp;VAR:NATFREQ=QUARTERLY&amp;VAR:RFIELD=FINALIZED&amp;VAR:DB_TYPE=&amp;VAR:UNITS=M&amp;window=popup&amp;width=450&amp;height=300&amp;START_MAXIMIZED=FALSE"}</definedName>
    <definedName name="_392__FDSAUDITLINK__" hidden="1">{"fdsup://IBCentral/FAT Viewer?action=UPDATE&amp;creator=factset&amp;DOC_NAME=fat:reuters_qtrly_source_window.fat&amp;display_string=Audit&amp;DYN_ARGS=TRUE&amp;VAR:ID1=527343&amp;VAR:RCODE=LTTD&amp;VAR:SDATE=20090999&amp;VAR:FREQ=Quarterly&amp;VAR:RELITEM=RP&amp;VAR:CURRENCY=&amp;VAR:CURRSOURCE=EXSH","ARE&amp;VAR:NATFREQ=QUARTERLY&amp;VAR:RFIELD=FINALIZED&amp;VAR:DB_TYPE=&amp;VAR:UNITS=M&amp;window=popup&amp;width=450&amp;height=300&amp;START_MAXIMIZED=FALSE"}</definedName>
    <definedName name="_393__FDSAUDITLINK__" hidden="1">{"fdsup://IBCentral/FAT Viewer?action=UPDATE&amp;creator=factset&amp;DOC_NAME=fat:reuters_qtrly_source_window.fat&amp;display_string=Audit&amp;DYN_ARGS=TRUE&amp;VAR:ID1=527343&amp;VAR:RCODE=LTTD&amp;VAR:SDATE=20090699&amp;VAR:FREQ=Quarterly&amp;VAR:RELITEM=RP&amp;VAR:CURRENCY=&amp;VAR:CURRSOURCE=EXSH","ARE&amp;VAR:NATFREQ=QUARTERLY&amp;VAR:RFIELD=FINALIZED&amp;VAR:DB_TYPE=&amp;VAR:UNITS=M&amp;window=popup&amp;width=450&amp;height=300&amp;START_MAXIMIZED=FALSE"}</definedName>
    <definedName name="_394__FDSAUDITLINK__" hidden="1">{"fdsup://IBCentral/FAT Viewer?action=UPDATE&amp;creator=factset&amp;DOC_NAME=fat:reuters_qtrly_source_window.fat&amp;display_string=Audit&amp;DYN_ARGS=TRUE&amp;VAR:ID1=527343&amp;VAR:RCODE=LTTD&amp;VAR:SDATE=20090399&amp;VAR:FREQ=Quarterly&amp;VAR:RELITEM=RP&amp;VAR:CURRENCY=&amp;VAR:CURRSOURCE=EXSH","ARE&amp;VAR:NATFREQ=QUARTERLY&amp;VAR:RFIELD=FINALIZED&amp;VAR:DB_TYPE=&amp;VAR:UNITS=M&amp;window=popup&amp;width=450&amp;height=300&amp;START_MAXIMIZED=FALSE"}</definedName>
    <definedName name="_395__FDSAUDITLINK__" hidden="1">{"fdsup://IBCentral/FAT Viewer?action=UPDATE&amp;creator=factset&amp;DOC_NAME=fat:reuters_qtrly_source_window.fat&amp;display_string=Audit&amp;DYN_ARGS=TRUE&amp;VAR:ID1=527343&amp;VAR:RCODE=LTTD&amp;VAR:SDATE=20081299&amp;VAR:FREQ=Quarterly&amp;VAR:RELITEM=RP&amp;VAR:CURRENCY=&amp;VAR:CURRSOURCE=EXSH","ARE&amp;VAR:NATFREQ=QUARTERLY&amp;VAR:RFIELD=FINALIZED&amp;VAR:DB_TYPE=&amp;VAR:UNITS=M&amp;window=popup&amp;width=450&amp;height=300&amp;START_MAXIMIZED=FALSE"}</definedName>
    <definedName name="_396__FDSAUDITLINK__" hidden="1">{"fdsup://IBCentral/FAT Viewer?action=UPDATE&amp;creator=factset&amp;DOC_NAME=fat:reuters_qtrly_source_window.fat&amp;display_string=Audit&amp;DYN_ARGS=TRUE&amp;VAR:ID1=527343&amp;VAR:RCODE=LTTD&amp;VAR:SDATE=20080999&amp;VAR:FREQ=Quarterly&amp;VAR:RELITEM=RP&amp;VAR:CURRENCY=&amp;VAR:CURRSOURCE=EXSH","ARE&amp;VAR:NATFREQ=QUARTERLY&amp;VAR:RFIELD=FINALIZED&amp;VAR:DB_TYPE=&amp;VAR:UNITS=M&amp;window=popup&amp;width=450&amp;height=300&amp;START_MAXIMIZED=FALSE"}</definedName>
    <definedName name="_397__FDSAUDITLINK__" hidden="1">{"fdsup://IBCentral/FAT Viewer?action=UPDATE&amp;creator=factset&amp;DOC_NAME=fat:reuters_qtrly_source_window.fat&amp;display_string=Audit&amp;DYN_ARGS=TRUE&amp;VAR:ID1=527343&amp;VAR:RCODE=LTTD&amp;VAR:SDATE=20080699&amp;VAR:FREQ=Quarterly&amp;VAR:RELITEM=RP&amp;VAR:CURRENCY=&amp;VAR:CURRSOURCE=EXSH","ARE&amp;VAR:NATFREQ=QUARTERLY&amp;VAR:RFIELD=FINALIZED&amp;VAR:DB_TYPE=&amp;VAR:UNITS=M&amp;window=popup&amp;width=450&amp;height=300&amp;START_MAXIMIZED=FALSE"}</definedName>
    <definedName name="_398__FDSAUDITLINK__" hidden="1">{"fdsup://IBCentral/FAT Viewer?action=UPDATE&amp;creator=factset&amp;DOC_NAME=fat:reuters_qtrly_source_window.fat&amp;display_string=Audit&amp;DYN_ARGS=TRUE&amp;VAR:ID1=527343&amp;VAR:RCODE=LTTD&amp;VAR:SDATE=20080399&amp;VAR:FREQ=Quarterly&amp;VAR:RELITEM=RP&amp;VAR:CURRENCY=&amp;VAR:CURRSOURCE=EXSH","ARE&amp;VAR:NATFREQ=QUARTERLY&amp;VAR:RFIELD=FINALIZED&amp;VAR:DB_TYPE=&amp;VAR:UNITS=M&amp;window=popup&amp;width=450&amp;height=300&amp;START_MAXIMIZED=FALSE"}</definedName>
    <definedName name="_399__FDSAUDITLINK__" hidden="1">{"fdsup://IBCentral/FAT Viewer?action=UPDATE&amp;creator=factset&amp;DOC_NAME=fat:reuters_qtrly_source_window.fat&amp;display_string=Audit&amp;DYN_ARGS=TRUE&amp;VAR:ID1=527343&amp;VAR:RCODE=LTTD&amp;VAR:SDATE=20071299&amp;VAR:FREQ=Quarterly&amp;VAR:RELITEM=RP&amp;VAR:CURRENCY=&amp;VAR:CURRSOURCE=EXSH","ARE&amp;VAR:NATFREQ=QUARTERLY&amp;VAR:RFIELD=FINALIZED&amp;VAR:DB_TYPE=&amp;VAR:UNITS=M&amp;window=popup&amp;width=450&amp;height=300&amp;START_MAXIMIZED=FALSE"}</definedName>
    <definedName name="_4__123Graph_AMKT_YTD" hidden="1">[5]SALES!#REF!</definedName>
    <definedName name="_4__123Graph_BMKT_YTD" hidden="1">[5]SALES!#REF!</definedName>
    <definedName name="_4__FDSAUDITLINK__" hidden="1">{"fdsup://IBCentral/FAT Viewer?action=UPDATE&amp;creator=factset&amp;DOC_NAME=fat:reuters_qtrly_source_window.fat&amp;display_string=Audit&amp;DYN_ARGS=TRUE&amp;VAR:ID1=527343&amp;VAR:RCODE=LMIN&amp;VAR:SDATE=20091299&amp;VAR:FREQ=Quarterly&amp;VAR:RELITEM=RP&amp;VAR:CURRENCY=&amp;VAR:CURRSOURCE=EXSH","ARE&amp;VAR:NATFREQ=QUARTERLY&amp;VAR:RFIELD=FINALIZED&amp;VAR:DB_TYPE=&amp;VAR:UNITS=M&amp;window=popup&amp;width=450&amp;height=300&amp;START_MAXIMIZED=FALSE"}</definedName>
    <definedName name="_40__FDSAUDITLINK__" hidden="1">{"fdsup://IBCentral/FAT Viewer?action=UPDATE&amp;creator=factset&amp;DOC_NAME=fat:reuters_qtrly_source_window.fat&amp;display_string=Audit&amp;DYN_ARGS=TRUE&amp;VAR:ID1=527343&amp;VAR:RCODE=LMIN&amp;VAR:SDATE=20001299&amp;VAR:FREQ=Quarterly&amp;VAR:RELITEM=RP&amp;VAR:CURRENCY=&amp;VAR:CURRSOURCE=EXSH","ARE&amp;VAR:NATFREQ=QUARTERLY&amp;VAR:RFIELD=FINALIZED&amp;VAR:DB_TYPE=&amp;VAR:UNITS=M&amp;window=popup&amp;width=450&amp;height=300&amp;START_MAXIMIZED=FALSE"}</definedName>
    <definedName name="_400__FDSAUDITLINK__" hidden="1">{"fdsup://IBCentral/FAT Viewer?action=UPDATE&amp;creator=factset&amp;DOC_NAME=fat:reuters_qtrly_source_window.fat&amp;display_string=Audit&amp;DYN_ARGS=TRUE&amp;VAR:ID1=527343&amp;VAR:RCODE=LTTD&amp;VAR:SDATE=20070999&amp;VAR:FREQ=Quarterly&amp;VAR:RELITEM=RP&amp;VAR:CURRENCY=&amp;VAR:CURRSOURCE=EXSH","ARE&amp;VAR:NATFREQ=QUARTERLY&amp;VAR:RFIELD=FINALIZED&amp;VAR:DB_TYPE=&amp;VAR:UNITS=M&amp;window=popup&amp;width=450&amp;height=300&amp;START_MAXIMIZED=FALSE"}</definedName>
    <definedName name="_401__FDSAUDITLINK__" hidden="1">{"fdsup://IBCentral/FAT Viewer?action=UPDATE&amp;creator=factset&amp;DOC_NAME=fat:reuters_qtrly_source_window.fat&amp;display_string=Audit&amp;DYN_ARGS=TRUE&amp;VAR:ID1=527343&amp;VAR:RCODE=LTTD&amp;VAR:SDATE=20070699&amp;VAR:FREQ=Quarterly&amp;VAR:RELITEM=RP&amp;VAR:CURRENCY=&amp;VAR:CURRSOURCE=EXSH","ARE&amp;VAR:NATFREQ=QUARTERLY&amp;VAR:RFIELD=FINALIZED&amp;VAR:DB_TYPE=&amp;VAR:UNITS=M&amp;window=popup&amp;width=450&amp;height=300&amp;START_MAXIMIZED=FALSE"}</definedName>
    <definedName name="_402__FDSAUDITLINK__" hidden="1">{"fdsup://IBCentral/FAT Viewer?action=UPDATE&amp;creator=factset&amp;DOC_NAME=fat:reuters_qtrly_source_window.fat&amp;display_string=Audit&amp;DYN_ARGS=TRUE&amp;VAR:ID1=527343&amp;VAR:RCODE=LTTD&amp;VAR:SDATE=20070399&amp;VAR:FREQ=Quarterly&amp;VAR:RELITEM=RP&amp;VAR:CURRENCY=&amp;VAR:CURRSOURCE=EXSH","ARE&amp;VAR:NATFREQ=QUARTERLY&amp;VAR:RFIELD=FINALIZED&amp;VAR:DB_TYPE=&amp;VAR:UNITS=M&amp;window=popup&amp;width=450&amp;height=300&amp;START_MAXIMIZED=FALSE"}</definedName>
    <definedName name="_403__FDSAUDITLINK__" hidden="1">{"fdsup://IBCentral/FAT Viewer?action=UPDATE&amp;creator=factset&amp;DOC_NAME=fat:reuters_qtrly_source_window.fat&amp;display_string=Audit&amp;DYN_ARGS=TRUE&amp;VAR:ID1=527343&amp;VAR:RCODE=LTTD&amp;VAR:SDATE=20061299&amp;VAR:FREQ=Quarterly&amp;VAR:RELITEM=RP&amp;VAR:CURRENCY=&amp;VAR:CURRSOURCE=EXSH","ARE&amp;VAR:NATFREQ=QUARTERLY&amp;VAR:RFIELD=FINALIZED&amp;VAR:DB_TYPE=&amp;VAR:UNITS=M&amp;window=popup&amp;width=450&amp;height=300&amp;START_MAXIMIZED=FALSE"}</definedName>
    <definedName name="_404__FDSAUDITLINK__" hidden="1">{"fdsup://IBCentral/FAT Viewer?action=UPDATE&amp;creator=factset&amp;DOC_NAME=fat:reuters_qtrly_source_window.fat&amp;display_string=Audit&amp;DYN_ARGS=TRUE&amp;VAR:ID1=527343&amp;VAR:RCODE=LTTD&amp;VAR:SDATE=20060999&amp;VAR:FREQ=Quarterly&amp;VAR:RELITEM=RP&amp;VAR:CURRENCY=&amp;VAR:CURRSOURCE=EXSH","ARE&amp;VAR:NATFREQ=QUARTERLY&amp;VAR:RFIELD=FINALIZED&amp;VAR:DB_TYPE=&amp;VAR:UNITS=M&amp;window=popup&amp;width=450&amp;height=300&amp;START_MAXIMIZED=FALSE"}</definedName>
    <definedName name="_405__FDSAUDITLINK__" hidden="1">{"fdsup://IBCentral/FAT Viewer?action=UPDATE&amp;creator=factset&amp;DOC_NAME=fat:reuters_qtrly_source_window.fat&amp;display_string=Audit&amp;DYN_ARGS=TRUE&amp;VAR:ID1=527343&amp;VAR:RCODE=LTTD&amp;VAR:SDATE=20060699&amp;VAR:FREQ=Quarterly&amp;VAR:RELITEM=RP&amp;VAR:CURRENCY=&amp;VAR:CURRSOURCE=EXSH","ARE&amp;VAR:NATFREQ=QUARTERLY&amp;VAR:RFIELD=FINALIZED&amp;VAR:DB_TYPE=&amp;VAR:UNITS=M&amp;window=popup&amp;width=450&amp;height=300&amp;START_MAXIMIZED=FALSE"}</definedName>
    <definedName name="_406__FDSAUDITLINK__" hidden="1">{"fdsup://IBCentral/FAT Viewer?action=UPDATE&amp;creator=factset&amp;DOC_NAME=fat:reuters_qtrly_source_window.fat&amp;display_string=Audit&amp;DYN_ARGS=TRUE&amp;VAR:ID1=527343&amp;VAR:RCODE=LTTD&amp;VAR:SDATE=20060399&amp;VAR:FREQ=Quarterly&amp;VAR:RELITEM=RP&amp;VAR:CURRENCY=&amp;VAR:CURRSOURCE=EXSH","ARE&amp;VAR:NATFREQ=QUARTERLY&amp;VAR:RFIELD=FINALIZED&amp;VAR:DB_TYPE=&amp;VAR:UNITS=M&amp;window=popup&amp;width=450&amp;height=300&amp;START_MAXIMIZED=FALSE"}</definedName>
    <definedName name="_407__FDSAUDITLINK__" hidden="1">{"fdsup://IBCentral/FAT Viewer?action=UPDATE&amp;creator=factset&amp;DOC_NAME=fat:reuters_qtrly_source_window.fat&amp;display_string=Audit&amp;DYN_ARGS=TRUE&amp;VAR:ID1=527343&amp;VAR:RCODE=LTTD&amp;VAR:SDATE=20051299&amp;VAR:FREQ=Quarterly&amp;VAR:RELITEM=RP&amp;VAR:CURRENCY=&amp;VAR:CURRSOURCE=EXSH","ARE&amp;VAR:NATFREQ=QUARTERLY&amp;VAR:RFIELD=FINALIZED&amp;VAR:DB_TYPE=&amp;VAR:UNITS=M&amp;window=popup&amp;width=450&amp;height=300&amp;START_MAXIMIZED=FALSE"}</definedName>
    <definedName name="_408__FDSAUDITLINK__" hidden="1">{"fdsup://IBCentral/FAT Viewer?action=UPDATE&amp;creator=factset&amp;DOC_NAME=fat:reuters_qtrly_source_window.fat&amp;display_string=Audit&amp;DYN_ARGS=TRUE&amp;VAR:ID1=527343&amp;VAR:RCODE=LTTD&amp;VAR:SDATE=20050999&amp;VAR:FREQ=Quarterly&amp;VAR:RELITEM=RP&amp;VAR:CURRENCY=&amp;VAR:CURRSOURCE=EXSH","ARE&amp;VAR:NATFREQ=QUARTERLY&amp;VAR:RFIELD=FINALIZED&amp;VAR:DB_TYPE=&amp;VAR:UNITS=M&amp;window=popup&amp;width=450&amp;height=300&amp;START_MAXIMIZED=FALSE"}</definedName>
    <definedName name="_409__FDSAUDITLINK__" hidden="1">{"fdsup://IBCentral/FAT Viewer?action=UPDATE&amp;creator=factset&amp;DOC_NAME=fat:reuters_qtrly_source_window.fat&amp;display_string=Audit&amp;DYN_ARGS=TRUE&amp;VAR:ID1=527343&amp;VAR:RCODE=LTTD&amp;VAR:SDATE=20050699&amp;VAR:FREQ=Quarterly&amp;VAR:RELITEM=RP&amp;VAR:CURRENCY=&amp;VAR:CURRSOURCE=EXSH","ARE&amp;VAR:NATFREQ=QUARTERLY&amp;VAR:RFIELD=FINALIZED&amp;VAR:DB_TYPE=&amp;VAR:UNITS=M&amp;window=popup&amp;width=450&amp;height=300&amp;START_MAXIMIZED=FALSE"}</definedName>
    <definedName name="_41__FDSAUDITLINK__" hidden="1">{"fdsup://IBCentral/FAT Viewer?action=UPDATE&amp;creator=factset&amp;DOC_NAME=fat:reuters_qtrly_source_window.fat&amp;display_string=Audit&amp;DYN_ARGS=TRUE&amp;VAR:ID1=527343&amp;VAR:RCODE=LMIN&amp;VAR:SDATE=20000999&amp;VAR:FREQ=Quarterly&amp;VAR:RELITEM=RP&amp;VAR:CURRENCY=&amp;VAR:CURRSOURCE=EXSH","ARE&amp;VAR:NATFREQ=QUARTERLY&amp;VAR:RFIELD=FINALIZED&amp;VAR:DB_TYPE=&amp;VAR:UNITS=M&amp;window=popup&amp;width=450&amp;height=300&amp;START_MAXIMIZED=FALSE"}</definedName>
    <definedName name="_410__FDSAUDITLINK__" hidden="1">{"fdsup://IBCentral/FAT Viewer?action=UPDATE&amp;creator=factset&amp;DOC_NAME=fat:reuters_qtrly_source_window.fat&amp;display_string=Audit&amp;DYN_ARGS=TRUE&amp;VAR:ID1=527343&amp;VAR:RCODE=LTTD&amp;VAR:SDATE=20050399&amp;VAR:FREQ=Quarterly&amp;VAR:RELITEM=RP&amp;VAR:CURRENCY=&amp;VAR:CURRSOURCE=EXSH","ARE&amp;VAR:NATFREQ=QUARTERLY&amp;VAR:RFIELD=FINALIZED&amp;VAR:DB_TYPE=&amp;VAR:UNITS=M&amp;window=popup&amp;width=450&amp;height=300&amp;START_MAXIMIZED=FALSE"}</definedName>
    <definedName name="_411__FDSAUDITLINK__" hidden="1">{"fdsup://IBCentral/FAT Viewer?action=UPDATE&amp;creator=factset&amp;DOC_NAME=fat:reuters_qtrly_source_window.fat&amp;display_string=Audit&amp;DYN_ARGS=TRUE&amp;VAR:ID1=527343&amp;VAR:RCODE=LTTD&amp;VAR:SDATE=20041299&amp;VAR:FREQ=Quarterly&amp;VAR:RELITEM=RP&amp;VAR:CURRENCY=&amp;VAR:CURRSOURCE=EXSH","ARE&amp;VAR:NATFREQ=QUARTERLY&amp;VAR:RFIELD=FINALIZED&amp;VAR:DB_TYPE=&amp;VAR:UNITS=M&amp;window=popup&amp;width=450&amp;height=300&amp;START_MAXIMIZED=FALSE"}</definedName>
    <definedName name="_412__FDSAUDITLINK__" hidden="1">{"fdsup://IBCentral/FAT Viewer?action=UPDATE&amp;creator=factset&amp;DOC_NAME=fat:reuters_qtrly_source_window.fat&amp;display_string=Audit&amp;DYN_ARGS=TRUE&amp;VAR:ID1=527343&amp;VAR:RCODE=LTTD&amp;VAR:SDATE=20040999&amp;VAR:FREQ=Quarterly&amp;VAR:RELITEM=RP&amp;VAR:CURRENCY=&amp;VAR:CURRSOURCE=EXSH","ARE&amp;VAR:NATFREQ=QUARTERLY&amp;VAR:RFIELD=FINALIZED&amp;VAR:DB_TYPE=&amp;VAR:UNITS=M&amp;window=popup&amp;width=450&amp;height=300&amp;START_MAXIMIZED=FALSE"}</definedName>
    <definedName name="_413__FDSAUDITLINK__" hidden="1">{"fdsup://IBCentral/FAT Viewer?action=UPDATE&amp;creator=factset&amp;DOC_NAME=fat:reuters_qtrly_source_window.fat&amp;display_string=Audit&amp;DYN_ARGS=TRUE&amp;VAR:ID1=527343&amp;VAR:RCODE=LTTD&amp;VAR:SDATE=20040699&amp;VAR:FREQ=Quarterly&amp;VAR:RELITEM=RP&amp;VAR:CURRENCY=&amp;VAR:CURRSOURCE=EXSH","ARE&amp;VAR:NATFREQ=QUARTERLY&amp;VAR:RFIELD=FINALIZED&amp;VAR:DB_TYPE=&amp;VAR:UNITS=M&amp;window=popup&amp;width=450&amp;height=300&amp;START_MAXIMIZED=FALSE"}</definedName>
    <definedName name="_414__FDSAUDITLINK__" hidden="1">{"fdsup://IBCentral/FAT Viewer?action=UPDATE&amp;creator=factset&amp;DOC_NAME=fat:reuters_qtrly_source_window.fat&amp;display_string=Audit&amp;DYN_ARGS=TRUE&amp;VAR:ID1=527343&amp;VAR:RCODE=LTTD&amp;VAR:SDATE=20040399&amp;VAR:FREQ=Quarterly&amp;VAR:RELITEM=RP&amp;VAR:CURRENCY=&amp;VAR:CURRSOURCE=EXSH","ARE&amp;VAR:NATFREQ=QUARTERLY&amp;VAR:RFIELD=FINALIZED&amp;VAR:DB_TYPE=&amp;VAR:UNITS=M&amp;window=popup&amp;width=450&amp;height=300&amp;START_MAXIMIZED=FALSE"}</definedName>
    <definedName name="_415__FDSAUDITLINK__" hidden="1">{"fdsup://IBCentral/FAT Viewer?action=UPDATE&amp;creator=factset&amp;DOC_NAME=fat:reuters_qtrly_source_window.fat&amp;display_string=Audit&amp;DYN_ARGS=TRUE&amp;VAR:ID1=527343&amp;VAR:RCODE=LTTD&amp;VAR:SDATE=20031299&amp;VAR:FREQ=Quarterly&amp;VAR:RELITEM=RP&amp;VAR:CURRENCY=&amp;VAR:CURRSOURCE=EXSH","ARE&amp;VAR:NATFREQ=QUARTERLY&amp;VAR:RFIELD=FINALIZED&amp;VAR:DB_TYPE=&amp;VAR:UNITS=M&amp;window=popup&amp;width=450&amp;height=300&amp;START_MAXIMIZED=FALSE"}</definedName>
    <definedName name="_416__FDSAUDITLINK__" hidden="1">{"fdsup://IBCentral/FAT Viewer?action=UPDATE&amp;creator=factset&amp;DOC_NAME=fat:reuters_qtrly_source_window.fat&amp;display_string=Audit&amp;DYN_ARGS=TRUE&amp;VAR:ID1=527343&amp;VAR:RCODE=LTTD&amp;VAR:SDATE=20030999&amp;VAR:FREQ=Quarterly&amp;VAR:RELITEM=RP&amp;VAR:CURRENCY=&amp;VAR:CURRSOURCE=EXSH","ARE&amp;VAR:NATFREQ=QUARTERLY&amp;VAR:RFIELD=FINALIZED&amp;VAR:DB_TYPE=&amp;VAR:UNITS=M&amp;window=popup&amp;width=450&amp;height=300&amp;START_MAXIMIZED=FALSE"}</definedName>
    <definedName name="_417__FDSAUDITLINK__" hidden="1">{"fdsup://IBCentral/FAT Viewer?action=UPDATE&amp;creator=factset&amp;DOC_NAME=fat:reuters_qtrly_source_window.fat&amp;display_string=Audit&amp;DYN_ARGS=TRUE&amp;VAR:ID1=527343&amp;VAR:RCODE=LTTD&amp;VAR:SDATE=20030699&amp;VAR:FREQ=Quarterly&amp;VAR:RELITEM=RP&amp;VAR:CURRENCY=&amp;VAR:CURRSOURCE=EXSH","ARE&amp;VAR:NATFREQ=QUARTERLY&amp;VAR:RFIELD=FINALIZED&amp;VAR:DB_TYPE=&amp;VAR:UNITS=M&amp;window=popup&amp;width=450&amp;height=300&amp;START_MAXIMIZED=FALSE"}</definedName>
    <definedName name="_418__FDSAUDITLINK__" hidden="1">{"fdsup://IBCentral/FAT Viewer?action=UPDATE&amp;creator=factset&amp;DOC_NAME=fat:reuters_qtrly_source_window.fat&amp;display_string=Audit&amp;DYN_ARGS=TRUE&amp;VAR:ID1=527343&amp;VAR:RCODE=LTTD&amp;VAR:SDATE=20030399&amp;VAR:FREQ=Quarterly&amp;VAR:RELITEM=RP&amp;VAR:CURRENCY=&amp;VAR:CURRSOURCE=EXSH","ARE&amp;VAR:NATFREQ=QUARTERLY&amp;VAR:RFIELD=FINALIZED&amp;VAR:DB_TYPE=&amp;VAR:UNITS=M&amp;window=popup&amp;width=450&amp;height=300&amp;START_MAXIMIZED=FALSE"}</definedName>
    <definedName name="_419__FDSAUDITLINK__" hidden="1">{"fdsup://IBCentral/FAT Viewer?action=UPDATE&amp;creator=factset&amp;DOC_NAME=fat:reuters_qtrly_source_window.fat&amp;display_string=Audit&amp;DYN_ARGS=TRUE&amp;VAR:ID1=527343&amp;VAR:RCODE=LTTD&amp;VAR:SDATE=20021299&amp;VAR:FREQ=Quarterly&amp;VAR:RELITEM=RP&amp;VAR:CURRENCY=&amp;VAR:CURRSOURCE=EXSH","ARE&amp;VAR:NATFREQ=QUARTERLY&amp;VAR:RFIELD=FINALIZED&amp;VAR:DB_TYPE=&amp;VAR:UNITS=M&amp;window=popup&amp;width=450&amp;height=300&amp;START_MAXIMIZED=FALSE"}</definedName>
    <definedName name="_42__FDSAUDITLINK__" hidden="1">{"fdsup://IBCentral/FAT Viewer?action=UPDATE&amp;creator=factset&amp;DOC_NAME=fat:reuters_qtrly_source_window.fat&amp;display_string=Audit&amp;DYN_ARGS=TRUE&amp;VAR:ID1=527343&amp;VAR:RCODE=LMIN&amp;VAR:SDATE=20000699&amp;VAR:FREQ=Quarterly&amp;VAR:RELITEM=RP&amp;VAR:CURRENCY=&amp;VAR:CURRSOURCE=EXSH","ARE&amp;VAR:NATFREQ=QUARTERLY&amp;VAR:RFIELD=FINALIZED&amp;VAR:DB_TYPE=&amp;VAR:UNITS=M&amp;window=popup&amp;width=450&amp;height=300&amp;START_MAXIMIZED=FALSE"}</definedName>
    <definedName name="_420__FDSAUDITLINK__" hidden="1">{"fdsup://IBCentral/FAT Viewer?action=UPDATE&amp;creator=factset&amp;DOC_NAME=fat:reuters_qtrly_source_window.fat&amp;display_string=Audit&amp;DYN_ARGS=TRUE&amp;VAR:ID1=527343&amp;VAR:RCODE=LTTD&amp;VAR:SDATE=20020999&amp;VAR:FREQ=Quarterly&amp;VAR:RELITEM=RP&amp;VAR:CURRENCY=&amp;VAR:CURRSOURCE=EXSH","ARE&amp;VAR:NATFREQ=QUARTERLY&amp;VAR:RFIELD=FINALIZED&amp;VAR:DB_TYPE=&amp;VAR:UNITS=M&amp;window=popup&amp;width=450&amp;height=300&amp;START_MAXIMIZED=FALSE"}</definedName>
    <definedName name="_421__FDSAUDITLINK__" hidden="1">{"fdsup://IBCentral/FAT Viewer?action=UPDATE&amp;creator=factset&amp;DOC_NAME=fat:reuters_qtrly_source_window.fat&amp;display_string=Audit&amp;DYN_ARGS=TRUE&amp;VAR:ID1=527343&amp;VAR:RCODE=LTTD&amp;VAR:SDATE=20020699&amp;VAR:FREQ=Quarterly&amp;VAR:RELITEM=RP&amp;VAR:CURRENCY=&amp;VAR:CURRSOURCE=EXSH","ARE&amp;VAR:NATFREQ=QUARTERLY&amp;VAR:RFIELD=FINALIZED&amp;VAR:DB_TYPE=&amp;VAR:UNITS=M&amp;window=popup&amp;width=450&amp;height=300&amp;START_MAXIMIZED=FALSE"}</definedName>
    <definedName name="_422__FDSAUDITLINK__" hidden="1">{"fdsup://IBCentral/FAT Viewer?action=UPDATE&amp;creator=factset&amp;DOC_NAME=fat:reuters_qtrly_source_window.fat&amp;display_string=Audit&amp;DYN_ARGS=TRUE&amp;VAR:ID1=527343&amp;VAR:RCODE=LTTD&amp;VAR:SDATE=20020399&amp;VAR:FREQ=Quarterly&amp;VAR:RELITEM=RP&amp;VAR:CURRENCY=&amp;VAR:CURRSOURCE=EXSH","ARE&amp;VAR:NATFREQ=QUARTERLY&amp;VAR:RFIELD=FINALIZED&amp;VAR:DB_TYPE=&amp;VAR:UNITS=M&amp;window=popup&amp;width=450&amp;height=300&amp;START_MAXIMIZED=FALSE"}</definedName>
    <definedName name="_423__FDSAUDITLINK__" hidden="1">{"fdsup://IBCentral/FAT Viewer?action=UPDATE&amp;creator=factset&amp;DOC_NAME=fat:reuters_qtrly_source_window.fat&amp;display_string=Audit&amp;DYN_ARGS=TRUE&amp;VAR:ID1=527343&amp;VAR:RCODE=LTTD&amp;VAR:SDATE=20011299&amp;VAR:FREQ=Quarterly&amp;VAR:RELITEM=RP&amp;VAR:CURRENCY=&amp;VAR:CURRSOURCE=EXSH","ARE&amp;VAR:NATFREQ=QUARTERLY&amp;VAR:RFIELD=FINALIZED&amp;VAR:DB_TYPE=&amp;VAR:UNITS=M&amp;window=popup&amp;width=450&amp;height=300&amp;START_MAXIMIZED=FALSE"}</definedName>
    <definedName name="_424__FDSAUDITLINK__" hidden="1">{"fdsup://IBCentral/FAT Viewer?action=UPDATE&amp;creator=factset&amp;DOC_NAME=fat:reuters_qtrly_source_window.fat&amp;display_string=Audit&amp;DYN_ARGS=TRUE&amp;VAR:ID1=527343&amp;VAR:RCODE=LTTD&amp;VAR:SDATE=20010999&amp;VAR:FREQ=Quarterly&amp;VAR:RELITEM=RP&amp;VAR:CURRENCY=&amp;VAR:CURRSOURCE=EXSH","ARE&amp;VAR:NATFREQ=QUARTERLY&amp;VAR:RFIELD=FINALIZED&amp;VAR:DB_TYPE=&amp;VAR:UNITS=M&amp;window=popup&amp;width=450&amp;height=300&amp;START_MAXIMIZED=FALSE"}</definedName>
    <definedName name="_425__FDSAUDITLINK__" hidden="1">{"fdsup://IBCentral/FAT Viewer?action=UPDATE&amp;creator=factset&amp;DOC_NAME=fat:reuters_qtrly_source_window.fat&amp;display_string=Audit&amp;DYN_ARGS=TRUE&amp;VAR:ID1=527343&amp;VAR:RCODE=LTTD&amp;VAR:SDATE=20010699&amp;VAR:FREQ=Quarterly&amp;VAR:RELITEM=RP&amp;VAR:CURRENCY=&amp;VAR:CURRSOURCE=EXSH","ARE&amp;VAR:NATFREQ=QUARTERLY&amp;VAR:RFIELD=FINALIZED&amp;VAR:DB_TYPE=&amp;VAR:UNITS=M&amp;window=popup&amp;width=450&amp;height=300&amp;START_MAXIMIZED=FALSE"}</definedName>
    <definedName name="_426__FDSAUDITLINK__" hidden="1">{"fdsup://IBCentral/FAT Viewer?action=UPDATE&amp;creator=factset&amp;DOC_NAME=fat:reuters_qtrly_source_window.fat&amp;display_string=Audit&amp;DYN_ARGS=TRUE&amp;VAR:ID1=527343&amp;VAR:RCODE=LTTD&amp;VAR:SDATE=20010399&amp;VAR:FREQ=Quarterly&amp;VAR:RELITEM=RP&amp;VAR:CURRENCY=&amp;VAR:CURRSOURCE=EXSH","ARE&amp;VAR:NATFREQ=QUARTERLY&amp;VAR:RFIELD=FINALIZED&amp;VAR:DB_TYPE=&amp;VAR:UNITS=M&amp;window=popup&amp;width=450&amp;height=300&amp;START_MAXIMIZED=FALSE"}</definedName>
    <definedName name="_427__FDSAUDITLINK__" hidden="1">{"fdsup://IBCentral/FAT Viewer?action=UPDATE&amp;creator=factset&amp;DOC_NAME=fat:reuters_qtrly_source_window.fat&amp;display_string=Audit&amp;DYN_ARGS=TRUE&amp;VAR:ID1=527343&amp;VAR:RCODE=LTTD&amp;VAR:SDATE=20001299&amp;VAR:FREQ=Quarterly&amp;VAR:RELITEM=RP&amp;VAR:CURRENCY=&amp;VAR:CURRSOURCE=EXSH","ARE&amp;VAR:NATFREQ=QUARTERLY&amp;VAR:RFIELD=FINALIZED&amp;VAR:DB_TYPE=&amp;VAR:UNITS=M&amp;window=popup&amp;width=450&amp;height=300&amp;START_MAXIMIZED=FALSE"}</definedName>
    <definedName name="_428__FDSAUDITLINK__" hidden="1">{"fdsup://IBCentral/FAT Viewer?action=UPDATE&amp;creator=factset&amp;DOC_NAME=fat:reuters_qtrly_source_window.fat&amp;display_string=Audit&amp;DYN_ARGS=TRUE&amp;VAR:ID1=527343&amp;VAR:RCODE=LTTD&amp;VAR:SDATE=20000999&amp;VAR:FREQ=Quarterly&amp;VAR:RELITEM=RP&amp;VAR:CURRENCY=&amp;VAR:CURRSOURCE=EXSH","ARE&amp;VAR:NATFREQ=QUARTERLY&amp;VAR:RFIELD=FINALIZED&amp;VAR:DB_TYPE=&amp;VAR:UNITS=M&amp;window=popup&amp;width=450&amp;height=300&amp;START_MAXIMIZED=FALSE"}</definedName>
    <definedName name="_429__FDSAUDITLINK__" hidden="1">{"fdsup://IBCentral/FAT Viewer?action=UPDATE&amp;creator=factset&amp;DOC_NAME=fat:reuters_qtrly_source_window.fat&amp;display_string=Audit&amp;DYN_ARGS=TRUE&amp;VAR:ID1=527343&amp;VAR:RCODE=LTTD&amp;VAR:SDATE=20000699&amp;VAR:FREQ=Quarterly&amp;VAR:RELITEM=RP&amp;VAR:CURRENCY=&amp;VAR:CURRSOURCE=EXSH","ARE&amp;VAR:NATFREQ=QUARTERLY&amp;VAR:RFIELD=FINALIZED&amp;VAR:DB_TYPE=&amp;VAR:UNITS=M&amp;window=popup&amp;width=450&amp;height=300&amp;START_MAXIMIZED=FALSE"}</definedName>
    <definedName name="_43__FDSAUDITLINK__" hidden="1">{"fdsup://IBCentral/FAT Viewer?action=UPDATE&amp;creator=factset&amp;DOC_NAME=fat:reuters_qtrly_source_window.fat&amp;display_string=Audit&amp;DYN_ARGS=TRUE&amp;VAR:ID1=527343&amp;VAR:RCODE=LMIN&amp;VAR:SDATE=20000399&amp;VAR:FREQ=Quarterly&amp;VAR:RELITEM=RP&amp;VAR:CURRENCY=&amp;VAR:CURRSOURCE=EXSH","ARE&amp;VAR:NATFREQ=QUARTERLY&amp;VAR:RFIELD=FINALIZED&amp;VAR:DB_TYPE=&amp;VAR:UNITS=M&amp;window=popup&amp;width=450&amp;height=300&amp;START_MAXIMIZED=FALSE"}</definedName>
    <definedName name="_430__FDSAUDITLINK__" hidden="1">{"fdsup://IBCentral/FAT Viewer?action=UPDATE&amp;creator=factset&amp;DOC_NAME=fat:reuters_qtrly_source_window.fat&amp;display_string=Audit&amp;DYN_ARGS=TRUE&amp;VAR:ID1=527343&amp;VAR:RCODE=LTTD&amp;VAR:SDATE=20000399&amp;VAR:FREQ=Quarterly&amp;VAR:RELITEM=RP&amp;VAR:CURRENCY=&amp;VAR:CURRSOURCE=EXSH","ARE&amp;VAR:NATFREQ=QUARTERLY&amp;VAR:RFIELD=FINALIZED&amp;VAR:DB_TYPE=&amp;VAR:UNITS=M&amp;window=popup&amp;width=450&amp;height=300&amp;START_MAXIMIZED=FALSE"}</definedName>
    <definedName name="_431__FDSAUDITLINK__" hidden="1">{"fdsup://IBCentral/FAT Viewer?action=UPDATE&amp;creator=factset&amp;DOC_NAME=fat:reuters_qtrly_source_window.fat&amp;display_string=Audit&amp;DYN_ARGS=TRUE&amp;VAR:ID1=527343&amp;VAR:RCODE=DSTT&amp;VAR:SDATE=20100999&amp;VAR:FREQ=Quarterly&amp;VAR:RELITEM=RP&amp;VAR:CURRENCY=&amp;VAR:CURRSOURCE=EXSH","ARE&amp;VAR:NATFREQ=QUARTERLY&amp;VAR:RFIELD=FINALIZED&amp;VAR:DB_TYPE=&amp;VAR:UNITS=M&amp;window=popup&amp;width=450&amp;height=300&amp;START_MAXIMIZED=FALSE"}</definedName>
    <definedName name="_432__FDSAUDITLINK__" hidden="1">{"fdsup://IBCentral/FAT Viewer?action=UPDATE&amp;creator=factset&amp;DOC_NAME=fat:reuters_qtrly_source_window.fat&amp;display_string=Audit&amp;DYN_ARGS=TRUE&amp;VAR:ID1=527343&amp;VAR:RCODE=DSTT&amp;VAR:SDATE=20100699&amp;VAR:FREQ=Quarterly&amp;VAR:RELITEM=RP&amp;VAR:CURRENCY=&amp;VAR:CURRSOURCE=EXSH","ARE&amp;VAR:NATFREQ=QUARTERLY&amp;VAR:RFIELD=FINALIZED&amp;VAR:DB_TYPE=&amp;VAR:UNITS=M&amp;window=popup&amp;width=450&amp;height=300&amp;START_MAXIMIZED=FALSE"}</definedName>
    <definedName name="_433__FDSAUDITLINK__" hidden="1">{"fdsup://IBCentral/FAT Viewer?action=UPDATE&amp;creator=factset&amp;DOC_NAME=fat:reuters_qtrly_source_window.fat&amp;display_string=Audit&amp;DYN_ARGS=TRUE&amp;VAR:ID1=527343&amp;VAR:RCODE=DSTT&amp;VAR:SDATE=20100399&amp;VAR:FREQ=Quarterly&amp;VAR:RELITEM=RP&amp;VAR:CURRENCY=&amp;VAR:CURRSOURCE=EXSH","ARE&amp;VAR:NATFREQ=QUARTERLY&amp;VAR:RFIELD=FINALIZED&amp;VAR:DB_TYPE=&amp;VAR:UNITS=M&amp;window=popup&amp;width=450&amp;height=300&amp;START_MAXIMIZED=FALSE"}</definedName>
    <definedName name="_434__FDSAUDITLINK__" hidden="1">{"fdsup://IBCentral/FAT Viewer?action=UPDATE&amp;creator=factset&amp;DOC_NAME=fat:reuters_qtrly_source_window.fat&amp;display_string=Audit&amp;DYN_ARGS=TRUE&amp;VAR:ID1=527343&amp;VAR:RCODE=DSTT&amp;VAR:SDATE=20091299&amp;VAR:FREQ=Quarterly&amp;VAR:RELITEM=RP&amp;VAR:CURRENCY=&amp;VAR:CURRSOURCE=EXSH","ARE&amp;VAR:NATFREQ=QUARTERLY&amp;VAR:RFIELD=FINALIZED&amp;VAR:DB_TYPE=&amp;VAR:UNITS=M&amp;window=popup&amp;width=450&amp;height=300&amp;START_MAXIMIZED=FALSE"}</definedName>
    <definedName name="_435__FDSAUDITLINK__" hidden="1">{"fdsup://IBCentral/FAT Viewer?action=UPDATE&amp;creator=factset&amp;DOC_NAME=fat:reuters_qtrly_source_window.fat&amp;display_string=Audit&amp;DYN_ARGS=TRUE&amp;VAR:ID1=527343&amp;VAR:RCODE=DSTT&amp;VAR:SDATE=20090999&amp;VAR:FREQ=Quarterly&amp;VAR:RELITEM=RP&amp;VAR:CURRENCY=&amp;VAR:CURRSOURCE=EXSH","ARE&amp;VAR:NATFREQ=QUARTERLY&amp;VAR:RFIELD=FINALIZED&amp;VAR:DB_TYPE=&amp;VAR:UNITS=M&amp;window=popup&amp;width=450&amp;height=300&amp;START_MAXIMIZED=FALSE"}</definedName>
    <definedName name="_436__FDSAUDITLINK__" hidden="1">{"fdsup://IBCentral/FAT Viewer?action=UPDATE&amp;creator=factset&amp;DOC_NAME=fat:reuters_qtrly_source_window.fat&amp;display_string=Audit&amp;DYN_ARGS=TRUE&amp;VAR:ID1=527343&amp;VAR:RCODE=DSTT&amp;VAR:SDATE=20090699&amp;VAR:FREQ=Quarterly&amp;VAR:RELITEM=RP&amp;VAR:CURRENCY=&amp;VAR:CURRSOURCE=EXSH","ARE&amp;VAR:NATFREQ=QUARTERLY&amp;VAR:RFIELD=FINALIZED&amp;VAR:DB_TYPE=&amp;VAR:UNITS=M&amp;window=popup&amp;width=450&amp;height=300&amp;START_MAXIMIZED=FALSE"}</definedName>
    <definedName name="_437__FDSAUDITLINK__" hidden="1">{"fdsup://IBCentral/FAT Viewer?action=UPDATE&amp;creator=factset&amp;DOC_NAME=fat:reuters_qtrly_source_window.fat&amp;display_string=Audit&amp;DYN_ARGS=TRUE&amp;VAR:ID1=527343&amp;VAR:RCODE=DSTT&amp;VAR:SDATE=20090399&amp;VAR:FREQ=Quarterly&amp;VAR:RELITEM=RP&amp;VAR:CURRENCY=&amp;VAR:CURRSOURCE=EXSH","ARE&amp;VAR:NATFREQ=QUARTERLY&amp;VAR:RFIELD=FINALIZED&amp;VAR:DB_TYPE=&amp;VAR:UNITS=M&amp;window=popup&amp;width=450&amp;height=300&amp;START_MAXIMIZED=FALSE"}</definedName>
    <definedName name="_438__FDSAUDITLINK__" hidden="1">{"fdsup://IBCentral/FAT Viewer?action=UPDATE&amp;creator=factset&amp;DOC_NAME=fat:reuters_qtrly_source_window.fat&amp;display_string=Audit&amp;DYN_ARGS=TRUE&amp;VAR:ID1=527343&amp;VAR:RCODE=DSTT&amp;VAR:SDATE=20081299&amp;VAR:FREQ=Quarterly&amp;VAR:RELITEM=RP&amp;VAR:CURRENCY=&amp;VAR:CURRSOURCE=EXSH","ARE&amp;VAR:NATFREQ=QUARTERLY&amp;VAR:RFIELD=FINALIZED&amp;VAR:DB_TYPE=&amp;VAR:UNITS=M&amp;window=popup&amp;width=450&amp;height=300&amp;START_MAXIMIZED=FALSE"}</definedName>
    <definedName name="_439__FDSAUDITLINK__" hidden="1">{"fdsup://IBCentral/FAT Viewer?action=UPDATE&amp;creator=factset&amp;DOC_NAME=fat:reuters_qtrly_source_window.fat&amp;display_string=Audit&amp;DYN_ARGS=TRUE&amp;VAR:ID1=527343&amp;VAR:RCODE=DSTT&amp;VAR:SDATE=20080999&amp;VAR:FREQ=Quarterly&amp;VAR:RELITEM=RP&amp;VAR:CURRENCY=&amp;VAR:CURRSOURCE=EXSH","ARE&amp;VAR:NATFREQ=QUARTERLY&amp;VAR:RFIELD=FINALIZED&amp;VAR:DB_TYPE=&amp;VAR:UNITS=M&amp;window=popup&amp;width=450&amp;height=300&amp;START_MAXIMIZED=FALSE"}</definedName>
    <definedName name="_44__FDSAUDITLINK__" hidden="1">{"fdsup://IBCentral/FAT Viewer?action=UPDATE&amp;creator=factset&amp;DOC_NAME=fat:reuters_qtrly_source_window.fat&amp;display_string=Audit&amp;DYN_ARGS=TRUE&amp;VAR:ID1=527343&amp;VAR:RCODE=LTTD&amp;VAR:SDATE=20100999&amp;VAR:FREQ=Quarterly&amp;VAR:RELITEM=RP&amp;VAR:CURRENCY=&amp;VAR:CURRSOURCE=EXSH","ARE&amp;VAR:NATFREQ=QUARTERLY&amp;VAR:RFIELD=FINALIZED&amp;VAR:DB_TYPE=&amp;VAR:UNITS=M&amp;window=popup&amp;width=450&amp;height=300&amp;START_MAXIMIZED=FALSE"}</definedName>
    <definedName name="_440__FDSAUDITLINK__" hidden="1">{"fdsup://IBCentral/FAT Viewer?action=UPDATE&amp;creator=factset&amp;DOC_NAME=fat:reuters_qtrly_source_window.fat&amp;display_string=Audit&amp;DYN_ARGS=TRUE&amp;VAR:ID1=527343&amp;VAR:RCODE=DSTT&amp;VAR:SDATE=20080699&amp;VAR:FREQ=Quarterly&amp;VAR:RELITEM=RP&amp;VAR:CURRENCY=&amp;VAR:CURRSOURCE=EXSH","ARE&amp;VAR:NATFREQ=QUARTERLY&amp;VAR:RFIELD=FINALIZED&amp;VAR:DB_TYPE=&amp;VAR:UNITS=M&amp;window=popup&amp;width=450&amp;height=300&amp;START_MAXIMIZED=FALSE"}</definedName>
    <definedName name="_441__FDSAUDITLINK__" hidden="1">{"fdsup://IBCentral/FAT Viewer?action=UPDATE&amp;creator=factset&amp;DOC_NAME=fat:reuters_qtrly_source_window.fat&amp;display_string=Audit&amp;DYN_ARGS=TRUE&amp;VAR:ID1=527343&amp;VAR:RCODE=DSTT&amp;VAR:SDATE=20080399&amp;VAR:FREQ=Quarterly&amp;VAR:RELITEM=RP&amp;VAR:CURRENCY=&amp;VAR:CURRSOURCE=EXSH","ARE&amp;VAR:NATFREQ=QUARTERLY&amp;VAR:RFIELD=FINALIZED&amp;VAR:DB_TYPE=&amp;VAR:UNITS=M&amp;window=popup&amp;width=450&amp;height=300&amp;START_MAXIMIZED=FALSE"}</definedName>
    <definedName name="_442__FDSAUDITLINK__" hidden="1">{"fdsup://IBCentral/FAT Viewer?action=UPDATE&amp;creator=factset&amp;DOC_NAME=fat:reuters_qtrly_source_window.fat&amp;display_string=Audit&amp;DYN_ARGS=TRUE&amp;VAR:ID1=527343&amp;VAR:RCODE=DSTT&amp;VAR:SDATE=20071299&amp;VAR:FREQ=Quarterly&amp;VAR:RELITEM=RP&amp;VAR:CURRENCY=&amp;VAR:CURRSOURCE=EXSH","ARE&amp;VAR:NATFREQ=QUARTERLY&amp;VAR:RFIELD=FINALIZED&amp;VAR:DB_TYPE=&amp;VAR:UNITS=M&amp;window=popup&amp;width=450&amp;height=300&amp;START_MAXIMIZED=FALSE"}</definedName>
    <definedName name="_443__FDSAUDITLINK__" hidden="1">{"fdsup://IBCentral/FAT Viewer?action=UPDATE&amp;creator=factset&amp;DOC_NAME=fat:reuters_qtrly_source_window.fat&amp;display_string=Audit&amp;DYN_ARGS=TRUE&amp;VAR:ID1=527343&amp;VAR:RCODE=DSTT&amp;VAR:SDATE=20070999&amp;VAR:FREQ=Quarterly&amp;VAR:RELITEM=RP&amp;VAR:CURRENCY=&amp;VAR:CURRSOURCE=EXSH","ARE&amp;VAR:NATFREQ=QUARTERLY&amp;VAR:RFIELD=FINALIZED&amp;VAR:DB_TYPE=&amp;VAR:UNITS=M&amp;window=popup&amp;width=450&amp;height=300&amp;START_MAXIMIZED=FALSE"}</definedName>
    <definedName name="_444__FDSAUDITLINK__" hidden="1">{"fdsup://IBCentral/FAT Viewer?action=UPDATE&amp;creator=factset&amp;DOC_NAME=fat:reuters_qtrly_source_window.fat&amp;display_string=Audit&amp;DYN_ARGS=TRUE&amp;VAR:ID1=527343&amp;VAR:RCODE=DSTT&amp;VAR:SDATE=20070699&amp;VAR:FREQ=Quarterly&amp;VAR:RELITEM=RP&amp;VAR:CURRENCY=&amp;VAR:CURRSOURCE=EXSH","ARE&amp;VAR:NATFREQ=QUARTERLY&amp;VAR:RFIELD=FINALIZED&amp;VAR:DB_TYPE=&amp;VAR:UNITS=M&amp;window=popup&amp;width=450&amp;height=300&amp;START_MAXIMIZED=FALSE"}</definedName>
    <definedName name="_445__FDSAUDITLINK__" hidden="1">{"fdsup://IBCentral/FAT Viewer?action=UPDATE&amp;creator=factset&amp;DOC_NAME=fat:reuters_qtrly_source_window.fat&amp;display_string=Audit&amp;DYN_ARGS=TRUE&amp;VAR:ID1=527343&amp;VAR:RCODE=DSTT&amp;VAR:SDATE=20070399&amp;VAR:FREQ=Quarterly&amp;VAR:RELITEM=RP&amp;VAR:CURRENCY=&amp;VAR:CURRSOURCE=EXSH","ARE&amp;VAR:NATFREQ=QUARTERLY&amp;VAR:RFIELD=FINALIZED&amp;VAR:DB_TYPE=&amp;VAR:UNITS=M&amp;window=popup&amp;width=450&amp;height=300&amp;START_MAXIMIZED=FALSE"}</definedName>
    <definedName name="_446__FDSAUDITLINK__" hidden="1">{"fdsup://IBCentral/FAT Viewer?action=UPDATE&amp;creator=factset&amp;DOC_NAME=fat:reuters_qtrly_source_window.fat&amp;display_string=Audit&amp;DYN_ARGS=TRUE&amp;VAR:ID1=527343&amp;VAR:RCODE=DSTT&amp;VAR:SDATE=20061299&amp;VAR:FREQ=Quarterly&amp;VAR:RELITEM=RP&amp;VAR:CURRENCY=&amp;VAR:CURRSOURCE=EXSH","ARE&amp;VAR:NATFREQ=QUARTERLY&amp;VAR:RFIELD=FINALIZED&amp;VAR:DB_TYPE=&amp;VAR:UNITS=M&amp;window=popup&amp;width=450&amp;height=300&amp;START_MAXIMIZED=FALSE"}</definedName>
    <definedName name="_447__FDSAUDITLINK__" hidden="1">{"fdsup://IBCentral/FAT Viewer?action=UPDATE&amp;creator=factset&amp;DOC_NAME=fat:reuters_qtrly_source_window.fat&amp;display_string=Audit&amp;DYN_ARGS=TRUE&amp;VAR:ID1=527343&amp;VAR:RCODE=DSTT&amp;VAR:SDATE=20060999&amp;VAR:FREQ=Quarterly&amp;VAR:RELITEM=RP&amp;VAR:CURRENCY=&amp;VAR:CURRSOURCE=EXSH","ARE&amp;VAR:NATFREQ=QUARTERLY&amp;VAR:RFIELD=FINALIZED&amp;VAR:DB_TYPE=&amp;VAR:UNITS=M&amp;window=popup&amp;width=450&amp;height=300&amp;START_MAXIMIZED=FALSE"}</definedName>
    <definedName name="_448__FDSAUDITLINK__" hidden="1">{"fdsup://IBCentral/FAT Viewer?action=UPDATE&amp;creator=factset&amp;DOC_NAME=fat:reuters_qtrly_source_window.fat&amp;display_string=Audit&amp;DYN_ARGS=TRUE&amp;VAR:ID1=527343&amp;VAR:RCODE=DSTT&amp;VAR:SDATE=20060699&amp;VAR:FREQ=Quarterly&amp;VAR:RELITEM=RP&amp;VAR:CURRENCY=&amp;VAR:CURRSOURCE=EXSH","ARE&amp;VAR:NATFREQ=QUARTERLY&amp;VAR:RFIELD=FINALIZED&amp;VAR:DB_TYPE=&amp;VAR:UNITS=M&amp;window=popup&amp;width=450&amp;height=300&amp;START_MAXIMIZED=FALSE"}</definedName>
    <definedName name="_449__FDSAUDITLINK__" hidden="1">{"fdsup://IBCentral/FAT Viewer?action=UPDATE&amp;creator=factset&amp;DOC_NAME=fat:reuters_qtrly_source_window.fat&amp;display_string=Audit&amp;DYN_ARGS=TRUE&amp;VAR:ID1=527343&amp;VAR:RCODE=DSTT&amp;VAR:SDATE=20060399&amp;VAR:FREQ=Quarterly&amp;VAR:RELITEM=RP&amp;VAR:CURRENCY=&amp;VAR:CURRSOURCE=EXSH","ARE&amp;VAR:NATFREQ=QUARTERLY&amp;VAR:RFIELD=FINALIZED&amp;VAR:DB_TYPE=&amp;VAR:UNITS=M&amp;window=popup&amp;width=450&amp;height=300&amp;START_MAXIMIZED=FALSE"}</definedName>
    <definedName name="_45__FDSAUDITLINK__" hidden="1">{"fdsup://IBCentral/FAT Viewer?action=UPDATE&amp;creator=factset&amp;DOC_NAME=fat:reuters_qtrly_source_window.fat&amp;display_string=Audit&amp;DYN_ARGS=TRUE&amp;VAR:ID1=527343&amp;VAR:RCODE=LTTD&amp;VAR:SDATE=20100699&amp;VAR:FREQ=Quarterly&amp;VAR:RELITEM=RP&amp;VAR:CURRENCY=&amp;VAR:CURRSOURCE=EXSH","ARE&amp;VAR:NATFREQ=QUARTERLY&amp;VAR:RFIELD=FINALIZED&amp;VAR:DB_TYPE=&amp;VAR:UNITS=M&amp;window=popup&amp;width=450&amp;height=300&amp;START_MAXIMIZED=FALSE"}</definedName>
    <definedName name="_450__FDSAUDITLINK__" hidden="1">{"fdsup://IBCentral/FAT Viewer?action=UPDATE&amp;creator=factset&amp;DOC_NAME=fat:reuters_qtrly_source_window.fat&amp;display_string=Audit&amp;DYN_ARGS=TRUE&amp;VAR:ID1=527343&amp;VAR:RCODE=DSTT&amp;VAR:SDATE=20051299&amp;VAR:FREQ=Quarterly&amp;VAR:RELITEM=RP&amp;VAR:CURRENCY=&amp;VAR:CURRSOURCE=EXSH","ARE&amp;VAR:NATFREQ=QUARTERLY&amp;VAR:RFIELD=FINALIZED&amp;VAR:DB_TYPE=&amp;VAR:UNITS=M&amp;window=popup&amp;width=450&amp;height=300&amp;START_MAXIMIZED=FALSE"}</definedName>
    <definedName name="_451__FDSAUDITLINK__" hidden="1">{"fdsup://IBCentral/FAT Viewer?action=UPDATE&amp;creator=factset&amp;DOC_NAME=fat:reuters_qtrly_source_window.fat&amp;display_string=Audit&amp;DYN_ARGS=TRUE&amp;VAR:ID1=527343&amp;VAR:RCODE=DSTT&amp;VAR:SDATE=20050999&amp;VAR:FREQ=Quarterly&amp;VAR:RELITEM=RP&amp;VAR:CURRENCY=&amp;VAR:CURRSOURCE=EXSH","ARE&amp;VAR:NATFREQ=QUARTERLY&amp;VAR:RFIELD=FINALIZED&amp;VAR:DB_TYPE=&amp;VAR:UNITS=M&amp;window=popup&amp;width=450&amp;height=300&amp;START_MAXIMIZED=FALSE"}</definedName>
    <definedName name="_452__FDSAUDITLINK__" hidden="1">{"fdsup://IBCentral/FAT Viewer?action=UPDATE&amp;creator=factset&amp;DOC_NAME=fat:reuters_qtrly_source_window.fat&amp;display_string=Audit&amp;DYN_ARGS=TRUE&amp;VAR:ID1=527343&amp;VAR:RCODE=DSTT&amp;VAR:SDATE=20050699&amp;VAR:FREQ=Quarterly&amp;VAR:RELITEM=RP&amp;VAR:CURRENCY=&amp;VAR:CURRSOURCE=EXSH","ARE&amp;VAR:NATFREQ=QUARTERLY&amp;VAR:RFIELD=FINALIZED&amp;VAR:DB_TYPE=&amp;VAR:UNITS=M&amp;window=popup&amp;width=450&amp;height=300&amp;START_MAXIMIZED=FALSE"}</definedName>
    <definedName name="_453__FDSAUDITLINK__" hidden="1">{"fdsup://IBCentral/FAT Viewer?action=UPDATE&amp;creator=factset&amp;DOC_NAME=fat:reuters_qtrly_source_window.fat&amp;display_string=Audit&amp;DYN_ARGS=TRUE&amp;VAR:ID1=527343&amp;VAR:RCODE=DSTT&amp;VAR:SDATE=20050399&amp;VAR:FREQ=Quarterly&amp;VAR:RELITEM=RP&amp;VAR:CURRENCY=&amp;VAR:CURRSOURCE=EXSH","ARE&amp;VAR:NATFREQ=QUARTERLY&amp;VAR:RFIELD=FINALIZED&amp;VAR:DB_TYPE=&amp;VAR:UNITS=M&amp;window=popup&amp;width=450&amp;height=300&amp;START_MAXIMIZED=FALSE"}</definedName>
    <definedName name="_454__FDSAUDITLINK__" hidden="1">{"fdsup://IBCentral/FAT Viewer?action=UPDATE&amp;creator=factset&amp;DOC_NAME=fat:reuters_qtrly_source_window.fat&amp;display_string=Audit&amp;DYN_ARGS=TRUE&amp;VAR:ID1=527343&amp;VAR:RCODE=DSTT&amp;VAR:SDATE=20041299&amp;VAR:FREQ=Quarterly&amp;VAR:RELITEM=RP&amp;VAR:CURRENCY=&amp;VAR:CURRSOURCE=EXSH","ARE&amp;VAR:NATFREQ=QUARTERLY&amp;VAR:RFIELD=FINALIZED&amp;VAR:DB_TYPE=&amp;VAR:UNITS=M&amp;window=popup&amp;width=450&amp;height=300&amp;START_MAXIMIZED=FALSE"}</definedName>
    <definedName name="_455__FDSAUDITLINK__" hidden="1">{"fdsup://IBCentral/FAT Viewer?action=UPDATE&amp;creator=factset&amp;DOC_NAME=fat:reuters_qtrly_source_window.fat&amp;display_string=Audit&amp;DYN_ARGS=TRUE&amp;VAR:ID1=527343&amp;VAR:RCODE=DSTT&amp;VAR:SDATE=20040999&amp;VAR:FREQ=Quarterly&amp;VAR:RELITEM=RP&amp;VAR:CURRENCY=&amp;VAR:CURRSOURCE=EXSH","ARE&amp;VAR:NATFREQ=QUARTERLY&amp;VAR:RFIELD=FINALIZED&amp;VAR:DB_TYPE=&amp;VAR:UNITS=M&amp;window=popup&amp;width=450&amp;height=300&amp;START_MAXIMIZED=FALSE"}</definedName>
    <definedName name="_456__FDSAUDITLINK__" hidden="1">{"fdsup://IBCentral/FAT Viewer?action=UPDATE&amp;creator=factset&amp;DOC_NAME=fat:reuters_qtrly_source_window.fat&amp;display_string=Audit&amp;DYN_ARGS=TRUE&amp;VAR:ID1=527343&amp;VAR:RCODE=DSTT&amp;VAR:SDATE=20040699&amp;VAR:FREQ=Quarterly&amp;VAR:RELITEM=RP&amp;VAR:CURRENCY=&amp;VAR:CURRSOURCE=EXSH","ARE&amp;VAR:NATFREQ=QUARTERLY&amp;VAR:RFIELD=FINALIZED&amp;VAR:DB_TYPE=&amp;VAR:UNITS=M&amp;window=popup&amp;width=450&amp;height=300&amp;START_MAXIMIZED=FALSE"}</definedName>
    <definedName name="_457__FDSAUDITLINK__" hidden="1">{"fdsup://IBCentral/FAT Viewer?action=UPDATE&amp;creator=factset&amp;DOC_NAME=fat:reuters_qtrly_source_window.fat&amp;display_string=Audit&amp;DYN_ARGS=TRUE&amp;VAR:ID1=527343&amp;VAR:RCODE=DSTT&amp;VAR:SDATE=20040399&amp;VAR:FREQ=Quarterly&amp;VAR:RELITEM=RP&amp;VAR:CURRENCY=&amp;VAR:CURRSOURCE=EXSH","ARE&amp;VAR:NATFREQ=QUARTERLY&amp;VAR:RFIELD=FINALIZED&amp;VAR:DB_TYPE=&amp;VAR:UNITS=M&amp;window=popup&amp;width=450&amp;height=300&amp;START_MAXIMIZED=FALSE"}</definedName>
    <definedName name="_458__FDSAUDITLINK__" hidden="1">{"fdsup://IBCentral/FAT Viewer?action=UPDATE&amp;creator=factset&amp;DOC_NAME=fat:reuters_qtrly_source_window.fat&amp;display_string=Audit&amp;DYN_ARGS=TRUE&amp;VAR:ID1=527343&amp;VAR:RCODE=DSTT&amp;VAR:SDATE=20031299&amp;VAR:FREQ=Quarterly&amp;VAR:RELITEM=RP&amp;VAR:CURRENCY=&amp;VAR:CURRSOURCE=EXSH","ARE&amp;VAR:NATFREQ=QUARTERLY&amp;VAR:RFIELD=FINALIZED&amp;VAR:DB_TYPE=&amp;VAR:UNITS=M&amp;window=popup&amp;width=450&amp;height=300&amp;START_MAXIMIZED=FALSE"}</definedName>
    <definedName name="_459__FDSAUDITLINK__" hidden="1">{"fdsup://IBCentral/FAT Viewer?action=UPDATE&amp;creator=factset&amp;DOC_NAME=fat:reuters_qtrly_source_window.fat&amp;display_string=Audit&amp;DYN_ARGS=TRUE&amp;VAR:ID1=527343&amp;VAR:RCODE=DSTT&amp;VAR:SDATE=20030999&amp;VAR:FREQ=Quarterly&amp;VAR:RELITEM=RP&amp;VAR:CURRENCY=&amp;VAR:CURRSOURCE=EXSH","ARE&amp;VAR:NATFREQ=QUARTERLY&amp;VAR:RFIELD=FINALIZED&amp;VAR:DB_TYPE=&amp;VAR:UNITS=M&amp;window=popup&amp;width=450&amp;height=300&amp;START_MAXIMIZED=FALSE"}</definedName>
    <definedName name="_46__FDSAUDITLINK__" hidden="1">{"fdsup://IBCentral/FAT Viewer?action=UPDATE&amp;creator=factset&amp;DOC_NAME=fat:reuters_qtrly_source_window.fat&amp;display_string=Audit&amp;DYN_ARGS=TRUE&amp;VAR:ID1=527343&amp;VAR:RCODE=LTTD&amp;VAR:SDATE=20100399&amp;VAR:FREQ=Quarterly&amp;VAR:RELITEM=RP&amp;VAR:CURRENCY=&amp;VAR:CURRSOURCE=EXSH","ARE&amp;VAR:NATFREQ=QUARTERLY&amp;VAR:RFIELD=FINALIZED&amp;VAR:DB_TYPE=&amp;VAR:UNITS=M&amp;window=popup&amp;width=450&amp;height=300&amp;START_MAXIMIZED=FALSE"}</definedName>
    <definedName name="_46_0_S" hidden="1">#REF!</definedName>
    <definedName name="_460__FDSAUDITLINK__" hidden="1">{"fdsup://IBCentral/FAT Viewer?action=UPDATE&amp;creator=factset&amp;DOC_NAME=fat:reuters_qtrly_source_window.fat&amp;display_string=Audit&amp;DYN_ARGS=TRUE&amp;VAR:ID1=527343&amp;VAR:RCODE=DSTT&amp;VAR:SDATE=20030699&amp;VAR:FREQ=Quarterly&amp;VAR:RELITEM=RP&amp;VAR:CURRENCY=&amp;VAR:CURRSOURCE=EXSH","ARE&amp;VAR:NATFREQ=QUARTERLY&amp;VAR:RFIELD=FINALIZED&amp;VAR:DB_TYPE=&amp;VAR:UNITS=M&amp;window=popup&amp;width=450&amp;height=300&amp;START_MAXIMIZED=FALSE"}</definedName>
    <definedName name="_461__FDSAUDITLINK__" hidden="1">{"fdsup://IBCentral/FAT Viewer?action=UPDATE&amp;creator=factset&amp;DOC_NAME=fat:reuters_qtrly_source_window.fat&amp;display_string=Audit&amp;DYN_ARGS=TRUE&amp;VAR:ID1=527343&amp;VAR:RCODE=DSTT&amp;VAR:SDATE=20030399&amp;VAR:FREQ=Quarterly&amp;VAR:RELITEM=RP&amp;VAR:CURRENCY=&amp;VAR:CURRSOURCE=EXSH","ARE&amp;VAR:NATFREQ=QUARTERLY&amp;VAR:RFIELD=FINALIZED&amp;VAR:DB_TYPE=&amp;VAR:UNITS=M&amp;window=popup&amp;width=450&amp;height=300&amp;START_MAXIMIZED=FALSE"}</definedName>
    <definedName name="_462__FDSAUDITLINK__" hidden="1">{"fdsup://IBCentral/FAT Viewer?action=UPDATE&amp;creator=factset&amp;DOC_NAME=fat:reuters_qtrly_source_window.fat&amp;display_string=Audit&amp;DYN_ARGS=TRUE&amp;VAR:ID1=527343&amp;VAR:RCODE=DSTT&amp;VAR:SDATE=20021299&amp;VAR:FREQ=Quarterly&amp;VAR:RELITEM=RP&amp;VAR:CURRENCY=&amp;VAR:CURRSOURCE=EXSH","ARE&amp;VAR:NATFREQ=QUARTERLY&amp;VAR:RFIELD=FINALIZED&amp;VAR:DB_TYPE=&amp;VAR:UNITS=M&amp;window=popup&amp;width=450&amp;height=300&amp;START_MAXIMIZED=FALSE"}</definedName>
    <definedName name="_463__FDSAUDITLINK__" hidden="1">{"fdsup://IBCentral/FAT Viewer?action=UPDATE&amp;creator=factset&amp;DOC_NAME=fat:reuters_qtrly_source_window.fat&amp;display_string=Audit&amp;DYN_ARGS=TRUE&amp;VAR:ID1=527343&amp;VAR:RCODE=DSTT&amp;VAR:SDATE=20020999&amp;VAR:FREQ=Quarterly&amp;VAR:RELITEM=RP&amp;VAR:CURRENCY=&amp;VAR:CURRSOURCE=EXSH","ARE&amp;VAR:NATFREQ=QUARTERLY&amp;VAR:RFIELD=FINALIZED&amp;VAR:DB_TYPE=&amp;VAR:UNITS=M&amp;window=popup&amp;width=450&amp;height=300&amp;START_MAXIMIZED=FALSE"}</definedName>
    <definedName name="_464__FDSAUDITLINK__" hidden="1">{"fdsup://IBCentral/FAT Viewer?action=UPDATE&amp;creator=factset&amp;DOC_NAME=fat:reuters_qtrly_source_window.fat&amp;display_string=Audit&amp;DYN_ARGS=TRUE&amp;VAR:ID1=527343&amp;VAR:RCODE=DSTT&amp;VAR:SDATE=20020699&amp;VAR:FREQ=Quarterly&amp;VAR:RELITEM=RP&amp;VAR:CURRENCY=&amp;VAR:CURRSOURCE=EXSH","ARE&amp;VAR:NATFREQ=QUARTERLY&amp;VAR:RFIELD=FINALIZED&amp;VAR:DB_TYPE=&amp;VAR:UNITS=M&amp;window=popup&amp;width=450&amp;height=300&amp;START_MAXIMIZED=FALSE"}</definedName>
    <definedName name="_465__FDSAUDITLINK__" hidden="1">{"fdsup://IBCentral/FAT Viewer?action=UPDATE&amp;creator=factset&amp;DOC_NAME=fat:reuters_qtrly_source_window.fat&amp;display_string=Audit&amp;DYN_ARGS=TRUE&amp;VAR:ID1=527343&amp;VAR:RCODE=DSTT&amp;VAR:SDATE=20020399&amp;VAR:FREQ=Quarterly&amp;VAR:RELITEM=RP&amp;VAR:CURRENCY=&amp;VAR:CURRSOURCE=EXSH","ARE&amp;VAR:NATFREQ=QUARTERLY&amp;VAR:RFIELD=FINALIZED&amp;VAR:DB_TYPE=&amp;VAR:UNITS=M&amp;window=popup&amp;width=450&amp;height=300&amp;START_MAXIMIZED=FALSE"}</definedName>
    <definedName name="_466__FDSAUDITLINK__" hidden="1">{"fdsup://IBCentral/FAT Viewer?action=UPDATE&amp;creator=factset&amp;DOC_NAME=fat:reuters_qtrly_source_window.fat&amp;display_string=Audit&amp;DYN_ARGS=TRUE&amp;VAR:ID1=527343&amp;VAR:RCODE=DSTT&amp;VAR:SDATE=20011299&amp;VAR:FREQ=Quarterly&amp;VAR:RELITEM=RP&amp;VAR:CURRENCY=&amp;VAR:CURRSOURCE=EXSH","ARE&amp;VAR:NATFREQ=QUARTERLY&amp;VAR:RFIELD=FINALIZED&amp;VAR:DB_TYPE=&amp;VAR:UNITS=M&amp;window=popup&amp;width=450&amp;height=300&amp;START_MAXIMIZED=FALSE"}</definedName>
    <definedName name="_467__FDSAUDITLINK__" hidden="1">{"fdsup://IBCentral/FAT Viewer?action=UPDATE&amp;creator=factset&amp;DOC_NAME=fat:reuters_qtrly_source_window.fat&amp;display_string=Audit&amp;DYN_ARGS=TRUE&amp;VAR:ID1=527343&amp;VAR:RCODE=DSTT&amp;VAR:SDATE=20010999&amp;VAR:FREQ=Quarterly&amp;VAR:RELITEM=RP&amp;VAR:CURRENCY=&amp;VAR:CURRSOURCE=EXSH","ARE&amp;VAR:NATFREQ=QUARTERLY&amp;VAR:RFIELD=FINALIZED&amp;VAR:DB_TYPE=&amp;VAR:UNITS=M&amp;window=popup&amp;width=450&amp;height=300&amp;START_MAXIMIZED=FALSE"}</definedName>
    <definedName name="_468__FDSAUDITLINK__" hidden="1">{"fdsup://IBCentral/FAT Viewer?action=UPDATE&amp;creator=factset&amp;DOC_NAME=fat:reuters_qtrly_source_window.fat&amp;display_string=Audit&amp;DYN_ARGS=TRUE&amp;VAR:ID1=527343&amp;VAR:RCODE=DSTT&amp;VAR:SDATE=20010699&amp;VAR:FREQ=Quarterly&amp;VAR:RELITEM=RP&amp;VAR:CURRENCY=&amp;VAR:CURRSOURCE=EXSH","ARE&amp;VAR:NATFREQ=QUARTERLY&amp;VAR:RFIELD=FINALIZED&amp;VAR:DB_TYPE=&amp;VAR:UNITS=M&amp;window=popup&amp;width=450&amp;height=300&amp;START_MAXIMIZED=FALSE"}</definedName>
    <definedName name="_469__FDSAUDITLINK__" hidden="1">{"fdsup://IBCentral/FAT Viewer?action=UPDATE&amp;creator=factset&amp;DOC_NAME=fat:reuters_qtrly_source_window.fat&amp;display_string=Audit&amp;DYN_ARGS=TRUE&amp;VAR:ID1=527343&amp;VAR:RCODE=DSTT&amp;VAR:SDATE=20010399&amp;VAR:FREQ=Quarterly&amp;VAR:RELITEM=RP&amp;VAR:CURRENCY=&amp;VAR:CURRSOURCE=EXSH","ARE&amp;VAR:NATFREQ=QUARTERLY&amp;VAR:RFIELD=FINALIZED&amp;VAR:DB_TYPE=&amp;VAR:UNITS=M&amp;window=popup&amp;width=450&amp;height=300&amp;START_MAXIMIZED=FALSE"}</definedName>
    <definedName name="_47__FDSAUDITLINK__" hidden="1">{"fdsup://IBCentral/FAT Viewer?action=UPDATE&amp;creator=factset&amp;DOC_NAME=fat:reuters_qtrly_source_window.fat&amp;display_string=Audit&amp;DYN_ARGS=TRUE&amp;VAR:ID1=527343&amp;VAR:RCODE=LTTD&amp;VAR:SDATE=20091299&amp;VAR:FREQ=Quarterly&amp;VAR:RELITEM=RP&amp;VAR:CURRENCY=&amp;VAR:CURRSOURCE=EXSH","ARE&amp;VAR:NATFREQ=QUARTERLY&amp;VAR:RFIELD=FINALIZED&amp;VAR:DB_TYPE=&amp;VAR:UNITS=M&amp;window=popup&amp;width=450&amp;height=300&amp;START_MAXIMIZED=FALSE"}</definedName>
    <definedName name="_47_0_S" hidden="1">#REF!</definedName>
    <definedName name="_470__FDSAUDITLINK__" hidden="1">{"fdsup://IBCentral/FAT Viewer?action=UPDATE&amp;creator=factset&amp;DOC_NAME=fat:reuters_qtrly_source_window.fat&amp;display_string=Audit&amp;DYN_ARGS=TRUE&amp;VAR:ID1=527343&amp;VAR:RCODE=DSTT&amp;VAR:SDATE=20001299&amp;VAR:FREQ=Quarterly&amp;VAR:RELITEM=RP&amp;VAR:CURRENCY=&amp;VAR:CURRSOURCE=EXSH","ARE&amp;VAR:NATFREQ=QUARTERLY&amp;VAR:RFIELD=FINALIZED&amp;VAR:DB_TYPE=&amp;VAR:UNITS=M&amp;window=popup&amp;width=450&amp;height=300&amp;START_MAXIMIZED=FALSE"}</definedName>
    <definedName name="_471__FDSAUDITLINK__" hidden="1">{"fdsup://IBCentral/FAT Viewer?action=UPDATE&amp;creator=factset&amp;DOC_NAME=fat:reuters_qtrly_source_window.fat&amp;display_string=Audit&amp;DYN_ARGS=TRUE&amp;VAR:ID1=527343&amp;VAR:RCODE=DSTT&amp;VAR:SDATE=20000999&amp;VAR:FREQ=Quarterly&amp;VAR:RELITEM=RP&amp;VAR:CURRENCY=&amp;VAR:CURRSOURCE=EXSH","ARE&amp;VAR:NATFREQ=QUARTERLY&amp;VAR:RFIELD=FINALIZED&amp;VAR:DB_TYPE=&amp;VAR:UNITS=M&amp;window=popup&amp;width=450&amp;height=300&amp;START_MAXIMIZED=FALSE"}</definedName>
    <definedName name="_472__FDSAUDITLINK__" hidden="1">{"fdsup://IBCentral/FAT Viewer?action=UPDATE&amp;creator=factset&amp;DOC_NAME=fat:reuters_qtrly_source_window.fat&amp;display_string=Audit&amp;DYN_ARGS=TRUE&amp;VAR:ID1=527343&amp;VAR:RCODE=DSTT&amp;VAR:SDATE=20000699&amp;VAR:FREQ=Quarterly&amp;VAR:RELITEM=RP&amp;VAR:CURRENCY=&amp;VAR:CURRSOURCE=EXSH","ARE&amp;VAR:NATFREQ=QUARTERLY&amp;VAR:RFIELD=FINALIZED&amp;VAR:DB_TYPE=&amp;VAR:UNITS=M&amp;window=popup&amp;width=450&amp;height=300&amp;START_MAXIMIZED=FALSE"}</definedName>
    <definedName name="_473__FDSAUDITLINK__" hidden="1">{"fdsup://IBCentral/FAT Viewer?action=UPDATE&amp;creator=factset&amp;DOC_NAME=fat:reuters_qtrly_source_window.fat&amp;display_string=Audit&amp;DYN_ARGS=TRUE&amp;VAR:ID1=527343&amp;VAR:RCODE=DSTT&amp;VAR:SDATE=20000399&amp;VAR:FREQ=Quarterly&amp;VAR:RELITEM=RP&amp;VAR:CURRENCY=&amp;VAR:CURRSOURCE=EXSH","ARE&amp;VAR:NATFREQ=QUARTERLY&amp;VAR:RFIELD=FINALIZED&amp;VAR:DB_TYPE=&amp;VAR:UNITS=M&amp;window=popup&amp;width=450&amp;height=300&amp;START_MAXIMIZED=FALSE"}</definedName>
    <definedName name="_474__FDSAUDITLINK__" hidden="1">{"fdsup://IBCentral/FAT Viewer?action=UPDATE&amp;creator=factset&amp;DOC_NAME=fat:reuters_qtrly_source_window.fat&amp;display_string=Audit&amp;DYN_ARGS=TRUE&amp;VAR:ID1=527343&amp;VAR:RCODE=SCSI&amp;VAR:SDATE=20100999&amp;VAR:FREQ=Quarterly&amp;VAR:RELITEM=RP&amp;VAR:CURRENCY=&amp;VAR:CURRSOURCE=EXSH","ARE&amp;VAR:NATFREQ=QUARTERLY&amp;VAR:RFIELD=FINALIZED&amp;VAR:DB_TYPE=&amp;VAR:UNITS=M&amp;window=popup&amp;width=450&amp;height=300&amp;START_MAXIMIZED=FALSE"}</definedName>
    <definedName name="_475__FDSAUDITLINK__" hidden="1">{"fdsup://IBCentral/FAT Viewer?action=UPDATE&amp;creator=factset&amp;DOC_NAME=fat:reuters_qtrly_source_window.fat&amp;display_string=Audit&amp;DYN_ARGS=TRUE&amp;VAR:ID1=527343&amp;VAR:RCODE=SCSI&amp;VAR:SDATE=20100699&amp;VAR:FREQ=Quarterly&amp;VAR:RELITEM=RP&amp;VAR:CURRENCY=&amp;VAR:CURRSOURCE=EXSH","ARE&amp;VAR:NATFREQ=QUARTERLY&amp;VAR:RFIELD=FINALIZED&amp;VAR:DB_TYPE=&amp;VAR:UNITS=M&amp;window=popup&amp;width=450&amp;height=300&amp;START_MAXIMIZED=FALSE"}</definedName>
    <definedName name="_476__FDSAUDITLINK__" hidden="1">{"fdsup://IBCentral/FAT Viewer?action=UPDATE&amp;creator=factset&amp;DOC_NAME=fat:reuters_qtrly_source_window.fat&amp;display_string=Audit&amp;DYN_ARGS=TRUE&amp;VAR:ID1=527343&amp;VAR:RCODE=SCSI&amp;VAR:SDATE=20100399&amp;VAR:FREQ=Quarterly&amp;VAR:RELITEM=RP&amp;VAR:CURRENCY=&amp;VAR:CURRSOURCE=EXSH","ARE&amp;VAR:NATFREQ=QUARTERLY&amp;VAR:RFIELD=FINALIZED&amp;VAR:DB_TYPE=&amp;VAR:UNITS=M&amp;window=popup&amp;width=450&amp;height=300&amp;START_MAXIMIZED=FALSE"}</definedName>
    <definedName name="_477__FDSAUDITLINK__" hidden="1">{"fdsup://IBCentral/FAT Viewer?action=UPDATE&amp;creator=factset&amp;DOC_NAME=fat:reuters_qtrly_source_window.fat&amp;display_string=Audit&amp;DYN_ARGS=TRUE&amp;VAR:ID1=527343&amp;VAR:RCODE=SCSI&amp;VAR:SDATE=20091299&amp;VAR:FREQ=Quarterly&amp;VAR:RELITEM=RP&amp;VAR:CURRENCY=&amp;VAR:CURRSOURCE=EXSH","ARE&amp;VAR:NATFREQ=QUARTERLY&amp;VAR:RFIELD=FINALIZED&amp;VAR:DB_TYPE=&amp;VAR:UNITS=M&amp;window=popup&amp;width=450&amp;height=300&amp;START_MAXIMIZED=FALSE"}</definedName>
    <definedName name="_478__FDSAUDITLINK__" hidden="1">{"fdsup://IBCentral/FAT Viewer?action=UPDATE&amp;creator=factset&amp;DOC_NAME=fat:reuters_qtrly_source_window.fat&amp;display_string=Audit&amp;DYN_ARGS=TRUE&amp;VAR:ID1=527343&amp;VAR:RCODE=SCSI&amp;VAR:SDATE=20090999&amp;VAR:FREQ=Quarterly&amp;VAR:RELITEM=RP&amp;VAR:CURRENCY=&amp;VAR:CURRSOURCE=EXSH","ARE&amp;VAR:NATFREQ=QUARTERLY&amp;VAR:RFIELD=FINALIZED&amp;VAR:DB_TYPE=&amp;VAR:UNITS=M&amp;window=popup&amp;width=450&amp;height=300&amp;START_MAXIMIZED=FALSE"}</definedName>
    <definedName name="_479__FDSAUDITLINK__" hidden="1">{"fdsup://IBCentral/FAT Viewer?action=UPDATE&amp;creator=factset&amp;DOC_NAME=fat:reuters_qtrly_source_window.fat&amp;display_string=Audit&amp;DYN_ARGS=TRUE&amp;VAR:ID1=527343&amp;VAR:RCODE=SCSI&amp;VAR:SDATE=20090699&amp;VAR:FREQ=Quarterly&amp;VAR:RELITEM=RP&amp;VAR:CURRENCY=&amp;VAR:CURRSOURCE=EXSH","ARE&amp;VAR:NATFREQ=QUARTERLY&amp;VAR:RFIELD=FINALIZED&amp;VAR:DB_TYPE=&amp;VAR:UNITS=M&amp;window=popup&amp;width=450&amp;height=300&amp;START_MAXIMIZED=FALSE"}</definedName>
    <definedName name="_48__FDSAUDITLINK__" hidden="1">{"fdsup://IBCentral/FAT Viewer?action=UPDATE&amp;creator=factset&amp;DOC_NAME=fat:reuters_qtrly_source_window.fat&amp;display_string=Audit&amp;DYN_ARGS=TRUE&amp;VAR:ID1=527343&amp;VAR:RCODE=LTTD&amp;VAR:SDATE=20090999&amp;VAR:FREQ=Quarterly&amp;VAR:RELITEM=RP&amp;VAR:CURRENCY=&amp;VAR:CURRSOURCE=EXSH","ARE&amp;VAR:NATFREQ=QUARTERLY&amp;VAR:RFIELD=FINALIZED&amp;VAR:DB_TYPE=&amp;VAR:UNITS=M&amp;window=popup&amp;width=450&amp;height=300&amp;START_MAXIMIZED=FALSE"}</definedName>
    <definedName name="_48_0_S" hidden="1">#REF!</definedName>
    <definedName name="_480__FDSAUDITLINK__" hidden="1">{"fdsup://IBCentral/FAT Viewer?action=UPDATE&amp;creator=factset&amp;DOC_NAME=fat:reuters_qtrly_source_window.fat&amp;display_string=Audit&amp;DYN_ARGS=TRUE&amp;VAR:ID1=527343&amp;VAR:RCODE=SCSI&amp;VAR:SDATE=20090399&amp;VAR:FREQ=Quarterly&amp;VAR:RELITEM=RP&amp;VAR:CURRENCY=&amp;VAR:CURRSOURCE=EXSH","ARE&amp;VAR:NATFREQ=QUARTERLY&amp;VAR:RFIELD=FINALIZED&amp;VAR:DB_TYPE=&amp;VAR:UNITS=M&amp;window=popup&amp;width=450&amp;height=300&amp;START_MAXIMIZED=FALSE"}</definedName>
    <definedName name="_481__FDSAUDITLINK__" hidden="1">{"fdsup://IBCentral/FAT Viewer?action=UPDATE&amp;creator=factset&amp;DOC_NAME=fat:reuters_qtrly_source_window.fat&amp;display_string=Audit&amp;DYN_ARGS=TRUE&amp;VAR:ID1=527343&amp;VAR:RCODE=SCSI&amp;VAR:SDATE=20081299&amp;VAR:FREQ=Quarterly&amp;VAR:RELITEM=RP&amp;VAR:CURRENCY=&amp;VAR:CURRSOURCE=EXSH","ARE&amp;VAR:NATFREQ=QUARTERLY&amp;VAR:RFIELD=FINALIZED&amp;VAR:DB_TYPE=&amp;VAR:UNITS=M&amp;window=popup&amp;width=450&amp;height=300&amp;START_MAXIMIZED=FALSE"}</definedName>
    <definedName name="_482__FDSAUDITLINK__" hidden="1">{"fdsup://IBCentral/FAT Viewer?action=UPDATE&amp;creator=factset&amp;DOC_NAME=fat:reuters_qtrly_source_window.fat&amp;display_string=Audit&amp;DYN_ARGS=TRUE&amp;VAR:ID1=527343&amp;VAR:RCODE=SCSI&amp;VAR:SDATE=20080999&amp;VAR:FREQ=Quarterly&amp;VAR:RELITEM=RP&amp;VAR:CURRENCY=&amp;VAR:CURRSOURCE=EXSH","ARE&amp;VAR:NATFREQ=QUARTERLY&amp;VAR:RFIELD=FINALIZED&amp;VAR:DB_TYPE=&amp;VAR:UNITS=M&amp;window=popup&amp;width=450&amp;height=300&amp;START_MAXIMIZED=FALSE"}</definedName>
    <definedName name="_483__FDSAUDITLINK__" hidden="1">{"fdsup://IBCentral/FAT Viewer?action=UPDATE&amp;creator=factset&amp;DOC_NAME=fat:reuters_qtrly_source_window.fat&amp;display_string=Audit&amp;DYN_ARGS=TRUE&amp;VAR:ID1=527343&amp;VAR:RCODE=SCSI&amp;VAR:SDATE=20080699&amp;VAR:FREQ=Quarterly&amp;VAR:RELITEM=RP&amp;VAR:CURRENCY=&amp;VAR:CURRSOURCE=EXSH","ARE&amp;VAR:NATFREQ=QUARTERLY&amp;VAR:RFIELD=FINALIZED&amp;VAR:DB_TYPE=&amp;VAR:UNITS=M&amp;window=popup&amp;width=450&amp;height=300&amp;START_MAXIMIZED=FALSE"}</definedName>
    <definedName name="_484__FDSAUDITLINK__" hidden="1">{"fdsup://IBCentral/FAT Viewer?action=UPDATE&amp;creator=factset&amp;DOC_NAME=fat:reuters_qtrly_source_window.fat&amp;display_string=Audit&amp;DYN_ARGS=TRUE&amp;VAR:ID1=527343&amp;VAR:RCODE=SCSI&amp;VAR:SDATE=20080399&amp;VAR:FREQ=Quarterly&amp;VAR:RELITEM=RP&amp;VAR:CURRENCY=&amp;VAR:CURRSOURCE=EXSH","ARE&amp;VAR:NATFREQ=QUARTERLY&amp;VAR:RFIELD=FINALIZED&amp;VAR:DB_TYPE=&amp;VAR:UNITS=M&amp;window=popup&amp;width=450&amp;height=300&amp;START_MAXIMIZED=FALSE"}</definedName>
    <definedName name="_485__FDSAUDITLINK__" hidden="1">{"fdsup://IBCentral/FAT Viewer?action=UPDATE&amp;creator=factset&amp;DOC_NAME=fat:reuters_qtrly_source_window.fat&amp;display_string=Audit&amp;DYN_ARGS=TRUE&amp;VAR:ID1=527343&amp;VAR:RCODE=SCSI&amp;VAR:SDATE=20071299&amp;VAR:FREQ=Quarterly&amp;VAR:RELITEM=RP&amp;VAR:CURRENCY=&amp;VAR:CURRSOURCE=EXSH","ARE&amp;VAR:NATFREQ=QUARTERLY&amp;VAR:RFIELD=FINALIZED&amp;VAR:DB_TYPE=&amp;VAR:UNITS=M&amp;window=popup&amp;width=450&amp;height=300&amp;START_MAXIMIZED=FALSE"}</definedName>
    <definedName name="_486__FDSAUDITLINK__" hidden="1">{"fdsup://IBCentral/FAT Viewer?action=UPDATE&amp;creator=factset&amp;DOC_NAME=fat:reuters_qtrly_source_window.fat&amp;display_string=Audit&amp;DYN_ARGS=TRUE&amp;VAR:ID1=527343&amp;VAR:RCODE=SCSI&amp;VAR:SDATE=20070999&amp;VAR:FREQ=Quarterly&amp;VAR:RELITEM=RP&amp;VAR:CURRENCY=&amp;VAR:CURRSOURCE=EXSH","ARE&amp;VAR:NATFREQ=QUARTERLY&amp;VAR:RFIELD=FINALIZED&amp;VAR:DB_TYPE=&amp;VAR:UNITS=M&amp;window=popup&amp;width=450&amp;height=300&amp;START_MAXIMIZED=FALSE"}</definedName>
    <definedName name="_487__FDSAUDITLINK__" hidden="1">{"fdsup://IBCentral/FAT Viewer?action=UPDATE&amp;creator=factset&amp;DOC_NAME=fat:reuters_qtrly_source_window.fat&amp;display_string=Audit&amp;DYN_ARGS=TRUE&amp;VAR:ID1=527343&amp;VAR:RCODE=SCSI&amp;VAR:SDATE=20070699&amp;VAR:FREQ=Quarterly&amp;VAR:RELITEM=RP&amp;VAR:CURRENCY=&amp;VAR:CURRSOURCE=EXSH","ARE&amp;VAR:NATFREQ=QUARTERLY&amp;VAR:RFIELD=FINALIZED&amp;VAR:DB_TYPE=&amp;VAR:UNITS=M&amp;window=popup&amp;width=450&amp;height=300&amp;START_MAXIMIZED=FALSE"}</definedName>
    <definedName name="_488__FDSAUDITLINK__" hidden="1">{"fdsup://IBCentral/FAT Viewer?action=UPDATE&amp;creator=factset&amp;DOC_NAME=fat:reuters_qtrly_source_window.fat&amp;display_string=Audit&amp;DYN_ARGS=TRUE&amp;VAR:ID1=527343&amp;VAR:RCODE=SCSI&amp;VAR:SDATE=20070399&amp;VAR:FREQ=Quarterly&amp;VAR:RELITEM=RP&amp;VAR:CURRENCY=&amp;VAR:CURRSOURCE=EXSH","ARE&amp;VAR:NATFREQ=QUARTERLY&amp;VAR:RFIELD=FINALIZED&amp;VAR:DB_TYPE=&amp;VAR:UNITS=M&amp;window=popup&amp;width=450&amp;height=300&amp;START_MAXIMIZED=FALSE"}</definedName>
    <definedName name="_489__FDSAUDITLINK__" hidden="1">{"fdsup://IBCentral/FAT Viewer?action=UPDATE&amp;creator=factset&amp;DOC_NAME=fat:reuters_qtrly_source_window.fat&amp;display_string=Audit&amp;DYN_ARGS=TRUE&amp;VAR:ID1=527343&amp;VAR:RCODE=SCSI&amp;VAR:SDATE=20061299&amp;VAR:FREQ=Quarterly&amp;VAR:RELITEM=RP&amp;VAR:CURRENCY=&amp;VAR:CURRSOURCE=EXSH","ARE&amp;VAR:NATFREQ=QUARTERLY&amp;VAR:RFIELD=FINALIZED&amp;VAR:DB_TYPE=&amp;VAR:UNITS=M&amp;window=popup&amp;width=450&amp;height=300&amp;START_MAXIMIZED=FALSE"}</definedName>
    <definedName name="_49__FDSAUDITLINK__" hidden="1">{"fdsup://IBCentral/FAT Viewer?action=UPDATE&amp;creator=factset&amp;DOC_NAME=fat:reuters_qtrly_source_window.fat&amp;display_string=Audit&amp;DYN_ARGS=TRUE&amp;VAR:ID1=527343&amp;VAR:RCODE=LTTD&amp;VAR:SDATE=20090699&amp;VAR:FREQ=Quarterly&amp;VAR:RELITEM=RP&amp;VAR:CURRENCY=&amp;VAR:CURRSOURCE=EXSH","ARE&amp;VAR:NATFREQ=QUARTERLY&amp;VAR:RFIELD=FINALIZED&amp;VAR:DB_TYPE=&amp;VAR:UNITS=M&amp;window=popup&amp;width=450&amp;height=300&amp;START_MAXIMIZED=FALSE"}</definedName>
    <definedName name="_490__FDSAUDITLINK__" hidden="1">{"fdsup://IBCentral/FAT Viewer?action=UPDATE&amp;creator=factset&amp;DOC_NAME=fat:reuters_qtrly_source_window.fat&amp;display_string=Audit&amp;DYN_ARGS=TRUE&amp;VAR:ID1=527343&amp;VAR:RCODE=SCSI&amp;VAR:SDATE=20060999&amp;VAR:FREQ=Quarterly&amp;VAR:RELITEM=RP&amp;VAR:CURRENCY=&amp;VAR:CURRSOURCE=EXSH","ARE&amp;VAR:NATFREQ=QUARTERLY&amp;VAR:RFIELD=FINALIZED&amp;VAR:DB_TYPE=&amp;VAR:UNITS=M&amp;window=popup&amp;width=450&amp;height=300&amp;START_MAXIMIZED=FALSE"}</definedName>
    <definedName name="_491__FDSAUDITLINK__" hidden="1">{"fdsup://IBCentral/FAT Viewer?action=UPDATE&amp;creator=factset&amp;DOC_NAME=fat:reuters_qtrly_source_window.fat&amp;display_string=Audit&amp;DYN_ARGS=TRUE&amp;VAR:ID1=527343&amp;VAR:RCODE=SCSI&amp;VAR:SDATE=20060699&amp;VAR:FREQ=Quarterly&amp;VAR:RELITEM=RP&amp;VAR:CURRENCY=&amp;VAR:CURRSOURCE=EXSH","ARE&amp;VAR:NATFREQ=QUARTERLY&amp;VAR:RFIELD=FINALIZED&amp;VAR:DB_TYPE=&amp;VAR:UNITS=M&amp;window=popup&amp;width=450&amp;height=300&amp;START_MAXIMIZED=FALSE"}</definedName>
    <definedName name="_492__FDSAUDITLINK__" hidden="1">{"fdsup://IBCentral/FAT Viewer?action=UPDATE&amp;creator=factset&amp;DOC_NAME=fat:reuters_qtrly_source_window.fat&amp;display_string=Audit&amp;DYN_ARGS=TRUE&amp;VAR:ID1=527343&amp;VAR:RCODE=SCSI&amp;VAR:SDATE=20060399&amp;VAR:FREQ=Quarterly&amp;VAR:RELITEM=RP&amp;VAR:CURRENCY=&amp;VAR:CURRSOURCE=EXSH","ARE&amp;VAR:NATFREQ=QUARTERLY&amp;VAR:RFIELD=FINALIZED&amp;VAR:DB_TYPE=&amp;VAR:UNITS=M&amp;window=popup&amp;width=450&amp;height=300&amp;START_MAXIMIZED=FALSE"}</definedName>
    <definedName name="_493__FDSAUDITLINK__" hidden="1">{"fdsup://IBCentral/FAT Viewer?action=UPDATE&amp;creator=factset&amp;DOC_NAME=fat:reuters_qtrly_source_window.fat&amp;display_string=Audit&amp;DYN_ARGS=TRUE&amp;VAR:ID1=527343&amp;VAR:RCODE=SCSI&amp;VAR:SDATE=20051299&amp;VAR:FREQ=Quarterly&amp;VAR:RELITEM=RP&amp;VAR:CURRENCY=&amp;VAR:CURRSOURCE=EXSH","ARE&amp;VAR:NATFREQ=QUARTERLY&amp;VAR:RFIELD=FINALIZED&amp;VAR:DB_TYPE=&amp;VAR:UNITS=M&amp;window=popup&amp;width=450&amp;height=300&amp;START_MAXIMIZED=FALSE"}</definedName>
    <definedName name="_494__FDSAUDITLINK__" hidden="1">{"fdsup://IBCentral/FAT Viewer?action=UPDATE&amp;creator=factset&amp;DOC_NAME=fat:reuters_qtrly_source_window.fat&amp;display_string=Audit&amp;DYN_ARGS=TRUE&amp;VAR:ID1=527343&amp;VAR:RCODE=SCSI&amp;VAR:SDATE=20050999&amp;VAR:FREQ=Quarterly&amp;VAR:RELITEM=RP&amp;VAR:CURRENCY=&amp;VAR:CURRSOURCE=EXSH","ARE&amp;VAR:NATFREQ=QUARTERLY&amp;VAR:RFIELD=FINALIZED&amp;VAR:DB_TYPE=&amp;VAR:UNITS=M&amp;window=popup&amp;width=450&amp;height=300&amp;START_MAXIMIZED=FALSE"}</definedName>
    <definedName name="_495__FDSAUDITLINK__" hidden="1">{"fdsup://IBCentral/FAT Viewer?action=UPDATE&amp;creator=factset&amp;DOC_NAME=fat:reuters_qtrly_source_window.fat&amp;display_string=Audit&amp;DYN_ARGS=TRUE&amp;VAR:ID1=527343&amp;VAR:RCODE=SCSI&amp;VAR:SDATE=20050699&amp;VAR:FREQ=Quarterly&amp;VAR:RELITEM=RP&amp;VAR:CURRENCY=&amp;VAR:CURRSOURCE=EXSH","ARE&amp;VAR:NATFREQ=QUARTERLY&amp;VAR:RFIELD=FINALIZED&amp;VAR:DB_TYPE=&amp;VAR:UNITS=M&amp;window=popup&amp;width=450&amp;height=300&amp;START_MAXIMIZED=FALSE"}</definedName>
    <definedName name="_496__FDSAUDITLINK__" hidden="1">{"fdsup://IBCentral/FAT Viewer?action=UPDATE&amp;creator=factset&amp;DOC_NAME=fat:reuters_qtrly_source_window.fat&amp;display_string=Audit&amp;DYN_ARGS=TRUE&amp;VAR:ID1=527343&amp;VAR:RCODE=SCSI&amp;VAR:SDATE=20050399&amp;VAR:FREQ=Quarterly&amp;VAR:RELITEM=RP&amp;VAR:CURRENCY=&amp;VAR:CURRSOURCE=EXSH","ARE&amp;VAR:NATFREQ=QUARTERLY&amp;VAR:RFIELD=FINALIZED&amp;VAR:DB_TYPE=&amp;VAR:UNITS=M&amp;window=popup&amp;width=450&amp;height=300&amp;START_MAXIMIZED=FALSE"}</definedName>
    <definedName name="_497__FDSAUDITLINK__" hidden="1">{"fdsup://IBCentral/FAT Viewer?action=UPDATE&amp;creator=factset&amp;DOC_NAME=fat:reuters_qtrly_source_window.fat&amp;display_string=Audit&amp;DYN_ARGS=TRUE&amp;VAR:ID1=527343&amp;VAR:RCODE=SCSI&amp;VAR:SDATE=20041299&amp;VAR:FREQ=Quarterly&amp;VAR:RELITEM=RP&amp;VAR:CURRENCY=&amp;VAR:CURRSOURCE=EXSH","ARE&amp;VAR:NATFREQ=QUARTERLY&amp;VAR:RFIELD=FINALIZED&amp;VAR:DB_TYPE=&amp;VAR:UNITS=M&amp;window=popup&amp;width=450&amp;height=300&amp;START_MAXIMIZED=FALSE"}</definedName>
    <definedName name="_498__FDSAUDITLINK__" hidden="1">{"fdsup://IBCentral/FAT Viewer?action=UPDATE&amp;creator=factset&amp;DOC_NAME=fat:reuters_qtrly_source_window.fat&amp;display_string=Audit&amp;DYN_ARGS=TRUE&amp;VAR:ID1=527343&amp;VAR:RCODE=SCSI&amp;VAR:SDATE=20040999&amp;VAR:FREQ=Quarterly&amp;VAR:RELITEM=RP&amp;VAR:CURRENCY=&amp;VAR:CURRSOURCE=EXSH","ARE&amp;VAR:NATFREQ=QUARTERLY&amp;VAR:RFIELD=FINALIZED&amp;VAR:DB_TYPE=&amp;VAR:UNITS=M&amp;window=popup&amp;width=450&amp;height=300&amp;START_MAXIMIZED=FALSE"}</definedName>
    <definedName name="_499__FDSAUDITLINK__" hidden="1">{"fdsup://IBCentral/FAT Viewer?action=UPDATE&amp;creator=factset&amp;DOC_NAME=fat:reuters_qtrly_source_window.fat&amp;display_string=Audit&amp;DYN_ARGS=TRUE&amp;VAR:ID1=527343&amp;VAR:RCODE=SCSI&amp;VAR:SDATE=20040699&amp;VAR:FREQ=Quarterly&amp;VAR:RELITEM=RP&amp;VAR:CURRENCY=&amp;VAR:CURRSOURCE=EXSH","ARE&amp;VAR:NATFREQ=QUARTERLY&amp;VAR:RFIELD=FINALIZED&amp;VAR:DB_TYPE=&amp;VAR:UNITS=M&amp;window=popup&amp;width=450&amp;height=300&amp;START_MAXIMIZED=FALSE"}</definedName>
    <definedName name="_5__123Graph_LBL_AMKT_MONTH" hidden="1">[5]SALES!#REF!</definedName>
    <definedName name="_5__FDSAUDITLINK__" hidden="1">{"fdsup://IBCentral/FAT Viewer?action=UPDATE&amp;creator=factset&amp;DOC_NAME=fat:reuters_qtrly_source_window.fat&amp;display_string=Audit&amp;DYN_ARGS=TRUE&amp;VAR:ID1=527343&amp;VAR:RCODE=LMIN&amp;VAR:SDATE=20090999&amp;VAR:FREQ=Quarterly&amp;VAR:RELITEM=RP&amp;VAR:CURRENCY=&amp;VAR:CURRSOURCE=EXSH","ARE&amp;VAR:NATFREQ=QUARTERLY&amp;VAR:RFIELD=FINALIZED&amp;VAR:DB_TYPE=&amp;VAR:UNITS=M&amp;window=popup&amp;width=450&amp;height=300&amp;START_MAXIMIZED=FALSE"}</definedName>
    <definedName name="_50__FDSAUDITLINK__" hidden="1">{"fdsup://IBCentral/FAT Viewer?action=UPDATE&amp;creator=factset&amp;DOC_NAME=fat:reuters_qtrly_source_window.fat&amp;display_string=Audit&amp;DYN_ARGS=TRUE&amp;VAR:ID1=527343&amp;VAR:RCODE=LTTD&amp;VAR:SDATE=20090399&amp;VAR:FREQ=Quarterly&amp;VAR:RELITEM=RP&amp;VAR:CURRENCY=&amp;VAR:CURRSOURCE=EXSH","ARE&amp;VAR:NATFREQ=QUARTERLY&amp;VAR:RFIELD=FINALIZED&amp;VAR:DB_TYPE=&amp;VAR:UNITS=M&amp;window=popup&amp;width=450&amp;height=300&amp;START_MAXIMIZED=FALSE"}</definedName>
    <definedName name="_500__FDSAUDITLINK__" hidden="1">{"fdsup://IBCentral/FAT Viewer?action=UPDATE&amp;creator=factset&amp;DOC_NAME=fat:reuters_qtrly_source_window.fat&amp;display_string=Audit&amp;DYN_ARGS=TRUE&amp;VAR:ID1=527343&amp;VAR:RCODE=SCSI&amp;VAR:SDATE=20040399&amp;VAR:FREQ=Quarterly&amp;VAR:RELITEM=RP&amp;VAR:CURRENCY=&amp;VAR:CURRSOURCE=EXSH","ARE&amp;VAR:NATFREQ=QUARTERLY&amp;VAR:RFIELD=FINALIZED&amp;VAR:DB_TYPE=&amp;VAR:UNITS=M&amp;window=popup&amp;width=450&amp;height=300&amp;START_MAXIMIZED=FALSE"}</definedName>
    <definedName name="_501__FDSAUDITLINK__" hidden="1">{"fdsup://IBCentral/FAT Viewer?action=UPDATE&amp;creator=factset&amp;DOC_NAME=fat:reuters_qtrly_source_window.fat&amp;display_string=Audit&amp;DYN_ARGS=TRUE&amp;VAR:ID1=527343&amp;VAR:RCODE=SCSI&amp;VAR:SDATE=20031299&amp;VAR:FREQ=Quarterly&amp;VAR:RELITEM=RP&amp;VAR:CURRENCY=&amp;VAR:CURRSOURCE=EXSH","ARE&amp;VAR:NATFREQ=QUARTERLY&amp;VAR:RFIELD=FINALIZED&amp;VAR:DB_TYPE=&amp;VAR:UNITS=M&amp;window=popup&amp;width=450&amp;height=300&amp;START_MAXIMIZED=FALSE"}</definedName>
    <definedName name="_502__FDSAUDITLINK__" hidden="1">{"fdsup://IBCentral/FAT Viewer?action=UPDATE&amp;creator=factset&amp;DOC_NAME=fat:reuters_qtrly_source_window.fat&amp;display_string=Audit&amp;DYN_ARGS=TRUE&amp;VAR:ID1=527343&amp;VAR:RCODE=SCSI&amp;VAR:SDATE=20030999&amp;VAR:FREQ=Quarterly&amp;VAR:RELITEM=RP&amp;VAR:CURRENCY=&amp;VAR:CURRSOURCE=EXSH","ARE&amp;VAR:NATFREQ=QUARTERLY&amp;VAR:RFIELD=FINALIZED&amp;VAR:DB_TYPE=&amp;VAR:UNITS=M&amp;window=popup&amp;width=450&amp;height=300&amp;START_MAXIMIZED=FALSE"}</definedName>
    <definedName name="_503__FDSAUDITLINK__" hidden="1">{"fdsup://IBCentral/FAT Viewer?action=UPDATE&amp;creator=factset&amp;DOC_NAME=fat:reuters_qtrly_source_window.fat&amp;display_string=Audit&amp;DYN_ARGS=TRUE&amp;VAR:ID1=527343&amp;VAR:RCODE=SCSI&amp;VAR:SDATE=20030699&amp;VAR:FREQ=Quarterly&amp;VAR:RELITEM=RP&amp;VAR:CURRENCY=&amp;VAR:CURRSOURCE=EXSH","ARE&amp;VAR:NATFREQ=QUARTERLY&amp;VAR:RFIELD=FINALIZED&amp;VAR:DB_TYPE=&amp;VAR:UNITS=M&amp;window=popup&amp;width=450&amp;height=300&amp;START_MAXIMIZED=FALSE"}</definedName>
    <definedName name="_504__FDSAUDITLINK__" hidden="1">{"fdsup://IBCentral/FAT Viewer?action=UPDATE&amp;creator=factset&amp;DOC_NAME=fat:reuters_qtrly_source_window.fat&amp;display_string=Audit&amp;DYN_ARGS=TRUE&amp;VAR:ID1=527343&amp;VAR:RCODE=SCSI&amp;VAR:SDATE=20030399&amp;VAR:FREQ=Quarterly&amp;VAR:RELITEM=RP&amp;VAR:CURRENCY=&amp;VAR:CURRSOURCE=EXSH","ARE&amp;VAR:NATFREQ=QUARTERLY&amp;VAR:RFIELD=FINALIZED&amp;VAR:DB_TYPE=&amp;VAR:UNITS=M&amp;window=popup&amp;width=450&amp;height=300&amp;START_MAXIMIZED=FALSE"}</definedName>
    <definedName name="_505__FDSAUDITLINK__" hidden="1">{"fdsup://IBCentral/FAT Viewer?action=UPDATE&amp;creator=factset&amp;DOC_NAME=fat:reuters_qtrly_source_window.fat&amp;display_string=Audit&amp;DYN_ARGS=TRUE&amp;VAR:ID1=527343&amp;VAR:RCODE=SCSI&amp;VAR:SDATE=20021299&amp;VAR:FREQ=Quarterly&amp;VAR:RELITEM=RP&amp;VAR:CURRENCY=&amp;VAR:CURRSOURCE=EXSH","ARE&amp;VAR:NATFREQ=QUARTERLY&amp;VAR:RFIELD=FINALIZED&amp;VAR:DB_TYPE=&amp;VAR:UNITS=M&amp;window=popup&amp;width=450&amp;height=300&amp;START_MAXIMIZED=FALSE"}</definedName>
    <definedName name="_506__FDSAUDITLINK__" hidden="1">{"fdsup://IBCentral/FAT Viewer?action=UPDATE&amp;creator=factset&amp;DOC_NAME=fat:reuters_qtrly_source_window.fat&amp;display_string=Audit&amp;DYN_ARGS=TRUE&amp;VAR:ID1=527343&amp;VAR:RCODE=SCSI&amp;VAR:SDATE=20020999&amp;VAR:FREQ=Quarterly&amp;VAR:RELITEM=RP&amp;VAR:CURRENCY=&amp;VAR:CURRSOURCE=EXSH","ARE&amp;VAR:NATFREQ=QUARTERLY&amp;VAR:RFIELD=FINALIZED&amp;VAR:DB_TYPE=&amp;VAR:UNITS=M&amp;window=popup&amp;width=450&amp;height=300&amp;START_MAXIMIZED=FALSE"}</definedName>
    <definedName name="_507__FDSAUDITLINK__" hidden="1">{"fdsup://IBCentral/FAT Viewer?action=UPDATE&amp;creator=factset&amp;DOC_NAME=fat:reuters_qtrly_source_window.fat&amp;display_string=Audit&amp;DYN_ARGS=TRUE&amp;VAR:ID1=527343&amp;VAR:RCODE=SCSI&amp;VAR:SDATE=20020699&amp;VAR:FREQ=Quarterly&amp;VAR:RELITEM=RP&amp;VAR:CURRENCY=&amp;VAR:CURRSOURCE=EXSH","ARE&amp;VAR:NATFREQ=QUARTERLY&amp;VAR:RFIELD=FINALIZED&amp;VAR:DB_TYPE=&amp;VAR:UNITS=M&amp;window=popup&amp;width=450&amp;height=300&amp;START_MAXIMIZED=FALSE"}</definedName>
    <definedName name="_508__FDSAUDITLINK__" hidden="1">{"fdsup://IBCentral/FAT Viewer?action=UPDATE&amp;creator=factset&amp;DOC_NAME=fat:reuters_qtrly_source_window.fat&amp;display_string=Audit&amp;DYN_ARGS=TRUE&amp;VAR:ID1=527343&amp;VAR:RCODE=SCSI&amp;VAR:SDATE=20020399&amp;VAR:FREQ=Quarterly&amp;VAR:RELITEM=RP&amp;VAR:CURRENCY=&amp;VAR:CURRSOURCE=EXSH","ARE&amp;VAR:NATFREQ=QUARTERLY&amp;VAR:RFIELD=FINALIZED&amp;VAR:DB_TYPE=&amp;VAR:UNITS=M&amp;window=popup&amp;width=450&amp;height=300&amp;START_MAXIMIZED=FALSE"}</definedName>
    <definedName name="_509__FDSAUDITLINK__" hidden="1">{"fdsup://IBCentral/FAT Viewer?action=UPDATE&amp;creator=factset&amp;DOC_NAME=fat:reuters_qtrly_source_window.fat&amp;display_string=Audit&amp;DYN_ARGS=TRUE&amp;VAR:ID1=527343&amp;VAR:RCODE=SCSI&amp;VAR:SDATE=20011299&amp;VAR:FREQ=Quarterly&amp;VAR:RELITEM=RP&amp;VAR:CURRENCY=&amp;VAR:CURRSOURCE=EXSH","ARE&amp;VAR:NATFREQ=QUARTERLY&amp;VAR:RFIELD=FINALIZED&amp;VAR:DB_TYPE=&amp;VAR:UNITS=M&amp;window=popup&amp;width=450&amp;height=300&amp;START_MAXIMIZED=FALSE"}</definedName>
    <definedName name="_51__FDSAUDITLINK__" hidden="1">{"fdsup://IBCentral/FAT Viewer?action=UPDATE&amp;creator=factset&amp;DOC_NAME=fat:reuters_qtrly_source_window.fat&amp;display_string=Audit&amp;DYN_ARGS=TRUE&amp;VAR:ID1=527343&amp;VAR:RCODE=LTTD&amp;VAR:SDATE=20081299&amp;VAR:FREQ=Quarterly&amp;VAR:RELITEM=RP&amp;VAR:CURRENCY=&amp;VAR:CURRSOURCE=EXSH","ARE&amp;VAR:NATFREQ=QUARTERLY&amp;VAR:RFIELD=FINALIZED&amp;VAR:DB_TYPE=&amp;VAR:UNITS=M&amp;window=popup&amp;width=450&amp;height=300&amp;START_MAXIMIZED=FALSE"}</definedName>
    <definedName name="_510__FDSAUDITLINK__" hidden="1">{"fdsup://IBCentral/FAT Viewer?action=UPDATE&amp;creator=factset&amp;DOC_NAME=fat:reuters_qtrly_source_window.fat&amp;display_string=Audit&amp;DYN_ARGS=TRUE&amp;VAR:ID1=527343&amp;VAR:RCODE=SCSI&amp;VAR:SDATE=20010999&amp;VAR:FREQ=Quarterly&amp;VAR:RELITEM=RP&amp;VAR:CURRENCY=&amp;VAR:CURRSOURCE=EXSH","ARE&amp;VAR:NATFREQ=QUARTERLY&amp;VAR:RFIELD=FINALIZED&amp;VAR:DB_TYPE=&amp;VAR:UNITS=M&amp;window=popup&amp;width=450&amp;height=300&amp;START_MAXIMIZED=FALSE"}</definedName>
    <definedName name="_511__FDSAUDITLINK__" hidden="1">{"fdsup://IBCentral/FAT Viewer?action=UPDATE&amp;creator=factset&amp;DOC_NAME=fat:reuters_qtrly_source_window.fat&amp;display_string=Audit&amp;DYN_ARGS=TRUE&amp;VAR:ID1=527343&amp;VAR:RCODE=SCSI&amp;VAR:SDATE=20010699&amp;VAR:FREQ=Quarterly&amp;VAR:RELITEM=RP&amp;VAR:CURRENCY=&amp;VAR:CURRSOURCE=EXSH","ARE&amp;VAR:NATFREQ=QUARTERLY&amp;VAR:RFIELD=FINALIZED&amp;VAR:DB_TYPE=&amp;VAR:UNITS=M&amp;window=popup&amp;width=450&amp;height=300&amp;START_MAXIMIZED=FALSE"}</definedName>
    <definedName name="_512__FDSAUDITLINK__" hidden="1">{"fdsup://IBCentral/FAT Viewer?action=UPDATE&amp;creator=factset&amp;DOC_NAME=fat:reuters_qtrly_source_window.fat&amp;display_string=Audit&amp;DYN_ARGS=TRUE&amp;VAR:ID1=527343&amp;VAR:RCODE=SCSI&amp;VAR:SDATE=20010399&amp;VAR:FREQ=Quarterly&amp;VAR:RELITEM=RP&amp;VAR:CURRENCY=&amp;VAR:CURRSOURCE=EXSH","ARE&amp;VAR:NATFREQ=QUARTERLY&amp;VAR:RFIELD=FINALIZED&amp;VAR:DB_TYPE=&amp;VAR:UNITS=M&amp;window=popup&amp;width=450&amp;height=300&amp;START_MAXIMIZED=FALSE"}</definedName>
    <definedName name="_513__FDSAUDITLINK__" hidden="1">{"fdsup://IBCentral/FAT Viewer?action=UPDATE&amp;creator=factset&amp;DOC_NAME=fat:reuters_qtrly_source_window.fat&amp;display_string=Audit&amp;DYN_ARGS=TRUE&amp;VAR:ID1=527343&amp;VAR:RCODE=SCSI&amp;VAR:SDATE=20001299&amp;VAR:FREQ=Quarterly&amp;VAR:RELITEM=RP&amp;VAR:CURRENCY=&amp;VAR:CURRSOURCE=EXSH","ARE&amp;VAR:NATFREQ=QUARTERLY&amp;VAR:RFIELD=FINALIZED&amp;VAR:DB_TYPE=&amp;VAR:UNITS=M&amp;window=popup&amp;width=450&amp;height=300&amp;START_MAXIMIZED=FALSE"}</definedName>
    <definedName name="_514__FDSAUDITLINK__" hidden="1">{"fdsup://IBCentral/FAT Viewer?action=UPDATE&amp;creator=factset&amp;DOC_NAME=fat:reuters_qtrly_source_window.fat&amp;display_string=Audit&amp;DYN_ARGS=TRUE&amp;VAR:ID1=527343&amp;VAR:RCODE=SCSI&amp;VAR:SDATE=20000999&amp;VAR:FREQ=Quarterly&amp;VAR:RELITEM=RP&amp;VAR:CURRENCY=&amp;VAR:CURRSOURCE=EXSH","ARE&amp;VAR:NATFREQ=QUARTERLY&amp;VAR:RFIELD=FINALIZED&amp;VAR:DB_TYPE=&amp;VAR:UNITS=M&amp;window=popup&amp;width=450&amp;height=300&amp;START_MAXIMIZED=FALSE"}</definedName>
    <definedName name="_515__FDSAUDITLINK__" hidden="1">{"fdsup://IBCentral/FAT Viewer?action=UPDATE&amp;creator=factset&amp;DOC_NAME=fat:reuters_qtrly_source_window.fat&amp;display_string=Audit&amp;DYN_ARGS=TRUE&amp;VAR:ID1=527343&amp;VAR:RCODE=SCSI&amp;VAR:SDATE=20000699&amp;VAR:FREQ=Quarterly&amp;VAR:RELITEM=RP&amp;VAR:CURRENCY=&amp;VAR:CURRSOURCE=EXSH","ARE&amp;VAR:NATFREQ=QUARTERLY&amp;VAR:RFIELD=FINALIZED&amp;VAR:DB_TYPE=&amp;VAR:UNITS=M&amp;window=popup&amp;width=450&amp;height=300&amp;START_MAXIMIZED=FALSE"}</definedName>
    <definedName name="_516__FDSAUDITLINK__" hidden="1">{"fdsup://IBCentral/FAT Viewer?action=UPDATE&amp;creator=factset&amp;DOC_NAME=fat:reuters_qtrly_source_window.fat&amp;display_string=Audit&amp;DYN_ARGS=TRUE&amp;VAR:ID1=527343&amp;VAR:RCODE=SCSI&amp;VAR:SDATE=20000399&amp;VAR:FREQ=Quarterly&amp;VAR:RELITEM=RP&amp;VAR:CURRENCY=&amp;VAR:CURRSOURCE=EXSH","ARE&amp;VAR:NATFREQ=QUARTERLY&amp;VAR:RFIELD=FINALIZED&amp;VAR:DB_TYPE=&amp;VAR:UNITS=M&amp;window=popup&amp;width=450&amp;height=300&amp;START_MAXIMIZED=FALSE"}</definedName>
    <definedName name="_517__FDSAUDITLINK__" hidden="1">{"fdsup://IBCentral/FAT Viewer?action=UPDATE&amp;creator=factset&amp;DOC_NAME=fat:reuters_qtrly_source_window.fat&amp;display_string=Audit&amp;DYN_ARGS=TRUE&amp;VAR:ID1=527343&amp;VAR:RCODE=LMIN&amp;VAR:SDATE=20100999&amp;VAR:FREQ=Quarterly&amp;VAR:RELITEM=RP&amp;VAR:CURRENCY=&amp;VAR:CURRSOURCE=EXSH","ARE&amp;VAR:NATFREQ=QUARTERLY&amp;VAR:RFIELD=FINALIZED&amp;VAR:DB_TYPE=&amp;VAR:UNITS=M&amp;window=popup&amp;width=450&amp;height=300&amp;START_MAXIMIZED=FALSE"}</definedName>
    <definedName name="_518__FDSAUDITLINK__" hidden="1">{"fdsup://IBCentral/FAT Viewer?action=UPDATE&amp;creator=factset&amp;DOC_NAME=fat:reuters_qtrly_source_window.fat&amp;display_string=Audit&amp;DYN_ARGS=TRUE&amp;VAR:ID1=527343&amp;VAR:RCODE=LMIN&amp;VAR:SDATE=20100699&amp;VAR:FREQ=Quarterly&amp;VAR:RELITEM=RP&amp;VAR:CURRENCY=&amp;VAR:CURRSOURCE=EXSH","ARE&amp;VAR:NATFREQ=QUARTERLY&amp;VAR:RFIELD=FINALIZED&amp;VAR:DB_TYPE=&amp;VAR:UNITS=M&amp;window=popup&amp;width=450&amp;height=300&amp;START_MAXIMIZED=FALSE"}</definedName>
    <definedName name="_519__FDSAUDITLINK__" hidden="1">{"fdsup://IBCentral/FAT Viewer?action=UPDATE&amp;creator=factset&amp;DOC_NAME=fat:reuters_qtrly_source_window.fat&amp;display_string=Audit&amp;DYN_ARGS=TRUE&amp;VAR:ID1=527343&amp;VAR:RCODE=LMIN&amp;VAR:SDATE=20100399&amp;VAR:FREQ=Quarterly&amp;VAR:RELITEM=RP&amp;VAR:CURRENCY=&amp;VAR:CURRSOURCE=EXSH","ARE&amp;VAR:NATFREQ=QUARTERLY&amp;VAR:RFIELD=FINALIZED&amp;VAR:DB_TYPE=&amp;VAR:UNITS=M&amp;window=popup&amp;width=450&amp;height=300&amp;START_MAXIMIZED=FALSE"}</definedName>
    <definedName name="_52__FDSAUDITLINK__" hidden="1">{"fdsup://IBCentral/FAT Viewer?action=UPDATE&amp;creator=factset&amp;DOC_NAME=fat:reuters_qtrly_source_window.fat&amp;display_string=Audit&amp;DYN_ARGS=TRUE&amp;VAR:ID1=527343&amp;VAR:RCODE=LTTD&amp;VAR:SDATE=20080999&amp;VAR:FREQ=Quarterly&amp;VAR:RELITEM=RP&amp;VAR:CURRENCY=&amp;VAR:CURRSOURCE=EXSH","ARE&amp;VAR:NATFREQ=QUARTERLY&amp;VAR:RFIELD=FINALIZED&amp;VAR:DB_TYPE=&amp;VAR:UNITS=M&amp;window=popup&amp;width=450&amp;height=300&amp;START_MAXIMIZED=FALSE"}</definedName>
    <definedName name="_520__FDSAUDITLINK__" hidden="1">{"fdsup://IBCentral/FAT Viewer?action=UPDATE&amp;creator=factset&amp;DOC_NAME=fat:reuters_qtrly_source_window.fat&amp;display_string=Audit&amp;DYN_ARGS=TRUE&amp;VAR:ID1=527343&amp;VAR:RCODE=LMIN&amp;VAR:SDATE=20091299&amp;VAR:FREQ=Quarterly&amp;VAR:RELITEM=RP&amp;VAR:CURRENCY=&amp;VAR:CURRSOURCE=EXSH","ARE&amp;VAR:NATFREQ=QUARTERLY&amp;VAR:RFIELD=FINALIZED&amp;VAR:DB_TYPE=&amp;VAR:UNITS=M&amp;window=popup&amp;width=450&amp;height=300&amp;START_MAXIMIZED=FALSE"}</definedName>
    <definedName name="_521__FDSAUDITLINK__" hidden="1">{"fdsup://IBCentral/FAT Viewer?action=UPDATE&amp;creator=factset&amp;DOC_NAME=fat:reuters_qtrly_source_window.fat&amp;display_string=Audit&amp;DYN_ARGS=TRUE&amp;VAR:ID1=527343&amp;VAR:RCODE=LMIN&amp;VAR:SDATE=20090999&amp;VAR:FREQ=Quarterly&amp;VAR:RELITEM=RP&amp;VAR:CURRENCY=&amp;VAR:CURRSOURCE=EXSH","ARE&amp;VAR:NATFREQ=QUARTERLY&amp;VAR:RFIELD=FINALIZED&amp;VAR:DB_TYPE=&amp;VAR:UNITS=M&amp;window=popup&amp;width=450&amp;height=300&amp;START_MAXIMIZED=FALSE"}</definedName>
    <definedName name="_522__FDSAUDITLINK__" hidden="1">{"fdsup://IBCentral/FAT Viewer?action=UPDATE&amp;creator=factset&amp;DOC_NAME=fat:reuters_qtrly_source_window.fat&amp;display_string=Audit&amp;DYN_ARGS=TRUE&amp;VAR:ID1=527343&amp;VAR:RCODE=LMIN&amp;VAR:SDATE=20090699&amp;VAR:FREQ=Quarterly&amp;VAR:RELITEM=RP&amp;VAR:CURRENCY=&amp;VAR:CURRSOURCE=EXSH","ARE&amp;VAR:NATFREQ=QUARTERLY&amp;VAR:RFIELD=FINALIZED&amp;VAR:DB_TYPE=&amp;VAR:UNITS=M&amp;window=popup&amp;width=450&amp;height=300&amp;START_MAXIMIZED=FALSE"}</definedName>
    <definedName name="_523__FDSAUDITLINK__" hidden="1">{"fdsup://IBCentral/FAT Viewer?action=UPDATE&amp;creator=factset&amp;DOC_NAME=fat:reuters_qtrly_source_window.fat&amp;display_string=Audit&amp;DYN_ARGS=TRUE&amp;VAR:ID1=527343&amp;VAR:RCODE=LMIN&amp;VAR:SDATE=20090399&amp;VAR:FREQ=Quarterly&amp;VAR:RELITEM=RP&amp;VAR:CURRENCY=&amp;VAR:CURRSOURCE=EXSH","ARE&amp;VAR:NATFREQ=QUARTERLY&amp;VAR:RFIELD=FINALIZED&amp;VAR:DB_TYPE=&amp;VAR:UNITS=M&amp;window=popup&amp;width=450&amp;height=300&amp;START_MAXIMIZED=FALSE"}</definedName>
    <definedName name="_524__FDSAUDITLINK__" hidden="1">{"fdsup://IBCentral/FAT Viewer?action=UPDATE&amp;creator=factset&amp;DOC_NAME=fat:reuters_qtrly_source_window.fat&amp;display_string=Audit&amp;DYN_ARGS=TRUE&amp;VAR:ID1=527343&amp;VAR:RCODE=LMIN&amp;VAR:SDATE=20081299&amp;VAR:FREQ=Quarterly&amp;VAR:RELITEM=RP&amp;VAR:CURRENCY=&amp;VAR:CURRSOURCE=EXSH","ARE&amp;VAR:NATFREQ=QUARTERLY&amp;VAR:RFIELD=FINALIZED&amp;VAR:DB_TYPE=&amp;VAR:UNITS=M&amp;window=popup&amp;width=450&amp;height=300&amp;START_MAXIMIZED=FALSE"}</definedName>
    <definedName name="_525__FDSAUDITLINK__" hidden="1">{"fdsup://IBCentral/FAT Viewer?action=UPDATE&amp;creator=factset&amp;DOC_NAME=fat:reuters_qtrly_source_window.fat&amp;display_string=Audit&amp;DYN_ARGS=TRUE&amp;VAR:ID1=527343&amp;VAR:RCODE=LMIN&amp;VAR:SDATE=20080999&amp;VAR:FREQ=Quarterly&amp;VAR:RELITEM=RP&amp;VAR:CURRENCY=&amp;VAR:CURRSOURCE=EXSH","ARE&amp;VAR:NATFREQ=QUARTERLY&amp;VAR:RFIELD=FINALIZED&amp;VAR:DB_TYPE=&amp;VAR:UNITS=M&amp;window=popup&amp;width=450&amp;height=300&amp;START_MAXIMIZED=FALSE"}</definedName>
    <definedName name="_526__FDSAUDITLINK__" hidden="1">{"fdsup://IBCentral/FAT Viewer?action=UPDATE&amp;creator=factset&amp;DOC_NAME=fat:reuters_qtrly_source_window.fat&amp;display_string=Audit&amp;DYN_ARGS=TRUE&amp;VAR:ID1=527343&amp;VAR:RCODE=LMIN&amp;VAR:SDATE=20080699&amp;VAR:FREQ=Quarterly&amp;VAR:RELITEM=RP&amp;VAR:CURRENCY=&amp;VAR:CURRSOURCE=EXSH","ARE&amp;VAR:NATFREQ=QUARTERLY&amp;VAR:RFIELD=FINALIZED&amp;VAR:DB_TYPE=&amp;VAR:UNITS=M&amp;window=popup&amp;width=450&amp;height=300&amp;START_MAXIMIZED=FALSE"}</definedName>
    <definedName name="_527__FDSAUDITLINK__" hidden="1">{"fdsup://IBCentral/FAT Viewer?action=UPDATE&amp;creator=factset&amp;DOC_NAME=fat:reuters_qtrly_source_window.fat&amp;display_string=Audit&amp;DYN_ARGS=TRUE&amp;VAR:ID1=527343&amp;VAR:RCODE=LMIN&amp;VAR:SDATE=20080399&amp;VAR:FREQ=Quarterly&amp;VAR:RELITEM=RP&amp;VAR:CURRENCY=&amp;VAR:CURRSOURCE=EXSH","ARE&amp;VAR:NATFREQ=QUARTERLY&amp;VAR:RFIELD=FINALIZED&amp;VAR:DB_TYPE=&amp;VAR:UNITS=M&amp;window=popup&amp;width=450&amp;height=300&amp;START_MAXIMIZED=FALSE"}</definedName>
    <definedName name="_528__FDSAUDITLINK__" hidden="1">{"fdsup://IBCentral/FAT Viewer?action=UPDATE&amp;creator=factset&amp;DOC_NAME=fat:reuters_qtrly_source_window.fat&amp;display_string=Audit&amp;DYN_ARGS=TRUE&amp;VAR:ID1=527343&amp;VAR:RCODE=LMIN&amp;VAR:SDATE=20071299&amp;VAR:FREQ=Quarterly&amp;VAR:RELITEM=RP&amp;VAR:CURRENCY=&amp;VAR:CURRSOURCE=EXSH","ARE&amp;VAR:NATFREQ=QUARTERLY&amp;VAR:RFIELD=FINALIZED&amp;VAR:DB_TYPE=&amp;VAR:UNITS=M&amp;window=popup&amp;width=450&amp;height=300&amp;START_MAXIMIZED=FALSE"}</definedName>
    <definedName name="_529__FDSAUDITLINK__" hidden="1">{"fdsup://IBCentral/FAT Viewer?action=UPDATE&amp;creator=factset&amp;DOC_NAME=fat:reuters_qtrly_source_window.fat&amp;display_string=Audit&amp;DYN_ARGS=TRUE&amp;VAR:ID1=527343&amp;VAR:RCODE=LMIN&amp;VAR:SDATE=20070999&amp;VAR:FREQ=Quarterly&amp;VAR:RELITEM=RP&amp;VAR:CURRENCY=&amp;VAR:CURRSOURCE=EXSH","ARE&amp;VAR:NATFREQ=QUARTERLY&amp;VAR:RFIELD=FINALIZED&amp;VAR:DB_TYPE=&amp;VAR:UNITS=M&amp;window=popup&amp;width=450&amp;height=300&amp;START_MAXIMIZED=FALSE"}</definedName>
    <definedName name="_53__FDSAUDITLINK__" hidden="1">{"fdsup://IBCentral/FAT Viewer?action=UPDATE&amp;creator=factset&amp;DOC_NAME=fat:reuters_qtrly_source_window.fat&amp;display_string=Audit&amp;DYN_ARGS=TRUE&amp;VAR:ID1=527343&amp;VAR:RCODE=LTTD&amp;VAR:SDATE=20080699&amp;VAR:FREQ=Quarterly&amp;VAR:RELITEM=RP&amp;VAR:CURRENCY=&amp;VAR:CURRSOURCE=EXSH","ARE&amp;VAR:NATFREQ=QUARTERLY&amp;VAR:RFIELD=FINALIZED&amp;VAR:DB_TYPE=&amp;VAR:UNITS=M&amp;window=popup&amp;width=450&amp;height=300&amp;START_MAXIMIZED=FALSE"}</definedName>
    <definedName name="_530__FDSAUDITLINK__" hidden="1">{"fdsup://IBCentral/FAT Viewer?action=UPDATE&amp;creator=factset&amp;DOC_NAME=fat:reuters_qtrly_source_window.fat&amp;display_string=Audit&amp;DYN_ARGS=TRUE&amp;VAR:ID1=527343&amp;VAR:RCODE=LMIN&amp;VAR:SDATE=20070699&amp;VAR:FREQ=Quarterly&amp;VAR:RELITEM=RP&amp;VAR:CURRENCY=&amp;VAR:CURRSOURCE=EXSH","ARE&amp;VAR:NATFREQ=QUARTERLY&amp;VAR:RFIELD=FINALIZED&amp;VAR:DB_TYPE=&amp;VAR:UNITS=M&amp;window=popup&amp;width=450&amp;height=300&amp;START_MAXIMIZED=FALSE"}</definedName>
    <definedName name="_531__FDSAUDITLINK__" hidden="1">{"fdsup://IBCentral/FAT Viewer?action=UPDATE&amp;creator=factset&amp;DOC_NAME=fat:reuters_qtrly_source_window.fat&amp;display_string=Audit&amp;DYN_ARGS=TRUE&amp;VAR:ID1=527343&amp;VAR:RCODE=LMIN&amp;VAR:SDATE=20070399&amp;VAR:FREQ=Quarterly&amp;VAR:RELITEM=RP&amp;VAR:CURRENCY=&amp;VAR:CURRSOURCE=EXSH","ARE&amp;VAR:NATFREQ=QUARTERLY&amp;VAR:RFIELD=FINALIZED&amp;VAR:DB_TYPE=&amp;VAR:UNITS=M&amp;window=popup&amp;width=450&amp;height=300&amp;START_MAXIMIZED=FALSE"}</definedName>
    <definedName name="_532__FDSAUDITLINK__" hidden="1">{"fdsup://IBCentral/FAT Viewer?action=UPDATE&amp;creator=factset&amp;DOC_NAME=fat:reuters_qtrly_source_window.fat&amp;display_string=Audit&amp;DYN_ARGS=TRUE&amp;VAR:ID1=527343&amp;VAR:RCODE=LMIN&amp;VAR:SDATE=20061299&amp;VAR:FREQ=Quarterly&amp;VAR:RELITEM=RP&amp;VAR:CURRENCY=&amp;VAR:CURRSOURCE=EXSH","ARE&amp;VAR:NATFREQ=QUARTERLY&amp;VAR:RFIELD=FINALIZED&amp;VAR:DB_TYPE=&amp;VAR:UNITS=M&amp;window=popup&amp;width=450&amp;height=300&amp;START_MAXIMIZED=FALSE"}</definedName>
    <definedName name="_533__FDSAUDITLINK__" hidden="1">{"fdsup://IBCentral/FAT Viewer?action=UPDATE&amp;creator=factset&amp;DOC_NAME=fat:reuters_qtrly_source_window.fat&amp;display_string=Audit&amp;DYN_ARGS=TRUE&amp;VAR:ID1=527343&amp;VAR:RCODE=LMIN&amp;VAR:SDATE=20060999&amp;VAR:FREQ=Quarterly&amp;VAR:RELITEM=RP&amp;VAR:CURRENCY=&amp;VAR:CURRSOURCE=EXSH","ARE&amp;VAR:NATFREQ=QUARTERLY&amp;VAR:RFIELD=FINALIZED&amp;VAR:DB_TYPE=&amp;VAR:UNITS=M&amp;window=popup&amp;width=450&amp;height=300&amp;START_MAXIMIZED=FALSE"}</definedName>
    <definedName name="_534__FDSAUDITLINK__" hidden="1">{"fdsup://IBCentral/FAT Viewer?action=UPDATE&amp;creator=factset&amp;DOC_NAME=fat:reuters_qtrly_source_window.fat&amp;display_string=Audit&amp;DYN_ARGS=TRUE&amp;VAR:ID1=527343&amp;VAR:RCODE=LMIN&amp;VAR:SDATE=20060699&amp;VAR:FREQ=Quarterly&amp;VAR:RELITEM=RP&amp;VAR:CURRENCY=&amp;VAR:CURRSOURCE=EXSH","ARE&amp;VAR:NATFREQ=QUARTERLY&amp;VAR:RFIELD=FINALIZED&amp;VAR:DB_TYPE=&amp;VAR:UNITS=M&amp;window=popup&amp;width=450&amp;height=300&amp;START_MAXIMIZED=FALSE"}</definedName>
    <definedName name="_535__FDSAUDITLINK__" hidden="1">{"fdsup://IBCentral/FAT Viewer?action=UPDATE&amp;creator=factset&amp;DOC_NAME=fat:reuters_qtrly_source_window.fat&amp;display_string=Audit&amp;DYN_ARGS=TRUE&amp;VAR:ID1=527343&amp;VAR:RCODE=LMIN&amp;VAR:SDATE=20060399&amp;VAR:FREQ=Quarterly&amp;VAR:RELITEM=RP&amp;VAR:CURRENCY=&amp;VAR:CURRSOURCE=EXSH","ARE&amp;VAR:NATFREQ=QUARTERLY&amp;VAR:RFIELD=FINALIZED&amp;VAR:DB_TYPE=&amp;VAR:UNITS=M&amp;window=popup&amp;width=450&amp;height=300&amp;START_MAXIMIZED=FALSE"}</definedName>
    <definedName name="_536__FDSAUDITLINK__" hidden="1">{"fdsup://IBCentral/FAT Viewer?action=UPDATE&amp;creator=factset&amp;DOC_NAME=fat:reuters_qtrly_source_window.fat&amp;display_string=Audit&amp;DYN_ARGS=TRUE&amp;VAR:ID1=527343&amp;VAR:RCODE=LMIN&amp;VAR:SDATE=20051299&amp;VAR:FREQ=Quarterly&amp;VAR:RELITEM=RP&amp;VAR:CURRENCY=&amp;VAR:CURRSOURCE=EXSH","ARE&amp;VAR:NATFREQ=QUARTERLY&amp;VAR:RFIELD=FINALIZED&amp;VAR:DB_TYPE=&amp;VAR:UNITS=M&amp;window=popup&amp;width=450&amp;height=300&amp;START_MAXIMIZED=FALSE"}</definedName>
    <definedName name="_537__FDSAUDITLINK__" hidden="1">{"fdsup://IBCentral/FAT Viewer?action=UPDATE&amp;creator=factset&amp;DOC_NAME=fat:reuters_qtrly_source_window.fat&amp;display_string=Audit&amp;DYN_ARGS=TRUE&amp;VAR:ID1=527343&amp;VAR:RCODE=LMIN&amp;VAR:SDATE=20050999&amp;VAR:FREQ=Quarterly&amp;VAR:RELITEM=RP&amp;VAR:CURRENCY=&amp;VAR:CURRSOURCE=EXSH","ARE&amp;VAR:NATFREQ=QUARTERLY&amp;VAR:RFIELD=FINALIZED&amp;VAR:DB_TYPE=&amp;VAR:UNITS=M&amp;window=popup&amp;width=450&amp;height=300&amp;START_MAXIMIZED=FALSE"}</definedName>
    <definedName name="_538__FDSAUDITLINK__" hidden="1">{"fdsup://IBCentral/FAT Viewer?action=UPDATE&amp;creator=factset&amp;DOC_NAME=fat:reuters_qtrly_source_window.fat&amp;display_string=Audit&amp;DYN_ARGS=TRUE&amp;VAR:ID1=527343&amp;VAR:RCODE=LMIN&amp;VAR:SDATE=20050699&amp;VAR:FREQ=Quarterly&amp;VAR:RELITEM=RP&amp;VAR:CURRENCY=&amp;VAR:CURRSOURCE=EXSH","ARE&amp;VAR:NATFREQ=QUARTERLY&amp;VAR:RFIELD=FINALIZED&amp;VAR:DB_TYPE=&amp;VAR:UNITS=M&amp;window=popup&amp;width=450&amp;height=300&amp;START_MAXIMIZED=FALSE"}</definedName>
    <definedName name="_539__FDSAUDITLINK__" hidden="1">{"fdsup://IBCentral/FAT Viewer?action=UPDATE&amp;creator=factset&amp;DOC_NAME=fat:reuters_qtrly_source_window.fat&amp;display_string=Audit&amp;DYN_ARGS=TRUE&amp;VAR:ID1=527343&amp;VAR:RCODE=LMIN&amp;VAR:SDATE=20050399&amp;VAR:FREQ=Quarterly&amp;VAR:RELITEM=RP&amp;VAR:CURRENCY=&amp;VAR:CURRSOURCE=EXSH","ARE&amp;VAR:NATFREQ=QUARTERLY&amp;VAR:RFIELD=FINALIZED&amp;VAR:DB_TYPE=&amp;VAR:UNITS=M&amp;window=popup&amp;width=450&amp;height=300&amp;START_MAXIMIZED=FALSE"}</definedName>
    <definedName name="_54__FDSAUDITLINK__" hidden="1">{"fdsup://IBCentral/FAT Viewer?action=UPDATE&amp;creator=factset&amp;DOC_NAME=fat:reuters_qtrly_source_window.fat&amp;display_string=Audit&amp;DYN_ARGS=TRUE&amp;VAR:ID1=527343&amp;VAR:RCODE=LTTD&amp;VAR:SDATE=20080399&amp;VAR:FREQ=Quarterly&amp;VAR:RELITEM=RP&amp;VAR:CURRENCY=&amp;VAR:CURRSOURCE=EXSH","ARE&amp;VAR:NATFREQ=QUARTERLY&amp;VAR:RFIELD=FINALIZED&amp;VAR:DB_TYPE=&amp;VAR:UNITS=M&amp;window=popup&amp;width=450&amp;height=300&amp;START_MAXIMIZED=FALSE"}</definedName>
    <definedName name="_540__FDSAUDITLINK__" hidden="1">{"fdsup://IBCentral/FAT Viewer?action=UPDATE&amp;creator=factset&amp;DOC_NAME=fat:reuters_qtrly_source_window.fat&amp;display_string=Audit&amp;DYN_ARGS=TRUE&amp;VAR:ID1=527343&amp;VAR:RCODE=LMIN&amp;VAR:SDATE=20041299&amp;VAR:FREQ=Quarterly&amp;VAR:RELITEM=RP&amp;VAR:CURRENCY=&amp;VAR:CURRSOURCE=EXSH","ARE&amp;VAR:NATFREQ=QUARTERLY&amp;VAR:RFIELD=FINALIZED&amp;VAR:DB_TYPE=&amp;VAR:UNITS=M&amp;window=popup&amp;width=450&amp;height=300&amp;START_MAXIMIZED=FALSE"}</definedName>
    <definedName name="_541__FDSAUDITLINK__" hidden="1">{"fdsup://IBCentral/FAT Viewer?action=UPDATE&amp;creator=factset&amp;DOC_NAME=fat:reuters_qtrly_source_window.fat&amp;display_string=Audit&amp;DYN_ARGS=TRUE&amp;VAR:ID1=527343&amp;VAR:RCODE=LMIN&amp;VAR:SDATE=20040999&amp;VAR:FREQ=Quarterly&amp;VAR:RELITEM=RP&amp;VAR:CURRENCY=&amp;VAR:CURRSOURCE=EXSH","ARE&amp;VAR:NATFREQ=QUARTERLY&amp;VAR:RFIELD=FINALIZED&amp;VAR:DB_TYPE=&amp;VAR:UNITS=M&amp;window=popup&amp;width=450&amp;height=300&amp;START_MAXIMIZED=FALSE"}</definedName>
    <definedName name="_542__FDSAUDITLINK__" hidden="1">{"fdsup://IBCentral/FAT Viewer?action=UPDATE&amp;creator=factset&amp;DOC_NAME=fat:reuters_qtrly_source_window.fat&amp;display_string=Audit&amp;DYN_ARGS=TRUE&amp;VAR:ID1=527343&amp;VAR:RCODE=LMIN&amp;VAR:SDATE=20040699&amp;VAR:FREQ=Quarterly&amp;VAR:RELITEM=RP&amp;VAR:CURRENCY=&amp;VAR:CURRSOURCE=EXSH","ARE&amp;VAR:NATFREQ=QUARTERLY&amp;VAR:RFIELD=FINALIZED&amp;VAR:DB_TYPE=&amp;VAR:UNITS=M&amp;window=popup&amp;width=450&amp;height=300&amp;START_MAXIMIZED=FALSE"}</definedName>
    <definedName name="_543__FDSAUDITLINK__" hidden="1">{"fdsup://IBCentral/FAT Viewer?action=UPDATE&amp;creator=factset&amp;DOC_NAME=fat:reuters_qtrly_source_window.fat&amp;display_string=Audit&amp;DYN_ARGS=TRUE&amp;VAR:ID1=527343&amp;VAR:RCODE=LMIN&amp;VAR:SDATE=20040399&amp;VAR:FREQ=Quarterly&amp;VAR:RELITEM=RP&amp;VAR:CURRENCY=&amp;VAR:CURRSOURCE=EXSH","ARE&amp;VAR:NATFREQ=QUARTERLY&amp;VAR:RFIELD=FINALIZED&amp;VAR:DB_TYPE=&amp;VAR:UNITS=M&amp;window=popup&amp;width=450&amp;height=300&amp;START_MAXIMIZED=FALSE"}</definedName>
    <definedName name="_544__FDSAUDITLINK__" hidden="1">{"fdsup://IBCentral/FAT Viewer?action=UPDATE&amp;creator=factset&amp;DOC_NAME=fat:reuters_qtrly_source_window.fat&amp;display_string=Audit&amp;DYN_ARGS=TRUE&amp;VAR:ID1=527343&amp;VAR:RCODE=LMIN&amp;VAR:SDATE=20031299&amp;VAR:FREQ=Quarterly&amp;VAR:RELITEM=RP&amp;VAR:CURRENCY=&amp;VAR:CURRSOURCE=EXSH","ARE&amp;VAR:NATFREQ=QUARTERLY&amp;VAR:RFIELD=FINALIZED&amp;VAR:DB_TYPE=&amp;VAR:UNITS=M&amp;window=popup&amp;width=450&amp;height=300&amp;START_MAXIMIZED=FALSE"}</definedName>
    <definedName name="_545__FDSAUDITLINK__" hidden="1">{"fdsup://IBCentral/FAT Viewer?action=UPDATE&amp;creator=factset&amp;DOC_NAME=fat:reuters_qtrly_source_window.fat&amp;display_string=Audit&amp;DYN_ARGS=TRUE&amp;VAR:ID1=527343&amp;VAR:RCODE=LMIN&amp;VAR:SDATE=20030999&amp;VAR:FREQ=Quarterly&amp;VAR:RELITEM=RP&amp;VAR:CURRENCY=&amp;VAR:CURRSOURCE=EXSH","ARE&amp;VAR:NATFREQ=QUARTERLY&amp;VAR:RFIELD=FINALIZED&amp;VAR:DB_TYPE=&amp;VAR:UNITS=M&amp;window=popup&amp;width=450&amp;height=300&amp;START_MAXIMIZED=FALSE"}</definedName>
    <definedName name="_546__FDSAUDITLINK__" hidden="1">{"fdsup://IBCentral/FAT Viewer?action=UPDATE&amp;creator=factset&amp;DOC_NAME=fat:reuters_qtrly_source_window.fat&amp;display_string=Audit&amp;DYN_ARGS=TRUE&amp;VAR:ID1=527343&amp;VAR:RCODE=LMIN&amp;VAR:SDATE=20030699&amp;VAR:FREQ=Quarterly&amp;VAR:RELITEM=RP&amp;VAR:CURRENCY=&amp;VAR:CURRSOURCE=EXSH","ARE&amp;VAR:NATFREQ=QUARTERLY&amp;VAR:RFIELD=FINALIZED&amp;VAR:DB_TYPE=&amp;VAR:UNITS=M&amp;window=popup&amp;width=450&amp;height=300&amp;START_MAXIMIZED=FALSE"}</definedName>
    <definedName name="_547__FDSAUDITLINK__" hidden="1">{"fdsup://IBCentral/FAT Viewer?action=UPDATE&amp;creator=factset&amp;DOC_NAME=fat:reuters_qtrly_source_window.fat&amp;display_string=Audit&amp;DYN_ARGS=TRUE&amp;VAR:ID1=527343&amp;VAR:RCODE=LMIN&amp;VAR:SDATE=20030399&amp;VAR:FREQ=Quarterly&amp;VAR:RELITEM=RP&amp;VAR:CURRENCY=&amp;VAR:CURRSOURCE=EXSH","ARE&amp;VAR:NATFREQ=QUARTERLY&amp;VAR:RFIELD=FINALIZED&amp;VAR:DB_TYPE=&amp;VAR:UNITS=M&amp;window=popup&amp;width=450&amp;height=300&amp;START_MAXIMIZED=FALSE"}</definedName>
    <definedName name="_548__FDSAUDITLINK__" hidden="1">{"fdsup://IBCentral/FAT Viewer?action=UPDATE&amp;creator=factset&amp;DOC_NAME=fat:reuters_qtrly_source_window.fat&amp;display_string=Audit&amp;DYN_ARGS=TRUE&amp;VAR:ID1=527343&amp;VAR:RCODE=LMIN&amp;VAR:SDATE=20021299&amp;VAR:FREQ=Quarterly&amp;VAR:RELITEM=RP&amp;VAR:CURRENCY=&amp;VAR:CURRSOURCE=EXSH","ARE&amp;VAR:NATFREQ=QUARTERLY&amp;VAR:RFIELD=FINALIZED&amp;VAR:DB_TYPE=&amp;VAR:UNITS=M&amp;window=popup&amp;width=450&amp;height=300&amp;START_MAXIMIZED=FALSE"}</definedName>
    <definedName name="_549__FDSAUDITLINK__" hidden="1">{"fdsup://IBCentral/FAT Viewer?action=UPDATE&amp;creator=factset&amp;DOC_NAME=fat:reuters_qtrly_source_window.fat&amp;display_string=Audit&amp;DYN_ARGS=TRUE&amp;VAR:ID1=527343&amp;VAR:RCODE=LMIN&amp;VAR:SDATE=20020999&amp;VAR:FREQ=Quarterly&amp;VAR:RELITEM=RP&amp;VAR:CURRENCY=&amp;VAR:CURRSOURCE=EXSH","ARE&amp;VAR:NATFREQ=QUARTERLY&amp;VAR:RFIELD=FINALIZED&amp;VAR:DB_TYPE=&amp;VAR:UNITS=M&amp;window=popup&amp;width=450&amp;height=300&amp;START_MAXIMIZED=FALSE"}</definedName>
    <definedName name="_55__FDSAUDITLINK__" hidden="1">{"fdsup://IBCentral/FAT Viewer?action=UPDATE&amp;creator=factset&amp;DOC_NAME=fat:reuters_qtrly_source_window.fat&amp;display_string=Audit&amp;DYN_ARGS=TRUE&amp;VAR:ID1=527343&amp;VAR:RCODE=LTTD&amp;VAR:SDATE=20071299&amp;VAR:FREQ=Quarterly&amp;VAR:RELITEM=RP&amp;VAR:CURRENCY=&amp;VAR:CURRSOURCE=EXSH","ARE&amp;VAR:NATFREQ=QUARTERLY&amp;VAR:RFIELD=FINALIZED&amp;VAR:DB_TYPE=&amp;VAR:UNITS=M&amp;window=popup&amp;width=450&amp;height=300&amp;START_MAXIMIZED=FALSE"}</definedName>
    <definedName name="_55_0_Table2_" hidden="1">#REF!</definedName>
    <definedName name="_550__FDSAUDITLINK__" hidden="1">{"fdsup://IBCentral/FAT Viewer?action=UPDATE&amp;creator=factset&amp;DOC_NAME=fat:reuters_qtrly_source_window.fat&amp;display_string=Audit&amp;DYN_ARGS=TRUE&amp;VAR:ID1=527343&amp;VAR:RCODE=LMIN&amp;VAR:SDATE=20020699&amp;VAR:FREQ=Quarterly&amp;VAR:RELITEM=RP&amp;VAR:CURRENCY=&amp;VAR:CURRSOURCE=EXSH","ARE&amp;VAR:NATFREQ=QUARTERLY&amp;VAR:RFIELD=FINALIZED&amp;VAR:DB_TYPE=&amp;VAR:UNITS=M&amp;window=popup&amp;width=450&amp;height=300&amp;START_MAXIMIZED=FALSE"}</definedName>
    <definedName name="_551__FDSAUDITLINK__" hidden="1">{"fdsup://IBCentral/FAT Viewer?action=UPDATE&amp;creator=factset&amp;DOC_NAME=fat:reuters_qtrly_source_window.fat&amp;display_string=Audit&amp;DYN_ARGS=TRUE&amp;VAR:ID1=527343&amp;VAR:RCODE=LMIN&amp;VAR:SDATE=20020399&amp;VAR:FREQ=Quarterly&amp;VAR:RELITEM=RP&amp;VAR:CURRENCY=&amp;VAR:CURRSOURCE=EXSH","ARE&amp;VAR:NATFREQ=QUARTERLY&amp;VAR:RFIELD=FINALIZED&amp;VAR:DB_TYPE=&amp;VAR:UNITS=M&amp;window=popup&amp;width=450&amp;height=300&amp;START_MAXIMIZED=FALSE"}</definedName>
    <definedName name="_552__FDSAUDITLINK__" hidden="1">{"fdsup://IBCentral/FAT Viewer?action=UPDATE&amp;creator=factset&amp;DOC_NAME=fat:reuters_qtrly_source_window.fat&amp;display_string=Audit&amp;DYN_ARGS=TRUE&amp;VAR:ID1=527343&amp;VAR:RCODE=LMIN&amp;VAR:SDATE=20011299&amp;VAR:FREQ=Quarterly&amp;VAR:RELITEM=RP&amp;VAR:CURRENCY=&amp;VAR:CURRSOURCE=EXSH","ARE&amp;VAR:NATFREQ=QUARTERLY&amp;VAR:RFIELD=FINALIZED&amp;VAR:DB_TYPE=&amp;VAR:UNITS=M&amp;window=popup&amp;width=450&amp;height=300&amp;START_MAXIMIZED=FALSE"}</definedName>
    <definedName name="_553__FDSAUDITLINK__" hidden="1">{"fdsup://IBCentral/FAT Viewer?action=UPDATE&amp;creator=factset&amp;DOC_NAME=fat:reuters_qtrly_source_window.fat&amp;display_string=Audit&amp;DYN_ARGS=TRUE&amp;VAR:ID1=527343&amp;VAR:RCODE=LMIN&amp;VAR:SDATE=20010999&amp;VAR:FREQ=Quarterly&amp;VAR:RELITEM=RP&amp;VAR:CURRENCY=&amp;VAR:CURRSOURCE=EXSH","ARE&amp;VAR:NATFREQ=QUARTERLY&amp;VAR:RFIELD=FINALIZED&amp;VAR:DB_TYPE=&amp;VAR:UNITS=M&amp;window=popup&amp;width=450&amp;height=300&amp;START_MAXIMIZED=FALSE"}</definedName>
    <definedName name="_554__FDSAUDITLINK__" hidden="1">{"fdsup://IBCentral/FAT Viewer?action=UPDATE&amp;creator=factset&amp;DOC_NAME=fat:reuters_qtrly_source_window.fat&amp;display_string=Audit&amp;DYN_ARGS=TRUE&amp;VAR:ID1=527343&amp;VAR:RCODE=LMIN&amp;VAR:SDATE=20010699&amp;VAR:FREQ=Quarterly&amp;VAR:RELITEM=RP&amp;VAR:CURRENCY=&amp;VAR:CURRSOURCE=EXSH","ARE&amp;VAR:NATFREQ=QUARTERLY&amp;VAR:RFIELD=FINALIZED&amp;VAR:DB_TYPE=&amp;VAR:UNITS=M&amp;window=popup&amp;width=450&amp;height=300&amp;START_MAXIMIZED=FALSE"}</definedName>
    <definedName name="_555__FDSAUDITLINK__" hidden="1">{"fdsup://IBCentral/FAT Viewer?action=UPDATE&amp;creator=factset&amp;DOC_NAME=fat:reuters_qtrly_source_window.fat&amp;display_string=Audit&amp;DYN_ARGS=TRUE&amp;VAR:ID1=527343&amp;VAR:RCODE=LMIN&amp;VAR:SDATE=20010399&amp;VAR:FREQ=Quarterly&amp;VAR:RELITEM=RP&amp;VAR:CURRENCY=&amp;VAR:CURRSOURCE=EXSH","ARE&amp;VAR:NATFREQ=QUARTERLY&amp;VAR:RFIELD=FINALIZED&amp;VAR:DB_TYPE=&amp;VAR:UNITS=M&amp;window=popup&amp;width=450&amp;height=300&amp;START_MAXIMIZED=FALSE"}</definedName>
    <definedName name="_556__FDSAUDITLINK__" hidden="1">{"fdsup://IBCentral/FAT Viewer?action=UPDATE&amp;creator=factset&amp;DOC_NAME=fat:reuters_qtrly_source_window.fat&amp;display_string=Audit&amp;DYN_ARGS=TRUE&amp;VAR:ID1=527343&amp;VAR:RCODE=LMIN&amp;VAR:SDATE=20001299&amp;VAR:FREQ=Quarterly&amp;VAR:RELITEM=RP&amp;VAR:CURRENCY=&amp;VAR:CURRSOURCE=EXSH","ARE&amp;VAR:NATFREQ=QUARTERLY&amp;VAR:RFIELD=FINALIZED&amp;VAR:DB_TYPE=&amp;VAR:UNITS=M&amp;window=popup&amp;width=450&amp;height=300&amp;START_MAXIMIZED=FALSE"}</definedName>
    <definedName name="_557__FDSAUDITLINK__" hidden="1">{"fdsup://IBCentral/FAT Viewer?action=UPDATE&amp;creator=factset&amp;DOC_NAME=fat:reuters_qtrly_source_window.fat&amp;display_string=Audit&amp;DYN_ARGS=TRUE&amp;VAR:ID1=527343&amp;VAR:RCODE=LMIN&amp;VAR:SDATE=20000999&amp;VAR:FREQ=Quarterly&amp;VAR:RELITEM=RP&amp;VAR:CURRENCY=&amp;VAR:CURRSOURCE=EXSH","ARE&amp;VAR:NATFREQ=QUARTERLY&amp;VAR:RFIELD=FINALIZED&amp;VAR:DB_TYPE=&amp;VAR:UNITS=M&amp;window=popup&amp;width=450&amp;height=300&amp;START_MAXIMIZED=FALSE"}</definedName>
    <definedName name="_558__FDSAUDITLINK__" hidden="1">{"fdsup://IBCentral/FAT Viewer?action=UPDATE&amp;creator=factset&amp;DOC_NAME=fat:reuters_qtrly_source_window.fat&amp;display_string=Audit&amp;DYN_ARGS=TRUE&amp;VAR:ID1=527343&amp;VAR:RCODE=LMIN&amp;VAR:SDATE=20000699&amp;VAR:FREQ=Quarterly&amp;VAR:RELITEM=RP&amp;VAR:CURRENCY=&amp;VAR:CURRSOURCE=EXSH","ARE&amp;VAR:NATFREQ=QUARTERLY&amp;VAR:RFIELD=FINALIZED&amp;VAR:DB_TYPE=&amp;VAR:UNITS=M&amp;window=popup&amp;width=450&amp;height=300&amp;START_MAXIMIZED=FALSE"}</definedName>
    <definedName name="_559__FDSAUDITLINK__" hidden="1">{"fdsup://IBCentral/FAT Viewer?action=UPDATE&amp;creator=factset&amp;DOC_NAME=fat:reuters_qtrly_source_window.fat&amp;display_string=Audit&amp;DYN_ARGS=TRUE&amp;VAR:ID1=527343&amp;VAR:RCODE=LMIN&amp;VAR:SDATE=20000399&amp;VAR:FREQ=Quarterly&amp;VAR:RELITEM=RP&amp;VAR:CURRENCY=&amp;VAR:CURRSOURCE=EXSH","ARE&amp;VAR:NATFREQ=QUARTERLY&amp;VAR:RFIELD=FINALIZED&amp;VAR:DB_TYPE=&amp;VAR:UNITS=M&amp;window=popup&amp;width=450&amp;height=300&amp;START_MAXIMIZED=FALSE"}</definedName>
    <definedName name="_56__FDSAUDITLINK__" hidden="1">{"fdsup://IBCentral/FAT Viewer?action=UPDATE&amp;creator=factset&amp;DOC_NAME=fat:reuters_qtrly_source_window.fat&amp;display_string=Audit&amp;DYN_ARGS=TRUE&amp;VAR:ID1=527343&amp;VAR:RCODE=LTTD&amp;VAR:SDATE=20070999&amp;VAR:FREQ=Quarterly&amp;VAR:RELITEM=RP&amp;VAR:CURRENCY=&amp;VAR:CURRSOURCE=EXSH","ARE&amp;VAR:NATFREQ=QUARTERLY&amp;VAR:RFIELD=FINALIZED&amp;VAR:DB_TYPE=&amp;VAR:UNITS=M&amp;window=popup&amp;width=450&amp;height=300&amp;START_MAXIMIZED=FALSE"}</definedName>
    <definedName name="_56_0_Table2_" hidden="1">#REF!</definedName>
    <definedName name="_560__FDSAUDITLINK__" hidden="1">{"fdsup://IBCentral/FAT Viewer?action=UPDATE&amp;creator=factset&amp;DOC_NAME=fat:reuters_qtrly_source_window.fat&amp;display_string=Audit&amp;DYN_ARGS=TRUE&amp;VAR:ID1=527343&amp;VAR:RCODE=LTTD&amp;VAR:SDATE=20100999&amp;VAR:FREQ=Quarterly&amp;VAR:RELITEM=RP&amp;VAR:CURRENCY=&amp;VAR:CURRSOURCE=EXSH","ARE&amp;VAR:NATFREQ=QUARTERLY&amp;VAR:RFIELD=FINALIZED&amp;VAR:DB_TYPE=&amp;VAR:UNITS=M&amp;window=popup&amp;width=450&amp;height=300&amp;START_MAXIMIZED=FALSE"}</definedName>
    <definedName name="_561__FDSAUDITLINK__" hidden="1">{"fdsup://IBCentral/FAT Viewer?action=UPDATE&amp;creator=factset&amp;DOC_NAME=fat:reuters_qtrly_source_window.fat&amp;display_string=Audit&amp;DYN_ARGS=TRUE&amp;VAR:ID1=527343&amp;VAR:RCODE=LTTD&amp;VAR:SDATE=20100699&amp;VAR:FREQ=Quarterly&amp;VAR:RELITEM=RP&amp;VAR:CURRENCY=&amp;VAR:CURRSOURCE=EXSH","ARE&amp;VAR:NATFREQ=QUARTERLY&amp;VAR:RFIELD=FINALIZED&amp;VAR:DB_TYPE=&amp;VAR:UNITS=M&amp;window=popup&amp;width=450&amp;height=300&amp;START_MAXIMIZED=FALSE"}</definedName>
    <definedName name="_562__FDSAUDITLINK__" hidden="1">{"fdsup://IBCentral/FAT Viewer?action=UPDATE&amp;creator=factset&amp;DOC_NAME=fat:reuters_qtrly_source_window.fat&amp;display_string=Audit&amp;DYN_ARGS=TRUE&amp;VAR:ID1=527343&amp;VAR:RCODE=LTTD&amp;VAR:SDATE=20100399&amp;VAR:FREQ=Quarterly&amp;VAR:RELITEM=RP&amp;VAR:CURRENCY=&amp;VAR:CURRSOURCE=EXSH","ARE&amp;VAR:NATFREQ=QUARTERLY&amp;VAR:RFIELD=FINALIZED&amp;VAR:DB_TYPE=&amp;VAR:UNITS=M&amp;window=popup&amp;width=450&amp;height=300&amp;START_MAXIMIZED=FALSE"}</definedName>
    <definedName name="_563__FDSAUDITLINK__" hidden="1">{"fdsup://IBCentral/FAT Viewer?action=UPDATE&amp;creator=factset&amp;DOC_NAME=fat:reuters_qtrly_source_window.fat&amp;display_string=Audit&amp;DYN_ARGS=TRUE&amp;VAR:ID1=527343&amp;VAR:RCODE=LTTD&amp;VAR:SDATE=20091299&amp;VAR:FREQ=Quarterly&amp;VAR:RELITEM=RP&amp;VAR:CURRENCY=&amp;VAR:CURRSOURCE=EXSH","ARE&amp;VAR:NATFREQ=QUARTERLY&amp;VAR:RFIELD=FINALIZED&amp;VAR:DB_TYPE=&amp;VAR:UNITS=M&amp;window=popup&amp;width=450&amp;height=300&amp;START_MAXIMIZED=FALSE"}</definedName>
    <definedName name="_564__FDSAUDITLINK__" hidden="1">{"fdsup://IBCentral/FAT Viewer?action=UPDATE&amp;creator=factset&amp;DOC_NAME=fat:reuters_qtrly_source_window.fat&amp;display_string=Audit&amp;DYN_ARGS=TRUE&amp;VAR:ID1=527343&amp;VAR:RCODE=LTTD&amp;VAR:SDATE=20090999&amp;VAR:FREQ=Quarterly&amp;VAR:RELITEM=RP&amp;VAR:CURRENCY=&amp;VAR:CURRSOURCE=EXSH","ARE&amp;VAR:NATFREQ=QUARTERLY&amp;VAR:RFIELD=FINALIZED&amp;VAR:DB_TYPE=&amp;VAR:UNITS=M&amp;window=popup&amp;width=450&amp;height=300&amp;START_MAXIMIZED=FALSE"}</definedName>
    <definedName name="_565__FDSAUDITLINK__" hidden="1">{"fdsup://IBCentral/FAT Viewer?action=UPDATE&amp;creator=factset&amp;DOC_NAME=fat:reuters_qtrly_source_window.fat&amp;display_string=Audit&amp;DYN_ARGS=TRUE&amp;VAR:ID1=527343&amp;VAR:RCODE=LTTD&amp;VAR:SDATE=20090699&amp;VAR:FREQ=Quarterly&amp;VAR:RELITEM=RP&amp;VAR:CURRENCY=&amp;VAR:CURRSOURCE=EXSH","ARE&amp;VAR:NATFREQ=QUARTERLY&amp;VAR:RFIELD=FINALIZED&amp;VAR:DB_TYPE=&amp;VAR:UNITS=M&amp;window=popup&amp;width=450&amp;height=300&amp;START_MAXIMIZED=FALSE"}</definedName>
    <definedName name="_566__FDSAUDITLINK__" hidden="1">{"fdsup://IBCentral/FAT Viewer?action=UPDATE&amp;creator=factset&amp;DOC_NAME=fat:reuters_qtrly_source_window.fat&amp;display_string=Audit&amp;DYN_ARGS=TRUE&amp;VAR:ID1=527343&amp;VAR:RCODE=LTTD&amp;VAR:SDATE=20090399&amp;VAR:FREQ=Quarterly&amp;VAR:RELITEM=RP&amp;VAR:CURRENCY=&amp;VAR:CURRSOURCE=EXSH","ARE&amp;VAR:NATFREQ=QUARTERLY&amp;VAR:RFIELD=FINALIZED&amp;VAR:DB_TYPE=&amp;VAR:UNITS=M&amp;window=popup&amp;width=450&amp;height=300&amp;START_MAXIMIZED=FALSE"}</definedName>
    <definedName name="_567__FDSAUDITLINK__" hidden="1">{"fdsup://IBCentral/FAT Viewer?action=UPDATE&amp;creator=factset&amp;DOC_NAME=fat:reuters_qtrly_source_window.fat&amp;display_string=Audit&amp;DYN_ARGS=TRUE&amp;VAR:ID1=527343&amp;VAR:RCODE=LTTD&amp;VAR:SDATE=20081299&amp;VAR:FREQ=Quarterly&amp;VAR:RELITEM=RP&amp;VAR:CURRENCY=&amp;VAR:CURRSOURCE=EXSH","ARE&amp;VAR:NATFREQ=QUARTERLY&amp;VAR:RFIELD=FINALIZED&amp;VAR:DB_TYPE=&amp;VAR:UNITS=M&amp;window=popup&amp;width=450&amp;height=300&amp;START_MAXIMIZED=FALSE"}</definedName>
    <definedName name="_568__FDSAUDITLINK__" hidden="1">{"fdsup://IBCentral/FAT Viewer?action=UPDATE&amp;creator=factset&amp;DOC_NAME=fat:reuters_qtrly_source_window.fat&amp;display_string=Audit&amp;DYN_ARGS=TRUE&amp;VAR:ID1=527343&amp;VAR:RCODE=LTTD&amp;VAR:SDATE=20080999&amp;VAR:FREQ=Quarterly&amp;VAR:RELITEM=RP&amp;VAR:CURRENCY=&amp;VAR:CURRSOURCE=EXSH","ARE&amp;VAR:NATFREQ=QUARTERLY&amp;VAR:RFIELD=FINALIZED&amp;VAR:DB_TYPE=&amp;VAR:UNITS=M&amp;window=popup&amp;width=450&amp;height=300&amp;START_MAXIMIZED=FALSE"}</definedName>
    <definedName name="_569__FDSAUDITLINK__" hidden="1">{"fdsup://IBCentral/FAT Viewer?action=UPDATE&amp;creator=factset&amp;DOC_NAME=fat:reuters_qtrly_source_window.fat&amp;display_string=Audit&amp;DYN_ARGS=TRUE&amp;VAR:ID1=527343&amp;VAR:RCODE=LTTD&amp;VAR:SDATE=20080699&amp;VAR:FREQ=Quarterly&amp;VAR:RELITEM=RP&amp;VAR:CURRENCY=&amp;VAR:CURRSOURCE=EXSH","ARE&amp;VAR:NATFREQ=QUARTERLY&amp;VAR:RFIELD=FINALIZED&amp;VAR:DB_TYPE=&amp;VAR:UNITS=M&amp;window=popup&amp;width=450&amp;height=300&amp;START_MAXIMIZED=FALSE"}</definedName>
    <definedName name="_57__FDSAUDITLINK__" hidden="1">{"fdsup://IBCentral/FAT Viewer?action=UPDATE&amp;creator=factset&amp;DOC_NAME=fat:reuters_qtrly_source_window.fat&amp;display_string=Audit&amp;DYN_ARGS=TRUE&amp;VAR:ID1=527343&amp;VAR:RCODE=LTTD&amp;VAR:SDATE=20070699&amp;VAR:FREQ=Quarterly&amp;VAR:RELITEM=RP&amp;VAR:CURRENCY=&amp;VAR:CURRSOURCE=EXSH","ARE&amp;VAR:NATFREQ=QUARTERLY&amp;VAR:RFIELD=FINALIZED&amp;VAR:DB_TYPE=&amp;VAR:UNITS=M&amp;window=popup&amp;width=450&amp;height=300&amp;START_MAXIMIZED=FALSE"}</definedName>
    <definedName name="_57_0_Table2_" hidden="1">#REF!</definedName>
    <definedName name="_570__FDSAUDITLINK__" hidden="1">{"fdsup://IBCentral/FAT Viewer?action=UPDATE&amp;creator=factset&amp;DOC_NAME=fat:reuters_qtrly_source_window.fat&amp;display_string=Audit&amp;DYN_ARGS=TRUE&amp;VAR:ID1=527343&amp;VAR:RCODE=LTTD&amp;VAR:SDATE=20080399&amp;VAR:FREQ=Quarterly&amp;VAR:RELITEM=RP&amp;VAR:CURRENCY=&amp;VAR:CURRSOURCE=EXSH","ARE&amp;VAR:NATFREQ=QUARTERLY&amp;VAR:RFIELD=FINALIZED&amp;VAR:DB_TYPE=&amp;VAR:UNITS=M&amp;window=popup&amp;width=450&amp;height=300&amp;START_MAXIMIZED=FALSE"}</definedName>
    <definedName name="_571__FDSAUDITLINK__" hidden="1">{"fdsup://IBCentral/FAT Viewer?action=UPDATE&amp;creator=factset&amp;DOC_NAME=fat:reuters_qtrly_source_window.fat&amp;display_string=Audit&amp;DYN_ARGS=TRUE&amp;VAR:ID1=527343&amp;VAR:RCODE=LTTD&amp;VAR:SDATE=20071299&amp;VAR:FREQ=Quarterly&amp;VAR:RELITEM=RP&amp;VAR:CURRENCY=&amp;VAR:CURRSOURCE=EXSH","ARE&amp;VAR:NATFREQ=QUARTERLY&amp;VAR:RFIELD=FINALIZED&amp;VAR:DB_TYPE=&amp;VAR:UNITS=M&amp;window=popup&amp;width=450&amp;height=300&amp;START_MAXIMIZED=FALSE"}</definedName>
    <definedName name="_572__FDSAUDITLINK__" hidden="1">{"fdsup://IBCentral/FAT Viewer?action=UPDATE&amp;creator=factset&amp;DOC_NAME=fat:reuters_qtrly_source_window.fat&amp;display_string=Audit&amp;DYN_ARGS=TRUE&amp;VAR:ID1=527343&amp;VAR:RCODE=LTTD&amp;VAR:SDATE=20070999&amp;VAR:FREQ=Quarterly&amp;VAR:RELITEM=RP&amp;VAR:CURRENCY=&amp;VAR:CURRSOURCE=EXSH","ARE&amp;VAR:NATFREQ=QUARTERLY&amp;VAR:RFIELD=FINALIZED&amp;VAR:DB_TYPE=&amp;VAR:UNITS=M&amp;window=popup&amp;width=450&amp;height=300&amp;START_MAXIMIZED=FALSE"}</definedName>
    <definedName name="_573__FDSAUDITLINK__" hidden="1">{"fdsup://IBCentral/FAT Viewer?action=UPDATE&amp;creator=factset&amp;DOC_NAME=fat:reuters_qtrly_source_window.fat&amp;display_string=Audit&amp;DYN_ARGS=TRUE&amp;VAR:ID1=527343&amp;VAR:RCODE=LTTD&amp;VAR:SDATE=20070699&amp;VAR:FREQ=Quarterly&amp;VAR:RELITEM=RP&amp;VAR:CURRENCY=&amp;VAR:CURRSOURCE=EXSH","ARE&amp;VAR:NATFREQ=QUARTERLY&amp;VAR:RFIELD=FINALIZED&amp;VAR:DB_TYPE=&amp;VAR:UNITS=M&amp;window=popup&amp;width=450&amp;height=300&amp;START_MAXIMIZED=FALSE"}</definedName>
    <definedName name="_574__FDSAUDITLINK__" hidden="1">{"fdsup://IBCentral/FAT Viewer?action=UPDATE&amp;creator=factset&amp;DOC_NAME=fat:reuters_qtrly_source_window.fat&amp;display_string=Audit&amp;DYN_ARGS=TRUE&amp;VAR:ID1=527343&amp;VAR:RCODE=LTTD&amp;VAR:SDATE=20070399&amp;VAR:FREQ=Quarterly&amp;VAR:RELITEM=RP&amp;VAR:CURRENCY=&amp;VAR:CURRSOURCE=EXSH","ARE&amp;VAR:NATFREQ=QUARTERLY&amp;VAR:RFIELD=FINALIZED&amp;VAR:DB_TYPE=&amp;VAR:UNITS=M&amp;window=popup&amp;width=450&amp;height=300&amp;START_MAXIMIZED=FALSE"}</definedName>
    <definedName name="_575__FDSAUDITLINK__" hidden="1">{"fdsup://IBCentral/FAT Viewer?action=UPDATE&amp;creator=factset&amp;DOC_NAME=fat:reuters_qtrly_source_window.fat&amp;display_string=Audit&amp;DYN_ARGS=TRUE&amp;VAR:ID1=527343&amp;VAR:RCODE=LTTD&amp;VAR:SDATE=20061299&amp;VAR:FREQ=Quarterly&amp;VAR:RELITEM=RP&amp;VAR:CURRENCY=&amp;VAR:CURRSOURCE=EXSH","ARE&amp;VAR:NATFREQ=QUARTERLY&amp;VAR:RFIELD=FINALIZED&amp;VAR:DB_TYPE=&amp;VAR:UNITS=M&amp;window=popup&amp;width=450&amp;height=300&amp;START_MAXIMIZED=FALSE"}</definedName>
    <definedName name="_576__FDSAUDITLINK__" hidden="1">{"fdsup://IBCentral/FAT Viewer?action=UPDATE&amp;creator=factset&amp;DOC_NAME=fat:reuters_qtrly_source_window.fat&amp;display_string=Audit&amp;DYN_ARGS=TRUE&amp;VAR:ID1=527343&amp;VAR:RCODE=LTTD&amp;VAR:SDATE=20060999&amp;VAR:FREQ=Quarterly&amp;VAR:RELITEM=RP&amp;VAR:CURRENCY=&amp;VAR:CURRSOURCE=EXSH","ARE&amp;VAR:NATFREQ=QUARTERLY&amp;VAR:RFIELD=FINALIZED&amp;VAR:DB_TYPE=&amp;VAR:UNITS=M&amp;window=popup&amp;width=450&amp;height=300&amp;START_MAXIMIZED=FALSE"}</definedName>
    <definedName name="_577__FDSAUDITLINK__" hidden="1">{"fdsup://IBCentral/FAT Viewer?action=UPDATE&amp;creator=factset&amp;DOC_NAME=fat:reuters_qtrly_source_window.fat&amp;display_string=Audit&amp;DYN_ARGS=TRUE&amp;VAR:ID1=527343&amp;VAR:RCODE=LTTD&amp;VAR:SDATE=20060699&amp;VAR:FREQ=Quarterly&amp;VAR:RELITEM=RP&amp;VAR:CURRENCY=&amp;VAR:CURRSOURCE=EXSH","ARE&amp;VAR:NATFREQ=QUARTERLY&amp;VAR:RFIELD=FINALIZED&amp;VAR:DB_TYPE=&amp;VAR:UNITS=M&amp;window=popup&amp;width=450&amp;height=300&amp;START_MAXIMIZED=FALSE"}</definedName>
    <definedName name="_578__FDSAUDITLINK__" hidden="1">{"fdsup://IBCentral/FAT Viewer?action=UPDATE&amp;creator=factset&amp;DOC_NAME=fat:reuters_qtrly_source_window.fat&amp;display_string=Audit&amp;DYN_ARGS=TRUE&amp;VAR:ID1=527343&amp;VAR:RCODE=LTTD&amp;VAR:SDATE=20060399&amp;VAR:FREQ=Quarterly&amp;VAR:RELITEM=RP&amp;VAR:CURRENCY=&amp;VAR:CURRSOURCE=EXSH","ARE&amp;VAR:NATFREQ=QUARTERLY&amp;VAR:RFIELD=FINALIZED&amp;VAR:DB_TYPE=&amp;VAR:UNITS=M&amp;window=popup&amp;width=450&amp;height=300&amp;START_MAXIMIZED=FALSE"}</definedName>
    <definedName name="_579__FDSAUDITLINK__" hidden="1">{"fdsup://IBCentral/FAT Viewer?action=UPDATE&amp;creator=factset&amp;DOC_NAME=fat:reuters_qtrly_source_window.fat&amp;display_string=Audit&amp;DYN_ARGS=TRUE&amp;VAR:ID1=527343&amp;VAR:RCODE=LTTD&amp;VAR:SDATE=20051299&amp;VAR:FREQ=Quarterly&amp;VAR:RELITEM=RP&amp;VAR:CURRENCY=&amp;VAR:CURRSOURCE=EXSH","ARE&amp;VAR:NATFREQ=QUARTERLY&amp;VAR:RFIELD=FINALIZED&amp;VAR:DB_TYPE=&amp;VAR:UNITS=M&amp;window=popup&amp;width=450&amp;height=300&amp;START_MAXIMIZED=FALSE"}</definedName>
    <definedName name="_58__FDSAUDITLINK__" hidden="1">{"fdsup://IBCentral/FAT Viewer?action=UPDATE&amp;creator=factset&amp;DOC_NAME=fat:reuters_qtrly_source_window.fat&amp;display_string=Audit&amp;DYN_ARGS=TRUE&amp;VAR:ID1=527343&amp;VAR:RCODE=LTTD&amp;VAR:SDATE=20070399&amp;VAR:FREQ=Quarterly&amp;VAR:RELITEM=RP&amp;VAR:CURRENCY=&amp;VAR:CURRSOURCE=EXSH","ARE&amp;VAR:NATFREQ=QUARTERLY&amp;VAR:RFIELD=FINALIZED&amp;VAR:DB_TYPE=&amp;VAR:UNITS=M&amp;window=popup&amp;width=450&amp;height=300&amp;START_MAXIMIZED=FALSE"}</definedName>
    <definedName name="_580__FDSAUDITLINK__" hidden="1">{"fdsup://IBCentral/FAT Viewer?action=UPDATE&amp;creator=factset&amp;DOC_NAME=fat:reuters_qtrly_source_window.fat&amp;display_string=Audit&amp;DYN_ARGS=TRUE&amp;VAR:ID1=527343&amp;VAR:RCODE=LTTD&amp;VAR:SDATE=20050999&amp;VAR:FREQ=Quarterly&amp;VAR:RELITEM=RP&amp;VAR:CURRENCY=&amp;VAR:CURRSOURCE=EXSH","ARE&amp;VAR:NATFREQ=QUARTERLY&amp;VAR:RFIELD=FINALIZED&amp;VAR:DB_TYPE=&amp;VAR:UNITS=M&amp;window=popup&amp;width=450&amp;height=300&amp;START_MAXIMIZED=FALSE"}</definedName>
    <definedName name="_581__FDSAUDITLINK__" hidden="1">{"fdsup://IBCentral/FAT Viewer?action=UPDATE&amp;creator=factset&amp;DOC_NAME=fat:reuters_qtrly_source_window.fat&amp;display_string=Audit&amp;DYN_ARGS=TRUE&amp;VAR:ID1=527343&amp;VAR:RCODE=LTTD&amp;VAR:SDATE=20050699&amp;VAR:FREQ=Quarterly&amp;VAR:RELITEM=RP&amp;VAR:CURRENCY=&amp;VAR:CURRSOURCE=EXSH","ARE&amp;VAR:NATFREQ=QUARTERLY&amp;VAR:RFIELD=FINALIZED&amp;VAR:DB_TYPE=&amp;VAR:UNITS=M&amp;window=popup&amp;width=450&amp;height=300&amp;START_MAXIMIZED=FALSE"}</definedName>
    <definedName name="_582__FDSAUDITLINK__" hidden="1">{"fdsup://IBCentral/FAT Viewer?action=UPDATE&amp;creator=factset&amp;DOC_NAME=fat:reuters_qtrly_source_window.fat&amp;display_string=Audit&amp;DYN_ARGS=TRUE&amp;VAR:ID1=527343&amp;VAR:RCODE=LTTD&amp;VAR:SDATE=20050399&amp;VAR:FREQ=Quarterly&amp;VAR:RELITEM=RP&amp;VAR:CURRENCY=&amp;VAR:CURRSOURCE=EXSH","ARE&amp;VAR:NATFREQ=QUARTERLY&amp;VAR:RFIELD=FINALIZED&amp;VAR:DB_TYPE=&amp;VAR:UNITS=M&amp;window=popup&amp;width=450&amp;height=300&amp;START_MAXIMIZED=FALSE"}</definedName>
    <definedName name="_583__FDSAUDITLINK__" hidden="1">{"fdsup://IBCentral/FAT Viewer?action=UPDATE&amp;creator=factset&amp;DOC_NAME=fat:reuters_qtrly_source_window.fat&amp;display_string=Audit&amp;DYN_ARGS=TRUE&amp;VAR:ID1=527343&amp;VAR:RCODE=LTTD&amp;VAR:SDATE=20041299&amp;VAR:FREQ=Quarterly&amp;VAR:RELITEM=RP&amp;VAR:CURRENCY=&amp;VAR:CURRSOURCE=EXSH","ARE&amp;VAR:NATFREQ=QUARTERLY&amp;VAR:RFIELD=FINALIZED&amp;VAR:DB_TYPE=&amp;VAR:UNITS=M&amp;window=popup&amp;width=450&amp;height=300&amp;START_MAXIMIZED=FALSE"}</definedName>
    <definedName name="_584__FDSAUDITLINK__" hidden="1">{"fdsup://IBCentral/FAT Viewer?action=UPDATE&amp;creator=factset&amp;DOC_NAME=fat:reuters_qtrly_source_window.fat&amp;display_string=Audit&amp;DYN_ARGS=TRUE&amp;VAR:ID1=527343&amp;VAR:RCODE=LTTD&amp;VAR:SDATE=20040999&amp;VAR:FREQ=Quarterly&amp;VAR:RELITEM=RP&amp;VAR:CURRENCY=&amp;VAR:CURRSOURCE=EXSH","ARE&amp;VAR:NATFREQ=QUARTERLY&amp;VAR:RFIELD=FINALIZED&amp;VAR:DB_TYPE=&amp;VAR:UNITS=M&amp;window=popup&amp;width=450&amp;height=300&amp;START_MAXIMIZED=FALSE"}</definedName>
    <definedName name="_585__FDSAUDITLINK__" hidden="1">{"fdsup://IBCentral/FAT Viewer?action=UPDATE&amp;creator=factset&amp;DOC_NAME=fat:reuters_qtrly_source_window.fat&amp;display_string=Audit&amp;DYN_ARGS=TRUE&amp;VAR:ID1=527343&amp;VAR:RCODE=LTTD&amp;VAR:SDATE=20040699&amp;VAR:FREQ=Quarterly&amp;VAR:RELITEM=RP&amp;VAR:CURRENCY=&amp;VAR:CURRSOURCE=EXSH","ARE&amp;VAR:NATFREQ=QUARTERLY&amp;VAR:RFIELD=FINALIZED&amp;VAR:DB_TYPE=&amp;VAR:UNITS=M&amp;window=popup&amp;width=450&amp;height=300&amp;START_MAXIMIZED=FALSE"}</definedName>
    <definedName name="_586__FDSAUDITLINK__" hidden="1">{"fdsup://IBCentral/FAT Viewer?action=UPDATE&amp;creator=factset&amp;DOC_NAME=fat:reuters_qtrly_source_window.fat&amp;display_string=Audit&amp;DYN_ARGS=TRUE&amp;VAR:ID1=527343&amp;VAR:RCODE=LTTD&amp;VAR:SDATE=20040399&amp;VAR:FREQ=Quarterly&amp;VAR:RELITEM=RP&amp;VAR:CURRENCY=&amp;VAR:CURRSOURCE=EXSH","ARE&amp;VAR:NATFREQ=QUARTERLY&amp;VAR:RFIELD=FINALIZED&amp;VAR:DB_TYPE=&amp;VAR:UNITS=M&amp;window=popup&amp;width=450&amp;height=300&amp;START_MAXIMIZED=FALSE"}</definedName>
    <definedName name="_587__FDSAUDITLINK__" hidden="1">{"fdsup://IBCentral/FAT Viewer?action=UPDATE&amp;creator=factset&amp;DOC_NAME=fat:reuters_qtrly_source_window.fat&amp;display_string=Audit&amp;DYN_ARGS=TRUE&amp;VAR:ID1=527343&amp;VAR:RCODE=LTTD&amp;VAR:SDATE=20031299&amp;VAR:FREQ=Quarterly&amp;VAR:RELITEM=RP&amp;VAR:CURRENCY=&amp;VAR:CURRSOURCE=EXSH","ARE&amp;VAR:NATFREQ=QUARTERLY&amp;VAR:RFIELD=FINALIZED&amp;VAR:DB_TYPE=&amp;VAR:UNITS=M&amp;window=popup&amp;width=450&amp;height=300&amp;START_MAXIMIZED=FALSE"}</definedName>
    <definedName name="_588__FDSAUDITLINK__" hidden="1">{"fdsup://IBCentral/FAT Viewer?action=UPDATE&amp;creator=factset&amp;DOC_NAME=fat:reuters_qtrly_source_window.fat&amp;display_string=Audit&amp;DYN_ARGS=TRUE&amp;VAR:ID1=527343&amp;VAR:RCODE=LTTD&amp;VAR:SDATE=20030999&amp;VAR:FREQ=Quarterly&amp;VAR:RELITEM=RP&amp;VAR:CURRENCY=&amp;VAR:CURRSOURCE=EXSH","ARE&amp;VAR:NATFREQ=QUARTERLY&amp;VAR:RFIELD=FINALIZED&amp;VAR:DB_TYPE=&amp;VAR:UNITS=M&amp;window=popup&amp;width=450&amp;height=300&amp;START_MAXIMIZED=FALSE"}</definedName>
    <definedName name="_589__FDSAUDITLINK__" hidden="1">{"fdsup://IBCentral/FAT Viewer?action=UPDATE&amp;creator=factset&amp;DOC_NAME=fat:reuters_qtrly_source_window.fat&amp;display_string=Audit&amp;DYN_ARGS=TRUE&amp;VAR:ID1=527343&amp;VAR:RCODE=LTTD&amp;VAR:SDATE=20030699&amp;VAR:FREQ=Quarterly&amp;VAR:RELITEM=RP&amp;VAR:CURRENCY=&amp;VAR:CURRSOURCE=EXSH","ARE&amp;VAR:NATFREQ=QUARTERLY&amp;VAR:RFIELD=FINALIZED&amp;VAR:DB_TYPE=&amp;VAR:UNITS=M&amp;window=popup&amp;width=450&amp;height=300&amp;START_MAXIMIZED=FALSE"}</definedName>
    <definedName name="_59__FDSAUDITLINK__" hidden="1">{"fdsup://IBCentral/FAT Viewer?action=UPDATE&amp;creator=factset&amp;DOC_NAME=fat:reuters_qtrly_source_window.fat&amp;display_string=Audit&amp;DYN_ARGS=TRUE&amp;VAR:ID1=527343&amp;VAR:RCODE=LTTD&amp;VAR:SDATE=20061299&amp;VAR:FREQ=Quarterly&amp;VAR:RELITEM=RP&amp;VAR:CURRENCY=&amp;VAR:CURRSOURCE=EXSH","ARE&amp;VAR:NATFREQ=QUARTERLY&amp;VAR:RFIELD=FINALIZED&amp;VAR:DB_TYPE=&amp;VAR:UNITS=M&amp;window=popup&amp;width=450&amp;height=300&amp;START_MAXIMIZED=FALSE"}</definedName>
    <definedName name="_590__FDSAUDITLINK__" hidden="1">{"fdsup://IBCentral/FAT Viewer?action=UPDATE&amp;creator=factset&amp;DOC_NAME=fat:reuters_qtrly_source_window.fat&amp;display_string=Audit&amp;DYN_ARGS=TRUE&amp;VAR:ID1=527343&amp;VAR:RCODE=LTTD&amp;VAR:SDATE=20030399&amp;VAR:FREQ=Quarterly&amp;VAR:RELITEM=RP&amp;VAR:CURRENCY=&amp;VAR:CURRSOURCE=EXSH","ARE&amp;VAR:NATFREQ=QUARTERLY&amp;VAR:RFIELD=FINALIZED&amp;VAR:DB_TYPE=&amp;VAR:UNITS=M&amp;window=popup&amp;width=450&amp;height=300&amp;START_MAXIMIZED=FALSE"}</definedName>
    <definedName name="_591__FDSAUDITLINK__" hidden="1">{"fdsup://IBCentral/FAT Viewer?action=UPDATE&amp;creator=factset&amp;DOC_NAME=fat:reuters_qtrly_source_window.fat&amp;display_string=Audit&amp;DYN_ARGS=TRUE&amp;VAR:ID1=527343&amp;VAR:RCODE=LTTD&amp;VAR:SDATE=20021299&amp;VAR:FREQ=Quarterly&amp;VAR:RELITEM=RP&amp;VAR:CURRENCY=&amp;VAR:CURRSOURCE=EXSH","ARE&amp;VAR:NATFREQ=QUARTERLY&amp;VAR:RFIELD=FINALIZED&amp;VAR:DB_TYPE=&amp;VAR:UNITS=M&amp;window=popup&amp;width=450&amp;height=300&amp;START_MAXIMIZED=FALSE"}</definedName>
    <definedName name="_592__FDSAUDITLINK__" hidden="1">{"fdsup://IBCentral/FAT Viewer?action=UPDATE&amp;creator=factset&amp;DOC_NAME=fat:reuters_qtrly_source_window.fat&amp;display_string=Audit&amp;DYN_ARGS=TRUE&amp;VAR:ID1=527343&amp;VAR:RCODE=LTTD&amp;VAR:SDATE=20020999&amp;VAR:FREQ=Quarterly&amp;VAR:RELITEM=RP&amp;VAR:CURRENCY=&amp;VAR:CURRSOURCE=EXSH","ARE&amp;VAR:NATFREQ=QUARTERLY&amp;VAR:RFIELD=FINALIZED&amp;VAR:DB_TYPE=&amp;VAR:UNITS=M&amp;window=popup&amp;width=450&amp;height=300&amp;START_MAXIMIZED=FALSE"}</definedName>
    <definedName name="_593__FDSAUDITLINK__" hidden="1">{"fdsup://IBCentral/FAT Viewer?action=UPDATE&amp;creator=factset&amp;DOC_NAME=fat:reuters_qtrly_source_window.fat&amp;display_string=Audit&amp;DYN_ARGS=TRUE&amp;VAR:ID1=527343&amp;VAR:RCODE=LTTD&amp;VAR:SDATE=20020699&amp;VAR:FREQ=Quarterly&amp;VAR:RELITEM=RP&amp;VAR:CURRENCY=&amp;VAR:CURRSOURCE=EXSH","ARE&amp;VAR:NATFREQ=QUARTERLY&amp;VAR:RFIELD=FINALIZED&amp;VAR:DB_TYPE=&amp;VAR:UNITS=M&amp;window=popup&amp;width=450&amp;height=300&amp;START_MAXIMIZED=FALSE"}</definedName>
    <definedName name="_594__FDSAUDITLINK__" hidden="1">{"fdsup://IBCentral/FAT Viewer?action=UPDATE&amp;creator=factset&amp;DOC_NAME=fat:reuters_qtrly_source_window.fat&amp;display_string=Audit&amp;DYN_ARGS=TRUE&amp;VAR:ID1=527343&amp;VAR:RCODE=LTTD&amp;VAR:SDATE=20020399&amp;VAR:FREQ=Quarterly&amp;VAR:RELITEM=RP&amp;VAR:CURRENCY=&amp;VAR:CURRSOURCE=EXSH","ARE&amp;VAR:NATFREQ=QUARTERLY&amp;VAR:RFIELD=FINALIZED&amp;VAR:DB_TYPE=&amp;VAR:UNITS=M&amp;window=popup&amp;width=450&amp;height=300&amp;START_MAXIMIZED=FALSE"}</definedName>
    <definedName name="_595__FDSAUDITLINK__" hidden="1">{"fdsup://IBCentral/FAT Viewer?action=UPDATE&amp;creator=factset&amp;DOC_NAME=fat:reuters_qtrly_source_window.fat&amp;display_string=Audit&amp;DYN_ARGS=TRUE&amp;VAR:ID1=527343&amp;VAR:RCODE=LTTD&amp;VAR:SDATE=20011299&amp;VAR:FREQ=Quarterly&amp;VAR:RELITEM=RP&amp;VAR:CURRENCY=&amp;VAR:CURRSOURCE=EXSH","ARE&amp;VAR:NATFREQ=QUARTERLY&amp;VAR:RFIELD=FINALIZED&amp;VAR:DB_TYPE=&amp;VAR:UNITS=M&amp;window=popup&amp;width=450&amp;height=300&amp;START_MAXIMIZED=FALSE"}</definedName>
    <definedName name="_596__FDSAUDITLINK__" hidden="1">{"fdsup://IBCentral/FAT Viewer?action=UPDATE&amp;creator=factset&amp;DOC_NAME=fat:reuters_qtrly_source_window.fat&amp;display_string=Audit&amp;DYN_ARGS=TRUE&amp;VAR:ID1=527343&amp;VAR:RCODE=LTTD&amp;VAR:SDATE=20010999&amp;VAR:FREQ=Quarterly&amp;VAR:RELITEM=RP&amp;VAR:CURRENCY=&amp;VAR:CURRSOURCE=EXSH","ARE&amp;VAR:NATFREQ=QUARTERLY&amp;VAR:RFIELD=FINALIZED&amp;VAR:DB_TYPE=&amp;VAR:UNITS=M&amp;window=popup&amp;width=450&amp;height=300&amp;START_MAXIMIZED=FALSE"}</definedName>
    <definedName name="_597__FDSAUDITLINK__" hidden="1">{"fdsup://IBCentral/FAT Viewer?action=UPDATE&amp;creator=factset&amp;DOC_NAME=fat:reuters_qtrly_source_window.fat&amp;display_string=Audit&amp;DYN_ARGS=TRUE&amp;VAR:ID1=527343&amp;VAR:RCODE=LTTD&amp;VAR:SDATE=20010699&amp;VAR:FREQ=Quarterly&amp;VAR:RELITEM=RP&amp;VAR:CURRENCY=&amp;VAR:CURRSOURCE=EXSH","ARE&amp;VAR:NATFREQ=QUARTERLY&amp;VAR:RFIELD=FINALIZED&amp;VAR:DB_TYPE=&amp;VAR:UNITS=M&amp;window=popup&amp;width=450&amp;height=300&amp;START_MAXIMIZED=FALSE"}</definedName>
    <definedName name="_598__FDSAUDITLINK__" hidden="1">{"fdsup://IBCentral/FAT Viewer?action=UPDATE&amp;creator=factset&amp;DOC_NAME=fat:reuters_qtrly_source_window.fat&amp;display_string=Audit&amp;DYN_ARGS=TRUE&amp;VAR:ID1=527343&amp;VAR:RCODE=LTTD&amp;VAR:SDATE=20010399&amp;VAR:FREQ=Quarterly&amp;VAR:RELITEM=RP&amp;VAR:CURRENCY=&amp;VAR:CURRSOURCE=EXSH","ARE&amp;VAR:NATFREQ=QUARTERLY&amp;VAR:RFIELD=FINALIZED&amp;VAR:DB_TYPE=&amp;VAR:UNITS=M&amp;window=popup&amp;width=450&amp;height=300&amp;START_MAXIMIZED=FALSE"}</definedName>
    <definedName name="_599__FDSAUDITLINK__" hidden="1">{"fdsup://IBCentral/FAT Viewer?action=UPDATE&amp;creator=factset&amp;DOC_NAME=fat:reuters_qtrly_source_window.fat&amp;display_string=Audit&amp;DYN_ARGS=TRUE&amp;VAR:ID1=527343&amp;VAR:RCODE=LTTD&amp;VAR:SDATE=20001299&amp;VAR:FREQ=Quarterly&amp;VAR:RELITEM=RP&amp;VAR:CURRENCY=&amp;VAR:CURRSOURCE=EXSH","ARE&amp;VAR:NATFREQ=QUARTERLY&amp;VAR:RFIELD=FINALIZED&amp;VAR:DB_TYPE=&amp;VAR:UNITS=M&amp;window=popup&amp;width=450&amp;height=300&amp;START_MAXIMIZED=FALSE"}</definedName>
    <definedName name="_6__123Graph_BMKT_MONTH" hidden="1">[5]SALES!#REF!</definedName>
    <definedName name="_6__123Graph_LBL_AMKT_YTD" hidden="1">[5]SALES!#REF!</definedName>
    <definedName name="_6__FDSAUDITLINK__" hidden="1">{"fdsup://IBCentral/FAT Viewer?action=UPDATE&amp;creator=factset&amp;DOC_NAME=fat:reuters_qtrly_source_window.fat&amp;display_string=Audit&amp;DYN_ARGS=TRUE&amp;VAR:ID1=527343&amp;VAR:RCODE=LMIN&amp;VAR:SDATE=20090699&amp;VAR:FREQ=Quarterly&amp;VAR:RELITEM=RP&amp;VAR:CURRENCY=&amp;VAR:CURRSOURCE=EXSH","ARE&amp;VAR:NATFREQ=QUARTERLY&amp;VAR:RFIELD=FINALIZED&amp;VAR:DB_TYPE=&amp;VAR:UNITS=M&amp;window=popup&amp;width=450&amp;height=300&amp;START_MAXIMIZED=FALSE"}</definedName>
    <definedName name="_60__FDSAUDITLINK__" hidden="1">{"fdsup://IBCentral/FAT Viewer?action=UPDATE&amp;creator=factset&amp;DOC_NAME=fat:reuters_qtrly_source_window.fat&amp;display_string=Audit&amp;DYN_ARGS=TRUE&amp;VAR:ID1=527343&amp;VAR:RCODE=LTTD&amp;VAR:SDATE=20060999&amp;VAR:FREQ=Quarterly&amp;VAR:RELITEM=RP&amp;VAR:CURRENCY=&amp;VAR:CURRSOURCE=EXSH","ARE&amp;VAR:NATFREQ=QUARTERLY&amp;VAR:RFIELD=FINALIZED&amp;VAR:DB_TYPE=&amp;VAR:UNITS=M&amp;window=popup&amp;width=450&amp;height=300&amp;START_MAXIMIZED=FALSE"}</definedName>
    <definedName name="_600__FDSAUDITLINK__" hidden="1">{"fdsup://IBCentral/FAT Viewer?action=UPDATE&amp;creator=factset&amp;DOC_NAME=fat:reuters_qtrly_source_window.fat&amp;display_string=Audit&amp;DYN_ARGS=TRUE&amp;VAR:ID1=527343&amp;VAR:RCODE=LTTD&amp;VAR:SDATE=20000999&amp;VAR:FREQ=Quarterly&amp;VAR:RELITEM=RP&amp;VAR:CURRENCY=&amp;VAR:CURRSOURCE=EXSH","ARE&amp;VAR:NATFREQ=QUARTERLY&amp;VAR:RFIELD=FINALIZED&amp;VAR:DB_TYPE=&amp;VAR:UNITS=M&amp;window=popup&amp;width=450&amp;height=300&amp;START_MAXIMIZED=FALSE"}</definedName>
    <definedName name="_601__FDSAUDITLINK__" hidden="1">{"fdsup://IBCentral/FAT Viewer?action=UPDATE&amp;creator=factset&amp;DOC_NAME=fat:reuters_qtrly_source_window.fat&amp;display_string=Audit&amp;DYN_ARGS=TRUE&amp;VAR:ID1=527343&amp;VAR:RCODE=LTTD&amp;VAR:SDATE=20000699&amp;VAR:FREQ=Quarterly&amp;VAR:RELITEM=RP&amp;VAR:CURRENCY=&amp;VAR:CURRSOURCE=EXSH","ARE&amp;VAR:NATFREQ=QUARTERLY&amp;VAR:RFIELD=FINALIZED&amp;VAR:DB_TYPE=&amp;VAR:UNITS=M&amp;window=popup&amp;width=450&amp;height=300&amp;START_MAXIMIZED=FALSE"}</definedName>
    <definedName name="_602__FDSAUDITLINK__" hidden="1">{"fdsup://IBCentral/FAT Viewer?action=UPDATE&amp;creator=factset&amp;DOC_NAME=fat:reuters_qtrly_source_window.fat&amp;display_string=Audit&amp;DYN_ARGS=TRUE&amp;VAR:ID1=527343&amp;VAR:RCODE=LTTD&amp;VAR:SDATE=20000399&amp;VAR:FREQ=Quarterly&amp;VAR:RELITEM=RP&amp;VAR:CURRENCY=&amp;VAR:CURRSOURCE=EXSH","ARE&amp;VAR:NATFREQ=QUARTERLY&amp;VAR:RFIELD=FINALIZED&amp;VAR:DB_TYPE=&amp;VAR:UNITS=M&amp;window=popup&amp;width=450&amp;height=300&amp;START_MAXIMIZED=FALSE"}</definedName>
    <definedName name="_603__FDSAUDITLINK__" hidden="1">{"fdsup://IBCentral/FAT Viewer?action=UPDATE&amp;creator=factset&amp;DOC_NAME=fat:reuters_qtrly_source_window.fat&amp;display_string=Audit&amp;DYN_ARGS=TRUE&amp;VAR:ID1=527343&amp;VAR:RCODE=DSTT&amp;VAR:SDATE=20100999&amp;VAR:FREQ=Quarterly&amp;VAR:RELITEM=RP&amp;VAR:CURRENCY=&amp;VAR:CURRSOURCE=EXSH","ARE&amp;VAR:NATFREQ=QUARTERLY&amp;VAR:RFIELD=FINALIZED&amp;VAR:DB_TYPE=&amp;VAR:UNITS=M&amp;window=popup&amp;width=450&amp;height=300&amp;START_MAXIMIZED=FALSE"}</definedName>
    <definedName name="_604__FDSAUDITLINK__" hidden="1">{"fdsup://IBCentral/FAT Viewer?action=UPDATE&amp;creator=factset&amp;DOC_NAME=fat:reuters_qtrly_source_window.fat&amp;display_string=Audit&amp;DYN_ARGS=TRUE&amp;VAR:ID1=527343&amp;VAR:RCODE=DSTT&amp;VAR:SDATE=20100699&amp;VAR:FREQ=Quarterly&amp;VAR:RELITEM=RP&amp;VAR:CURRENCY=&amp;VAR:CURRSOURCE=EXSH","ARE&amp;VAR:NATFREQ=QUARTERLY&amp;VAR:RFIELD=FINALIZED&amp;VAR:DB_TYPE=&amp;VAR:UNITS=M&amp;window=popup&amp;width=450&amp;height=300&amp;START_MAXIMIZED=FALSE"}</definedName>
    <definedName name="_605__FDSAUDITLINK__" hidden="1">{"fdsup://IBCentral/FAT Viewer?action=UPDATE&amp;creator=factset&amp;DOC_NAME=fat:reuters_qtrly_source_window.fat&amp;display_string=Audit&amp;DYN_ARGS=TRUE&amp;VAR:ID1=527343&amp;VAR:RCODE=DSTT&amp;VAR:SDATE=20100399&amp;VAR:FREQ=Quarterly&amp;VAR:RELITEM=RP&amp;VAR:CURRENCY=&amp;VAR:CURRSOURCE=EXSH","ARE&amp;VAR:NATFREQ=QUARTERLY&amp;VAR:RFIELD=FINALIZED&amp;VAR:DB_TYPE=&amp;VAR:UNITS=M&amp;window=popup&amp;width=450&amp;height=300&amp;START_MAXIMIZED=FALSE"}</definedName>
    <definedName name="_606__FDSAUDITLINK__" hidden="1">{"fdsup://IBCentral/FAT Viewer?action=UPDATE&amp;creator=factset&amp;DOC_NAME=fat:reuters_qtrly_source_window.fat&amp;display_string=Audit&amp;DYN_ARGS=TRUE&amp;VAR:ID1=527343&amp;VAR:RCODE=DSTT&amp;VAR:SDATE=20091299&amp;VAR:FREQ=Quarterly&amp;VAR:RELITEM=RP&amp;VAR:CURRENCY=&amp;VAR:CURRSOURCE=EXSH","ARE&amp;VAR:NATFREQ=QUARTERLY&amp;VAR:RFIELD=FINALIZED&amp;VAR:DB_TYPE=&amp;VAR:UNITS=M&amp;window=popup&amp;width=450&amp;height=300&amp;START_MAXIMIZED=FALSE"}</definedName>
    <definedName name="_607__FDSAUDITLINK__" hidden="1">{"fdsup://IBCentral/FAT Viewer?action=UPDATE&amp;creator=factset&amp;DOC_NAME=fat:reuters_qtrly_source_window.fat&amp;display_string=Audit&amp;DYN_ARGS=TRUE&amp;VAR:ID1=527343&amp;VAR:RCODE=DSTT&amp;VAR:SDATE=20090999&amp;VAR:FREQ=Quarterly&amp;VAR:RELITEM=RP&amp;VAR:CURRENCY=&amp;VAR:CURRSOURCE=EXSH","ARE&amp;VAR:NATFREQ=QUARTERLY&amp;VAR:RFIELD=FINALIZED&amp;VAR:DB_TYPE=&amp;VAR:UNITS=M&amp;window=popup&amp;width=450&amp;height=300&amp;START_MAXIMIZED=FALSE"}</definedName>
    <definedName name="_608__FDSAUDITLINK__" hidden="1">{"fdsup://IBCentral/FAT Viewer?action=UPDATE&amp;creator=factset&amp;DOC_NAME=fat:reuters_qtrly_source_window.fat&amp;display_string=Audit&amp;DYN_ARGS=TRUE&amp;VAR:ID1=527343&amp;VAR:RCODE=DSTT&amp;VAR:SDATE=20090699&amp;VAR:FREQ=Quarterly&amp;VAR:RELITEM=RP&amp;VAR:CURRENCY=&amp;VAR:CURRSOURCE=EXSH","ARE&amp;VAR:NATFREQ=QUARTERLY&amp;VAR:RFIELD=FINALIZED&amp;VAR:DB_TYPE=&amp;VAR:UNITS=M&amp;window=popup&amp;width=450&amp;height=300&amp;START_MAXIMIZED=FALSE"}</definedName>
    <definedName name="_609__FDSAUDITLINK__" hidden="1">{"fdsup://IBCentral/FAT Viewer?action=UPDATE&amp;creator=factset&amp;DOC_NAME=fat:reuters_qtrly_source_window.fat&amp;display_string=Audit&amp;DYN_ARGS=TRUE&amp;VAR:ID1=527343&amp;VAR:RCODE=DSTT&amp;VAR:SDATE=20090399&amp;VAR:FREQ=Quarterly&amp;VAR:RELITEM=RP&amp;VAR:CURRENCY=&amp;VAR:CURRSOURCE=EXSH","ARE&amp;VAR:NATFREQ=QUARTERLY&amp;VAR:RFIELD=FINALIZED&amp;VAR:DB_TYPE=&amp;VAR:UNITS=M&amp;window=popup&amp;width=450&amp;height=300&amp;START_MAXIMIZED=FALSE"}</definedName>
    <definedName name="_61__FDSAUDITLINK__" hidden="1">{"fdsup://IBCentral/FAT Viewer?action=UPDATE&amp;creator=factset&amp;DOC_NAME=fat:reuters_qtrly_source_window.fat&amp;display_string=Audit&amp;DYN_ARGS=TRUE&amp;VAR:ID1=527343&amp;VAR:RCODE=LTTD&amp;VAR:SDATE=20060699&amp;VAR:FREQ=Quarterly&amp;VAR:RELITEM=RP&amp;VAR:CURRENCY=&amp;VAR:CURRSOURCE=EXSH","ARE&amp;VAR:NATFREQ=QUARTERLY&amp;VAR:RFIELD=FINALIZED&amp;VAR:DB_TYPE=&amp;VAR:UNITS=M&amp;window=popup&amp;width=450&amp;height=300&amp;START_MAXIMIZED=FALSE"}</definedName>
    <definedName name="_610__FDSAUDITLINK__" hidden="1">{"fdsup://IBCentral/FAT Viewer?action=UPDATE&amp;creator=factset&amp;DOC_NAME=fat:reuters_qtrly_source_window.fat&amp;display_string=Audit&amp;DYN_ARGS=TRUE&amp;VAR:ID1=527343&amp;VAR:RCODE=DSTT&amp;VAR:SDATE=20081299&amp;VAR:FREQ=Quarterly&amp;VAR:RELITEM=RP&amp;VAR:CURRENCY=&amp;VAR:CURRSOURCE=EXSH","ARE&amp;VAR:NATFREQ=QUARTERLY&amp;VAR:RFIELD=FINALIZED&amp;VAR:DB_TYPE=&amp;VAR:UNITS=M&amp;window=popup&amp;width=450&amp;height=300&amp;START_MAXIMIZED=FALSE"}</definedName>
    <definedName name="_611__FDSAUDITLINK__" hidden="1">{"fdsup://IBCentral/FAT Viewer?action=UPDATE&amp;creator=factset&amp;DOC_NAME=fat:reuters_qtrly_source_window.fat&amp;display_string=Audit&amp;DYN_ARGS=TRUE&amp;VAR:ID1=527343&amp;VAR:RCODE=DSTT&amp;VAR:SDATE=20080999&amp;VAR:FREQ=Quarterly&amp;VAR:RELITEM=RP&amp;VAR:CURRENCY=&amp;VAR:CURRSOURCE=EXSH","ARE&amp;VAR:NATFREQ=QUARTERLY&amp;VAR:RFIELD=FINALIZED&amp;VAR:DB_TYPE=&amp;VAR:UNITS=M&amp;window=popup&amp;width=450&amp;height=300&amp;START_MAXIMIZED=FALSE"}</definedName>
    <definedName name="_612__FDSAUDITLINK__" hidden="1">{"fdsup://IBCentral/FAT Viewer?action=UPDATE&amp;creator=factset&amp;DOC_NAME=fat:reuters_qtrly_source_window.fat&amp;display_string=Audit&amp;DYN_ARGS=TRUE&amp;VAR:ID1=527343&amp;VAR:RCODE=DSTT&amp;VAR:SDATE=20080699&amp;VAR:FREQ=Quarterly&amp;VAR:RELITEM=RP&amp;VAR:CURRENCY=&amp;VAR:CURRSOURCE=EXSH","ARE&amp;VAR:NATFREQ=QUARTERLY&amp;VAR:RFIELD=FINALIZED&amp;VAR:DB_TYPE=&amp;VAR:UNITS=M&amp;window=popup&amp;width=450&amp;height=300&amp;START_MAXIMIZED=FALSE"}</definedName>
    <definedName name="_613__FDSAUDITLINK__" hidden="1">{"fdsup://IBCentral/FAT Viewer?action=UPDATE&amp;creator=factset&amp;DOC_NAME=fat:reuters_qtrly_source_window.fat&amp;display_string=Audit&amp;DYN_ARGS=TRUE&amp;VAR:ID1=527343&amp;VAR:RCODE=DSTT&amp;VAR:SDATE=20080399&amp;VAR:FREQ=Quarterly&amp;VAR:RELITEM=RP&amp;VAR:CURRENCY=&amp;VAR:CURRSOURCE=EXSH","ARE&amp;VAR:NATFREQ=QUARTERLY&amp;VAR:RFIELD=FINALIZED&amp;VAR:DB_TYPE=&amp;VAR:UNITS=M&amp;window=popup&amp;width=450&amp;height=300&amp;START_MAXIMIZED=FALSE"}</definedName>
    <definedName name="_614__FDSAUDITLINK__" hidden="1">{"fdsup://IBCentral/FAT Viewer?action=UPDATE&amp;creator=factset&amp;DOC_NAME=fat:reuters_qtrly_source_window.fat&amp;display_string=Audit&amp;DYN_ARGS=TRUE&amp;VAR:ID1=527343&amp;VAR:RCODE=DSTT&amp;VAR:SDATE=20071299&amp;VAR:FREQ=Quarterly&amp;VAR:RELITEM=RP&amp;VAR:CURRENCY=&amp;VAR:CURRSOURCE=EXSH","ARE&amp;VAR:NATFREQ=QUARTERLY&amp;VAR:RFIELD=FINALIZED&amp;VAR:DB_TYPE=&amp;VAR:UNITS=M&amp;window=popup&amp;width=450&amp;height=300&amp;START_MAXIMIZED=FALSE"}</definedName>
    <definedName name="_615__FDSAUDITLINK__" hidden="1">{"fdsup://IBCentral/FAT Viewer?action=UPDATE&amp;creator=factset&amp;DOC_NAME=fat:reuters_qtrly_source_window.fat&amp;display_string=Audit&amp;DYN_ARGS=TRUE&amp;VAR:ID1=527343&amp;VAR:RCODE=DSTT&amp;VAR:SDATE=20070999&amp;VAR:FREQ=Quarterly&amp;VAR:RELITEM=RP&amp;VAR:CURRENCY=&amp;VAR:CURRSOURCE=EXSH","ARE&amp;VAR:NATFREQ=QUARTERLY&amp;VAR:RFIELD=FINALIZED&amp;VAR:DB_TYPE=&amp;VAR:UNITS=M&amp;window=popup&amp;width=450&amp;height=300&amp;START_MAXIMIZED=FALSE"}</definedName>
    <definedName name="_616__FDSAUDITLINK__" hidden="1">{"fdsup://IBCentral/FAT Viewer?action=UPDATE&amp;creator=factset&amp;DOC_NAME=fat:reuters_qtrly_source_window.fat&amp;display_string=Audit&amp;DYN_ARGS=TRUE&amp;VAR:ID1=527343&amp;VAR:RCODE=DSTT&amp;VAR:SDATE=20070699&amp;VAR:FREQ=Quarterly&amp;VAR:RELITEM=RP&amp;VAR:CURRENCY=&amp;VAR:CURRSOURCE=EXSH","ARE&amp;VAR:NATFREQ=QUARTERLY&amp;VAR:RFIELD=FINALIZED&amp;VAR:DB_TYPE=&amp;VAR:UNITS=M&amp;window=popup&amp;width=450&amp;height=300&amp;START_MAXIMIZED=FALSE"}</definedName>
    <definedName name="_617__FDSAUDITLINK__" hidden="1">{"fdsup://IBCentral/FAT Viewer?action=UPDATE&amp;creator=factset&amp;DOC_NAME=fat:reuters_qtrly_source_window.fat&amp;display_string=Audit&amp;DYN_ARGS=TRUE&amp;VAR:ID1=527343&amp;VAR:RCODE=DSTT&amp;VAR:SDATE=20070399&amp;VAR:FREQ=Quarterly&amp;VAR:RELITEM=RP&amp;VAR:CURRENCY=&amp;VAR:CURRSOURCE=EXSH","ARE&amp;VAR:NATFREQ=QUARTERLY&amp;VAR:RFIELD=FINALIZED&amp;VAR:DB_TYPE=&amp;VAR:UNITS=M&amp;window=popup&amp;width=450&amp;height=300&amp;START_MAXIMIZED=FALSE"}</definedName>
    <definedName name="_618__FDSAUDITLINK__" hidden="1">{"fdsup://IBCentral/FAT Viewer?action=UPDATE&amp;creator=factset&amp;DOC_NAME=fat:reuters_qtrly_source_window.fat&amp;display_string=Audit&amp;DYN_ARGS=TRUE&amp;VAR:ID1=527343&amp;VAR:RCODE=DSTT&amp;VAR:SDATE=20061299&amp;VAR:FREQ=Quarterly&amp;VAR:RELITEM=RP&amp;VAR:CURRENCY=&amp;VAR:CURRSOURCE=EXSH","ARE&amp;VAR:NATFREQ=QUARTERLY&amp;VAR:RFIELD=FINALIZED&amp;VAR:DB_TYPE=&amp;VAR:UNITS=M&amp;window=popup&amp;width=450&amp;height=300&amp;START_MAXIMIZED=FALSE"}</definedName>
    <definedName name="_619__FDSAUDITLINK__" hidden="1">{"fdsup://IBCentral/FAT Viewer?action=UPDATE&amp;creator=factset&amp;DOC_NAME=fat:reuters_qtrly_source_window.fat&amp;display_string=Audit&amp;DYN_ARGS=TRUE&amp;VAR:ID1=527343&amp;VAR:RCODE=DSTT&amp;VAR:SDATE=20060999&amp;VAR:FREQ=Quarterly&amp;VAR:RELITEM=RP&amp;VAR:CURRENCY=&amp;VAR:CURRSOURCE=EXSH","ARE&amp;VAR:NATFREQ=QUARTERLY&amp;VAR:RFIELD=FINALIZED&amp;VAR:DB_TYPE=&amp;VAR:UNITS=M&amp;window=popup&amp;width=450&amp;height=300&amp;START_MAXIMIZED=FALSE"}</definedName>
    <definedName name="_62__FDSAUDITLINK__" hidden="1">{"fdsup://IBCentral/FAT Viewer?action=UPDATE&amp;creator=factset&amp;DOC_NAME=fat:reuters_qtrly_source_window.fat&amp;display_string=Audit&amp;DYN_ARGS=TRUE&amp;VAR:ID1=527343&amp;VAR:RCODE=LTTD&amp;VAR:SDATE=20060399&amp;VAR:FREQ=Quarterly&amp;VAR:RELITEM=RP&amp;VAR:CURRENCY=&amp;VAR:CURRSOURCE=EXSH","ARE&amp;VAR:NATFREQ=QUARTERLY&amp;VAR:RFIELD=FINALIZED&amp;VAR:DB_TYPE=&amp;VAR:UNITS=M&amp;window=popup&amp;width=450&amp;height=300&amp;START_MAXIMIZED=FALSE"}</definedName>
    <definedName name="_620__FDSAUDITLINK__" hidden="1">{"fdsup://IBCentral/FAT Viewer?action=UPDATE&amp;creator=factset&amp;DOC_NAME=fat:reuters_qtrly_source_window.fat&amp;display_string=Audit&amp;DYN_ARGS=TRUE&amp;VAR:ID1=527343&amp;VAR:RCODE=DSTT&amp;VAR:SDATE=20060699&amp;VAR:FREQ=Quarterly&amp;VAR:RELITEM=RP&amp;VAR:CURRENCY=&amp;VAR:CURRSOURCE=EXSH","ARE&amp;VAR:NATFREQ=QUARTERLY&amp;VAR:RFIELD=FINALIZED&amp;VAR:DB_TYPE=&amp;VAR:UNITS=M&amp;window=popup&amp;width=450&amp;height=300&amp;START_MAXIMIZED=FALSE"}</definedName>
    <definedName name="_621__FDSAUDITLINK__" hidden="1">{"fdsup://IBCentral/FAT Viewer?action=UPDATE&amp;creator=factset&amp;DOC_NAME=fat:reuters_qtrly_source_window.fat&amp;display_string=Audit&amp;DYN_ARGS=TRUE&amp;VAR:ID1=527343&amp;VAR:RCODE=DSTT&amp;VAR:SDATE=20060399&amp;VAR:FREQ=Quarterly&amp;VAR:RELITEM=RP&amp;VAR:CURRENCY=&amp;VAR:CURRSOURCE=EXSH","ARE&amp;VAR:NATFREQ=QUARTERLY&amp;VAR:RFIELD=FINALIZED&amp;VAR:DB_TYPE=&amp;VAR:UNITS=M&amp;window=popup&amp;width=450&amp;height=300&amp;START_MAXIMIZED=FALSE"}</definedName>
    <definedName name="_622__FDSAUDITLINK__" hidden="1">{"fdsup://IBCentral/FAT Viewer?action=UPDATE&amp;creator=factset&amp;DOC_NAME=fat:reuters_qtrly_source_window.fat&amp;display_string=Audit&amp;DYN_ARGS=TRUE&amp;VAR:ID1=527343&amp;VAR:RCODE=DSTT&amp;VAR:SDATE=20051299&amp;VAR:FREQ=Quarterly&amp;VAR:RELITEM=RP&amp;VAR:CURRENCY=&amp;VAR:CURRSOURCE=EXSH","ARE&amp;VAR:NATFREQ=QUARTERLY&amp;VAR:RFIELD=FINALIZED&amp;VAR:DB_TYPE=&amp;VAR:UNITS=M&amp;window=popup&amp;width=450&amp;height=300&amp;START_MAXIMIZED=FALSE"}</definedName>
    <definedName name="_623__FDSAUDITLINK__" hidden="1">{"fdsup://IBCentral/FAT Viewer?action=UPDATE&amp;creator=factset&amp;DOC_NAME=fat:reuters_qtrly_source_window.fat&amp;display_string=Audit&amp;DYN_ARGS=TRUE&amp;VAR:ID1=527343&amp;VAR:RCODE=DSTT&amp;VAR:SDATE=20050999&amp;VAR:FREQ=Quarterly&amp;VAR:RELITEM=RP&amp;VAR:CURRENCY=&amp;VAR:CURRSOURCE=EXSH","ARE&amp;VAR:NATFREQ=QUARTERLY&amp;VAR:RFIELD=FINALIZED&amp;VAR:DB_TYPE=&amp;VAR:UNITS=M&amp;window=popup&amp;width=450&amp;height=300&amp;START_MAXIMIZED=FALSE"}</definedName>
    <definedName name="_624__FDSAUDITLINK__" hidden="1">{"fdsup://IBCentral/FAT Viewer?action=UPDATE&amp;creator=factset&amp;DOC_NAME=fat:reuters_qtrly_source_window.fat&amp;display_string=Audit&amp;DYN_ARGS=TRUE&amp;VAR:ID1=527343&amp;VAR:RCODE=DSTT&amp;VAR:SDATE=20050699&amp;VAR:FREQ=Quarterly&amp;VAR:RELITEM=RP&amp;VAR:CURRENCY=&amp;VAR:CURRSOURCE=EXSH","ARE&amp;VAR:NATFREQ=QUARTERLY&amp;VAR:RFIELD=FINALIZED&amp;VAR:DB_TYPE=&amp;VAR:UNITS=M&amp;window=popup&amp;width=450&amp;height=300&amp;START_MAXIMIZED=FALSE"}</definedName>
    <definedName name="_625__FDSAUDITLINK__" hidden="1">{"fdsup://IBCentral/FAT Viewer?action=UPDATE&amp;creator=factset&amp;DOC_NAME=fat:reuters_qtrly_source_window.fat&amp;display_string=Audit&amp;DYN_ARGS=TRUE&amp;VAR:ID1=527343&amp;VAR:RCODE=DSTT&amp;VAR:SDATE=20050399&amp;VAR:FREQ=Quarterly&amp;VAR:RELITEM=RP&amp;VAR:CURRENCY=&amp;VAR:CURRSOURCE=EXSH","ARE&amp;VAR:NATFREQ=QUARTERLY&amp;VAR:RFIELD=FINALIZED&amp;VAR:DB_TYPE=&amp;VAR:UNITS=M&amp;window=popup&amp;width=450&amp;height=300&amp;START_MAXIMIZED=FALSE"}</definedName>
    <definedName name="_626__FDSAUDITLINK__" hidden="1">{"fdsup://IBCentral/FAT Viewer?action=UPDATE&amp;creator=factset&amp;DOC_NAME=fat:reuters_qtrly_source_window.fat&amp;display_string=Audit&amp;DYN_ARGS=TRUE&amp;VAR:ID1=527343&amp;VAR:RCODE=DSTT&amp;VAR:SDATE=20041299&amp;VAR:FREQ=Quarterly&amp;VAR:RELITEM=RP&amp;VAR:CURRENCY=&amp;VAR:CURRSOURCE=EXSH","ARE&amp;VAR:NATFREQ=QUARTERLY&amp;VAR:RFIELD=FINALIZED&amp;VAR:DB_TYPE=&amp;VAR:UNITS=M&amp;window=popup&amp;width=450&amp;height=300&amp;START_MAXIMIZED=FALSE"}</definedName>
    <definedName name="_627__FDSAUDITLINK__" hidden="1">{"fdsup://IBCentral/FAT Viewer?action=UPDATE&amp;creator=factset&amp;DOC_NAME=fat:reuters_qtrly_source_window.fat&amp;display_string=Audit&amp;DYN_ARGS=TRUE&amp;VAR:ID1=527343&amp;VAR:RCODE=DSTT&amp;VAR:SDATE=20040999&amp;VAR:FREQ=Quarterly&amp;VAR:RELITEM=RP&amp;VAR:CURRENCY=&amp;VAR:CURRSOURCE=EXSH","ARE&amp;VAR:NATFREQ=QUARTERLY&amp;VAR:RFIELD=FINALIZED&amp;VAR:DB_TYPE=&amp;VAR:UNITS=M&amp;window=popup&amp;width=450&amp;height=300&amp;START_MAXIMIZED=FALSE"}</definedName>
    <definedName name="_628__FDSAUDITLINK__" hidden="1">{"fdsup://IBCentral/FAT Viewer?action=UPDATE&amp;creator=factset&amp;DOC_NAME=fat:reuters_qtrly_source_window.fat&amp;display_string=Audit&amp;DYN_ARGS=TRUE&amp;VAR:ID1=527343&amp;VAR:RCODE=DSTT&amp;VAR:SDATE=20040699&amp;VAR:FREQ=Quarterly&amp;VAR:RELITEM=RP&amp;VAR:CURRENCY=&amp;VAR:CURRSOURCE=EXSH","ARE&amp;VAR:NATFREQ=QUARTERLY&amp;VAR:RFIELD=FINALIZED&amp;VAR:DB_TYPE=&amp;VAR:UNITS=M&amp;window=popup&amp;width=450&amp;height=300&amp;START_MAXIMIZED=FALSE"}</definedName>
    <definedName name="_629__FDSAUDITLINK__" hidden="1">{"fdsup://IBCentral/FAT Viewer?action=UPDATE&amp;creator=factset&amp;DOC_NAME=fat:reuters_qtrly_source_window.fat&amp;display_string=Audit&amp;DYN_ARGS=TRUE&amp;VAR:ID1=527343&amp;VAR:RCODE=DSTT&amp;VAR:SDATE=20040399&amp;VAR:FREQ=Quarterly&amp;VAR:RELITEM=RP&amp;VAR:CURRENCY=&amp;VAR:CURRSOURCE=EXSH","ARE&amp;VAR:NATFREQ=QUARTERLY&amp;VAR:RFIELD=FINALIZED&amp;VAR:DB_TYPE=&amp;VAR:UNITS=M&amp;window=popup&amp;width=450&amp;height=300&amp;START_MAXIMIZED=FALSE"}</definedName>
    <definedName name="_63__FDSAUDITLINK__" hidden="1">{"fdsup://IBCentral/FAT Viewer?action=UPDATE&amp;creator=factset&amp;DOC_NAME=fat:reuters_qtrly_source_window.fat&amp;display_string=Audit&amp;DYN_ARGS=TRUE&amp;VAR:ID1=527343&amp;VAR:RCODE=LTTD&amp;VAR:SDATE=20051299&amp;VAR:FREQ=Quarterly&amp;VAR:RELITEM=RP&amp;VAR:CURRENCY=&amp;VAR:CURRSOURCE=EXSH","ARE&amp;VAR:NATFREQ=QUARTERLY&amp;VAR:RFIELD=FINALIZED&amp;VAR:DB_TYPE=&amp;VAR:UNITS=M&amp;window=popup&amp;width=450&amp;height=300&amp;START_MAXIMIZED=FALSE"}</definedName>
    <definedName name="_630__FDSAUDITLINK__" hidden="1">{"fdsup://IBCentral/FAT Viewer?action=UPDATE&amp;creator=factset&amp;DOC_NAME=fat:reuters_qtrly_source_window.fat&amp;display_string=Audit&amp;DYN_ARGS=TRUE&amp;VAR:ID1=527343&amp;VAR:RCODE=DSTT&amp;VAR:SDATE=20031299&amp;VAR:FREQ=Quarterly&amp;VAR:RELITEM=RP&amp;VAR:CURRENCY=&amp;VAR:CURRSOURCE=EXSH","ARE&amp;VAR:NATFREQ=QUARTERLY&amp;VAR:RFIELD=FINALIZED&amp;VAR:DB_TYPE=&amp;VAR:UNITS=M&amp;window=popup&amp;width=450&amp;height=300&amp;START_MAXIMIZED=FALSE"}</definedName>
    <definedName name="_631__FDSAUDITLINK__" hidden="1">{"fdsup://IBCentral/FAT Viewer?action=UPDATE&amp;creator=factset&amp;DOC_NAME=fat:reuters_qtrly_source_window.fat&amp;display_string=Audit&amp;DYN_ARGS=TRUE&amp;VAR:ID1=527343&amp;VAR:RCODE=DSTT&amp;VAR:SDATE=20030999&amp;VAR:FREQ=Quarterly&amp;VAR:RELITEM=RP&amp;VAR:CURRENCY=&amp;VAR:CURRSOURCE=EXSH","ARE&amp;VAR:NATFREQ=QUARTERLY&amp;VAR:RFIELD=FINALIZED&amp;VAR:DB_TYPE=&amp;VAR:UNITS=M&amp;window=popup&amp;width=450&amp;height=300&amp;START_MAXIMIZED=FALSE"}</definedName>
    <definedName name="_632__FDSAUDITLINK__" hidden="1">{"fdsup://IBCentral/FAT Viewer?action=UPDATE&amp;creator=factset&amp;DOC_NAME=fat:reuters_qtrly_source_window.fat&amp;display_string=Audit&amp;DYN_ARGS=TRUE&amp;VAR:ID1=527343&amp;VAR:RCODE=DSTT&amp;VAR:SDATE=20030699&amp;VAR:FREQ=Quarterly&amp;VAR:RELITEM=RP&amp;VAR:CURRENCY=&amp;VAR:CURRSOURCE=EXSH","ARE&amp;VAR:NATFREQ=QUARTERLY&amp;VAR:RFIELD=FINALIZED&amp;VAR:DB_TYPE=&amp;VAR:UNITS=M&amp;window=popup&amp;width=450&amp;height=300&amp;START_MAXIMIZED=FALSE"}</definedName>
    <definedName name="_633__FDSAUDITLINK__" hidden="1">{"fdsup://IBCentral/FAT Viewer?action=UPDATE&amp;creator=factset&amp;DOC_NAME=fat:reuters_qtrly_source_window.fat&amp;display_string=Audit&amp;DYN_ARGS=TRUE&amp;VAR:ID1=527343&amp;VAR:RCODE=DSTT&amp;VAR:SDATE=20030399&amp;VAR:FREQ=Quarterly&amp;VAR:RELITEM=RP&amp;VAR:CURRENCY=&amp;VAR:CURRSOURCE=EXSH","ARE&amp;VAR:NATFREQ=QUARTERLY&amp;VAR:RFIELD=FINALIZED&amp;VAR:DB_TYPE=&amp;VAR:UNITS=M&amp;window=popup&amp;width=450&amp;height=300&amp;START_MAXIMIZED=FALSE"}</definedName>
    <definedName name="_634__FDSAUDITLINK__" hidden="1">{"fdsup://IBCentral/FAT Viewer?action=UPDATE&amp;creator=factset&amp;DOC_NAME=fat:reuters_qtrly_source_window.fat&amp;display_string=Audit&amp;DYN_ARGS=TRUE&amp;VAR:ID1=527343&amp;VAR:RCODE=DSTT&amp;VAR:SDATE=20021299&amp;VAR:FREQ=Quarterly&amp;VAR:RELITEM=RP&amp;VAR:CURRENCY=&amp;VAR:CURRSOURCE=EXSH","ARE&amp;VAR:NATFREQ=QUARTERLY&amp;VAR:RFIELD=FINALIZED&amp;VAR:DB_TYPE=&amp;VAR:UNITS=M&amp;window=popup&amp;width=450&amp;height=300&amp;START_MAXIMIZED=FALSE"}</definedName>
    <definedName name="_635__FDSAUDITLINK__" hidden="1">{"fdsup://IBCentral/FAT Viewer?action=UPDATE&amp;creator=factset&amp;DOC_NAME=fat:reuters_qtrly_source_window.fat&amp;display_string=Audit&amp;DYN_ARGS=TRUE&amp;VAR:ID1=527343&amp;VAR:RCODE=DSTT&amp;VAR:SDATE=20020999&amp;VAR:FREQ=Quarterly&amp;VAR:RELITEM=RP&amp;VAR:CURRENCY=&amp;VAR:CURRSOURCE=EXSH","ARE&amp;VAR:NATFREQ=QUARTERLY&amp;VAR:RFIELD=FINALIZED&amp;VAR:DB_TYPE=&amp;VAR:UNITS=M&amp;window=popup&amp;width=450&amp;height=300&amp;START_MAXIMIZED=FALSE"}</definedName>
    <definedName name="_636__FDSAUDITLINK__" hidden="1">{"fdsup://IBCentral/FAT Viewer?action=UPDATE&amp;creator=factset&amp;DOC_NAME=fat:reuters_qtrly_source_window.fat&amp;display_string=Audit&amp;DYN_ARGS=TRUE&amp;VAR:ID1=527343&amp;VAR:RCODE=DSTT&amp;VAR:SDATE=20020699&amp;VAR:FREQ=Quarterly&amp;VAR:RELITEM=RP&amp;VAR:CURRENCY=&amp;VAR:CURRSOURCE=EXSH","ARE&amp;VAR:NATFREQ=QUARTERLY&amp;VAR:RFIELD=FINALIZED&amp;VAR:DB_TYPE=&amp;VAR:UNITS=M&amp;window=popup&amp;width=450&amp;height=300&amp;START_MAXIMIZED=FALSE"}</definedName>
    <definedName name="_637__FDSAUDITLINK__" hidden="1">{"fdsup://IBCentral/FAT Viewer?action=UPDATE&amp;creator=factset&amp;DOC_NAME=fat:reuters_qtrly_source_window.fat&amp;display_string=Audit&amp;DYN_ARGS=TRUE&amp;VAR:ID1=527343&amp;VAR:RCODE=DSTT&amp;VAR:SDATE=20020399&amp;VAR:FREQ=Quarterly&amp;VAR:RELITEM=RP&amp;VAR:CURRENCY=&amp;VAR:CURRSOURCE=EXSH","ARE&amp;VAR:NATFREQ=QUARTERLY&amp;VAR:RFIELD=FINALIZED&amp;VAR:DB_TYPE=&amp;VAR:UNITS=M&amp;window=popup&amp;width=450&amp;height=300&amp;START_MAXIMIZED=FALSE"}</definedName>
    <definedName name="_638__FDSAUDITLINK__" hidden="1">{"fdsup://IBCentral/FAT Viewer?action=UPDATE&amp;creator=factset&amp;DOC_NAME=fat:reuters_qtrly_source_window.fat&amp;display_string=Audit&amp;DYN_ARGS=TRUE&amp;VAR:ID1=527343&amp;VAR:RCODE=DSTT&amp;VAR:SDATE=20011299&amp;VAR:FREQ=Quarterly&amp;VAR:RELITEM=RP&amp;VAR:CURRENCY=&amp;VAR:CURRSOURCE=EXSH","ARE&amp;VAR:NATFREQ=QUARTERLY&amp;VAR:RFIELD=FINALIZED&amp;VAR:DB_TYPE=&amp;VAR:UNITS=M&amp;window=popup&amp;width=450&amp;height=300&amp;START_MAXIMIZED=FALSE"}</definedName>
    <definedName name="_639__FDSAUDITLINK__" hidden="1">{"fdsup://IBCentral/FAT Viewer?action=UPDATE&amp;creator=factset&amp;DOC_NAME=fat:reuters_qtrly_source_window.fat&amp;display_string=Audit&amp;DYN_ARGS=TRUE&amp;VAR:ID1=527343&amp;VAR:RCODE=DSTT&amp;VAR:SDATE=20010999&amp;VAR:FREQ=Quarterly&amp;VAR:RELITEM=RP&amp;VAR:CURRENCY=&amp;VAR:CURRSOURCE=EXSH","ARE&amp;VAR:NATFREQ=QUARTERLY&amp;VAR:RFIELD=FINALIZED&amp;VAR:DB_TYPE=&amp;VAR:UNITS=M&amp;window=popup&amp;width=450&amp;height=300&amp;START_MAXIMIZED=FALSE"}</definedName>
    <definedName name="_64__FDSAUDITLINK__" hidden="1">{"fdsup://IBCentral/FAT Viewer?action=UPDATE&amp;creator=factset&amp;DOC_NAME=fat:reuters_qtrly_source_window.fat&amp;display_string=Audit&amp;DYN_ARGS=TRUE&amp;VAR:ID1=527343&amp;VAR:RCODE=LTTD&amp;VAR:SDATE=20050999&amp;VAR:FREQ=Quarterly&amp;VAR:RELITEM=RP&amp;VAR:CURRENCY=&amp;VAR:CURRSOURCE=EXSH","ARE&amp;VAR:NATFREQ=QUARTERLY&amp;VAR:RFIELD=FINALIZED&amp;VAR:DB_TYPE=&amp;VAR:UNITS=M&amp;window=popup&amp;width=450&amp;height=300&amp;START_MAXIMIZED=FALSE"}</definedName>
    <definedName name="_64_0_Table2_" hidden="1">#REF!</definedName>
    <definedName name="_640__FDSAUDITLINK__" hidden="1">{"fdsup://IBCentral/FAT Viewer?action=UPDATE&amp;creator=factset&amp;DOC_NAME=fat:reuters_qtrly_source_window.fat&amp;display_string=Audit&amp;DYN_ARGS=TRUE&amp;VAR:ID1=527343&amp;VAR:RCODE=DSTT&amp;VAR:SDATE=20010699&amp;VAR:FREQ=Quarterly&amp;VAR:RELITEM=RP&amp;VAR:CURRENCY=&amp;VAR:CURRSOURCE=EXSH","ARE&amp;VAR:NATFREQ=QUARTERLY&amp;VAR:RFIELD=FINALIZED&amp;VAR:DB_TYPE=&amp;VAR:UNITS=M&amp;window=popup&amp;width=450&amp;height=300&amp;START_MAXIMIZED=FALSE"}</definedName>
    <definedName name="_641__FDSAUDITLINK__" hidden="1">{"fdsup://IBCentral/FAT Viewer?action=UPDATE&amp;creator=factset&amp;DOC_NAME=fat:reuters_qtrly_source_window.fat&amp;display_string=Audit&amp;DYN_ARGS=TRUE&amp;VAR:ID1=527343&amp;VAR:RCODE=DSTT&amp;VAR:SDATE=20010399&amp;VAR:FREQ=Quarterly&amp;VAR:RELITEM=RP&amp;VAR:CURRENCY=&amp;VAR:CURRSOURCE=EXSH","ARE&amp;VAR:NATFREQ=QUARTERLY&amp;VAR:RFIELD=FINALIZED&amp;VAR:DB_TYPE=&amp;VAR:UNITS=M&amp;window=popup&amp;width=450&amp;height=300&amp;START_MAXIMIZED=FALSE"}</definedName>
    <definedName name="_642__FDSAUDITLINK__" hidden="1">{"fdsup://IBCentral/FAT Viewer?action=UPDATE&amp;creator=factset&amp;DOC_NAME=fat:reuters_qtrly_source_window.fat&amp;display_string=Audit&amp;DYN_ARGS=TRUE&amp;VAR:ID1=527343&amp;VAR:RCODE=DSTT&amp;VAR:SDATE=20001299&amp;VAR:FREQ=Quarterly&amp;VAR:RELITEM=RP&amp;VAR:CURRENCY=&amp;VAR:CURRSOURCE=EXSH","ARE&amp;VAR:NATFREQ=QUARTERLY&amp;VAR:RFIELD=FINALIZED&amp;VAR:DB_TYPE=&amp;VAR:UNITS=M&amp;window=popup&amp;width=450&amp;height=300&amp;START_MAXIMIZED=FALSE"}</definedName>
    <definedName name="_643__FDSAUDITLINK__" hidden="1">{"fdsup://IBCentral/FAT Viewer?action=UPDATE&amp;creator=factset&amp;DOC_NAME=fat:reuters_qtrly_source_window.fat&amp;display_string=Audit&amp;DYN_ARGS=TRUE&amp;VAR:ID1=527343&amp;VAR:RCODE=DSTT&amp;VAR:SDATE=20000999&amp;VAR:FREQ=Quarterly&amp;VAR:RELITEM=RP&amp;VAR:CURRENCY=&amp;VAR:CURRSOURCE=EXSH","ARE&amp;VAR:NATFREQ=QUARTERLY&amp;VAR:RFIELD=FINALIZED&amp;VAR:DB_TYPE=&amp;VAR:UNITS=M&amp;window=popup&amp;width=450&amp;height=300&amp;START_MAXIMIZED=FALSE"}</definedName>
    <definedName name="_644__FDSAUDITLINK__" hidden="1">{"fdsup://IBCentral/FAT Viewer?action=UPDATE&amp;creator=factset&amp;DOC_NAME=fat:reuters_qtrly_source_window.fat&amp;display_string=Audit&amp;DYN_ARGS=TRUE&amp;VAR:ID1=527343&amp;VAR:RCODE=DSTT&amp;VAR:SDATE=20000699&amp;VAR:FREQ=Quarterly&amp;VAR:RELITEM=RP&amp;VAR:CURRENCY=&amp;VAR:CURRSOURCE=EXSH","ARE&amp;VAR:NATFREQ=QUARTERLY&amp;VAR:RFIELD=FINALIZED&amp;VAR:DB_TYPE=&amp;VAR:UNITS=M&amp;window=popup&amp;width=450&amp;height=300&amp;START_MAXIMIZED=FALSE"}</definedName>
    <definedName name="_645__FDSAUDITLINK__" hidden="1">{"fdsup://IBCentral/FAT Viewer?action=UPDATE&amp;creator=factset&amp;DOC_NAME=fat:reuters_qtrly_source_window.fat&amp;display_string=Audit&amp;DYN_ARGS=TRUE&amp;VAR:ID1=527343&amp;VAR:RCODE=DSTT&amp;VAR:SDATE=20000399&amp;VAR:FREQ=Quarterly&amp;VAR:RELITEM=RP&amp;VAR:CURRENCY=&amp;VAR:CURRSOURCE=EXSH","ARE&amp;VAR:NATFREQ=QUARTERLY&amp;VAR:RFIELD=FINALIZED&amp;VAR:DB_TYPE=&amp;VAR:UNITS=M&amp;window=popup&amp;width=450&amp;height=300&amp;START_MAXIMIZED=FALSE"}</definedName>
    <definedName name="_646__FDSAUDITLINK__" hidden="1">{"fdsup://IBCentral/FAT Viewer?action=UPDATE&amp;creator=factset&amp;DOC_NAME=fat:reuters_qtrly_source_window.fat&amp;display_string=Audit&amp;DYN_ARGS=TRUE&amp;VAR:ID1=527343&amp;VAR:RCODE=SCSI&amp;VAR:SDATE=20100999&amp;VAR:FREQ=Quarterly&amp;VAR:RELITEM=RP&amp;VAR:CURRENCY=&amp;VAR:CURRSOURCE=EXSH","ARE&amp;VAR:NATFREQ=QUARTERLY&amp;VAR:RFIELD=FINALIZED&amp;VAR:DB_TYPE=&amp;VAR:UNITS=M&amp;window=popup&amp;width=450&amp;height=300&amp;START_MAXIMIZED=FALSE"}</definedName>
    <definedName name="_647__FDSAUDITLINK__" hidden="1">{"fdsup://IBCentral/FAT Viewer?action=UPDATE&amp;creator=factset&amp;DOC_NAME=fat:reuters_qtrly_source_window.fat&amp;display_string=Audit&amp;DYN_ARGS=TRUE&amp;VAR:ID1=527343&amp;VAR:RCODE=SCSI&amp;VAR:SDATE=20100699&amp;VAR:FREQ=Quarterly&amp;VAR:RELITEM=RP&amp;VAR:CURRENCY=&amp;VAR:CURRSOURCE=EXSH","ARE&amp;VAR:NATFREQ=QUARTERLY&amp;VAR:RFIELD=FINALIZED&amp;VAR:DB_TYPE=&amp;VAR:UNITS=M&amp;window=popup&amp;width=450&amp;height=300&amp;START_MAXIMIZED=FALSE"}</definedName>
    <definedName name="_648__FDSAUDITLINK__" hidden="1">{"fdsup://IBCentral/FAT Viewer?action=UPDATE&amp;creator=factset&amp;DOC_NAME=fat:reuters_qtrly_source_window.fat&amp;display_string=Audit&amp;DYN_ARGS=TRUE&amp;VAR:ID1=527343&amp;VAR:RCODE=SCSI&amp;VAR:SDATE=20100399&amp;VAR:FREQ=Quarterly&amp;VAR:RELITEM=RP&amp;VAR:CURRENCY=&amp;VAR:CURRSOURCE=EXSH","ARE&amp;VAR:NATFREQ=QUARTERLY&amp;VAR:RFIELD=FINALIZED&amp;VAR:DB_TYPE=&amp;VAR:UNITS=M&amp;window=popup&amp;width=450&amp;height=300&amp;START_MAXIMIZED=FALSE"}</definedName>
    <definedName name="_649__FDSAUDITLINK__" hidden="1">{"fdsup://IBCentral/FAT Viewer?action=UPDATE&amp;creator=factset&amp;DOC_NAME=fat:reuters_qtrly_source_window.fat&amp;display_string=Audit&amp;DYN_ARGS=TRUE&amp;VAR:ID1=527343&amp;VAR:RCODE=SCSI&amp;VAR:SDATE=20091299&amp;VAR:FREQ=Quarterly&amp;VAR:RELITEM=RP&amp;VAR:CURRENCY=&amp;VAR:CURRSOURCE=EXSH","ARE&amp;VAR:NATFREQ=QUARTERLY&amp;VAR:RFIELD=FINALIZED&amp;VAR:DB_TYPE=&amp;VAR:UNITS=M&amp;window=popup&amp;width=450&amp;height=300&amp;START_MAXIMIZED=FALSE"}</definedName>
    <definedName name="_65__FDSAUDITLINK__" hidden="1">{"fdsup://IBCentral/FAT Viewer?action=UPDATE&amp;creator=factset&amp;DOC_NAME=fat:reuters_qtrly_source_window.fat&amp;display_string=Audit&amp;DYN_ARGS=TRUE&amp;VAR:ID1=527343&amp;VAR:RCODE=LTTD&amp;VAR:SDATE=20050699&amp;VAR:FREQ=Quarterly&amp;VAR:RELITEM=RP&amp;VAR:CURRENCY=&amp;VAR:CURRSOURCE=EXSH","ARE&amp;VAR:NATFREQ=QUARTERLY&amp;VAR:RFIELD=FINALIZED&amp;VAR:DB_TYPE=&amp;VAR:UNITS=M&amp;window=popup&amp;width=450&amp;height=300&amp;START_MAXIMIZED=FALSE"}</definedName>
    <definedName name="_65_0_Table2_" hidden="1">#REF!</definedName>
    <definedName name="_650__FDSAUDITLINK__" hidden="1">{"fdsup://IBCentral/FAT Viewer?action=UPDATE&amp;creator=factset&amp;DOC_NAME=fat:reuters_qtrly_source_window.fat&amp;display_string=Audit&amp;DYN_ARGS=TRUE&amp;VAR:ID1=527343&amp;VAR:RCODE=SCSI&amp;VAR:SDATE=20090999&amp;VAR:FREQ=Quarterly&amp;VAR:RELITEM=RP&amp;VAR:CURRENCY=&amp;VAR:CURRSOURCE=EXSH","ARE&amp;VAR:NATFREQ=QUARTERLY&amp;VAR:RFIELD=FINALIZED&amp;VAR:DB_TYPE=&amp;VAR:UNITS=M&amp;window=popup&amp;width=450&amp;height=300&amp;START_MAXIMIZED=FALSE"}</definedName>
    <definedName name="_651__FDSAUDITLINK__" hidden="1">{"fdsup://IBCentral/FAT Viewer?action=UPDATE&amp;creator=factset&amp;DOC_NAME=fat:reuters_qtrly_source_window.fat&amp;display_string=Audit&amp;DYN_ARGS=TRUE&amp;VAR:ID1=527343&amp;VAR:RCODE=SCSI&amp;VAR:SDATE=20090699&amp;VAR:FREQ=Quarterly&amp;VAR:RELITEM=RP&amp;VAR:CURRENCY=&amp;VAR:CURRSOURCE=EXSH","ARE&amp;VAR:NATFREQ=QUARTERLY&amp;VAR:RFIELD=FINALIZED&amp;VAR:DB_TYPE=&amp;VAR:UNITS=M&amp;window=popup&amp;width=450&amp;height=300&amp;START_MAXIMIZED=FALSE"}</definedName>
    <definedName name="_652__FDSAUDITLINK__" hidden="1">{"fdsup://IBCentral/FAT Viewer?action=UPDATE&amp;creator=factset&amp;DOC_NAME=fat:reuters_qtrly_source_window.fat&amp;display_string=Audit&amp;DYN_ARGS=TRUE&amp;VAR:ID1=527343&amp;VAR:RCODE=SCSI&amp;VAR:SDATE=20090399&amp;VAR:FREQ=Quarterly&amp;VAR:RELITEM=RP&amp;VAR:CURRENCY=&amp;VAR:CURRSOURCE=EXSH","ARE&amp;VAR:NATFREQ=QUARTERLY&amp;VAR:RFIELD=FINALIZED&amp;VAR:DB_TYPE=&amp;VAR:UNITS=M&amp;window=popup&amp;width=450&amp;height=300&amp;START_MAXIMIZED=FALSE"}</definedName>
    <definedName name="_653__FDSAUDITLINK__" hidden="1">{"fdsup://IBCentral/FAT Viewer?action=UPDATE&amp;creator=factset&amp;DOC_NAME=fat:reuters_qtrly_source_window.fat&amp;display_string=Audit&amp;DYN_ARGS=TRUE&amp;VAR:ID1=527343&amp;VAR:RCODE=SCSI&amp;VAR:SDATE=20081299&amp;VAR:FREQ=Quarterly&amp;VAR:RELITEM=RP&amp;VAR:CURRENCY=&amp;VAR:CURRSOURCE=EXSH","ARE&amp;VAR:NATFREQ=QUARTERLY&amp;VAR:RFIELD=FINALIZED&amp;VAR:DB_TYPE=&amp;VAR:UNITS=M&amp;window=popup&amp;width=450&amp;height=300&amp;START_MAXIMIZED=FALSE"}</definedName>
    <definedName name="_654__FDSAUDITLINK__" hidden="1">{"fdsup://IBCentral/FAT Viewer?action=UPDATE&amp;creator=factset&amp;DOC_NAME=fat:reuters_qtrly_source_window.fat&amp;display_string=Audit&amp;DYN_ARGS=TRUE&amp;VAR:ID1=527343&amp;VAR:RCODE=SCSI&amp;VAR:SDATE=20080999&amp;VAR:FREQ=Quarterly&amp;VAR:RELITEM=RP&amp;VAR:CURRENCY=&amp;VAR:CURRSOURCE=EXSH","ARE&amp;VAR:NATFREQ=QUARTERLY&amp;VAR:RFIELD=FINALIZED&amp;VAR:DB_TYPE=&amp;VAR:UNITS=M&amp;window=popup&amp;width=450&amp;height=300&amp;START_MAXIMIZED=FALSE"}</definedName>
    <definedName name="_655__FDSAUDITLINK__" hidden="1">{"fdsup://IBCentral/FAT Viewer?action=UPDATE&amp;creator=factset&amp;DOC_NAME=fat:reuters_qtrly_source_window.fat&amp;display_string=Audit&amp;DYN_ARGS=TRUE&amp;VAR:ID1=527343&amp;VAR:RCODE=SCSI&amp;VAR:SDATE=20080699&amp;VAR:FREQ=Quarterly&amp;VAR:RELITEM=RP&amp;VAR:CURRENCY=&amp;VAR:CURRSOURCE=EXSH","ARE&amp;VAR:NATFREQ=QUARTERLY&amp;VAR:RFIELD=FINALIZED&amp;VAR:DB_TYPE=&amp;VAR:UNITS=M&amp;window=popup&amp;width=450&amp;height=300&amp;START_MAXIMIZED=FALSE"}</definedName>
    <definedName name="_656__FDSAUDITLINK__" hidden="1">{"fdsup://IBCentral/FAT Viewer?action=UPDATE&amp;creator=factset&amp;DOC_NAME=fat:reuters_qtrly_source_window.fat&amp;display_string=Audit&amp;DYN_ARGS=TRUE&amp;VAR:ID1=527343&amp;VAR:RCODE=SCSI&amp;VAR:SDATE=20080399&amp;VAR:FREQ=Quarterly&amp;VAR:RELITEM=RP&amp;VAR:CURRENCY=&amp;VAR:CURRSOURCE=EXSH","ARE&amp;VAR:NATFREQ=QUARTERLY&amp;VAR:RFIELD=FINALIZED&amp;VAR:DB_TYPE=&amp;VAR:UNITS=M&amp;window=popup&amp;width=450&amp;height=300&amp;START_MAXIMIZED=FALSE"}</definedName>
    <definedName name="_657__FDSAUDITLINK__" hidden="1">{"fdsup://IBCentral/FAT Viewer?action=UPDATE&amp;creator=factset&amp;DOC_NAME=fat:reuters_qtrly_source_window.fat&amp;display_string=Audit&amp;DYN_ARGS=TRUE&amp;VAR:ID1=527343&amp;VAR:RCODE=SCSI&amp;VAR:SDATE=20071299&amp;VAR:FREQ=Quarterly&amp;VAR:RELITEM=RP&amp;VAR:CURRENCY=&amp;VAR:CURRSOURCE=EXSH","ARE&amp;VAR:NATFREQ=QUARTERLY&amp;VAR:RFIELD=FINALIZED&amp;VAR:DB_TYPE=&amp;VAR:UNITS=M&amp;window=popup&amp;width=450&amp;height=300&amp;START_MAXIMIZED=FALSE"}</definedName>
    <definedName name="_658__FDSAUDITLINK__" hidden="1">{"fdsup://IBCentral/FAT Viewer?action=UPDATE&amp;creator=factset&amp;DOC_NAME=fat:reuters_qtrly_source_window.fat&amp;display_string=Audit&amp;DYN_ARGS=TRUE&amp;VAR:ID1=527343&amp;VAR:RCODE=SCSI&amp;VAR:SDATE=20070999&amp;VAR:FREQ=Quarterly&amp;VAR:RELITEM=RP&amp;VAR:CURRENCY=&amp;VAR:CURRSOURCE=EXSH","ARE&amp;VAR:NATFREQ=QUARTERLY&amp;VAR:RFIELD=FINALIZED&amp;VAR:DB_TYPE=&amp;VAR:UNITS=M&amp;window=popup&amp;width=450&amp;height=300&amp;START_MAXIMIZED=FALSE"}</definedName>
    <definedName name="_659__FDSAUDITLINK__" hidden="1">{"fdsup://IBCentral/FAT Viewer?action=UPDATE&amp;creator=factset&amp;DOC_NAME=fat:reuters_qtrly_source_window.fat&amp;display_string=Audit&amp;DYN_ARGS=TRUE&amp;VAR:ID1=527343&amp;VAR:RCODE=SCSI&amp;VAR:SDATE=20070699&amp;VAR:FREQ=Quarterly&amp;VAR:RELITEM=RP&amp;VAR:CURRENCY=&amp;VAR:CURRSOURCE=EXSH","ARE&amp;VAR:NATFREQ=QUARTERLY&amp;VAR:RFIELD=FINALIZED&amp;VAR:DB_TYPE=&amp;VAR:UNITS=M&amp;window=popup&amp;width=450&amp;height=300&amp;START_MAXIMIZED=FALSE"}</definedName>
    <definedName name="_66__FDSAUDITLINK__" hidden="1">{"fdsup://IBCentral/FAT Viewer?action=UPDATE&amp;creator=factset&amp;DOC_NAME=fat:reuters_qtrly_source_window.fat&amp;display_string=Audit&amp;DYN_ARGS=TRUE&amp;VAR:ID1=527343&amp;VAR:RCODE=LTTD&amp;VAR:SDATE=20050399&amp;VAR:FREQ=Quarterly&amp;VAR:RELITEM=RP&amp;VAR:CURRENCY=&amp;VAR:CURRSOURCE=EXSH","ARE&amp;VAR:NATFREQ=QUARTERLY&amp;VAR:RFIELD=FINALIZED&amp;VAR:DB_TYPE=&amp;VAR:UNITS=M&amp;window=popup&amp;width=450&amp;height=300&amp;START_MAXIMIZED=FALSE"}</definedName>
    <definedName name="_66_0_Table2_" hidden="1">#REF!</definedName>
    <definedName name="_660__FDSAUDITLINK__" hidden="1">{"fdsup://IBCentral/FAT Viewer?action=UPDATE&amp;creator=factset&amp;DOC_NAME=fat:reuters_qtrly_source_window.fat&amp;display_string=Audit&amp;DYN_ARGS=TRUE&amp;VAR:ID1=527343&amp;VAR:RCODE=SCSI&amp;VAR:SDATE=20070399&amp;VAR:FREQ=Quarterly&amp;VAR:RELITEM=RP&amp;VAR:CURRENCY=&amp;VAR:CURRSOURCE=EXSH","ARE&amp;VAR:NATFREQ=QUARTERLY&amp;VAR:RFIELD=FINALIZED&amp;VAR:DB_TYPE=&amp;VAR:UNITS=M&amp;window=popup&amp;width=450&amp;height=300&amp;START_MAXIMIZED=FALSE"}</definedName>
    <definedName name="_661__FDSAUDITLINK__" hidden="1">{"fdsup://IBCentral/FAT Viewer?action=UPDATE&amp;creator=factset&amp;DOC_NAME=fat:reuters_qtrly_source_window.fat&amp;display_string=Audit&amp;DYN_ARGS=TRUE&amp;VAR:ID1=527343&amp;VAR:RCODE=SCSI&amp;VAR:SDATE=20061299&amp;VAR:FREQ=Quarterly&amp;VAR:RELITEM=RP&amp;VAR:CURRENCY=&amp;VAR:CURRSOURCE=EXSH","ARE&amp;VAR:NATFREQ=QUARTERLY&amp;VAR:RFIELD=FINALIZED&amp;VAR:DB_TYPE=&amp;VAR:UNITS=M&amp;window=popup&amp;width=450&amp;height=300&amp;START_MAXIMIZED=FALSE"}</definedName>
    <definedName name="_662__FDSAUDITLINK__" hidden="1">{"fdsup://IBCentral/FAT Viewer?action=UPDATE&amp;creator=factset&amp;DOC_NAME=fat:reuters_qtrly_source_window.fat&amp;display_string=Audit&amp;DYN_ARGS=TRUE&amp;VAR:ID1=527343&amp;VAR:RCODE=SCSI&amp;VAR:SDATE=20060999&amp;VAR:FREQ=Quarterly&amp;VAR:RELITEM=RP&amp;VAR:CURRENCY=&amp;VAR:CURRSOURCE=EXSH","ARE&amp;VAR:NATFREQ=QUARTERLY&amp;VAR:RFIELD=FINALIZED&amp;VAR:DB_TYPE=&amp;VAR:UNITS=M&amp;window=popup&amp;width=450&amp;height=300&amp;START_MAXIMIZED=FALSE"}</definedName>
    <definedName name="_663__FDSAUDITLINK__" hidden="1">{"fdsup://IBCentral/FAT Viewer?action=UPDATE&amp;creator=factset&amp;DOC_NAME=fat:reuters_qtrly_source_window.fat&amp;display_string=Audit&amp;DYN_ARGS=TRUE&amp;VAR:ID1=527343&amp;VAR:RCODE=SCSI&amp;VAR:SDATE=20060699&amp;VAR:FREQ=Quarterly&amp;VAR:RELITEM=RP&amp;VAR:CURRENCY=&amp;VAR:CURRSOURCE=EXSH","ARE&amp;VAR:NATFREQ=QUARTERLY&amp;VAR:RFIELD=FINALIZED&amp;VAR:DB_TYPE=&amp;VAR:UNITS=M&amp;window=popup&amp;width=450&amp;height=300&amp;START_MAXIMIZED=FALSE"}</definedName>
    <definedName name="_664__FDSAUDITLINK__" hidden="1">{"fdsup://IBCentral/FAT Viewer?action=UPDATE&amp;creator=factset&amp;DOC_NAME=fat:reuters_qtrly_source_window.fat&amp;display_string=Audit&amp;DYN_ARGS=TRUE&amp;VAR:ID1=527343&amp;VAR:RCODE=SCSI&amp;VAR:SDATE=20060399&amp;VAR:FREQ=Quarterly&amp;VAR:RELITEM=RP&amp;VAR:CURRENCY=&amp;VAR:CURRSOURCE=EXSH","ARE&amp;VAR:NATFREQ=QUARTERLY&amp;VAR:RFIELD=FINALIZED&amp;VAR:DB_TYPE=&amp;VAR:UNITS=M&amp;window=popup&amp;width=450&amp;height=300&amp;START_MAXIMIZED=FALSE"}</definedName>
    <definedName name="_665__FDSAUDITLINK__" hidden="1">{"fdsup://IBCentral/FAT Viewer?action=UPDATE&amp;creator=factset&amp;DOC_NAME=fat:reuters_qtrly_source_window.fat&amp;display_string=Audit&amp;DYN_ARGS=TRUE&amp;VAR:ID1=527343&amp;VAR:RCODE=SCSI&amp;VAR:SDATE=20051299&amp;VAR:FREQ=Quarterly&amp;VAR:RELITEM=RP&amp;VAR:CURRENCY=&amp;VAR:CURRSOURCE=EXSH","ARE&amp;VAR:NATFREQ=QUARTERLY&amp;VAR:RFIELD=FINALIZED&amp;VAR:DB_TYPE=&amp;VAR:UNITS=M&amp;window=popup&amp;width=450&amp;height=300&amp;START_MAXIMIZED=FALSE"}</definedName>
    <definedName name="_666__FDSAUDITLINK__" hidden="1">{"fdsup://IBCentral/FAT Viewer?action=UPDATE&amp;creator=factset&amp;DOC_NAME=fat:reuters_qtrly_source_window.fat&amp;display_string=Audit&amp;DYN_ARGS=TRUE&amp;VAR:ID1=527343&amp;VAR:RCODE=SCSI&amp;VAR:SDATE=20050999&amp;VAR:FREQ=Quarterly&amp;VAR:RELITEM=RP&amp;VAR:CURRENCY=&amp;VAR:CURRSOURCE=EXSH","ARE&amp;VAR:NATFREQ=QUARTERLY&amp;VAR:RFIELD=FINALIZED&amp;VAR:DB_TYPE=&amp;VAR:UNITS=M&amp;window=popup&amp;width=450&amp;height=300&amp;START_MAXIMIZED=FALSE"}</definedName>
    <definedName name="_667__FDSAUDITLINK__" hidden="1">{"fdsup://IBCentral/FAT Viewer?action=UPDATE&amp;creator=factset&amp;DOC_NAME=fat:reuters_qtrly_source_window.fat&amp;display_string=Audit&amp;DYN_ARGS=TRUE&amp;VAR:ID1=527343&amp;VAR:RCODE=SCSI&amp;VAR:SDATE=20050699&amp;VAR:FREQ=Quarterly&amp;VAR:RELITEM=RP&amp;VAR:CURRENCY=&amp;VAR:CURRSOURCE=EXSH","ARE&amp;VAR:NATFREQ=QUARTERLY&amp;VAR:RFIELD=FINALIZED&amp;VAR:DB_TYPE=&amp;VAR:UNITS=M&amp;window=popup&amp;width=450&amp;height=300&amp;START_MAXIMIZED=FALSE"}</definedName>
    <definedName name="_668__FDSAUDITLINK__" hidden="1">{"fdsup://IBCentral/FAT Viewer?action=UPDATE&amp;creator=factset&amp;DOC_NAME=fat:reuters_qtrly_source_window.fat&amp;display_string=Audit&amp;DYN_ARGS=TRUE&amp;VAR:ID1=527343&amp;VAR:RCODE=SCSI&amp;VAR:SDATE=20050399&amp;VAR:FREQ=Quarterly&amp;VAR:RELITEM=RP&amp;VAR:CURRENCY=&amp;VAR:CURRSOURCE=EXSH","ARE&amp;VAR:NATFREQ=QUARTERLY&amp;VAR:RFIELD=FINALIZED&amp;VAR:DB_TYPE=&amp;VAR:UNITS=M&amp;window=popup&amp;width=450&amp;height=300&amp;START_MAXIMIZED=FALSE"}</definedName>
    <definedName name="_669__FDSAUDITLINK__" hidden="1">{"fdsup://IBCentral/FAT Viewer?action=UPDATE&amp;creator=factset&amp;DOC_NAME=fat:reuters_qtrly_source_window.fat&amp;display_string=Audit&amp;DYN_ARGS=TRUE&amp;VAR:ID1=527343&amp;VAR:RCODE=SCSI&amp;VAR:SDATE=20041299&amp;VAR:FREQ=Quarterly&amp;VAR:RELITEM=RP&amp;VAR:CURRENCY=&amp;VAR:CURRSOURCE=EXSH","ARE&amp;VAR:NATFREQ=QUARTERLY&amp;VAR:RFIELD=FINALIZED&amp;VAR:DB_TYPE=&amp;VAR:UNITS=M&amp;window=popup&amp;width=450&amp;height=300&amp;START_MAXIMIZED=FALSE"}</definedName>
    <definedName name="_67__FDSAUDITLINK__" hidden="1">{"fdsup://IBCentral/FAT Viewer?action=UPDATE&amp;creator=factset&amp;DOC_NAME=fat:reuters_qtrly_source_window.fat&amp;display_string=Audit&amp;DYN_ARGS=TRUE&amp;VAR:ID1=527343&amp;VAR:RCODE=LTTD&amp;VAR:SDATE=20041299&amp;VAR:FREQ=Quarterly&amp;VAR:RELITEM=RP&amp;VAR:CURRENCY=&amp;VAR:CURRSOURCE=EXSH","ARE&amp;VAR:NATFREQ=QUARTERLY&amp;VAR:RFIELD=FINALIZED&amp;VAR:DB_TYPE=&amp;VAR:UNITS=M&amp;window=popup&amp;width=450&amp;height=300&amp;START_MAXIMIZED=FALSE"}</definedName>
    <definedName name="_670__FDSAUDITLINK__" hidden="1">{"fdsup://IBCentral/FAT Viewer?action=UPDATE&amp;creator=factset&amp;DOC_NAME=fat:reuters_qtrly_source_window.fat&amp;display_string=Audit&amp;DYN_ARGS=TRUE&amp;VAR:ID1=527343&amp;VAR:RCODE=SCSI&amp;VAR:SDATE=20040999&amp;VAR:FREQ=Quarterly&amp;VAR:RELITEM=RP&amp;VAR:CURRENCY=&amp;VAR:CURRSOURCE=EXSH","ARE&amp;VAR:NATFREQ=QUARTERLY&amp;VAR:RFIELD=FINALIZED&amp;VAR:DB_TYPE=&amp;VAR:UNITS=M&amp;window=popup&amp;width=450&amp;height=300&amp;START_MAXIMIZED=FALSE"}</definedName>
    <definedName name="_671__FDSAUDITLINK__" hidden="1">{"fdsup://IBCentral/FAT Viewer?action=UPDATE&amp;creator=factset&amp;DOC_NAME=fat:reuters_qtrly_source_window.fat&amp;display_string=Audit&amp;DYN_ARGS=TRUE&amp;VAR:ID1=527343&amp;VAR:RCODE=SCSI&amp;VAR:SDATE=20040699&amp;VAR:FREQ=Quarterly&amp;VAR:RELITEM=RP&amp;VAR:CURRENCY=&amp;VAR:CURRSOURCE=EXSH","ARE&amp;VAR:NATFREQ=QUARTERLY&amp;VAR:RFIELD=FINALIZED&amp;VAR:DB_TYPE=&amp;VAR:UNITS=M&amp;window=popup&amp;width=450&amp;height=300&amp;START_MAXIMIZED=FALSE"}</definedName>
    <definedName name="_672__FDSAUDITLINK__" hidden="1">{"fdsup://IBCentral/FAT Viewer?action=UPDATE&amp;creator=factset&amp;DOC_NAME=fat:reuters_qtrly_source_window.fat&amp;display_string=Audit&amp;DYN_ARGS=TRUE&amp;VAR:ID1=527343&amp;VAR:RCODE=SCSI&amp;VAR:SDATE=20040399&amp;VAR:FREQ=Quarterly&amp;VAR:RELITEM=RP&amp;VAR:CURRENCY=&amp;VAR:CURRSOURCE=EXSH","ARE&amp;VAR:NATFREQ=QUARTERLY&amp;VAR:RFIELD=FINALIZED&amp;VAR:DB_TYPE=&amp;VAR:UNITS=M&amp;window=popup&amp;width=450&amp;height=300&amp;START_MAXIMIZED=FALSE"}</definedName>
    <definedName name="_673__FDSAUDITLINK__" hidden="1">{"fdsup://IBCentral/FAT Viewer?action=UPDATE&amp;creator=factset&amp;DOC_NAME=fat:reuters_qtrly_source_window.fat&amp;display_string=Audit&amp;DYN_ARGS=TRUE&amp;VAR:ID1=527343&amp;VAR:RCODE=SCSI&amp;VAR:SDATE=20031299&amp;VAR:FREQ=Quarterly&amp;VAR:RELITEM=RP&amp;VAR:CURRENCY=&amp;VAR:CURRSOURCE=EXSH","ARE&amp;VAR:NATFREQ=QUARTERLY&amp;VAR:RFIELD=FINALIZED&amp;VAR:DB_TYPE=&amp;VAR:UNITS=M&amp;window=popup&amp;width=450&amp;height=300&amp;START_MAXIMIZED=FALSE"}</definedName>
    <definedName name="_674__FDSAUDITLINK__" hidden="1">{"fdsup://IBCentral/FAT Viewer?action=UPDATE&amp;creator=factset&amp;DOC_NAME=fat:reuters_qtrly_source_window.fat&amp;display_string=Audit&amp;DYN_ARGS=TRUE&amp;VAR:ID1=527343&amp;VAR:RCODE=SCSI&amp;VAR:SDATE=20030999&amp;VAR:FREQ=Quarterly&amp;VAR:RELITEM=RP&amp;VAR:CURRENCY=&amp;VAR:CURRSOURCE=EXSH","ARE&amp;VAR:NATFREQ=QUARTERLY&amp;VAR:RFIELD=FINALIZED&amp;VAR:DB_TYPE=&amp;VAR:UNITS=M&amp;window=popup&amp;width=450&amp;height=300&amp;START_MAXIMIZED=FALSE"}</definedName>
    <definedName name="_675__FDSAUDITLINK__" hidden="1">{"fdsup://IBCentral/FAT Viewer?action=UPDATE&amp;creator=factset&amp;DOC_NAME=fat:reuters_qtrly_source_window.fat&amp;display_string=Audit&amp;DYN_ARGS=TRUE&amp;VAR:ID1=527343&amp;VAR:RCODE=SCSI&amp;VAR:SDATE=20030699&amp;VAR:FREQ=Quarterly&amp;VAR:RELITEM=RP&amp;VAR:CURRENCY=&amp;VAR:CURRSOURCE=EXSH","ARE&amp;VAR:NATFREQ=QUARTERLY&amp;VAR:RFIELD=FINALIZED&amp;VAR:DB_TYPE=&amp;VAR:UNITS=M&amp;window=popup&amp;width=450&amp;height=300&amp;START_MAXIMIZED=FALSE"}</definedName>
    <definedName name="_676__FDSAUDITLINK__" hidden="1">{"fdsup://IBCentral/FAT Viewer?action=UPDATE&amp;creator=factset&amp;DOC_NAME=fat:reuters_qtrly_source_window.fat&amp;display_string=Audit&amp;DYN_ARGS=TRUE&amp;VAR:ID1=527343&amp;VAR:RCODE=SCSI&amp;VAR:SDATE=20030399&amp;VAR:FREQ=Quarterly&amp;VAR:RELITEM=RP&amp;VAR:CURRENCY=&amp;VAR:CURRSOURCE=EXSH","ARE&amp;VAR:NATFREQ=QUARTERLY&amp;VAR:RFIELD=FINALIZED&amp;VAR:DB_TYPE=&amp;VAR:UNITS=M&amp;window=popup&amp;width=450&amp;height=300&amp;START_MAXIMIZED=FALSE"}</definedName>
    <definedName name="_677__FDSAUDITLINK__" hidden="1">{"fdsup://IBCentral/FAT Viewer?action=UPDATE&amp;creator=factset&amp;DOC_NAME=fat:reuters_qtrly_source_window.fat&amp;display_string=Audit&amp;DYN_ARGS=TRUE&amp;VAR:ID1=527343&amp;VAR:RCODE=SCSI&amp;VAR:SDATE=20021299&amp;VAR:FREQ=Quarterly&amp;VAR:RELITEM=RP&amp;VAR:CURRENCY=&amp;VAR:CURRSOURCE=EXSH","ARE&amp;VAR:NATFREQ=QUARTERLY&amp;VAR:RFIELD=FINALIZED&amp;VAR:DB_TYPE=&amp;VAR:UNITS=M&amp;window=popup&amp;width=450&amp;height=300&amp;START_MAXIMIZED=FALSE"}</definedName>
    <definedName name="_678__FDSAUDITLINK__" hidden="1">{"fdsup://IBCentral/FAT Viewer?action=UPDATE&amp;creator=factset&amp;DOC_NAME=fat:reuters_qtrly_source_window.fat&amp;display_string=Audit&amp;DYN_ARGS=TRUE&amp;VAR:ID1=527343&amp;VAR:RCODE=SCSI&amp;VAR:SDATE=20020999&amp;VAR:FREQ=Quarterly&amp;VAR:RELITEM=RP&amp;VAR:CURRENCY=&amp;VAR:CURRSOURCE=EXSH","ARE&amp;VAR:NATFREQ=QUARTERLY&amp;VAR:RFIELD=FINALIZED&amp;VAR:DB_TYPE=&amp;VAR:UNITS=M&amp;window=popup&amp;width=450&amp;height=300&amp;START_MAXIMIZED=FALSE"}</definedName>
    <definedName name="_679__FDSAUDITLINK__" hidden="1">{"fdsup://IBCentral/FAT Viewer?action=UPDATE&amp;creator=factset&amp;DOC_NAME=fat:reuters_qtrly_source_window.fat&amp;display_string=Audit&amp;DYN_ARGS=TRUE&amp;VAR:ID1=527343&amp;VAR:RCODE=SCSI&amp;VAR:SDATE=20020699&amp;VAR:FREQ=Quarterly&amp;VAR:RELITEM=RP&amp;VAR:CURRENCY=&amp;VAR:CURRSOURCE=EXSH","ARE&amp;VAR:NATFREQ=QUARTERLY&amp;VAR:RFIELD=FINALIZED&amp;VAR:DB_TYPE=&amp;VAR:UNITS=M&amp;window=popup&amp;width=450&amp;height=300&amp;START_MAXIMIZED=FALSE"}</definedName>
    <definedName name="_68__FDSAUDITLINK__" hidden="1">{"fdsup://IBCentral/FAT Viewer?action=UPDATE&amp;creator=factset&amp;DOC_NAME=fat:reuters_qtrly_source_window.fat&amp;display_string=Audit&amp;DYN_ARGS=TRUE&amp;VAR:ID1=527343&amp;VAR:RCODE=LTTD&amp;VAR:SDATE=20040999&amp;VAR:FREQ=Quarterly&amp;VAR:RELITEM=RP&amp;VAR:CURRENCY=&amp;VAR:CURRSOURCE=EXSH","ARE&amp;VAR:NATFREQ=QUARTERLY&amp;VAR:RFIELD=FINALIZED&amp;VAR:DB_TYPE=&amp;VAR:UNITS=M&amp;window=popup&amp;width=450&amp;height=300&amp;START_MAXIMIZED=FALSE"}</definedName>
    <definedName name="_680__FDSAUDITLINK__" hidden="1">{"fdsup://IBCentral/FAT Viewer?action=UPDATE&amp;creator=factset&amp;DOC_NAME=fat:reuters_qtrly_source_window.fat&amp;display_string=Audit&amp;DYN_ARGS=TRUE&amp;VAR:ID1=527343&amp;VAR:RCODE=SCSI&amp;VAR:SDATE=20020399&amp;VAR:FREQ=Quarterly&amp;VAR:RELITEM=RP&amp;VAR:CURRENCY=&amp;VAR:CURRSOURCE=EXSH","ARE&amp;VAR:NATFREQ=QUARTERLY&amp;VAR:RFIELD=FINALIZED&amp;VAR:DB_TYPE=&amp;VAR:UNITS=M&amp;window=popup&amp;width=450&amp;height=300&amp;START_MAXIMIZED=FALSE"}</definedName>
    <definedName name="_681__FDSAUDITLINK__" hidden="1">{"fdsup://IBCentral/FAT Viewer?action=UPDATE&amp;creator=factset&amp;DOC_NAME=fat:reuters_qtrly_source_window.fat&amp;display_string=Audit&amp;DYN_ARGS=TRUE&amp;VAR:ID1=527343&amp;VAR:RCODE=SCSI&amp;VAR:SDATE=20011299&amp;VAR:FREQ=Quarterly&amp;VAR:RELITEM=RP&amp;VAR:CURRENCY=&amp;VAR:CURRSOURCE=EXSH","ARE&amp;VAR:NATFREQ=QUARTERLY&amp;VAR:RFIELD=FINALIZED&amp;VAR:DB_TYPE=&amp;VAR:UNITS=M&amp;window=popup&amp;width=450&amp;height=300&amp;START_MAXIMIZED=FALSE"}</definedName>
    <definedName name="_682__FDSAUDITLINK__" hidden="1">{"fdsup://IBCentral/FAT Viewer?action=UPDATE&amp;creator=factset&amp;DOC_NAME=fat:reuters_qtrly_source_window.fat&amp;display_string=Audit&amp;DYN_ARGS=TRUE&amp;VAR:ID1=527343&amp;VAR:RCODE=SCSI&amp;VAR:SDATE=20010999&amp;VAR:FREQ=Quarterly&amp;VAR:RELITEM=RP&amp;VAR:CURRENCY=&amp;VAR:CURRSOURCE=EXSH","ARE&amp;VAR:NATFREQ=QUARTERLY&amp;VAR:RFIELD=FINALIZED&amp;VAR:DB_TYPE=&amp;VAR:UNITS=M&amp;window=popup&amp;width=450&amp;height=300&amp;START_MAXIMIZED=FALSE"}</definedName>
    <definedName name="_683__FDSAUDITLINK__" hidden="1">{"fdsup://IBCentral/FAT Viewer?action=UPDATE&amp;creator=factset&amp;DOC_NAME=fat:reuters_qtrly_source_window.fat&amp;display_string=Audit&amp;DYN_ARGS=TRUE&amp;VAR:ID1=527343&amp;VAR:RCODE=SCSI&amp;VAR:SDATE=20010699&amp;VAR:FREQ=Quarterly&amp;VAR:RELITEM=RP&amp;VAR:CURRENCY=&amp;VAR:CURRSOURCE=EXSH","ARE&amp;VAR:NATFREQ=QUARTERLY&amp;VAR:RFIELD=FINALIZED&amp;VAR:DB_TYPE=&amp;VAR:UNITS=M&amp;window=popup&amp;width=450&amp;height=300&amp;START_MAXIMIZED=FALSE"}</definedName>
    <definedName name="_684__FDSAUDITLINK__" hidden="1">{"fdsup://IBCentral/FAT Viewer?action=UPDATE&amp;creator=factset&amp;DOC_NAME=fat:reuters_qtrly_source_window.fat&amp;display_string=Audit&amp;DYN_ARGS=TRUE&amp;VAR:ID1=527343&amp;VAR:RCODE=SCSI&amp;VAR:SDATE=20010399&amp;VAR:FREQ=Quarterly&amp;VAR:RELITEM=RP&amp;VAR:CURRENCY=&amp;VAR:CURRSOURCE=EXSH","ARE&amp;VAR:NATFREQ=QUARTERLY&amp;VAR:RFIELD=FINALIZED&amp;VAR:DB_TYPE=&amp;VAR:UNITS=M&amp;window=popup&amp;width=450&amp;height=300&amp;START_MAXIMIZED=FALSE"}</definedName>
    <definedName name="_685__FDSAUDITLINK__" hidden="1">{"fdsup://IBCentral/FAT Viewer?action=UPDATE&amp;creator=factset&amp;DOC_NAME=fat:reuters_qtrly_source_window.fat&amp;display_string=Audit&amp;DYN_ARGS=TRUE&amp;VAR:ID1=527343&amp;VAR:RCODE=SCSI&amp;VAR:SDATE=20001299&amp;VAR:FREQ=Quarterly&amp;VAR:RELITEM=RP&amp;VAR:CURRENCY=&amp;VAR:CURRSOURCE=EXSH","ARE&amp;VAR:NATFREQ=QUARTERLY&amp;VAR:RFIELD=FINALIZED&amp;VAR:DB_TYPE=&amp;VAR:UNITS=M&amp;window=popup&amp;width=450&amp;height=300&amp;START_MAXIMIZED=FALSE"}</definedName>
    <definedName name="_686__FDSAUDITLINK__" hidden="1">{"fdsup://IBCentral/FAT Viewer?action=UPDATE&amp;creator=factset&amp;DOC_NAME=fat:reuters_qtrly_source_window.fat&amp;display_string=Audit&amp;DYN_ARGS=TRUE&amp;VAR:ID1=527343&amp;VAR:RCODE=SCSI&amp;VAR:SDATE=20000999&amp;VAR:FREQ=Quarterly&amp;VAR:RELITEM=RP&amp;VAR:CURRENCY=&amp;VAR:CURRSOURCE=EXSH","ARE&amp;VAR:NATFREQ=QUARTERLY&amp;VAR:RFIELD=FINALIZED&amp;VAR:DB_TYPE=&amp;VAR:UNITS=M&amp;window=popup&amp;width=450&amp;height=300&amp;START_MAXIMIZED=FALSE"}</definedName>
    <definedName name="_687__FDSAUDITLINK__" hidden="1">{"fdsup://IBCentral/FAT Viewer?action=UPDATE&amp;creator=factset&amp;DOC_NAME=fat:reuters_qtrly_source_window.fat&amp;display_string=Audit&amp;DYN_ARGS=TRUE&amp;VAR:ID1=527343&amp;VAR:RCODE=SCSI&amp;VAR:SDATE=20000699&amp;VAR:FREQ=Quarterly&amp;VAR:RELITEM=RP&amp;VAR:CURRENCY=&amp;VAR:CURRSOURCE=EXSH","ARE&amp;VAR:NATFREQ=QUARTERLY&amp;VAR:RFIELD=FINALIZED&amp;VAR:DB_TYPE=&amp;VAR:UNITS=M&amp;window=popup&amp;width=450&amp;height=300&amp;START_MAXIMIZED=FALSE"}</definedName>
    <definedName name="_688__FDSAUDITLINK__" hidden="1">{"fdsup://IBCentral/FAT Viewer?action=UPDATE&amp;creator=factset&amp;DOC_NAME=fat:reuters_qtrly_source_window.fat&amp;display_string=Audit&amp;DYN_ARGS=TRUE&amp;VAR:ID1=527343&amp;VAR:RCODE=SCSI&amp;VAR:SDATE=20000399&amp;VAR:FREQ=Quarterly&amp;VAR:RELITEM=RP&amp;VAR:CURRENCY=&amp;VAR:CURRSOURCE=EXSH","ARE&amp;VAR:NATFREQ=QUARTERLY&amp;VAR:RFIELD=FINALIZED&amp;VAR:DB_TYPE=&amp;VAR:UNITS=M&amp;window=popup&amp;width=450&amp;height=300&amp;START_MAXIMIZED=FALSE"}</definedName>
    <definedName name="_689__FDSAUDITLINK__" hidden="1">{"fdsup://IBCentral/FAT Viewer?action=UPDATE&amp;creator=factset&amp;DOC_NAME=fat:reuters_qtrly_source_window.fat&amp;display_string=Audit&amp;DYN_ARGS=TRUE&amp;VAR:ID1=527343&amp;VAR:RCODE=LMIN&amp;VAR:SDATE=20100999&amp;VAR:FREQ=Quarterly&amp;VAR:RELITEM=RP&amp;VAR:CURRENCY=&amp;VAR:CURRSOURCE=EXSH","ARE&amp;VAR:NATFREQ=QUARTERLY&amp;VAR:RFIELD=FINALIZED&amp;VAR:DB_TYPE=&amp;VAR:UNITS=M&amp;window=popup&amp;width=450&amp;height=300&amp;START_MAXIMIZED=FALSE"}</definedName>
    <definedName name="_69__FDSAUDITLINK__" hidden="1">{"fdsup://IBCentral/FAT Viewer?action=UPDATE&amp;creator=factset&amp;DOC_NAME=fat:reuters_qtrly_source_window.fat&amp;display_string=Audit&amp;DYN_ARGS=TRUE&amp;VAR:ID1=527343&amp;VAR:RCODE=LTTD&amp;VAR:SDATE=20040699&amp;VAR:FREQ=Quarterly&amp;VAR:RELITEM=RP&amp;VAR:CURRENCY=&amp;VAR:CURRSOURCE=EXSH","ARE&amp;VAR:NATFREQ=QUARTERLY&amp;VAR:RFIELD=FINALIZED&amp;VAR:DB_TYPE=&amp;VAR:UNITS=M&amp;window=popup&amp;width=450&amp;height=300&amp;START_MAXIMIZED=FALSE"}</definedName>
    <definedName name="_690__FDSAUDITLINK__" hidden="1">{"fdsup://IBCentral/FAT Viewer?action=UPDATE&amp;creator=factset&amp;DOC_NAME=fat:reuters_qtrly_source_window.fat&amp;display_string=Audit&amp;DYN_ARGS=TRUE&amp;VAR:ID1=527343&amp;VAR:RCODE=LMIN&amp;VAR:SDATE=20110399&amp;VAR:FREQ=Quarterly&amp;VAR:RELITEM=RP&amp;VAR:CURRENCY=&amp;VAR:CURRSOURCE=EXSH","ARE&amp;VAR:NATFREQ=QUARTERLY&amp;VAR:RFIELD=FINALIZED&amp;VAR:DB_TYPE=&amp;VAR:UNITS=M&amp;window=popup&amp;width=450&amp;height=300&amp;START_MAXIMIZED=FALSE"}</definedName>
    <definedName name="_691__FDSAUDITLINK__" hidden="1">{"fdsup://IBCentral/FAT Viewer?action=UPDATE&amp;creator=factset&amp;DOC_NAME=fat:reuters_qtrly_source_window.fat&amp;display_string=Audit&amp;DYN_ARGS=TRUE&amp;VAR:ID1=527343&amp;VAR:RCODE=LTTD&amp;VAR:SDATE=20110399&amp;VAR:FREQ=Quarterly&amp;VAR:RELITEM=RP&amp;VAR:CURRENCY=&amp;VAR:CURRSOURCE=EXSH","ARE&amp;VAR:NATFREQ=QUARTERLY&amp;VAR:RFIELD=FINALIZED&amp;VAR:DB_TYPE=&amp;VAR:UNITS=M&amp;window=popup&amp;width=450&amp;height=300&amp;START_MAXIMIZED=FALSE"}</definedName>
    <definedName name="_692__FDSAUDITLINK__" hidden="1">{"fdsup://IBCentral/FAT Viewer?action=UPDATE&amp;creator=factset&amp;DOC_NAME=fat:reuters_qtrly_source_window.fat&amp;display_string=Audit&amp;DYN_ARGS=TRUE&amp;VAR:ID1=527343&amp;VAR:RCODE=DSTT&amp;VAR:SDATE=20110399&amp;VAR:FREQ=Quarterly&amp;VAR:RELITEM=RP&amp;VAR:CURRENCY=&amp;VAR:CURRSOURCE=EXSH","ARE&amp;VAR:NATFREQ=QUARTERLY&amp;VAR:RFIELD=FINALIZED&amp;VAR:DB_TYPE=&amp;VAR:UNITS=M&amp;window=popup&amp;width=450&amp;height=300&amp;START_MAXIMIZED=FALSE"}</definedName>
    <definedName name="_693__FDSAUDITLINK__" hidden="1">{"fdsup://IBCentral/FAT Viewer?action=UPDATE&amp;creator=factset&amp;DOC_NAME=fat:reuters_qtrly_source_window.fat&amp;display_string=Audit&amp;DYN_ARGS=TRUE&amp;VAR:ID1=527343&amp;VAR:RCODE=SCSI&amp;VAR:SDATE=20110399&amp;VAR:FREQ=Quarterly&amp;VAR:RELITEM=RP&amp;VAR:CURRENCY=&amp;VAR:CURRSOURCE=EXSH","ARE&amp;VAR:NATFREQ=QUARTERLY&amp;VAR:RFIELD=FINALIZED&amp;VAR:DB_TYPE=&amp;VAR:UNITS=M&amp;window=popup&amp;width=450&amp;height=300&amp;START_MAXIMIZED=FALSE"}</definedName>
    <definedName name="_7__123Graph_LBL_BMKT_MONTH" hidden="1">[5]SALES!#REF!</definedName>
    <definedName name="_7__FDSAUDITLINK__" hidden="1">{"fdsup://IBCentral/FAT Viewer?action=UPDATE&amp;creator=factset&amp;DOC_NAME=fat:reuters_qtrly_source_window.fat&amp;display_string=Audit&amp;DYN_ARGS=TRUE&amp;VAR:ID1=527343&amp;VAR:RCODE=LMIN&amp;VAR:SDATE=20090399&amp;VAR:FREQ=Quarterly&amp;VAR:RELITEM=RP&amp;VAR:CURRENCY=&amp;VAR:CURRSOURCE=EXSH","ARE&amp;VAR:NATFREQ=QUARTERLY&amp;VAR:RFIELD=FINALIZED&amp;VAR:DB_TYPE=&amp;VAR:UNITS=M&amp;window=popup&amp;width=450&amp;height=300&amp;START_MAXIMIZED=FALSE"}</definedName>
    <definedName name="_7_0_Table2_" hidden="1">#REF!</definedName>
    <definedName name="_70__FDSAUDITLINK__" hidden="1">{"fdsup://IBCentral/FAT Viewer?action=UPDATE&amp;creator=factset&amp;DOC_NAME=fat:reuters_qtrly_source_window.fat&amp;display_string=Audit&amp;DYN_ARGS=TRUE&amp;VAR:ID1=527343&amp;VAR:RCODE=LTTD&amp;VAR:SDATE=20040399&amp;VAR:FREQ=Quarterly&amp;VAR:RELITEM=RP&amp;VAR:CURRENCY=&amp;VAR:CURRSOURCE=EXSH","ARE&amp;VAR:NATFREQ=QUARTERLY&amp;VAR:RFIELD=FINALIZED&amp;VAR:DB_TYPE=&amp;VAR:UNITS=M&amp;window=popup&amp;width=450&amp;height=300&amp;START_MAXIMIZED=FALSE"}</definedName>
    <definedName name="_71__FDSAUDITLINK__" hidden="1">{"fdsup://IBCentral/FAT Viewer?action=UPDATE&amp;creator=factset&amp;DOC_NAME=fat:reuters_qtrly_source_window.fat&amp;display_string=Audit&amp;DYN_ARGS=TRUE&amp;VAR:ID1=527343&amp;VAR:RCODE=LTTD&amp;VAR:SDATE=20031299&amp;VAR:FREQ=Quarterly&amp;VAR:RELITEM=RP&amp;VAR:CURRENCY=&amp;VAR:CURRSOURCE=EXSH","ARE&amp;VAR:NATFREQ=QUARTERLY&amp;VAR:RFIELD=FINALIZED&amp;VAR:DB_TYPE=&amp;VAR:UNITS=M&amp;window=popup&amp;width=450&amp;height=300&amp;START_MAXIMIZED=FALSE"}</definedName>
    <definedName name="_72__FDSAUDITLINK__" hidden="1">{"fdsup://IBCentral/FAT Viewer?action=UPDATE&amp;creator=factset&amp;DOC_NAME=fat:reuters_qtrly_source_window.fat&amp;display_string=Audit&amp;DYN_ARGS=TRUE&amp;VAR:ID1=527343&amp;VAR:RCODE=LTTD&amp;VAR:SDATE=20030999&amp;VAR:FREQ=Quarterly&amp;VAR:RELITEM=RP&amp;VAR:CURRENCY=&amp;VAR:CURRSOURCE=EXSH","ARE&amp;VAR:NATFREQ=QUARTERLY&amp;VAR:RFIELD=FINALIZED&amp;VAR:DB_TYPE=&amp;VAR:UNITS=M&amp;window=popup&amp;width=450&amp;height=300&amp;START_MAXIMIZED=FALSE"}</definedName>
    <definedName name="_73__FDSAUDITLINK__" hidden="1">{"fdsup://IBCentral/FAT Viewer?action=UPDATE&amp;creator=factset&amp;DOC_NAME=fat:reuters_qtrly_source_window.fat&amp;display_string=Audit&amp;DYN_ARGS=TRUE&amp;VAR:ID1=527343&amp;VAR:RCODE=LTTD&amp;VAR:SDATE=20030699&amp;VAR:FREQ=Quarterly&amp;VAR:RELITEM=RP&amp;VAR:CURRENCY=&amp;VAR:CURRSOURCE=EXSH","ARE&amp;VAR:NATFREQ=QUARTERLY&amp;VAR:RFIELD=FINALIZED&amp;VAR:DB_TYPE=&amp;VAR:UNITS=M&amp;window=popup&amp;width=450&amp;height=300&amp;START_MAXIMIZED=FALSE"}</definedName>
    <definedName name="_74__FDSAUDITLINK__" hidden="1">{"fdsup://IBCentral/FAT Viewer?action=UPDATE&amp;creator=factset&amp;DOC_NAME=fat:reuters_qtrly_source_window.fat&amp;display_string=Audit&amp;DYN_ARGS=TRUE&amp;VAR:ID1=527343&amp;VAR:RCODE=LTTD&amp;VAR:SDATE=20030399&amp;VAR:FREQ=Quarterly&amp;VAR:RELITEM=RP&amp;VAR:CURRENCY=&amp;VAR:CURRSOURCE=EXSH","ARE&amp;VAR:NATFREQ=QUARTERLY&amp;VAR:RFIELD=FINALIZED&amp;VAR:DB_TYPE=&amp;VAR:UNITS=M&amp;window=popup&amp;width=450&amp;height=300&amp;START_MAXIMIZED=FALSE"}</definedName>
    <definedName name="_75__FDSAUDITLINK__" hidden="1">{"fdsup://IBCentral/FAT Viewer?action=UPDATE&amp;creator=factset&amp;DOC_NAME=fat:reuters_qtrly_source_window.fat&amp;display_string=Audit&amp;DYN_ARGS=TRUE&amp;VAR:ID1=527343&amp;VAR:RCODE=LTTD&amp;VAR:SDATE=20021299&amp;VAR:FREQ=Quarterly&amp;VAR:RELITEM=RP&amp;VAR:CURRENCY=&amp;VAR:CURRSOURCE=EXSH","ARE&amp;VAR:NATFREQ=QUARTERLY&amp;VAR:RFIELD=FINALIZED&amp;VAR:DB_TYPE=&amp;VAR:UNITS=M&amp;window=popup&amp;width=450&amp;height=300&amp;START_MAXIMIZED=FALSE"}</definedName>
    <definedName name="_76__FDSAUDITLINK__" hidden="1">{"fdsup://IBCentral/FAT Viewer?action=UPDATE&amp;creator=factset&amp;DOC_NAME=fat:reuters_qtrly_source_window.fat&amp;display_string=Audit&amp;DYN_ARGS=TRUE&amp;VAR:ID1=527343&amp;VAR:RCODE=LTTD&amp;VAR:SDATE=20020999&amp;VAR:FREQ=Quarterly&amp;VAR:RELITEM=RP&amp;VAR:CURRENCY=&amp;VAR:CURRSOURCE=EXSH","ARE&amp;VAR:NATFREQ=QUARTERLY&amp;VAR:RFIELD=FINALIZED&amp;VAR:DB_TYPE=&amp;VAR:UNITS=M&amp;window=popup&amp;width=450&amp;height=300&amp;START_MAXIMIZED=FALSE"}</definedName>
    <definedName name="_77__FDSAUDITLINK__" hidden="1">{"fdsup://IBCentral/FAT Viewer?action=UPDATE&amp;creator=factset&amp;DOC_NAME=fat:reuters_qtrly_source_window.fat&amp;display_string=Audit&amp;DYN_ARGS=TRUE&amp;VAR:ID1=527343&amp;VAR:RCODE=LTTD&amp;VAR:SDATE=20020699&amp;VAR:FREQ=Quarterly&amp;VAR:RELITEM=RP&amp;VAR:CURRENCY=&amp;VAR:CURRSOURCE=EXSH","ARE&amp;VAR:NATFREQ=QUARTERLY&amp;VAR:RFIELD=FINALIZED&amp;VAR:DB_TYPE=&amp;VAR:UNITS=M&amp;window=popup&amp;width=450&amp;height=300&amp;START_MAXIMIZED=FALSE"}</definedName>
    <definedName name="_78__FDSAUDITLINK__" hidden="1">{"fdsup://IBCentral/FAT Viewer?action=UPDATE&amp;creator=factset&amp;DOC_NAME=fat:reuters_qtrly_source_window.fat&amp;display_string=Audit&amp;DYN_ARGS=TRUE&amp;VAR:ID1=527343&amp;VAR:RCODE=LTTD&amp;VAR:SDATE=20020399&amp;VAR:FREQ=Quarterly&amp;VAR:RELITEM=RP&amp;VAR:CURRENCY=&amp;VAR:CURRSOURCE=EXSH","ARE&amp;VAR:NATFREQ=QUARTERLY&amp;VAR:RFIELD=FINALIZED&amp;VAR:DB_TYPE=&amp;VAR:UNITS=M&amp;window=popup&amp;width=450&amp;height=300&amp;START_MAXIMIZED=FALSE"}</definedName>
    <definedName name="_79__FDSAUDITLINK__" hidden="1">{"fdsup://IBCentral/FAT Viewer?action=UPDATE&amp;creator=factset&amp;DOC_NAME=fat:reuters_qtrly_source_window.fat&amp;display_string=Audit&amp;DYN_ARGS=TRUE&amp;VAR:ID1=527343&amp;VAR:RCODE=LTTD&amp;VAR:SDATE=20011299&amp;VAR:FREQ=Quarterly&amp;VAR:RELITEM=RP&amp;VAR:CURRENCY=&amp;VAR:CURRSOURCE=EXSH","ARE&amp;VAR:NATFREQ=QUARTERLY&amp;VAR:RFIELD=FINALIZED&amp;VAR:DB_TYPE=&amp;VAR:UNITS=M&amp;window=popup&amp;width=450&amp;height=300&amp;START_MAXIMIZED=FALSE"}</definedName>
    <definedName name="_8__123Graph_BMKT_YTD" hidden="1">[5]SALES!#REF!</definedName>
    <definedName name="_8__123Graph_LBL_BMKT_YTD" hidden="1">[5]SALES!#REF!</definedName>
    <definedName name="_8__FDSAUDITLINK__" hidden="1">{"fdsup://IBCentral/FAT Viewer?action=UPDATE&amp;creator=factset&amp;DOC_NAME=fat:reuters_qtrly_source_window.fat&amp;display_string=Audit&amp;DYN_ARGS=TRUE&amp;VAR:ID1=527343&amp;VAR:RCODE=LMIN&amp;VAR:SDATE=20081299&amp;VAR:FREQ=Quarterly&amp;VAR:RELITEM=RP&amp;VAR:CURRENCY=&amp;VAR:CURRSOURCE=EXSH","ARE&amp;VAR:NATFREQ=QUARTERLY&amp;VAR:RFIELD=FINALIZED&amp;VAR:DB_TYPE=&amp;VAR:UNITS=M&amp;window=popup&amp;width=450&amp;height=300&amp;START_MAXIMIZED=FALSE"}</definedName>
    <definedName name="_8_0_Table2_" hidden="1">#REF!</definedName>
    <definedName name="_80__FDSAUDITLINK__" hidden="1">{"fdsup://IBCentral/FAT Viewer?action=UPDATE&amp;creator=factset&amp;DOC_NAME=fat:reuters_qtrly_source_window.fat&amp;display_string=Audit&amp;DYN_ARGS=TRUE&amp;VAR:ID1=527343&amp;VAR:RCODE=LTTD&amp;VAR:SDATE=20010999&amp;VAR:FREQ=Quarterly&amp;VAR:RELITEM=RP&amp;VAR:CURRENCY=&amp;VAR:CURRSOURCE=EXSH","ARE&amp;VAR:NATFREQ=QUARTERLY&amp;VAR:RFIELD=FINALIZED&amp;VAR:DB_TYPE=&amp;VAR:UNITS=M&amp;window=popup&amp;width=450&amp;height=300&amp;START_MAXIMIZED=FALSE"}</definedName>
    <definedName name="_81__FDSAUDITLINK__" hidden="1">{"fdsup://IBCentral/FAT Viewer?action=UPDATE&amp;creator=factset&amp;DOC_NAME=fat:reuters_qtrly_source_window.fat&amp;display_string=Audit&amp;DYN_ARGS=TRUE&amp;VAR:ID1=527343&amp;VAR:RCODE=LTTD&amp;VAR:SDATE=20010699&amp;VAR:FREQ=Quarterly&amp;VAR:RELITEM=RP&amp;VAR:CURRENCY=&amp;VAR:CURRSOURCE=EXSH","ARE&amp;VAR:NATFREQ=QUARTERLY&amp;VAR:RFIELD=FINALIZED&amp;VAR:DB_TYPE=&amp;VAR:UNITS=M&amp;window=popup&amp;width=450&amp;height=300&amp;START_MAXIMIZED=FALSE"}</definedName>
    <definedName name="_82__FDSAUDITLINK__" hidden="1">{"fdsup://IBCentral/FAT Viewer?action=UPDATE&amp;creator=factset&amp;DOC_NAME=fat:reuters_qtrly_source_window.fat&amp;display_string=Audit&amp;DYN_ARGS=TRUE&amp;VAR:ID1=527343&amp;VAR:RCODE=LTTD&amp;VAR:SDATE=20010399&amp;VAR:FREQ=Quarterly&amp;VAR:RELITEM=RP&amp;VAR:CURRENCY=&amp;VAR:CURRSOURCE=EXSH","ARE&amp;VAR:NATFREQ=QUARTERLY&amp;VAR:RFIELD=FINALIZED&amp;VAR:DB_TYPE=&amp;VAR:UNITS=M&amp;window=popup&amp;width=450&amp;height=300&amp;START_MAXIMIZED=FALSE"}</definedName>
    <definedName name="_83__FDSAUDITLINK__" hidden="1">{"fdsup://IBCentral/FAT Viewer?action=UPDATE&amp;creator=factset&amp;DOC_NAME=fat:reuters_qtrly_source_window.fat&amp;display_string=Audit&amp;DYN_ARGS=TRUE&amp;VAR:ID1=527343&amp;VAR:RCODE=LTTD&amp;VAR:SDATE=20001299&amp;VAR:FREQ=Quarterly&amp;VAR:RELITEM=RP&amp;VAR:CURRENCY=&amp;VAR:CURRSOURCE=EXSH","ARE&amp;VAR:NATFREQ=QUARTERLY&amp;VAR:RFIELD=FINALIZED&amp;VAR:DB_TYPE=&amp;VAR:UNITS=M&amp;window=popup&amp;width=450&amp;height=300&amp;START_MAXIMIZED=FALSE"}</definedName>
    <definedName name="_84__FDSAUDITLINK__" hidden="1">{"fdsup://IBCentral/FAT Viewer?action=UPDATE&amp;creator=factset&amp;DOC_NAME=fat:reuters_qtrly_source_window.fat&amp;display_string=Audit&amp;DYN_ARGS=TRUE&amp;VAR:ID1=527343&amp;VAR:RCODE=LTTD&amp;VAR:SDATE=20000999&amp;VAR:FREQ=Quarterly&amp;VAR:RELITEM=RP&amp;VAR:CURRENCY=&amp;VAR:CURRSOURCE=EXSH","ARE&amp;VAR:NATFREQ=QUARTERLY&amp;VAR:RFIELD=FINALIZED&amp;VAR:DB_TYPE=&amp;VAR:UNITS=M&amp;window=popup&amp;width=450&amp;height=300&amp;START_MAXIMIZED=FALSE"}</definedName>
    <definedName name="_85__FDSAUDITLINK__" hidden="1">{"fdsup://IBCentral/FAT Viewer?action=UPDATE&amp;creator=factset&amp;DOC_NAME=fat:reuters_qtrly_source_window.fat&amp;display_string=Audit&amp;DYN_ARGS=TRUE&amp;VAR:ID1=527343&amp;VAR:RCODE=LTTD&amp;VAR:SDATE=20000699&amp;VAR:FREQ=Quarterly&amp;VAR:RELITEM=RP&amp;VAR:CURRENCY=&amp;VAR:CURRSOURCE=EXSH","ARE&amp;VAR:NATFREQ=QUARTERLY&amp;VAR:RFIELD=FINALIZED&amp;VAR:DB_TYPE=&amp;VAR:UNITS=M&amp;window=popup&amp;width=450&amp;height=300&amp;START_MAXIMIZED=FALSE"}</definedName>
    <definedName name="_86__FDSAUDITLINK__" hidden="1">{"fdsup://IBCentral/FAT Viewer?action=UPDATE&amp;creator=factset&amp;DOC_NAME=fat:reuters_qtrly_source_window.fat&amp;display_string=Audit&amp;DYN_ARGS=TRUE&amp;VAR:ID1=527343&amp;VAR:RCODE=LTTD&amp;VAR:SDATE=20000399&amp;VAR:FREQ=Quarterly&amp;VAR:RELITEM=RP&amp;VAR:CURRENCY=&amp;VAR:CURRSOURCE=EXSH","ARE&amp;VAR:NATFREQ=QUARTERLY&amp;VAR:RFIELD=FINALIZED&amp;VAR:DB_TYPE=&amp;VAR:UNITS=M&amp;window=popup&amp;width=450&amp;height=300&amp;START_MAXIMIZED=FALSE"}</definedName>
    <definedName name="_87__FDSAUDITLINK__" hidden="1">{"fdsup://IBCentral/FAT Viewer?action=UPDATE&amp;creator=factset&amp;DOC_NAME=fat:reuters_qtrly_source_window.fat&amp;display_string=Audit&amp;DYN_ARGS=TRUE&amp;VAR:ID1=527343&amp;VAR:RCODE=DSTT&amp;VAR:SDATE=20100999&amp;VAR:FREQ=Quarterly&amp;VAR:RELITEM=RP&amp;VAR:CURRENCY=&amp;VAR:CURRSOURCE=EXSH","ARE&amp;VAR:NATFREQ=QUARTERLY&amp;VAR:RFIELD=FINALIZED&amp;VAR:DB_TYPE=&amp;VAR:UNITS=M&amp;window=popup&amp;width=450&amp;height=300&amp;START_MAXIMIZED=FALSE"}</definedName>
    <definedName name="_88__FDSAUDITLINK__" hidden="1">{"fdsup://IBCentral/FAT Viewer?action=UPDATE&amp;creator=factset&amp;DOC_NAME=fat:reuters_qtrly_source_window.fat&amp;display_string=Audit&amp;DYN_ARGS=TRUE&amp;VAR:ID1=527343&amp;VAR:RCODE=DSTT&amp;VAR:SDATE=20100699&amp;VAR:FREQ=Quarterly&amp;VAR:RELITEM=RP&amp;VAR:CURRENCY=&amp;VAR:CURRSOURCE=EXSH","ARE&amp;VAR:NATFREQ=QUARTERLY&amp;VAR:RFIELD=FINALIZED&amp;VAR:DB_TYPE=&amp;VAR:UNITS=M&amp;window=popup&amp;width=450&amp;height=300&amp;START_MAXIMIZED=FALSE"}</definedName>
    <definedName name="_89__FDSAUDITLINK__" hidden="1">{"fdsup://IBCentral/FAT Viewer?action=UPDATE&amp;creator=factset&amp;DOC_NAME=fat:reuters_qtrly_source_window.fat&amp;display_string=Audit&amp;DYN_ARGS=TRUE&amp;VAR:ID1=527343&amp;VAR:RCODE=DSTT&amp;VAR:SDATE=20100399&amp;VAR:FREQ=Quarterly&amp;VAR:RELITEM=RP&amp;VAR:CURRENCY=&amp;VAR:CURRSOURCE=EXSH","ARE&amp;VAR:NATFREQ=QUARTERLY&amp;VAR:RFIELD=FINALIZED&amp;VAR:DB_TYPE=&amp;VAR:UNITS=M&amp;window=popup&amp;width=450&amp;height=300&amp;START_MAXIMIZED=FALSE"}</definedName>
    <definedName name="_9__123Graph_XMKT_MONTH" hidden="1">[5]SALES!#REF!</definedName>
    <definedName name="_9__FDSAUDITLINK__" hidden="1">{"fdsup://IBCentral/FAT Viewer?action=UPDATE&amp;creator=factset&amp;DOC_NAME=fat:reuters_qtrly_source_window.fat&amp;display_string=Audit&amp;DYN_ARGS=TRUE&amp;VAR:ID1=527343&amp;VAR:RCODE=LMIN&amp;VAR:SDATE=20080999&amp;VAR:FREQ=Quarterly&amp;VAR:RELITEM=RP&amp;VAR:CURRENCY=&amp;VAR:CURRSOURCE=EXSH","ARE&amp;VAR:NATFREQ=QUARTERLY&amp;VAR:RFIELD=FINALIZED&amp;VAR:DB_TYPE=&amp;VAR:UNITS=M&amp;window=popup&amp;width=450&amp;height=300&amp;START_MAXIMIZED=FALSE"}</definedName>
    <definedName name="_9_0_Table2_" hidden="1">#REF!</definedName>
    <definedName name="_90__FDSAUDITLINK__" hidden="1">{"fdsup://IBCentral/FAT Viewer?action=UPDATE&amp;creator=factset&amp;DOC_NAME=fat:reuters_qtrly_source_window.fat&amp;display_string=Audit&amp;DYN_ARGS=TRUE&amp;VAR:ID1=527343&amp;VAR:RCODE=DSTT&amp;VAR:SDATE=20091299&amp;VAR:FREQ=Quarterly&amp;VAR:RELITEM=RP&amp;VAR:CURRENCY=&amp;VAR:CURRSOURCE=EXSH","ARE&amp;VAR:NATFREQ=QUARTERLY&amp;VAR:RFIELD=FINALIZED&amp;VAR:DB_TYPE=&amp;VAR:UNITS=M&amp;window=popup&amp;width=450&amp;height=300&amp;START_MAXIMIZED=FALSE"}</definedName>
    <definedName name="_91__FDSAUDITLINK__" hidden="1">{"fdsup://IBCentral/FAT Viewer?action=UPDATE&amp;creator=factset&amp;DOC_NAME=fat:reuters_qtrly_source_window.fat&amp;display_string=Audit&amp;DYN_ARGS=TRUE&amp;VAR:ID1=527343&amp;VAR:RCODE=DSTT&amp;VAR:SDATE=20090999&amp;VAR:FREQ=Quarterly&amp;VAR:RELITEM=RP&amp;VAR:CURRENCY=&amp;VAR:CURRSOURCE=EXSH","ARE&amp;VAR:NATFREQ=QUARTERLY&amp;VAR:RFIELD=FINALIZED&amp;VAR:DB_TYPE=&amp;VAR:UNITS=M&amp;window=popup&amp;width=450&amp;height=300&amp;START_MAXIMIZED=FALSE"}</definedName>
    <definedName name="_92__FDSAUDITLINK__" hidden="1">{"fdsup://IBCentral/FAT Viewer?action=UPDATE&amp;creator=factset&amp;DOC_NAME=fat:reuters_qtrly_source_window.fat&amp;display_string=Audit&amp;DYN_ARGS=TRUE&amp;VAR:ID1=527343&amp;VAR:RCODE=DSTT&amp;VAR:SDATE=20090699&amp;VAR:FREQ=Quarterly&amp;VAR:RELITEM=RP&amp;VAR:CURRENCY=&amp;VAR:CURRSOURCE=EXSH","ARE&amp;VAR:NATFREQ=QUARTERLY&amp;VAR:RFIELD=FINALIZED&amp;VAR:DB_TYPE=&amp;VAR:UNITS=M&amp;window=popup&amp;width=450&amp;height=300&amp;START_MAXIMIZED=FALSE"}</definedName>
    <definedName name="_93__FDSAUDITLINK__" hidden="1">{"fdsup://IBCentral/FAT Viewer?action=UPDATE&amp;creator=factset&amp;DOC_NAME=fat:reuters_qtrly_source_window.fat&amp;display_string=Audit&amp;DYN_ARGS=TRUE&amp;VAR:ID1=527343&amp;VAR:RCODE=DSTT&amp;VAR:SDATE=20090399&amp;VAR:FREQ=Quarterly&amp;VAR:RELITEM=RP&amp;VAR:CURRENCY=&amp;VAR:CURRSOURCE=EXSH","ARE&amp;VAR:NATFREQ=QUARTERLY&amp;VAR:RFIELD=FINALIZED&amp;VAR:DB_TYPE=&amp;VAR:UNITS=M&amp;window=popup&amp;width=450&amp;height=300&amp;START_MAXIMIZED=FALSE"}</definedName>
    <definedName name="_94__FDSAUDITLINK__" hidden="1">{"fdsup://IBCentral/FAT Viewer?action=UPDATE&amp;creator=factset&amp;DOC_NAME=fat:reuters_qtrly_source_window.fat&amp;display_string=Audit&amp;DYN_ARGS=TRUE&amp;VAR:ID1=527343&amp;VAR:RCODE=DSTT&amp;VAR:SDATE=20081299&amp;VAR:FREQ=Quarterly&amp;VAR:RELITEM=RP&amp;VAR:CURRENCY=&amp;VAR:CURRSOURCE=EXSH","ARE&amp;VAR:NATFREQ=QUARTERLY&amp;VAR:RFIELD=FINALIZED&amp;VAR:DB_TYPE=&amp;VAR:UNITS=M&amp;window=popup&amp;width=450&amp;height=300&amp;START_MAXIMIZED=FALSE"}</definedName>
    <definedName name="_95__FDSAUDITLINK__" hidden="1">{"fdsup://IBCentral/FAT Viewer?action=UPDATE&amp;creator=factset&amp;DOC_NAME=fat:reuters_qtrly_source_window.fat&amp;display_string=Audit&amp;DYN_ARGS=TRUE&amp;VAR:ID1=527343&amp;VAR:RCODE=DSTT&amp;VAR:SDATE=20080999&amp;VAR:FREQ=Quarterly&amp;VAR:RELITEM=RP&amp;VAR:CURRENCY=&amp;VAR:CURRSOURCE=EXSH","ARE&amp;VAR:NATFREQ=QUARTERLY&amp;VAR:RFIELD=FINALIZED&amp;VAR:DB_TYPE=&amp;VAR:UNITS=M&amp;window=popup&amp;width=450&amp;height=300&amp;START_MAXIMIZED=FALSE"}</definedName>
    <definedName name="_96__FDSAUDITLINK__" hidden="1">{"fdsup://IBCentral/FAT Viewer?action=UPDATE&amp;creator=factset&amp;DOC_NAME=fat:reuters_qtrly_source_window.fat&amp;display_string=Audit&amp;DYN_ARGS=TRUE&amp;VAR:ID1=527343&amp;VAR:RCODE=DSTT&amp;VAR:SDATE=20080699&amp;VAR:FREQ=Quarterly&amp;VAR:RELITEM=RP&amp;VAR:CURRENCY=&amp;VAR:CURRSOURCE=EXSH","ARE&amp;VAR:NATFREQ=QUARTERLY&amp;VAR:RFIELD=FINALIZED&amp;VAR:DB_TYPE=&amp;VAR:UNITS=M&amp;window=popup&amp;width=450&amp;height=300&amp;START_MAXIMIZED=FALSE"}</definedName>
    <definedName name="_97__FDSAUDITLINK__" hidden="1">{"fdsup://IBCentral/FAT Viewer?action=UPDATE&amp;creator=factset&amp;DOC_NAME=fat:reuters_qtrly_source_window.fat&amp;display_string=Audit&amp;DYN_ARGS=TRUE&amp;VAR:ID1=527343&amp;VAR:RCODE=DSTT&amp;VAR:SDATE=20080399&amp;VAR:FREQ=Quarterly&amp;VAR:RELITEM=RP&amp;VAR:CURRENCY=&amp;VAR:CURRSOURCE=EXSH","ARE&amp;VAR:NATFREQ=QUARTERLY&amp;VAR:RFIELD=FINALIZED&amp;VAR:DB_TYPE=&amp;VAR:UNITS=M&amp;window=popup&amp;width=450&amp;height=300&amp;START_MAXIMIZED=FALSE"}</definedName>
    <definedName name="_98__FDSAUDITLINK__" hidden="1">{"fdsup://IBCentral/FAT Viewer?action=UPDATE&amp;creator=factset&amp;DOC_NAME=fat:reuters_qtrly_source_window.fat&amp;display_string=Audit&amp;DYN_ARGS=TRUE&amp;VAR:ID1=527343&amp;VAR:RCODE=DSTT&amp;VAR:SDATE=20071299&amp;VAR:FREQ=Quarterly&amp;VAR:RELITEM=RP&amp;VAR:CURRENCY=&amp;VAR:CURRSOURCE=EXSH","ARE&amp;VAR:NATFREQ=QUARTERLY&amp;VAR:RFIELD=FINALIZED&amp;VAR:DB_TYPE=&amp;VAR:UNITS=M&amp;window=popup&amp;width=450&amp;height=300&amp;START_MAXIMIZED=FALSE"}</definedName>
    <definedName name="_99__FDSAUDITLINK__" hidden="1">{"fdsup://IBCentral/FAT Viewer?action=UPDATE&amp;creator=factset&amp;DOC_NAME=fat:reuters_qtrly_source_window.fat&amp;display_string=Audit&amp;DYN_ARGS=TRUE&amp;VAR:ID1=527343&amp;VAR:RCODE=DSTT&amp;VAR:SDATE=20070999&amp;VAR:FREQ=Quarterly&amp;VAR:RELITEM=RP&amp;VAR:CURRENCY=&amp;VAR:CURRSOURCE=EXSH","ARE&amp;VAR:NATFREQ=QUARTERLY&amp;VAR:RFIELD=FINALIZED&amp;VAR:DB_TYPE=&amp;VAR:UNITS=M&amp;window=popup&amp;width=450&amp;height=300&amp;START_MAXIMIZED=FALSE"}</definedName>
    <definedName name="_a1" hidden="1">{#N/A,#N/A,FALSE,"Synth";"parc_DC",#N/A,FALSE,"parc";#N/A,#N/A,FALSE,"CA prest";#N/A,#N/A,FALSE,"Ratio CA";#N/A,#N/A,FALSE,"Trafic";"CR_GSM_acté_DC",#N/A,FALSE,"CR GSM_acté";#N/A,#N/A,FALSE,"Abonnés";#N/A,#N/A,FALSE,"Créances";#N/A,#N/A,FALSE,"Effectifs"}</definedName>
    <definedName name="_a1_1" hidden="1">{#N/A,#N/A,FALSE,"Synth";"parc_DC",#N/A,FALSE,"parc";#N/A,#N/A,FALSE,"CA prest";#N/A,#N/A,FALSE,"Ratio CA";#N/A,#N/A,FALSE,"Trafic";"CR_GSM_acté_DC",#N/A,FALSE,"CR GSM_acté";#N/A,#N/A,FALSE,"Abonnés";#N/A,#N/A,FALSE,"Créances";#N/A,#N/A,FALSE,"Effectifs"}</definedName>
    <definedName name="_a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a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a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a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a6"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a7"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a8"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AAA1"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_app4" hidden="1">{#N/A,#N/A,TRUE,"Cover sheet";#N/A,#N/A,TRUE,"Summary";#N/A,#N/A,TRUE,"Key Assumptions";#N/A,#N/A,TRUE,"Profit &amp; Loss";#N/A,#N/A,TRUE,"Balance Sheet";#N/A,#N/A,TRUE,"Cashflow";#N/A,#N/A,TRUE,"IRR";#N/A,#N/A,TRUE,"Ratios";#N/A,#N/A,TRUE,"Debt analysis"}</definedName>
    <definedName name="_ask2" hidden="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1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b16"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b17"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b19"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b31" hidden="1">{#N/A,#N/A,FALSE,"Budget at a Glance";#N/A,#N/A,FALSE,"Receipts";#N/A,#N/A,FALSE,"Expenditure";#N/A,#N/A,FALSE,"Impact";#N/A,#N/A,FALSE,"Non-Durables";#N/A,#N/A,FALSE,"Durables";#N/A,#N/A,FALSE,"Cement";#N/A,#N/A,FALSE,"Power Cables";#N/A,#N/A,FALSE,"NFM";#N/A,#N/A,FALSE,"Auto";#N/A,#N/A,FALSE,"Auto1";#N/A,#N/A,FALSE,"Chemicals";#N/A,#N/A,FALSE,"Steel duty";#N/A,#N/A,FALSE,"Petrochemicals";#N/A,#N/A,FALSE,"Paper";#N/A,#N/A,FALSE,"Fibres";#N/A,#N/A,FALSE,"Tyre";#N/A,#N/A,FALSE,"Tyre1";#N/A,#N/A,FALSE,"Cotton (prices &amp; Duty)";#N/A,#N/A,FALSE,"Telecom Equipment";#N/A,#N/A,FALSE,"Cigarettes"}</definedName>
    <definedName name="_b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b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b6"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b7"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bdm.1090C434B2AC4A05911AD6BDE4B37903.edm" hidden="1">#REF!</definedName>
    <definedName name="_bdm.285AD63E3F084DF7AC2E599C18A4CF37.edm" hidden="1">#REF!</definedName>
    <definedName name="_bdm.7B90D5B1A3DD4A9C903614DFE4609F71.edm" hidden="1">#REF!</definedName>
    <definedName name="_bdm.AA297A7678E045B5B5915B8D8337689F.edm" hidden="1">#REF!</definedName>
    <definedName name="_bdm.AE22F9DCD76949CC816DAF9947DED416.edm" hidden="1">#REF!</definedName>
    <definedName name="_bdm.AE43D6D94743443CA4B311CD343111DC.edm" hidden="1">#REF!</definedName>
    <definedName name="_bdm.BC7F6731CAAB481499905D9CF0416161.edm" hidden="1">#REF!</definedName>
    <definedName name="_bdm.EF469506713440EF9BF3F3D5FED48AF8.edm" hidden="1">#REF!</definedName>
    <definedName name="_bdm.FB47034E76A64349B1FA6FE622A8FD25.edm" hidden="1">#REF!</definedName>
    <definedName name="_bdm.FC3A05D7B43F43429778FB272EE502E9.edm" hidden="1">#REF!</definedName>
    <definedName name="_BNR1" hidden="1">{"Points saillants",#N/A,FALSE,"faits saillant";"Tableau 1",#N/A,FALSE,"sommaire1";"Tableau 2",#N/A,FALSE,"actif2";"Tableau 3",#N/A,FALSE,"pretdouteux3";"Tableau 4",#N/A,FALSE,"actifadmin4";"Tableau 5",#N/A,FALSE,"passif5";"Tableau 6",#N/A,FALSE,"revenunet6";"Tableau 7",#N/A,FALSE,"autresrevenus7";"Tableau 8",#N/A,FALSE,"pertepret8";"Tableau 9",#N/A,FALSE,"fraisexploitati9";"Tableau 10",#N/A,FALSE,"actifrisq10";"Tableau 11",#N/A,FALSE,"bri11";"highlights",#N/A,FALSE,"faits saillant";"Table 1",#N/A,FALSE,"sommaire1";"Table 2",#N/A,FALSE,"actif2";"Table 3",#N/A,FALSE,"pretdouteux3";"Table 4",#N/A,FALSE,"actifadmin4";"Table 5",#N/A,FALSE,"passif5";"Table 6",#N/A,FALSE,"revenunet6";"Table 7",#N/A,FALSE,"autresrevenus7";"Table 8",#N/A,FALSE,"pertepret8";"Table 9",#N/A,FALSE,"fraisexploitati9";"Table 10",#N/A,FALSE,"actifrisq10";"Table 11",#N/A,FALSE,"bri11"}</definedName>
    <definedName name="_BOQ3" hidden="1">{#N/A,#N/A,FALSE,"mpph1";#N/A,#N/A,FALSE,"mpmseb";#N/A,#N/A,FALSE,"mpph2"}</definedName>
    <definedName name="_c" hidden="1">{#N/A,#N/A,FALSE,"Layout Cash Flow"}</definedName>
    <definedName name="_cb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CV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CVD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d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d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d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d6"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d7"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d8"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d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dd1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dd1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dd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dd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dd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dd8"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dec05" hidden="1">{"'Sheet1'!$A$4386:$N$4591"}</definedName>
    <definedName name="_DILL" hidden="1">[11]Sheet1!$FD$132:$FD$144</definedName>
    <definedName name="_Dist_Bin" hidden="1">#REF!</definedName>
    <definedName name="_Dist_Values" hidden="1">#REF!</definedName>
    <definedName name="_dk1" hidden="1">{#N/A,#N/A,FALSE,"COVER.XLS";#N/A,#N/A,FALSE,"RACT1.XLS";#N/A,#N/A,FALSE,"RACT2.XLS";#N/A,#N/A,FALSE,"ECCMP";#N/A,#N/A,FALSE,"WELDER.XLS"}</definedName>
    <definedName name="_e10"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e1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e1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e1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e1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e1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e16"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e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e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e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e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e6"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e7"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e8"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e9"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est1" hidden="1">{"EVA",#N/A,FALSE,"EVA";"WACC",#N/A,FALSE,"WACC"}</definedName>
    <definedName name="_est1_1" hidden="1">{"EVA",#N/A,FALSE,"EVA";"WACC",#N/A,FALSE,"WACC"}</definedName>
    <definedName name="_f" hidden="1">#REF!</definedName>
    <definedName name="_ff2" hidden="1">{"adj95mult",#N/A,FALSE,"COMPCO";"adj95est",#N/A,FALSE,"COMPCO"}</definedName>
    <definedName name="_ff2_1" hidden="1">{"adj95mult",#N/A,FALSE,"COMPCO";"adj95est",#N/A,FALSE,"COMPCO"}</definedName>
    <definedName name="_ffe1" hidden="1">{"adj95mult",#N/A,FALSE,"COMPCO";"adj95est",#N/A,FALSE,"COMPCO"}</definedName>
    <definedName name="_ffe1_1" hidden="1">{"adj95mult",#N/A,FALSE,"COMPCO";"adj95est",#N/A,FALSE,"COMPCO"}</definedName>
    <definedName name="_Fill" localSheetId="25" hidden="1">#REF!</definedName>
    <definedName name="_Fill" localSheetId="16" hidden="1">#REF!</definedName>
    <definedName name="_Fill" hidden="1">#REF!</definedName>
    <definedName name="_FILL1" hidden="1">'[12]ALLOC-3'!$B$59:$AE$59</definedName>
    <definedName name="_xlnm._FilterDatabase" localSheetId="25" hidden="1">#REF!</definedName>
    <definedName name="_xlnm._FilterDatabase" localSheetId="9" hidden="1">'Plant wise cane details'!$B$81:$I$370</definedName>
    <definedName name="_xlnm._FilterDatabase" hidden="1">#REF!</definedName>
    <definedName name="_Grp16" hidden="1">{#N/A,#N/A,FALSE,"PMTABB";#N/A,#N/A,FALSE,"PMTABB"}</definedName>
    <definedName name="_jkj" hidden="1">#REF!</definedName>
    <definedName name="_k" hidden="1">#REF!</definedName>
    <definedName name="_k2" hidden="1">#REF!</definedName>
    <definedName name="_k3" hidden="1">#REF!</definedName>
    <definedName name="_k4" hidden="1">#REF!</definedName>
    <definedName name="_kedar" hidden="1">#REF!</definedName>
    <definedName name="_Key1" localSheetId="25" hidden="1">#REF!</definedName>
    <definedName name="_Key1" hidden="1">#REF!</definedName>
    <definedName name="_Key2" localSheetId="25" hidden="1">#REF!</definedName>
    <definedName name="_Key2" localSheetId="16" hidden="1">#REF!</definedName>
    <definedName name="_Key2" hidden="1">#REF!</definedName>
    <definedName name="_kvs1" hidden="1">{#N/A,#N/A,FALSE,"COVER1.XLS ";#N/A,#N/A,FALSE,"RACT1.XLS";#N/A,#N/A,FALSE,"RACT2.XLS";#N/A,#N/A,FALSE,"ECCMP";#N/A,#N/A,FALSE,"WELDER.XLS"}</definedName>
    <definedName name="_kvs2" hidden="1">{#N/A,#N/A,FALSE,"COVER1.XLS ";#N/A,#N/A,FALSE,"RACT1.XLS";#N/A,#N/A,FALSE,"RACT2.XLS";#N/A,#N/A,FALSE,"ECCMP";#N/A,#N/A,FALSE,"WELDER.XLS"}</definedName>
    <definedName name="_kvs5" hidden="1">{#N/A,#N/A,FALSE,"COVER.XLS";#N/A,#N/A,FALSE,"RACT1.XLS";#N/A,#N/A,FALSE,"RACT2.XLS";#N/A,#N/A,FALSE,"ECCMP";#N/A,#N/A,FALSE,"WELDER.XLS"}</definedName>
    <definedName name="_kvs8" hidden="1">{#N/A,#N/A,FALSE,"COVER1.XLS ";#N/A,#N/A,FALSE,"RACT1.XLS";#N/A,#N/A,FALSE,"RACT2.XLS";#N/A,#N/A,FALSE,"ECCMP";#N/A,#N/A,FALSE,"WELDER.XLS"}</definedName>
    <definedName name="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MatInverse_In" hidden="1">#REF!</definedName>
    <definedName name="_MatInverse_Out" hidden="1">#REF!</definedName>
    <definedName name="_MatMult_A" hidden="1">#REF!</definedName>
    <definedName name="_MatMult_AxB" hidden="1">#REF!</definedName>
    <definedName name="_MatMult_B" hidden="1">#REF!</definedName>
    <definedName name="_New1" hidden="1">#REF!</definedName>
    <definedName name="_new2" hidden="1">{"Graphic",#N/A,TRUE,"Graphic"}</definedName>
    <definedName name="_new2_1" hidden="1">{"Graphic",#N/A,TRUE,"Graphic"}</definedName>
    <definedName name="_ns1" hidden="1">{#N/A,#N/A,FALSE,"COVER1.XLS ";#N/A,#N/A,FALSE,"RACT1.XLS";#N/A,#N/A,FALSE,"RACT2.XLS";#N/A,#N/A,FALSE,"ECCMP";#N/A,#N/A,FALSE,"WELDER.XLS"}</definedName>
    <definedName name="_NSO2" hidden="1">{"'Sheet1'!$L$16"}</definedName>
    <definedName name="_OIL310106" hidden="1">{#N/A,#N/A,FALSE,"PMTABB";#N/A,#N/A,FALSE,"PMTABB"}</definedName>
    <definedName name="_OIL310701" hidden="1">{#N/A,#N/A,FALSE,"PMTABB";#N/A,#N/A,FALSE,"PMTABB"}</definedName>
    <definedName name="_one2" hidden="1">{"adj95mult",#N/A,FALSE,"COMPCO";"adj95est",#N/A,FALSE,"COMPCO"}</definedName>
    <definedName name="_one2_1" hidden="1">{"adj95mult",#N/A,FALSE,"COMPCO";"adj95est",#N/A,FALSE,"COMPCO"}</definedName>
    <definedName name="_Order1" hidden="1">255</definedName>
    <definedName name="_Order1_1" hidden="1">0</definedName>
    <definedName name="_Order2" hidden="1">0</definedName>
    <definedName name="_Order2_1" hidden="1">255</definedName>
    <definedName name="_Parse_In" hidden="1">#REF!</definedName>
    <definedName name="_Parse_Out" localSheetId="16" hidden="1">#REF!</definedName>
    <definedName name="_Parse_Out" hidden="1">#REF!</definedName>
    <definedName name="_PRN1" hidden="1">{#N/A,#N/A,FALSE,"COVER.XLS";#N/A,#N/A,FALSE,"RACT1.XLS";#N/A,#N/A,FALSE,"RACT2.XLS";#N/A,#N/A,FALSE,"ECCMP";#N/A,#N/A,FALSE,"WELDER.XLS"}</definedName>
    <definedName name="_q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q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q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q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r"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r_1"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re1" hidden="1">{"'Sheet1'!$B$1:$B$2"}</definedName>
    <definedName name="_Regression_Int" hidden="1">1</definedName>
    <definedName name="_Regression_Out" hidden="1">[13]test!$K$76:$K$76</definedName>
    <definedName name="_Regression_X" hidden="1">[13]test!$B$60:$G$60</definedName>
    <definedName name="_Regression_Y" hidden="1">[13]test!$B$61:$G$61</definedName>
    <definedName name="_sec3" hidden="1">#REF!</definedName>
    <definedName name="_Sort" hidden="1">#REF!</definedName>
    <definedName name="_SSK1" hidden="1">{#N/A,#N/A,FALSE,"COMP"}</definedName>
    <definedName name="_Table1_In1" hidden="1">#REF!</definedName>
    <definedName name="_Table1_Out" hidden="1">#REF!</definedName>
    <definedName name="_Table2_In1" hidden="1">#REF!</definedName>
    <definedName name="_Table2_In2" hidden="1">#REF!</definedName>
    <definedName name="_Table2_Out" hidden="1">#REF!</definedName>
    <definedName name="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wrn1" hidden="1">{#N/A,#N/A,FALSE,"SUMMARY";#N/A,#N/A,FALSE,"SUMMARY"}</definedName>
    <definedName name="_WRN2" hidden="1">{#N/A,#N/A,FALSE,"COVER1.XLS ";#N/A,#N/A,FALSE,"RACT1.XLS";#N/A,#N/A,FALSE,"RACT2.XLS";#N/A,#N/A,FALSE,"ECCMP";#N/A,#N/A,FALSE,"WELDER.XLS"}</definedName>
    <definedName name="_WRN3" hidden="1">{#N/A,#N/A,FALSE,"consu_cover";#N/A,#N/A,FALSE,"consu_strategy";#N/A,#N/A,FALSE,"consu_flow";#N/A,#N/A,FALSE,"Summary_reqmt";#N/A,#N/A,FALSE,"field_ppg";#N/A,#N/A,FALSE,"ppg_shop";#N/A,#N/A,FALSE,"strl";#N/A,#N/A,FALSE,"tankages";#N/A,#N/A,FALSE,"gases"}</definedName>
    <definedName name="_zz11" hidden="1">{#N/A,#N/A,FALSE,"FREE"}</definedName>
    <definedName name="a"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_1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_1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_1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_1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_1_2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_1_2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_1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_1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_1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_1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_1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_1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_2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_2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_2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_2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_2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_2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_2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_2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_2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_2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_2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_2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_3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_3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_3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_3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_3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_3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_3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_3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_3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_3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_3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_3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_4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_4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_4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_4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_4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_4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_4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_4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_5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_5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_5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_5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_5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_5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_5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1_5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2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2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2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2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2_1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2_1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2_1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2_1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2_1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2_1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2_1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2_1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2_1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2_1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2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2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2_2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2_2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2_2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2_2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2_2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2_2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2_2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2_2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2_2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2_2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2_2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2_2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2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2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2_3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2_3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2_3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2_3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2_3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2_3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2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2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2_4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2_4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2_4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2_4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2_4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2_4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2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2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2_5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2_5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2_5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2_5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2_5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2_5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3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3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3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3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3_1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3_1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3_1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3_1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3_1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3_1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3_1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3_1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3_1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3_1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3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3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3_2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3_2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3_2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3_2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3_2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3_2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3_2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3_2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3_2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3_2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3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3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3_3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3_3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3_3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3_3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3_3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3_3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3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3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3_4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3_4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3_4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3_4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3_4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3_4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3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3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3_5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3_5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3_5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3_5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3_5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3_5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4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4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4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4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4_1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4_1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4_1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4_1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4_1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4_1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4_1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4_1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4_1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4_1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4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4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4_2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4_2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4_2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4_2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4_2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4_2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4_2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4_2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4_2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4_2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4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4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4_3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4_3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4_3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4_3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4_3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4_3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4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4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4_4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4_4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4_4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4_4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4_4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4_4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4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4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4_5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4_5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4_5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4_5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4_5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4_5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5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5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5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5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5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5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5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5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5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5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5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_5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aa" localSheetId="16" hidden="1">{"'Sheet1'!$A$4386:$N$4591"}</definedName>
    <definedName name="aa_1" hidden="1">{#N/A,#N/A,TRUE,"TMRSAMPLE";#N/A,#N/A,TRUE,"OPS";#N/A,#N/A,TRUE,"TMR"}</definedName>
    <definedName name="aaa" hidden="1">{"mult96",#N/A,FALSE,"PETCOMP";"est96",#N/A,FALSE,"PETCOMP";"mult95",#N/A,FALSE,"PETCOMP";"est95",#N/A,FALSE,"PETCOMP";"multltm",#N/A,FALSE,"PETCOMP";"resultltm",#N/A,FALSE,"PETCOMP"}</definedName>
    <definedName name="aaa_1" hidden="1">{"mult96",#N/A,FALSE,"PETCOMP";"est96",#N/A,FALSE,"PETCOMP";"mult95",#N/A,FALSE,"PETCOMP";"est95",#N/A,FALSE,"PETCOMP";"multltm",#N/A,FALSE,"PETCOMP";"resultltm",#N/A,FALSE,"PETCOMP"}</definedName>
    <definedName name="AAA_DOCTOPS" hidden="1">"AAA_SET"</definedName>
    <definedName name="AAA_duser" hidden="1">"OFF"</definedName>
    <definedName name="AAAAA" hidden="1">{#N/A,#N/A,FALSE,"cover1";#N/A,#N/A,FALSE,"cover2";#N/A,#N/A,FALSE,"cover4";#N/A,#N/A,FALSE,"INDEX2";#N/A,#N/A,FALSE,"4";#N/A,#N/A,FALSE,"5";#N/A,#N/A,FALSE,"6&amp;7";#N/A,#N/A,FALSE,"8";#N/A,#N/A,FALSE,"9&amp;10";#N/A,#N/A,FALSE,"11&amp;12";#N/A,#N/A,FALSE,"13to18";#N/A,#N/A,FALSE,"19A";#N/A,#N/A,FALSE,"19B20&amp;21";#N/A,#N/A,FALSE,"22&amp;23";#N/A,#N/A,FALSE,"24";#N/A,#N/A,FALSE,"25&amp;26";#N/A,#N/A,FALSE,"27";#N/A,#N/A,FALSE,"28";#N/A,#N/A,FALSE,"cover5";#N/A,#N/A,FALSE,"INDEX3";#N/A,#N/A,FALSE,"PR-QTY-LYE";#N/A,#N/A,FALSE,"PR-COST-LYE";#N/A,#N/A,FALSE,"PR-QTY-FLK";#N/A,#N/A,FALSE,"PR-COST-FLK";#N/A,#N/A,FALSE,"cover3";#N/A,#N/A,FALSE,"INDEX1";#N/A,#N/A,FALSE,"PR-A-B";#N/A,#N/A,FALSE,"BY-PROD";#N/A,#N/A,FALSE,"BEP";#N/A,#N/A,FALSE,"ALLOCATION";#N/A,#N/A,FALSE,"Conv.cost";#N/A,#N/A,FALSE,"PROD";#N/A,#N/A,FALSE,"SALE";#N/A,#N/A,FALSE,"Summary";#N/A,#N/A,FALSE,"CONS";#N/A,#N/A,FALSE,"ST&amp;SP";#N/A,#N/A,FALSE,"Rep&amp;Maint";#N/A,#N/A,FALSE,"salary";#N/A,#N/A,FALSE,"PWRCOST";#N/A,#N/A,FALSE,"FUELCONS";#N/A,#N/A,FALSE,"POWER";#N/A,#N/A,FALSE,"Ratios";#N/A,#N/A,FALSE,"SKADJ";#N/A,#N/A,FALSE,"QCD"}</definedName>
    <definedName name="aaaaaa" hidden="1">{#N/A,#N/A,FALSE,"Index";#N/A,#N/A,FALSE,"IncStmt";#N/A,#N/A,FALSE,"Ratios";#N/A,#N/A,FALSE,"CashFlows";#N/A,#N/A,FALSE,"Ins1";#N/A,#N/A,FALSE,"Ins2";#N/A,#N/A,FALSE,"SelfFund";#N/A,#N/A,FALSE,"SGA";#N/A,#N/A,FALSE,"Recon";#N/A,#N/A,FALSE,"Earnings";#N/A,#N/A,FALSE,"Earnings (2)";#N/A,#N/A,FALSE,"Stock";#N/A,#N/A,FALSE,"Stock (2)";#N/A,#N/A,FALSE,"PeerRatios";#N/A,#N/A,FALSE,"PeerRanks"}</definedName>
    <definedName name="aaaaaa_1" hidden="1">{#N/A,#N/A,TRUE,"TMRSAMPLE";#N/A,#N/A,TRUE,"OPS";#N/A,#N/A,TRUE,"TMR"}</definedName>
    <definedName name="aaaaaaa" hidden="1">{"'Sheet1'!$A$4386:$N$4591"}</definedName>
    <definedName name="aaaaaaaa" hidden="1">{#N/A,#N/A,FALSE,"Feuil";#N/A,#N/A,FALSE,"Feuil (2)";#N/A,#N/A,FALSE,"Feuil (3)";#N/A,#N/A,FALSE,"Feuil (4)";#N/A,#N/A,FALSE,"Feuil (5)";#N/A,#N/A,FALSE,"Feuil (6)";#N/A,#N/A,FALSE,"Feuil (7)";#N/A,#N/A,FALSE,"Feuil (8)";#N/A,#N/A,FALSE,"Feuil (9)";#N/A,#N/A,FALSE,"Feuil (10)";#N/A,#N/A,FALSE,"Feuil (11)";#N/A,#N/A,FALSE,"Feuil (12)";#N/A,#N/A,FALSE,"Feuil (13)";#N/A,#N/A,FALSE,"Feuil (14)";#N/A,#N/A,FALSE,"Feuil (15)";#N/A,#N/A,FALSE,"Feuil (16)"}</definedName>
    <definedName name="aaaaaaaa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aaaaaaaaa"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aaaaaaaaaa"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aaaaaaaaaa4"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aaaaaaaaaaa7"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aaaaaaaaaaaa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aaaaaaaaaaaaa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aaaaaaaaaaaaa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aaaaaaaaaaaaaaaa6"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AAB" hidden="1">{"'TOTAL(New)'!$B$13:$Q$53"}</definedName>
    <definedName name="AAB_1" hidden="1">{"'TOTAL(New)'!$B$13:$Q$53"}</definedName>
    <definedName name="AAB_Addin5" hidden="1">"AAB_Description for addin 5,Description for addin 5,Description for addin 5,Description for addin 5,Description for addin 5,Description for addin 5"</definedName>
    <definedName name="aac"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aad"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aadssdfdfqweqwew" hidden="1">{"Output",#N/A,FALSE,"US_FL";"Output",#N/A,FALSE,"EUROPE_FL";"Output",#N/A,FALSE,"ASIA_FL"}</definedName>
    <definedName name="aadssdfdfqweqwew_1" hidden="1">{"Output",#N/A,FALSE,"US_FL";"Output",#N/A,FALSE,"EUROPE_FL";"Output",#N/A,FALSE,"ASIA_FL"}</definedName>
    <definedName name="aae"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aaea"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aaf"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aaffa" hidden="1">{#N/A,#N/A,FALSE,"COVER.XLS";#N/A,#N/A,FALSE,"RACT1.XLS";#N/A,#N/A,FALSE,"RACT2.XLS";#N/A,#N/A,FALSE,"ECCMP";#N/A,#N/A,FALSE,"WELDER.XLS"}</definedName>
    <definedName name="aasd" hidden="1">{#N/A,#N/A,TRUE,"BT M200 da 10x20"}</definedName>
    <definedName name="AAX" hidden="1">#REF!</definedName>
    <definedName name="aba" hidden="1">{#N/A,#N/A,FALSE,"COVER1.XLS ";#N/A,#N/A,FALSE,"RACT1.XLS";#N/A,#N/A,FALSE,"RACT2.XLS";#N/A,#N/A,FALSE,"ECCMP";#N/A,#N/A,FALSE,"WELDER.XLS"}</definedName>
    <definedName name="abd" hidden="1">#REF!</definedName>
    <definedName name="AccessDatabase" hidden="1">"C:\My Documents\MIS\new formats\HO\RepOprHO.mdb"</definedName>
    <definedName name="Account" hidden="1">{#N/A,#N/A,TRUE,"TMRSAMPLE";#N/A,#N/A,TRUE,"OPS";#N/A,#N/A,TRUE,"TMR"}</definedName>
    <definedName name="Account_1" hidden="1">{#N/A,#N/A,TRUE,"TMRSAMPLE";#N/A,#N/A,TRUE,"OPS";#N/A,#N/A,TRUE,"TMR"}</definedName>
    <definedName name="ACwvu.A." hidden="1">'[14]PGW-ACCOUNTS'!#REF!</definedName>
    <definedName name="acx" hidden="1">{#N/A,#N/A,FALSE,"Index";#N/A,#N/A,FALSE,"IncStmt";#N/A,#N/A,FALSE,"Ratios";#N/A,#N/A,FALSE,"CashFlows";#N/A,#N/A,FALSE,"Ins1";#N/A,#N/A,FALSE,"Ins2";#N/A,#N/A,FALSE,"SelfFund";#N/A,#N/A,FALSE,"SGA";#N/A,#N/A,FALSE,"Recon";#N/A,#N/A,FALSE,"Earnings";#N/A,#N/A,FALSE,"Earnings (2)";#N/A,#N/A,FALSE,"Stock";#N/A,#N/A,FALSE,"Stock (2)";#N/A,#N/A,FALSE,"PeerRatios";#N/A,#N/A,FALSE,"PeerRanks"}</definedName>
    <definedName name="AD" localSheetId="16" hidden="1">{"'Sheet1'!$A$4386:$N$4591"}</definedName>
    <definedName name="ad" hidden="1">{#N/A,#N/A,FALSE,"Status of Projects";#N/A,#N/A,FALSE,"CEA-TEC";#N/A,#N/A,FALSE,"U-Constr.";#N/A,#N/A,FALSE,"summary";#N/A,#N/A,FALSE,"PPP-3 yrs"}</definedName>
    <definedName name="ada"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adad"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dadd" hidden="1">{#N/A,#N/A,FALSE,"COVER1.XLS ";#N/A,#N/A,FALSE,"RACT1.XLS";#N/A,#N/A,FALSE,"RACT2.XLS";#N/A,#N/A,FALSE,"ECCMP";#N/A,#N/A,FALSE,"WELDER.XLS"}</definedName>
    <definedName name="additions" hidden="1">{#N/A,#N/A,FALSE,"COMP"}</definedName>
    <definedName name="ade"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adfs" hidden="1">{#N/A,#N/A,FALSE,"PMTABB";#N/A,#N/A,FALSE,"PMTABB"}</definedName>
    <definedName name="ae" hidden="1">{#N/A,#N/A,FALSE,"PMTABB";#N/A,#N/A,FALSE,"PMTABB"}</definedName>
    <definedName name="aed" hidden="1">#REF!</definedName>
    <definedName name="aer" hidden="1">{#N/A,#N/A,FALSE,"EW"}</definedName>
    <definedName name="afa" hidden="1">{#N/A,#N/A,FALSE,"TOWNSHIP"}</definedName>
    <definedName name="afgr" hidden="1">{"CASH FLOW",#N/A,FALSE,"A"}</definedName>
    <definedName name="AFSDF" hidden="1">{#N/A,#N/A,FALSE,"PMTABB";#N/A,#N/A,FALSE,"PMTABB"}</definedName>
    <definedName name="afsdrt" hidden="1">{#N/A,#N/A,FALSE,"Aging Summary";#N/A,#N/A,FALSE,"Ratio Analysis";#N/A,#N/A,FALSE,"Test 120 Day Accts";#N/A,#N/A,FALSE,"Tickmarks"}</definedName>
    <definedName name="afssdrt" hidden="1">{#N/A,#N/A,FALSE,"EW"}</definedName>
    <definedName name="agag" hidden="1">{"adj95mult",#N/A,FALSE,"COMPCO";"adj95est",#N/A,FALSE,"COMPCO"}</definedName>
    <definedName name="agag_1" hidden="1">{"adj95mult",#N/A,FALSE,"COMPCO";"adj95est",#N/A,FALSE,"COMPCO"}</definedName>
    <definedName name="AGHLKASOURW" hidden="1">{#N/A,#N/A,TRUE,"TMRSAMPLE";#N/A,#N/A,TRUE,"OPS";#N/A,#N/A,TRUE,"TMR"}</definedName>
    <definedName name="AGHLKASOURW_1" hidden="1">{#N/A,#N/A,TRUE,"TMRSAMPLE";#N/A,#N/A,TRUE,"OPS";#N/A,#N/A,TRUE,"TMR"}</definedName>
    <definedName name="aj" hidden="1">{#N/A,#N/A,FALSE,"PMTABB";#N/A,#N/A,FALSE,"PMTABB"}</definedName>
    <definedName name="akjdksjfjshfdjhf" hidden="1">{"Graphic",#N/A,TRUE,"Graphic"}</definedName>
    <definedName name="akjdksjfjshfdjhf_1" hidden="1">{"Graphic",#N/A,TRUE,"Graphic"}</definedName>
    <definedName name="akkk" hidden="1">[3]損益分岐点!#REF!</definedName>
    <definedName name="akm" hidden="1">{"bsrc",#N/A,FALSE,"BSPL-RS.";"plrc",#N/A,FALSE,"BSPL-RS.";"sccon",#N/A,FALSE,"SHARE CAPITAL";"rsrc",#N/A,FALSE,"RESERVE &amp; SURPLUS";"lfrc",#N/A,FALSE,"LOAN FUNDS";"farc",#N/A,FALSE,"FIXED ASSETS";"prc",#N/A,FALSE,"PRE-OPERATIVE ";"invest.cons",#N/A,FALSE,"INVESTMENT";"carc",#N/A,FALSE,"CURRENT ASSETS";"clrc",#N/A,FALSE,"CURRENT LIABLITIES";"oirc",#N/A,FALSE,"OTHER INCOME";"mcrc",#N/A,FALSE,"MATERIAL CONS.";"perc",#N/A,FALSE,"PERSONNEL";"sarc",#N/A,FALSE,"SALES &amp; ADMN.";"irc",#N/A,FALSE,"INTEREST";"conrs",#N/A,FALSE,"CASH FLOW"}</definedName>
    <definedName name="akm_1" hidden="1">{"bsrc",#N/A,FALSE,"BSPL-RS.";"plrc",#N/A,FALSE,"BSPL-RS.";"sccon",#N/A,FALSE,"SHARE CAPITAL";"rsrc",#N/A,FALSE,"RESERVE &amp; SURPLUS";"lfrc",#N/A,FALSE,"LOAN FUNDS";"farc",#N/A,FALSE,"FIXED ASSETS";"prc",#N/A,FALSE,"PRE-OPERATIVE ";"invest.cons",#N/A,FALSE,"INVESTMENT";"carc",#N/A,FALSE,"CURRENT ASSETS";"clrc",#N/A,FALSE,"CURRENT LIABLITIES";"oirc",#N/A,FALSE,"OTHER INCOME";"mcrc",#N/A,FALSE,"MATERIAL CONS.";"perc",#N/A,FALSE,"PERSONNEL";"sarc",#N/A,FALSE,"SALES &amp; ADMN.";"irc",#N/A,FALSE,"INTEREST";"conrs",#N/A,FALSE,"CASH FLOW"}</definedName>
    <definedName name="AKOEJ" hidden="1">{#N/A,#N/A,TRUE,"TMRSAMPLE";#N/A,#N/A,TRUE,"OPS";#N/A,#N/A,TRUE,"TMR"}</definedName>
    <definedName name="AKOEJ_1" hidden="1">{#N/A,#N/A,TRUE,"TMRSAMPLE";#N/A,#N/A,TRUE,"OPS";#N/A,#N/A,TRUE,"TMR"}</definedName>
    <definedName name="AKOEW" hidden="1">{#N/A,#N/A,TRUE,"TMRSAMPLE";#N/A,#N/A,TRUE,"OPS";#N/A,#N/A,TRUE,"TMR"}</definedName>
    <definedName name="AKOEW_1" hidden="1">{#N/A,#N/A,TRUE,"TMRSAMPLE";#N/A,#N/A,TRUE,"OPS";#N/A,#N/A,TRUE,"TMR"}</definedName>
    <definedName name="ann"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anscount" hidden="1">4</definedName>
    <definedName name="anti" hidden="1">{#N/A,#N/A,FALSE,"8"}</definedName>
    <definedName name="aq" hidden="1">{#N/A,#N/A,FALSE,"PMTABB";#N/A,#N/A,FALSE,"PMTABB"}</definedName>
    <definedName name="aqqaqaq"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ar" hidden="1">{#N/A,#N/A,FALSE,"Status of Projects";#N/A,#N/A,FALSE,"CEA-TEC";#N/A,#N/A,FALSE,"U-Constr.";#N/A,#N/A,FALSE,"summary";#N/A,#N/A,FALSE,"PPP-3 yrs"}</definedName>
    <definedName name="AS" hidden="1">{"Print1",#N/A,TRUE,"P&amp;L";"Print2",#N/A,TRUE,"CashFL"}</definedName>
    <definedName name="as\" hidden="1">{"'PS-SOTM'!$A$1","'PS-SOTM'!$A$2:$M$30","'PS-SOTM'!$A$31:$A$38"}</definedName>
    <definedName name="AS2DocOpenMode" hidden="1">"AS2DocumentEdit"</definedName>
    <definedName name="AS2HasNoAutoHeaderFooter" hidden="1">" "</definedName>
    <definedName name="AS2LinkLS" hidden="1">#REF!</definedName>
    <definedName name="AS2NamedRange" hidden="1">2</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ad" hidden="1">{#N/A,#N/A,FALSE,"str_title";#N/A,#N/A,FALSE,"SUM";#N/A,#N/A,FALSE,"Scope";#N/A,#N/A,FALSE,"PIE-Jn";#N/A,#N/A,FALSE,"PIE-Jn_Hz";#N/A,#N/A,FALSE,"Liq_Plan";#N/A,#N/A,FALSE,"S_Curve";#N/A,#N/A,FALSE,"Liq_Prof";#N/A,#N/A,FALSE,"Man_Pwr";#N/A,#N/A,FALSE,"Man_Prof"}</definedName>
    <definedName name="asafsdf" hidden="1">{#N/A,#N/A,FALSE,"Layout Cash Flow"}</definedName>
    <definedName name="asdasdada" hidden="1">{#N/A,#N/A,FALSE,"PGW"}</definedName>
    <definedName name="asdasdasdasd" hidden="1">{#N/A,#N/A,FALSE,"OSBL"}</definedName>
    <definedName name="asdfasdf" hidden="1">{"fdsup://IBCentral/FAT Viewer?action=UPDATE&amp;creator=factset&amp;DOC_NAME=fat:reuters_qtrly_source_window.fat&amp;display_string=Audit&amp;DYN_ARGS=TRUE&amp;VAR:ID1=527343&amp;VAR:RCODE=SCSI&amp;VAR:SDATE=20020699&amp;VAR:FREQ=Quarterly&amp;VAR:RELITEM=RP&amp;VAR:CURRENCY=&amp;VAR:CURRSOURCE=EXSH","ARE&amp;VAR:NATFREQ=QUARTERLY&amp;VAR:RFIELD=FINALIZED&amp;VAR:DB_TYPE=&amp;VAR:UNITS=M&amp;window=popup&amp;width=450&amp;height=300&amp;START_MAXIMIZED=FALSE"}</definedName>
    <definedName name="asdfdfdjf" hidden="1">{#N/A,#N/A,FALSE,"Budget at a Glance";#N/A,#N/A,FALSE,"Receipts";#N/A,#N/A,FALSE,"Expenditure";#N/A,#N/A,FALSE,"Impact";#N/A,#N/A,FALSE,"Non-Durables";#N/A,#N/A,FALSE,"Durables";#N/A,#N/A,FALSE,"Cement";#N/A,#N/A,FALSE,"Power Cables";#N/A,#N/A,FALSE,"NFM";#N/A,#N/A,FALSE,"Auto";#N/A,#N/A,FALSE,"Auto1";#N/A,#N/A,FALSE,"Chemicals";#N/A,#N/A,FALSE,"Steel duty";#N/A,#N/A,FALSE,"Petrochemicals";#N/A,#N/A,FALSE,"Paper";#N/A,#N/A,FALSE,"Fibres";#N/A,#N/A,FALSE,"Tyre";#N/A,#N/A,FALSE,"Tyre1";#N/A,#N/A,FALSE,"Cotton (prices &amp; Duty)";#N/A,#N/A,FALSE,"Telecom Equipment";#N/A,#N/A,FALSE,"Cigarettes"}</definedName>
    <definedName name="asdfgh" hidden="1">#REF!</definedName>
    <definedName name="asdfre" hidden="1">#REF!</definedName>
    <definedName name="asdjasldkfj" hidden="1">{#N/A,#N/A,FALSE,"PMTABB";#N/A,#N/A,FALSE,"PMTABB"}</definedName>
    <definedName name="asdsar" hidden="1">{#N/A,#N/A,FALSE,"ISBL"}</definedName>
    <definedName name="asfdsfsdff" hidden="1">{"adj95mult",#N/A,FALSE,"COMPCO";"adj95est",#N/A,FALSE,"COMPCO"}</definedName>
    <definedName name="asfdsfsdff_1" hidden="1">{"adj95mult",#N/A,FALSE,"COMPCO";"adj95est",#N/A,FALSE,"COMPCO"}</definedName>
    <definedName name="asgdga" hidden="1">'[15]excise-i'!#REF!</definedName>
    <definedName name="ask" hidden="1">#REF!</definedName>
    <definedName name="ass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l"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SsAS" hidden="1">{#N/A,#N/A,FALSE,"PMTABB";#N/A,#N/A,FALSE,"PMTABB"}</definedName>
    <definedName name="aw4wb" hidden="1">{#N/A,#N/A,FALSE,"ISBL"}</definedName>
    <definedName name="awe" hidden="1">{#N/A,#N/A,FALSE,"PGW"}</definedName>
    <definedName name="aweaw3" hidden="1">{#N/A,#N/A,FALSE,"OSBL"}</definedName>
    <definedName name="az"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azqwe" hidden="1">#REF!</definedName>
    <definedName name="B" hidden="1">[16]YTD!$C$198:$S$316</definedName>
    <definedName name="B_1" hidden="1">{#N/A,#N/A,FALSE,"Synth";"parc_DC",#N/A,FALSE,"parc";#N/A,#N/A,FALSE,"CA prest";#N/A,#N/A,FALSE,"Ratio CA";#N/A,#N/A,FALSE,"Trafic";"CR_GSM_acté_DC",#N/A,FALSE,"CR GSM_acté";#N/A,#N/A,FALSE,"Abonnés";#N/A,#N/A,FALSE,"Créances";#N/A,#N/A,FALSE,"Effectifs"}</definedName>
    <definedName name="BADWE" hidden="1">{#N/A,#N/A,FALSE,"mpph1";#N/A,#N/A,FALSE,"mpmseb";#N/A,#N/A,FALSE,"mpph2"}</definedName>
    <definedName name="baj" hidden="1">{"turnover",#N/A,FALSE;"profits",#N/A,FALSE;"cash",#N/A,FALSE}</definedName>
    <definedName name="baj_1" hidden="1">{"turnover",#N/A,FALSE;"profits",#N/A,FALSE;"cash",#N/A,FALSE}</definedName>
    <definedName name="BALANCE" hidden="1">#REF!</definedName>
    <definedName name="BalanceShees"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Balancesheet"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base_24x7_revenue" hidden="1">{"mult96",#N/A,FALSE,"PETCOMP";"est96",#N/A,FALSE,"PETCOMP";"mult95",#N/A,FALSE,"PETCOMP";"est95",#N/A,FALSE,"PETCOMP";"multltm",#N/A,FALSE,"PETCOMP";"resultltm",#N/A,FALSE,"PETCOMP"}</definedName>
    <definedName name="base_24x7_revenue_1" hidden="1">{"mult96",#N/A,FALSE,"PETCOMP";"est96",#N/A,FALSE,"PETCOMP";"mult95",#N/A,FALSE,"PETCOMP";"est95",#N/A,FALSE,"PETCOMP";"multltm",#N/A,FALSE,"PETCOMP";"resultltm",#N/A,FALSE,"PETCOMP"}</definedName>
    <definedName name="bba"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bbb"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bbbbbbbbb"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bbc"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bbd"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bbe"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bbf"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BBS"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bbs_1"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bdvb"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BFWB" hidden="1">{#N/A,#N/A,FALSE,"Feuil";#N/A,#N/A,FALSE,"Feuil (2)";#N/A,#N/A,FALSE,"Feuil (3)";#N/A,#N/A,FALSE,"Feuil (4)";#N/A,#N/A,FALSE,"Feuil (5)";#N/A,#N/A,FALSE,"Feuil (6)";#N/A,#N/A,FALSE,"Feuil (7)";#N/A,#N/A,FALSE,"Feuil (8)";#N/A,#N/A,FALSE,"Feuil (9)";#N/A,#N/A,FALSE,"Feuil (10)";#N/A,#N/A,FALSE,"Feuil (11)";#N/A,#N/A,FALSE,"Feuil (12)";#N/A,#N/A,FALSE,"Feuil (13)";#N/A,#N/A,FALSE,"Feuil (14)";#N/A,#N/A,FALSE,"Feuil (15)";#N/A,#N/A,FALSE,"Feuil (16)"}</definedName>
    <definedName name="BG_Del" hidden="1">15</definedName>
    <definedName name="BG_Ins" hidden="1">4</definedName>
    <definedName name="BG_Mod" hidden="1">6</definedName>
    <definedName name="bha" hidden="1">{#N/A,#N/A,FALSE,"PGW"}</definedName>
    <definedName name="bharat"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BHDFH"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bhghgdf" hidden="1">{"'August 2000'!$A$1:$J$101"}</definedName>
    <definedName name="Bilag"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bjcdbw" hidden="1">{"'August 2000'!$A$1:$J$101"}</definedName>
    <definedName name="BLPH1" hidden="1">[17]palm!$A$3</definedName>
    <definedName name="BLPH10" hidden="1">'[18]Monthly world production'!$A$3</definedName>
    <definedName name="BLPH11" hidden="1">'[19]India crude steel prod'!$A$3</definedName>
    <definedName name="BLPH12" hidden="1">'[18]Monthly world prod'!$A$3</definedName>
    <definedName name="BLPH13" hidden="1">'[18]Monthly world prod'!$D$3</definedName>
    <definedName name="BLPH132" hidden="1">[20]Sheet1!$CH$3</definedName>
    <definedName name="BLPH133" hidden="1">[20]Sheet1!$CL$3</definedName>
    <definedName name="BLPH134" hidden="1">[20]Sheet1!$CP$3</definedName>
    <definedName name="BLPH135" hidden="1">[20]Sheet1!$CT$3</definedName>
    <definedName name="BLPH136" hidden="1">[20]Sheet1!$CX$3</definedName>
    <definedName name="BLPH137" hidden="1">[20]Sheet1!$DB$3</definedName>
    <definedName name="BLPH138" hidden="1">[20]Sheet1!$DF$3</definedName>
    <definedName name="BLPH139" hidden="1">[20]Sheet1!$DJ$3</definedName>
    <definedName name="BLPH14" hidden="1">#REF!</definedName>
    <definedName name="BLPH140" hidden="1">[20]Sheet1!$DN$3</definedName>
    <definedName name="BLPH141" hidden="1">[20]Sheet1!$DR$3</definedName>
    <definedName name="BLPH142" hidden="1">[20]Sheet1!$DV$3</definedName>
    <definedName name="BLPH143" hidden="1">[20]Sheet1!$DZ$3</definedName>
    <definedName name="BLPH144" hidden="1">[20]Sheet1!$ED$3</definedName>
    <definedName name="BLPH145" hidden="1">[20]Sheet1!$EH$3</definedName>
    <definedName name="BLPH146" hidden="1">[20]Sheet1!$EL$3</definedName>
    <definedName name="BLPH147" hidden="1">[20]Sheet1!$EP$3</definedName>
    <definedName name="BLPH148" hidden="1">[20]Sheet1!$ET$3</definedName>
    <definedName name="BLPH149" hidden="1">[20]Sheet1!#REF!</definedName>
    <definedName name="BLPH15" hidden="1">#REF!</definedName>
    <definedName name="BLPH150" hidden="1">[20]Sheet1!#REF!</definedName>
    <definedName name="BLPH151" hidden="1">[20]Sheet1!#REF!</definedName>
    <definedName name="BLPH152" hidden="1">[20]Sheet1!#REF!</definedName>
    <definedName name="BLPH153" hidden="1">[20]Sheet1!#REF!</definedName>
    <definedName name="BLPH154" hidden="1">[20]Sheet1!#REF!</definedName>
    <definedName name="BLPH155" hidden="1">[20]Sheet1!#REF!</definedName>
    <definedName name="BLPH156" hidden="1">#REF!</definedName>
    <definedName name="BLPH157" hidden="1">#REF!</definedName>
    <definedName name="BLPH158" hidden="1">#REF!</definedName>
    <definedName name="BLPH159" hidden="1">#REF!</definedName>
    <definedName name="BLPH16" hidden="1">'[21]US alu consumption'!$A$3</definedName>
    <definedName name="BLPH160" hidden="1">#REF!</definedName>
    <definedName name="BLPH17" hidden="1">[22]Sheet1!$A$3</definedName>
    <definedName name="BLPH2" hidden="1">#REF!</definedName>
    <definedName name="BLPH3" hidden="1">#REF!</definedName>
    <definedName name="BLPH4" hidden="1">#REF!</definedName>
    <definedName name="BLPH43" hidden="1">[23]VAP!#REF!</definedName>
    <definedName name="BLPH44" hidden="1">[23]VAP!#REF!</definedName>
    <definedName name="BLPH45" hidden="1">[23]VAP!#REF!</definedName>
    <definedName name="BLPH46" hidden="1">[23]VAP!#REF!</definedName>
    <definedName name="BLPH47" hidden="1">[24]I2Z!$AZ$3</definedName>
    <definedName name="BLPH48" hidden="1">[24]I2Z!$BC$3</definedName>
    <definedName name="BLPH49" hidden="1">[24]I2Z!$BF$3</definedName>
    <definedName name="BLPH5" hidden="1">#REF!</definedName>
    <definedName name="BLPH50" hidden="1">[24]I2Z!$BI$3</definedName>
    <definedName name="BLPH51" hidden="1">[24]I2Z!$BL$4</definedName>
    <definedName name="BLPH52" hidden="1">[24]I2Z!$BO$311</definedName>
    <definedName name="BLPH53" hidden="1">[24]I2Z!$BU$3</definedName>
    <definedName name="BLPH54" hidden="1">[24]I2Z!$BX$3</definedName>
    <definedName name="BLPH55" hidden="1">[24]A2I!$BI$305</definedName>
    <definedName name="BLPH56" hidden="1">#REF!</definedName>
    <definedName name="BLPH57" hidden="1">#REF!</definedName>
    <definedName name="BLPH58" hidden="1">#REF!</definedName>
    <definedName name="BLPH59" hidden="1">#REF!</definedName>
    <definedName name="BLPH6" hidden="1">#REF!</definedName>
    <definedName name="BLPH60" hidden="1">#REF!</definedName>
    <definedName name="BLPH61" hidden="1">#REF!</definedName>
    <definedName name="BLPH62" hidden="1">#REF!</definedName>
    <definedName name="BLPH63" hidden="1">#REF!</definedName>
    <definedName name="BLPH64" hidden="1">#REF!</definedName>
    <definedName name="BLPH65" hidden="1">#REF!</definedName>
    <definedName name="BLPH66" hidden="1">#REF!</definedName>
    <definedName name="BLPH67" hidden="1">#REF!</definedName>
    <definedName name="BLPH68" hidden="1">#REF!</definedName>
    <definedName name="BLPH69" hidden="1">#REF!</definedName>
    <definedName name="BLPH7" hidden="1">#REF!</definedName>
    <definedName name="BLPH70" hidden="1">#REF!</definedName>
    <definedName name="BLPH71" hidden="1">#REF!</definedName>
    <definedName name="BLPH72" hidden="1">#REF!</definedName>
    <definedName name="BLPH73" hidden="1">#REF!</definedName>
    <definedName name="BLPH74" hidden="1">#REF!</definedName>
    <definedName name="BLPH75" hidden="1">#REF!</definedName>
    <definedName name="BLPH76" hidden="1">#REF!</definedName>
    <definedName name="BLPH77" hidden="1">#REF!</definedName>
    <definedName name="BLPH78" hidden="1">#REF!</definedName>
    <definedName name="BLPH79" hidden="1">#REF!</definedName>
    <definedName name="BLPH8" hidden="1">#REF!</definedName>
    <definedName name="BLPH80" hidden="1">#REF!</definedName>
    <definedName name="BLPH81" hidden="1">#REF!</definedName>
    <definedName name="BLPH82" hidden="1">#REF!</definedName>
    <definedName name="BLPH83" hidden="1">#REF!</definedName>
    <definedName name="BLPH84" hidden="1">#REF!</definedName>
    <definedName name="BLPH85" hidden="1">#REF!</definedName>
    <definedName name="BLPH86" hidden="1">#REF!</definedName>
    <definedName name="BLPH87" hidden="1">#REF!</definedName>
    <definedName name="BLPH88" hidden="1">#REF!</definedName>
    <definedName name="BLPH89" hidden="1">#REF!</definedName>
    <definedName name="BLPH9" hidden="1">#REF!</definedName>
    <definedName name="BLPH90" hidden="1">#REF!</definedName>
    <definedName name="BLPH91" hidden="1">#REF!</definedName>
    <definedName name="bnuyyg"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BOS" hidden="1">{#N/A,#N/A,FALSE,"Budget at a Glance";#N/A,#N/A,FALSE,"Receipts";#N/A,#N/A,FALSE,"Expenditure";#N/A,#N/A,FALSE,"Impact";#N/A,#N/A,FALSE,"Non-Durables";#N/A,#N/A,FALSE,"Durables";#N/A,#N/A,FALSE,"Cement";#N/A,#N/A,FALSE,"Power Cables";#N/A,#N/A,FALSE,"NFM";#N/A,#N/A,FALSE,"Auto";#N/A,#N/A,FALSE,"Auto1";#N/A,#N/A,FALSE,"Chemicals";#N/A,#N/A,FALSE,"Steel duty";#N/A,#N/A,FALSE,"Petrochemicals";#N/A,#N/A,FALSE,"Paper";#N/A,#N/A,FALSE,"Fibres";#N/A,#N/A,FALSE,"Tyre";#N/A,#N/A,FALSE,"Tyre1";#N/A,#N/A,FALSE,"Cotton (prices &amp; Duty)";#N/A,#N/A,FALSE,"Telecom Equipment";#N/A,#N/A,FALSE,"Cigarettes"}</definedName>
    <definedName name="BP_Base" hidden="1">{"Graphic",#N/A,TRUE,"Graphic"}</definedName>
    <definedName name="BP_Base_1" hidden="1">{"Graphic",#N/A,TRUE,"Graphic"}</definedName>
    <definedName name="brgh" hidden="1">{"targetdcf",#N/A,FALSE,"Merger consequences";"TARGETASSU",#N/A,FALSE,"Merger consequences";"TERMINAL VALUE",#N/A,FALSE,"Merger consequences"}</definedName>
    <definedName name="brgh_1" hidden="1">{"targetdcf",#N/A,FALSE,"Merger consequences";"TARGETASSU",#N/A,FALSE,"Merger consequences";"TERMINAL VALUE",#N/A,FALSE,"Merger consequences"}</definedName>
    <definedName name="BS31.12" hidden="1">{#N/A,#N/A,FALSE,"Feuil";#N/A,#N/A,FALSE,"Feuil (2)";#N/A,#N/A,FALSE,"Feuil (3)";#N/A,#N/A,FALSE,"Feuil (4)";#N/A,#N/A,FALSE,"Feuil (5)";#N/A,#N/A,FALSE,"Feuil (6)";#N/A,#N/A,FALSE,"Feuil (7)";#N/A,#N/A,FALSE,"Feuil (8)";#N/A,#N/A,FALSE,"Feuil (9)";#N/A,#N/A,FALSE,"Feuil (10)";#N/A,#N/A,FALSE,"Feuil (11)";#N/A,#N/A,FALSE,"Feuil (12)";#N/A,#N/A,FALSE,"Feuil (13)";#N/A,#N/A,FALSE,"Feuil (14)";#N/A,#N/A,FALSE,"Feuil (15)";#N/A,#N/A,FALSE,"Feuil (16)"}</definedName>
    <definedName name="bsdfdsmfbmdsbgm" hidden="1">{#N/A,#N/A,FALSE,"Aging Summary";#N/A,#N/A,FALSE,"Ratio Analysis";#N/A,#N/A,FALSE,"Test 120 Day Accts";#N/A,#N/A,FALSE,"Tickmarks"}</definedName>
    <definedName name="bty" hidden="1">{#N/A,#N/A,FALSE,"PGW"}</definedName>
    <definedName name="Bwall" hidden="1">{"CASH FLOW",#N/A,FALSE,"A"}</definedName>
    <definedName name="bwgh" hidden="1">{#N/A,#N/A,FALSE,"OSBL"}</definedName>
    <definedName name="bwrhrt" hidden="1">{#N/A,#N/A,FALSE,"PGW"}</definedName>
    <definedName name="bzdgf"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CAH" hidden="1">{#N/A,#N/A,FALSE,"$100 equity - 0% costs";#N/A,#N/A,FALSE,"$100 equity - 5% costs";#N/A,#N/A,FALSE,"$50 equity - 0% costs";#N/A,#N/A,FALSE,"$100 equity - 10% costs";#N/A,#N/A,FALSE,"$50 equity - 5% costs";#N/A,#N/A,FALSE,"$50 equity - 10% costs";#N/A,#N/A,FALSE,"$150 equity - 0% costs";#N/A,#N/A,FALSE,"$150 equity - 5% costs";#N/A,#N/A,FALSE,"$150 equity - 10% costs";#N/A,#N/A,FALSE,"Summary";#N/A,#N/A,FALSE,"$0 equity - 0% costs";#N/A,#N/A,FALSE,"$0 equity - 5% costs";#N/A,#N/A,FALSE,"$0 equity - 10% costs"}</definedName>
    <definedName name="CASCSAC" hidden="1">{#N/A,#N/A,FALSE,"TOWNSHIP"}</definedName>
    <definedName name="cash" hidden="1">{"'Sheet1'!$A$4386:$N$4591"}</definedName>
    <definedName name="cashflow1" hidden="1">{"'Sheet1'!$B$1:$B$2"}</definedName>
    <definedName name="CC"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_1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_1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_1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_1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_1_2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_1_2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_1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_1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_1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_1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_1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_1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_2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_2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_2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_2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_2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_2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_2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_2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_2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_2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_2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_2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_3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_3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_3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_3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_3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_3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_3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_3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_3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_3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_3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_3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_4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_4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_4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_4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_4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_4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_4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_4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_5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_5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_5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_5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_5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_5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_5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1_5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2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2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2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2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2_1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2_1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2_1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2_1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2_1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2_1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2_1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2_1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2_1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2_1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2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2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2_2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2_2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2_2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2_2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2_2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2_2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2_2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2_2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2_2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2_2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2_2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2_2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2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2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2_3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2_3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2_3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2_3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2_3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2_3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2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2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2_4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2_4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2_4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2_4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2_4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2_4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2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2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2_5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2_5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2_5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2_5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2_5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2_5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3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3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3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3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3_1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3_1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3_1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3_1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3_1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3_1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3_1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3_1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3_1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3_1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3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3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3_2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3_2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3_2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3_2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3_2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3_2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3_2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3_2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3_2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3_2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3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3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3_3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3_3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3_3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3_3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3_3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3_3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3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3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3_4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3_4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3_4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3_4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3_4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3_4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3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3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3_5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3_5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3_5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3_5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3_5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3_5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4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4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4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4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4_1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4_1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4_1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4_1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4_1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4_1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4_1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4_1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4_1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4_1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4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4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4_2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4_2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4_2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4_2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4_2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4_2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4_2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4_2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4_2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4_2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4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4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4_3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4_3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4_3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4_3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4_3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4_3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4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4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4_4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4_4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4_4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4_4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4_4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4_4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4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4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4_5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4_5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4_5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4_5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4_5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4_5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5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5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5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5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5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5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5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5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5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5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5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_5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cca"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cb"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cc" hidden="1">{"mult96",#N/A,FALSE,"PETCOMP";"est96",#N/A,FALSE,"PETCOMP";"mult95",#N/A,FALSE,"PETCOMP";"est95",#N/A,FALSE,"PETCOMP";"multltm",#N/A,FALSE,"PETCOMP";"resultltm",#N/A,FALSE,"PETCOMP"}</definedName>
    <definedName name="ccc_1" hidden="1">{"mult96",#N/A,FALSE,"PETCOMP";"est96",#N/A,FALSE,"PETCOMP";"mult95",#N/A,FALSE,"PETCOMP";"est95",#N/A,FALSE,"PETCOMP";"multltm",#N/A,FALSE,"PETCOMP";"resultltm",#N/A,FALSE,"PETCOMP"}</definedName>
    <definedName name="ccca"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cccccc" hidden="1">{#N/A,#N/A,FALSE,"Index";#N/A,#N/A,FALSE,"IncStmt";#N/A,#N/A,FALSE,"Ratios";#N/A,#N/A,FALSE,"CashFlows";#N/A,#N/A,FALSE,"Ins1";#N/A,#N/A,FALSE,"Ins2";#N/A,#N/A,FALSE,"SelfFund";#N/A,#N/A,FALSE,"SGA";#N/A,#N/A,FALSE,"Recon";#N/A,#N/A,FALSE,"Earnings";#N/A,#N/A,FALSE,"Earnings (2)";#N/A,#N/A,FALSE,"Stock";#N/A,#N/A,FALSE,"Stock (2)";#N/A,#N/A,FALSE,"PeerRatios";#N/A,#N/A,FALSE,"PeerRanks"}</definedName>
    <definedName name="ccccccccccc"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cd"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ce"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cf"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DNTIREJK" hidden="1">{"Points saillants",#N/A,FALSE,"faits saillant";"Tableau 1",#N/A,FALSE,"sommaire1";"Tableau 2",#N/A,FALSE,"actif2";"Tableau 3",#N/A,FALSE,"pretdouteux3";"Tableau 4",#N/A,FALSE,"actifadmin4";"Tableau 5",#N/A,FALSE,"passif5";"Tableau 6",#N/A,FALSE,"revenunet6";"Tableau 7",#N/A,FALSE,"autresrevenus7";"Tableau 8",#N/A,FALSE,"pertepret8";"Tableau 9",#N/A,FALSE,"fraisexploitati9";"Tableau 10",#N/A,FALSE,"actifrisq10";"Tableau 11",#N/A,FALSE,"bri11";"highlights",#N/A,FALSE,"faits saillant";"Table 1",#N/A,FALSE,"sommaire1";"Table 2",#N/A,FALSE,"actif2";"Table 3",#N/A,FALSE,"pretdouteux3";"Table 4",#N/A,FALSE,"actifadmin4";"Table 5",#N/A,FALSE,"passif5";"Table 6",#N/A,FALSE,"revenunet6";"Table 7",#N/A,FALSE,"autresrevenus7";"Table 8",#N/A,FALSE,"pertepret8";"Table 9",#N/A,FALSE,"fraisexploitati9";"Table 10",#N/A,FALSE,"actifrisq10";"Table 11",#N/A,FALSE,"bri11"}</definedName>
    <definedName name="CDSL"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du" hidden="1">{#N/A,#N/A,FALSE,"COVER.XLS";#N/A,#N/A,FALSE,"RACT1.XLS";#N/A,#N/A,FALSE,"RACT2.XLS";#N/A,#N/A,FALSE,"ECCMP";#N/A,#N/A,FALSE,"WELDER.XLS"}</definedName>
    <definedName name="cdv"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envat" hidden="1">{"'August 2000'!$A$1:$J$101"}</definedName>
    <definedName name="cenvat_1" hidden="1">{"'August 2000'!$A$1:$J$101"}</definedName>
    <definedName name="cfl" hidden="1">{"CASH FLOW",#N/A,FALSE,"A"}</definedName>
    <definedName name="cflo" hidden="1">{"CASH FLOW",#N/A,FALSE,"A"}</definedName>
    <definedName name="cflo1" hidden="1">{"CASH FLOW",#N/A,FALSE,"A"}</definedName>
    <definedName name="CGF" hidden="1">{#N/A,#N/A,FALSE,"TOWNSHIP"}</definedName>
    <definedName name="CGFGFGF" hidden="1">{#N/A,#N/A,FALSE,"FREE"}</definedName>
    <definedName name="cghfy"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cgvg" hidden="1">{#N/A,#N/A,FALSE,"FREE"}</definedName>
    <definedName name="CIQWBGuid" localSheetId="16" hidden="1">"Cash flow 1 year v1.xlsx"</definedName>
    <definedName name="CIQWBGuid" hidden="1">"4aa192dc-bed9-48c1-8b5c-a05bc10fa2c2"</definedName>
    <definedName name="ClosingCVD"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losingCVD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MH" hidden="1">{#N/A,#N/A,FALSE,"Feuil";#N/A,#N/A,FALSE,"Feuil (2)";#N/A,#N/A,FALSE,"Feuil (3)";#N/A,#N/A,FALSE,"Feuil (4)";#N/A,#N/A,FALSE,"Feuil (5)";#N/A,#N/A,FALSE,"Feuil (6)";#N/A,#N/A,FALSE,"Feuil (7)";#N/A,#N/A,FALSE,"Feuil (8)";#N/A,#N/A,FALSE,"Feuil (9)";#N/A,#N/A,FALSE,"Feuil (10)";#N/A,#N/A,FALSE,"Feuil (11)";#N/A,#N/A,FALSE,"Feuil (12)";#N/A,#N/A,FALSE,"Feuil (13)";#N/A,#N/A,FALSE,"Feuil (14)";#N/A,#N/A,FALSE,"Feuil (15)";#N/A,#N/A,FALSE,"Feuil (16)"}</definedName>
    <definedName name="Code" hidden="1">#REF!</definedName>
    <definedName name="conf_balamended" hidden="1">{#N/A,#N/A,FALSE,"PMTABB";#N/A,#N/A,FALSE,"PMTABB"}</definedName>
    <definedName name="conso1" hidden="1">{#N/A,#N/A,FALSE,"Budget at a Glance";#N/A,#N/A,FALSE,"Receipts";#N/A,#N/A,FALSE,"Expenditure";#N/A,#N/A,FALSE,"Impact";#N/A,#N/A,FALSE,"Non-Durables";#N/A,#N/A,FALSE,"Durables";#N/A,#N/A,FALSE,"Cement";#N/A,#N/A,FALSE,"Power Cables";#N/A,#N/A,FALSE,"NFM";#N/A,#N/A,FALSE,"Auto";#N/A,#N/A,FALSE,"Auto1";#N/A,#N/A,FALSE,"Chemicals";#N/A,#N/A,FALSE,"Steel duty";#N/A,#N/A,FALSE,"Petrochemicals";#N/A,#N/A,FALSE,"Paper";#N/A,#N/A,FALSE,"Fibres";#N/A,#N/A,FALSE,"Tyre";#N/A,#N/A,FALSE,"Tyre1";#N/A,#N/A,FALSE,"Cotton (prices &amp; Duty)";#N/A,#N/A,FALSE,"Telecom Equipment";#N/A,#N/A,FALSE,"Cigarettes"}</definedName>
    <definedName name="CONT" hidden="1">'[25]excise-i'!#REF!</definedName>
    <definedName name="CRIT" hidden="1">{#N/A,#N/A,FALSE,"consu_cover";#N/A,#N/A,FALSE,"consu_strategy";#N/A,#N/A,FALSE,"consu_flow";#N/A,#N/A,FALSE,"Summary_reqmt";#N/A,#N/A,FALSE,"field_ppg";#N/A,#N/A,FALSE,"ppg_shop";#N/A,#N/A,FALSE,"strl";#N/A,#N/A,FALSE,"tankages";#N/A,#N/A,FALSE,"gases"}</definedName>
    <definedName name="CRITICAL" hidden="1">{#N/A,#N/A,FALSE,"consu_cover";#N/A,#N/A,FALSE,"consu_strategy";#N/A,#N/A,FALSE,"consu_flow";#N/A,#N/A,FALSE,"Summary_reqmt";#N/A,#N/A,FALSE,"field_ppg";#N/A,#N/A,FALSE,"ppg_shop";#N/A,#N/A,FALSE,"strl";#N/A,#N/A,FALSE,"tankages";#N/A,#N/A,FALSE,"gases"}</definedName>
    <definedName name="csflo" hidden="1">{"CASH FLOW",#N/A,FALSE,"A"}</definedName>
    <definedName name="CURVE" hidden="1">{#N/A,#N/A,FALSE,"COVER1.XLS ";#N/A,#N/A,FALSE,"RACT1.XLS";#N/A,#N/A,FALSE,"RACT2.XLS";#N/A,#N/A,FALSE,"ECCMP";#N/A,#N/A,FALSE,"WELDER.XLS"}</definedName>
    <definedName name="CV"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VD"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VDC"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VDClsoign"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vds"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vh" hidden="1">{#N/A,#N/A,FALSE,"TOWNSHIP"}</definedName>
    <definedName name="cvv"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cvy"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CW" hidden="1">{#N/A,#N/A,FALSE,"COMP"}</definedName>
    <definedName name="CX" hidden="1">{#N/A,#N/A,FALSE,"PGW"}</definedName>
    <definedName name="d_jp" hidden="1">{"'Sheet1'!$A$4386:$N$4591"}</definedName>
    <definedName name="dads" hidden="1">{#N/A,#N/A,TRUE,"TMRSAMPLE";#N/A,#N/A,TRUE,"OPS";#N/A,#N/A,TRUE,"TMR"}</definedName>
    <definedName name="dads_1" hidden="1">{#N/A,#N/A,TRUE,"TMRSAMPLE";#N/A,#N/A,TRUE,"OPS";#N/A,#N/A,TRUE,"TMR"}</definedName>
    <definedName name="dasd" hidden="1">{"'Bill No. 7'!$A$1:$G$32"}</definedName>
    <definedName name="data2" hidden="1">#REF!</definedName>
    <definedName name="data3" hidden="1">#REF!</definedName>
    <definedName name="dc" hidden="1">{#N/A,#N/A,FALSE,"Status of Projects";#N/A,#N/A,FALSE,"CEA-TEC";#N/A,#N/A,FALSE,"U-Constr.";#N/A,#N/A,FALSE,"summary";#N/A,#N/A,FALSE,"PPP-3 yrs"}</definedName>
    <definedName name="DD"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_1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_1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_1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_1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_1_2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_1_2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_1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_1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_1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_1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_1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_1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_2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_2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_2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_2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_2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_2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_2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_2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_2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_2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_2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_2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_3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_3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_3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_3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_3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_3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_3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_3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_3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_3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_3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_3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_4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_4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_4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_4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_4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_4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_4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_4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_5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_5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_5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_5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_5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_5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_5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1_5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2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2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2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2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2_1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2_1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2_1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2_1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2_1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2_1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2_1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2_1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2_1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2_1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2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2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2_2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2_2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2_2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2_2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2_2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2_2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2_2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2_2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2_2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2_2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2_2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2_2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2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2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2_3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2_3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2_3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2_3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2_3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2_3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2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2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2_4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2_4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2_4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2_4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2_4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2_4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2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2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2_5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2_5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2_5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2_5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2_5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2_5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3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3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3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3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3_1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3_1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3_1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3_1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3_1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3_1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3_1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3_1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3_1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3_1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3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3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3_2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3_2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3_2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3_2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3_2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3_2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3_2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3_2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3_2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3_2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3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3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3_3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3_3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3_3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3_3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3_3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3_3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3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3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3_4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3_4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3_4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3_4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3_4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3_4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3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3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3_5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3_5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3_5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3_5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3_5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3_5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4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4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4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4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4_1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4_1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4_1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4_1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4_1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4_1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4_1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4_1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4_1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4_1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4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4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4_2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4_2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4_2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4_2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4_2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4_2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4_2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4_2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4_2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4_2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4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4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4_3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4_3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4_3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4_3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4_3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4_3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4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4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4_4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4_4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4_4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4_4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4_4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4_4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4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4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4_5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4_5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4_5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4_5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4_5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4_5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5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5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5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5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5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5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5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5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5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5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5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_5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da"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b"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c"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d" hidden="1">{#N/A,#N/A,TRUE,"TMRSAMPLE";#N/A,#N/A,TRUE,"OPS";#N/A,#N/A,TRUE,"TMR"}</definedName>
    <definedName name="ddd_1" hidden="1">{#N/A,#N/A,TRUE,"TMRSAMPLE";#N/A,#N/A,TRUE,"OPS";#N/A,#N/A,TRUE,"TMR"}</definedName>
    <definedName name="ddd_2" hidden="1">{"DCF","UPSIDE CASE",FALSE,"Sheet1";"DCF","BASE CASE",FALSE,"Sheet1";"DCF","DOWNSIDE CASE",FALSE,"Sheet1"}</definedName>
    <definedName name="dddd" hidden="1">"P92"</definedName>
    <definedName name="ddddddda" hidden="1">'[15]excise-i'!#REF!</definedName>
    <definedName name="dddddddddd"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e"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ed"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f"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DSDS" hidden="1">{#N/A,#N/A,FALSE,"PMTABB";#N/A,#N/A,FALSE,"PMTABB"}</definedName>
    <definedName name="DE"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_1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_1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_1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_1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_1_2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_1_2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_1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_1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_1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_1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_1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_1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_2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_2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_2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_2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_2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_2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_2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_2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_2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_2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_2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_2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_3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_3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_3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_3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_3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_3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_3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_3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_3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_3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_3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_3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_4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_4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_4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_4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_4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_4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_4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_4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_5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_5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_5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_5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_5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_5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_5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1_5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2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2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2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2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2_1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2_1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2_1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2_1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2_1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2_1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2_1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2_1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2_1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2_1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2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2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2_2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2_2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2_2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2_2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2_2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2_2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2_2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2_2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2_2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2_2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2_2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2_2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2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2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2_3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2_3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2_3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2_3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2_3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2_3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2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2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2_4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2_4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2_4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2_4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2_4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2_4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2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2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2_5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2_5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2_5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2_5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2_5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2_5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3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3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3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3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3_1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3_1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3_1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3_1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3_1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3_1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3_1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3_1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3_1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3_1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3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3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3_2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3_2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3_2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3_2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3_2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3_2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3_2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3_2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3_2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3_2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3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3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3_3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3_3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3_3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3_3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3_3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3_3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3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3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3_4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3_4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3_4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3_4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3_4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3_4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3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3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3_5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3_5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3_5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3_5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3_5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3_5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4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4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4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4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4_1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4_1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4_1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4_1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4_1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4_1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4_1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4_1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4_1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4_1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4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4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4_2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4_2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4_2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4_2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4_2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4_2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4_2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4_2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4_2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4_2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4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4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4_3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4_3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4_3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4_3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4_3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4_3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4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4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4_4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4_4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4_4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4_4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4_4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4_4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4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4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4_5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4_5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4_5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4_5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4_5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4_5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5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5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5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5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5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5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5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5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5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5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5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_5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ebtr" hidden="1">{#N/A,#N/A,FALSE,"FREE"}</definedName>
    <definedName name="deds" hidden="1">{#N/A,#N/A,FALSE,"Layout GuV"}</definedName>
    <definedName name="deepti" hidden="1">{"mult96",#N/A,FALSE,"PETCOMP";"est96",#N/A,FALSE,"PETCOMP";"mult95",#N/A,FALSE,"PETCOMP";"est95",#N/A,FALSE,"PETCOMP";"multltm",#N/A,FALSE,"PETCOMP";"resultltm",#N/A,FALSE,"PETCOMP"}</definedName>
    <definedName name="deepti_1" hidden="1">{"mult96",#N/A,FALSE,"PETCOMP";"est96",#N/A,FALSE,"PETCOMP";"mult95",#N/A,FALSE,"PETCOMP";"est95",#N/A,FALSE,"PETCOMP";"multltm",#N/A,FALSE,"PETCOMP";"resultltm",#N/A,FALSE,"PETCOMP"}</definedName>
    <definedName name="def" hidden="1">[26]YTD!$A$2653:$A$2715</definedName>
    <definedName name="defe" hidden="1">{#N/A,#N/A,FALSE,"Budget at a Glance";#N/A,#N/A,FALSE,"Receipts";#N/A,#N/A,FALSE,"Expenditure";#N/A,#N/A,FALSE,"Impact";#N/A,#N/A,FALSE,"Non-Durables";#N/A,#N/A,FALSE,"Durables";#N/A,#N/A,FALSE,"Cement";#N/A,#N/A,FALSE,"Power Cables";#N/A,#N/A,FALSE,"NFM";#N/A,#N/A,FALSE,"Auto";#N/A,#N/A,FALSE,"Auto1";#N/A,#N/A,FALSE,"Chemicals";#N/A,#N/A,FALSE,"Steel duty";#N/A,#N/A,FALSE,"Petrochemicals";#N/A,#N/A,FALSE,"Paper";#N/A,#N/A,FALSE,"Fibres";#N/A,#N/A,FALSE,"Tyre";#N/A,#N/A,FALSE,"Tyre1";#N/A,#N/A,FALSE,"Cotton (prices &amp; Duty)";#N/A,#N/A,FALSE,"Telecom Equipment";#N/A,#N/A,FALSE,"Cigarettes"}</definedName>
    <definedName name="DEJRU" hidden="1">{#N/A,#N/A,TRUE,"TMRSAMPLE";#N/A,#N/A,TRUE,"OPS";#N/A,#N/A,TRUE,"TMR"}</definedName>
    <definedName name="DEJRU_1" hidden="1">{#N/A,#N/A,TRUE,"TMRSAMPLE";#N/A,#N/A,TRUE,"OPS";#N/A,#N/A,TRUE,"TMR"}</definedName>
    <definedName name="Dep_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epn" hidden="1">{"mult96",#N/A,FALSE,"PETCOMP";"est96",#N/A,FALSE,"PETCOMP";"mult95",#N/A,FALSE,"PETCOMP";"est95",#N/A,FALSE,"PETCOMP";"multltm",#N/A,FALSE,"PETCOMP";"resultltm",#N/A,FALSE,"PETCOMP"}</definedName>
    <definedName name="Depn_1" hidden="1">{"mult96",#N/A,FALSE,"PETCOMP";"est96",#N/A,FALSE,"PETCOMP";"mult95",#N/A,FALSE,"PETCOMP";"est95",#N/A,FALSE,"PETCOMP";"multltm",#N/A,FALSE,"PETCOMP";"resultltm",#N/A,FALSE,"PETCOMP"}</definedName>
    <definedName name="derffdgv" hidden="1">{"'August 2000'!$A$1:$J$101"}</definedName>
    <definedName name="df"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_1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_1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_1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_1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_1_2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_1_2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_1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_1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_1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_1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_1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_1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_2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_2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_2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_2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_2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_2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_2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_2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_2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_2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_2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_2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_3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_3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_3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_3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_3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_3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_3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_3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_3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_3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_3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_3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_4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_4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_4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_4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_4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_4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_4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_4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_5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_5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_5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_5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_5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_5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_5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1_5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2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2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2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2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2_1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2_1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2_1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2_1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2_1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2_1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2_1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2_1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2_1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2_1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2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2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2_2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2_2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2_2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2_2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2_2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2_2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2_2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2_2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2_2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2_2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2_2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2_2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2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2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2_3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2_3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2_3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2_3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2_3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2_3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2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2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2_4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2_4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2_4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2_4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2_4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2_4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2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2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2_5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2_5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2_5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2_5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2_5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2_5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3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3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3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3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3_1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3_1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3_1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3_1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3_1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3_1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3_1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3_1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3_1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3_1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3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3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3_2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3_2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3_2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3_2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3_2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3_2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3_2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3_2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3_2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3_2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3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3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3_3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3_3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3_3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3_3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3_3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3_3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3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3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3_4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3_4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3_4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3_4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3_4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3_4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3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3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3_5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3_5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3_5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3_5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3_5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3_5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4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4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4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4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4_1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4_1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4_1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4_1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4_1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4_1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4_1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4_1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4_1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4_1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4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4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4_2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4_2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4_2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4_2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4_2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4_2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4_2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4_2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4_2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4_2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4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4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4_3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4_3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4_3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4_3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4_3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4_3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4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4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4_4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4_4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4_4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4_4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4_4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4_4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4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4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4_5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4_5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4_5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4_5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4_5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4_5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5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5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5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5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5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5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5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5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5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5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5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_5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dfafa" hidden="1">#N/A</definedName>
    <definedName name="dfd" hidden="1">{#N/A,#N/A,TRUE,"Economic Indicators";#N/A,#N/A,TRUE,"Cracker Shutdown schedule";#N/A,#N/A,TRUE,"Benzene Shutdown schedule";#N/A,#N/A,TRUE,"PX Shutdown schedule";#N/A,#N/A,TRUE,"Financials";#N/A,#N/A,TRUE,"Prices&amp;Margins";#N/A,#N/A,TRUE,"Demand-supply";#N/A,#N/A,TRUE,"Polymers-Ind Sum-1999-2000";#N/A,#N/A,TRUE,"Polymers-Ind Sum-Q4";#N/A,#N/A,TRUE,"Polymers-Ind Sum-Q3";#N/A,#N/A,TRUE,"Polymers-Ind Sum-Q4overQ3";#N/A,#N/A,TRUE,"RIL-Q4-Prodn-Sales";#N/A,#N/A,TRUE,"RIL-Q4-Prices";#N/A,#N/A,TRUE,"RIL-Q4-Feedstock";#N/A,#N/A,TRUE,"IPCL-Q4-Prodn-Sales";#N/A,#N/A,TRUE,"IPCL-Q4-Prices";#N/A,#N/A,TRUE,"IPCL-Q4-Feedstock";#N/A,#N/A,TRUE,"NOCIL-Q4-Prodn-Sales";#N/A,#N/A,TRUE,"NOCIL-Q4-Prices";#N/A,#N/A,TRUE,"GAIL-Q4-Prodn-Sales";#N/A,#N/A,TRUE,"GAIL-Q4-Prices"}</definedName>
    <definedName name="dfdfs" hidden="1">{"'Sheet1'!$A$4386:$N$4591"}</definedName>
    <definedName name="ＤＦＦ" hidden="1">{#N/A,#N/A,TRUE,"TMRSAMPLE";#N/A,#N/A,TRUE,"OPS";#N/A,#N/A,TRUE,"TMR"}</definedName>
    <definedName name="ＤＦＦ_1" hidden="1">{#N/A,#N/A,TRUE,"TMRSAMPLE";#N/A,#N/A,TRUE,"OPS";#N/A,#N/A,TRUE,"TMR"}</definedName>
    <definedName name="dfgdfg" hidden="1">{#N/A,#N/A,FALSE,"PMTABB";#N/A,#N/A,FALSE,"PMTABB"}</definedName>
    <definedName name="DFGH" hidden="1">{#N/A,#N/A,TRUE,"TMRSAMPLE";#N/A,#N/A,TRUE,"OPS";#N/A,#N/A,TRUE,"TMR"}</definedName>
    <definedName name="DFGH_1" hidden="1">{#N/A,#N/A,TRUE,"TMRSAMPLE";#N/A,#N/A,TRUE,"OPS";#N/A,#N/A,TRUE,"TMR"}</definedName>
    <definedName name="dfghfd" hidden="1">{#N/A,#N/A,FALSE,"PMTABB";#N/A,#N/A,FALSE,"PMTABB"}</definedName>
    <definedName name="DFGHJK" hidden="1">8</definedName>
    <definedName name="DFHGH" hidden="1">{#N/A,#N/A,FALSE,"PGW"}</definedName>
    <definedName name="dfsdfsdfs" hidden="1">{#N/A,#N/A,FALSE,"TOWNSHIP"}</definedName>
    <definedName name="dfsdfsfsdfsf" hidden="1">{#N/A,#N/A,FALSE,"PMTABB";#N/A,#N/A,FALSE,"PMTABB"}</definedName>
    <definedName name="dg" hidden="1">{#N/A,#N/A,FALSE,"COVER.XLS";#N/A,#N/A,FALSE,"RACT1.XLS";#N/A,#N/A,FALSE,"RACT2.XLS";#N/A,#N/A,FALSE,"ECCMP";#N/A,#N/A,FALSE,"WELDER.XLS"}</definedName>
    <definedName name="dgfgfd" hidden="1">{#N/A,#N/A,FALSE,"COVER.XLS";#N/A,#N/A,FALSE,"RACT1.XLS";#N/A,#N/A,FALSE,"RACT2.XLS";#N/A,#N/A,FALSE,"ECCMP";#N/A,#N/A,FALSE,"WELDER.XLS"}</definedName>
    <definedName name="dghkl" hidden="1">{"'Bill No. 7'!$A$1:$G$32"}</definedName>
    <definedName name="dhakjs" hidden="1">{"'August 2000'!$A$1:$J$101"}</definedName>
    <definedName name="dhakjs_1" hidden="1">{"'August 2000'!$A$1:$J$101"}</definedName>
    <definedName name="DHCIJFHJ" hidden="1">[27]PL!#REF!</definedName>
    <definedName name="ＤＨＤＳＨＨＧ" hidden="1">{#N/A,#N/A,TRUE,"TMRSAMPLE";#N/A,#N/A,TRUE,"OPS";#N/A,#N/A,TRUE,"TMR"}</definedName>
    <definedName name="ＤＨＤＳＨＨＧ_1" hidden="1">{#N/A,#N/A,TRUE,"TMRSAMPLE";#N/A,#N/A,TRUE,"OPS";#N/A,#N/A,TRUE,"TMR"}</definedName>
    <definedName name="DHTML" hidden="1">{"'Sheet1'!$A$4386:$N$4591"}</definedName>
    <definedName name="Diag_DCF" hidden="1">{#N/A,#N/A,TRUE,"Cover sheet";#N/A,#N/A,TRUE,"INPUTS";#N/A,#N/A,TRUE,"OUTPUTS";#N/A,#N/A,TRUE,"VALUATION"}</definedName>
    <definedName name="Diag_min_max2" hidden="1">{#N/A,#N/A,TRUE,"Cover sheet";#N/A,#N/A,TRUE,"INPUTS";#N/A,#N/A,TRUE,"OUTPUTS";#N/A,#N/A,TRUE,"VALUATION"}</definedName>
    <definedName name="Diff_annex" hidden="1">{"FTS",#N/A,FALSE,"E"}</definedName>
    <definedName name="diff_bill" hidden="1">{"CASH FLOW",#N/A,FALSE,"A"}</definedName>
    <definedName name="Diffbill_nov08" hidden="1">{"SUMMARY",#N/A,FALSE,"C"}</definedName>
    <definedName name="display_area_2" hidden="1">#REF!</definedName>
    <definedName name="DJEDHUH" hidden="1">#REF!</definedName>
    <definedName name="ＤＪＹＴＫＫＴ" hidden="1">{#N/A,#N/A,TRUE,"TMRSAMPLE";#N/A,#N/A,TRUE,"OPS";#N/A,#N/A,TRUE,"TMR"}</definedName>
    <definedName name="ＤＪＹＴＫＫＴ_1" hidden="1">{#N/A,#N/A,TRUE,"TMRSAMPLE";#N/A,#N/A,TRUE,"OPS";#N/A,#N/A,TRUE,"TMR"}</definedName>
    <definedName name="ＤＪれうえＫづ" hidden="1">{#N/A,#N/A,TRUE,"TMRSAMPLE";#N/A,#N/A,TRUE,"OPS";#N/A,#N/A,TRUE,"TMR"}</definedName>
    <definedName name="ＤＪれうえＫづ_1" hidden="1">{#N/A,#N/A,TRUE,"TMRSAMPLE";#N/A,#N/A,TRUE,"OPS";#N/A,#N/A,TRUE,"TMR"}</definedName>
    <definedName name="dlkxehshdjhgh" hidden="1">{"'August 2000'!$A$1:$J$101"}</definedName>
    <definedName name="dn" hidden="1">{#N/A,#N/A,FALSE,"COVER1.XLS ";#N/A,#N/A,FALSE,"RACT1.XLS";#N/A,#N/A,FALSE,"RACT2.XLS";#N/A,#N/A,FALSE,"ECCMP";#N/A,#N/A,FALSE,"WELDER.XLS"}</definedName>
    <definedName name="ds" hidden="1">{#N/A,#N/A,FALSE,"str_title";#N/A,#N/A,FALSE,"SUM";#N/A,#N/A,FALSE,"Scope";#N/A,#N/A,FALSE,"PIE-Jn";#N/A,#N/A,FALSE,"PIE-Jn_Hz";#N/A,#N/A,FALSE,"Liq_Plan";#N/A,#N/A,FALSE,"S_Curve";#N/A,#N/A,FALSE,"Liq_Prof";#N/A,#N/A,FALSE,"Man_Pwr";#N/A,#N/A,FALSE,"Man_Prof"}</definedName>
    <definedName name="dsadaD" hidden="1">{#N/A,#N/A,FALSE,"COVER1.XLS ";#N/A,#N/A,FALSE,"RACT1.XLS";#N/A,#N/A,FALSE,"RACT2.XLS";#N/A,#N/A,FALSE,"ECCMP";#N/A,#N/A,FALSE,"WELDER.XLS"}</definedName>
    <definedName name="dsadkkkabcd" hidden="1">{"mult96",#N/A,FALSE,"PETCOMP";"est96",#N/A,FALSE,"PETCOMP";"mult95",#N/A,FALSE,"PETCOMP";"est95",#N/A,FALSE,"PETCOMP";"multltm",#N/A,FALSE,"PETCOMP";"resultltm",#N/A,FALSE,"PETCOMP"}</definedName>
    <definedName name="dsadkkkabcd_1" hidden="1">{"mult96",#N/A,FALSE,"PETCOMP";"est96",#N/A,FALSE,"PETCOMP";"mult95",#N/A,FALSE,"PETCOMP";"est95",#N/A,FALSE,"PETCOMP";"multltm",#N/A,FALSE,"PETCOMP";"resultltm",#N/A,FALSE,"PETCOMP"}</definedName>
    <definedName name="DSC"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sd" hidden="1">{#N/A,#N/A,FALSE,"PMTABB";#N/A,#N/A,FALSE,"PMTABB"}</definedName>
    <definedName name="dsdsfsdf" hidden="1">{"Graphic",#N/A,TRUE,"Graphic"}</definedName>
    <definedName name="dsdsfsdf_1" hidden="1">{"Graphic",#N/A,TRUE,"Graphic"}</definedName>
    <definedName name="dsfgdfklhglkdflkglkjh" hidden="1">{#N/A,#N/A,FALSE,"PMTABB";#N/A,#N/A,FALSE,"PMTABB"}</definedName>
    <definedName name="ＤＳＦＧＨＨＪ" hidden="1">{#N/A,#N/A,TRUE,"TMRSAMPLE";#N/A,#N/A,TRUE,"OPS";#N/A,#N/A,TRUE,"TMR"}</definedName>
    <definedName name="ＤＳＦＧＨＨＪ_1" hidden="1">{#N/A,#N/A,TRUE,"TMRSAMPLE";#N/A,#N/A,TRUE,"OPS";#N/A,#N/A,TRUE,"TMR"}</definedName>
    <definedName name="dsm"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ss"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vc"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vcs"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VCSE"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DWAX"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ＤさＨＪ" hidden="1">{#N/A,#N/A,TRUE,"TMRSAMPLE";#N/A,#N/A,TRUE,"OPS";#N/A,#N/A,TRUE,"TMR"}</definedName>
    <definedName name="ＤさＨＪ_1" hidden="1">{#N/A,#N/A,TRUE,"TMRSAMPLE";#N/A,#N/A,TRUE,"OPS";#N/A,#N/A,TRUE,"TMR"}</definedName>
    <definedName name="ＤさＬＫＧＬ" hidden="1">{#N/A,#N/A,TRUE,"TMRSAMPLE";#N/A,#N/A,TRUE,"OPS";#N/A,#N/A,TRUE,"TMR"}</definedName>
    <definedName name="ＤさＬＫＧＬ_1" hidden="1">{#N/A,#N/A,TRUE,"TMRSAMPLE";#N/A,#N/A,TRUE,"OPS";#N/A,#N/A,TRUE,"TMR"}</definedName>
    <definedName name="ＤさＬＫＬＫＪ" hidden="1">{#N/A,#N/A,TRUE,"TMRSAMPLE";#N/A,#N/A,TRUE,"OPS";#N/A,#N/A,TRUE,"TMR"}</definedName>
    <definedName name="ＤさＬＫＬＫＪ_1" hidden="1">{#N/A,#N/A,TRUE,"TMRSAMPLE";#N/A,#N/A,TRUE,"OPS";#N/A,#N/A,TRUE,"TMR"}</definedName>
    <definedName name="e3e32e332" hidden="1">{#N/A,#N/A,FALSE,"Budget at a Glance";#N/A,#N/A,FALSE,"Receipts";#N/A,#N/A,FALSE,"Expenditure";#N/A,#N/A,FALSE,"Impact";#N/A,#N/A,FALSE,"Non-Durables";#N/A,#N/A,FALSE,"Durables";#N/A,#N/A,FALSE,"Cement";#N/A,#N/A,FALSE,"Power Cables";#N/A,#N/A,FALSE,"NFM";#N/A,#N/A,FALSE,"Auto";#N/A,#N/A,FALSE,"Auto1";#N/A,#N/A,FALSE,"Chemicals";#N/A,#N/A,FALSE,"Steel duty";#N/A,#N/A,FALSE,"Petrochemicals";#N/A,#N/A,FALSE,"Paper";#N/A,#N/A,FALSE,"Fibres";#N/A,#N/A,FALSE,"Tyre";#N/A,#N/A,FALSE,"Tyre1";#N/A,#N/A,FALSE,"Cotton (prices &amp; Duty)";#N/A,#N/A,FALSE,"Telecom Equipment";#N/A,#N/A,FALSE,"Cigarettes"}</definedName>
    <definedName name="ed"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EDD" hidden="1">{#N/A,#N/A,FALSE,"PMTABB";#N/A,#N/A,FALSE,"PMTABB"}</definedName>
    <definedName name="edf" hidden="1">{#N/A,#N/A,FALSE,"Budget at a Glance";#N/A,#N/A,FALSE,"Receipts";#N/A,#N/A,FALSE,"Expenditure";#N/A,#N/A,FALSE,"Impact";#N/A,#N/A,FALSE,"Non-Durables";#N/A,#N/A,FALSE,"Durables";#N/A,#N/A,FALSE,"Cement";#N/A,#N/A,FALSE,"Power Cables";#N/A,#N/A,FALSE,"NFM";#N/A,#N/A,FALSE,"Auto";#N/A,#N/A,FALSE,"Auto1";#N/A,#N/A,FALSE,"Chemicals";#N/A,#N/A,FALSE,"Steel duty";#N/A,#N/A,FALSE,"Petrochemicals";#N/A,#N/A,FALSE,"Paper";#N/A,#N/A,FALSE,"Fibres";#N/A,#N/A,FALSE,"Tyre";#N/A,#N/A,FALSE,"Tyre1";#N/A,#N/A,FALSE,"Cotton (prices &amp; Duty)";#N/A,#N/A,FALSE,"Telecom Equipment";#N/A,#N/A,FALSE,"Cigarettes"}</definedName>
    <definedName name="edr"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eds"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ee" hidden="1">{#N/A,#N/A,TRUE,"TMRSAMPLE";#N/A,#N/A,TRUE,"OPS";#N/A,#N/A,TRUE,"TMR"}</definedName>
    <definedName name="ee_1" hidden="1">{#N/A,#N/A,TRUE,"TMRSAMPLE";#N/A,#N/A,TRUE,"OPS";#N/A,#N/A,TRUE,"TMR"}</definedName>
    <definedName name="eea"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eeb"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eec"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eed"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eee" hidden="1">{"Graphic",#N/A,TRUE,"Graphic"}</definedName>
    <definedName name="eee_1" hidden="1">{"Graphic",#N/A,TRUE,"Graphic"}</definedName>
    <definedName name="EEEEE" hidden="1">{#N/A,#N/A,TRUE,"TMRSAMPLE";#N/A,#N/A,TRUE,"OPS";#N/A,#N/A,TRUE,"TMR"}</definedName>
    <definedName name="EEEEE_1" hidden="1">{#N/A,#N/A,TRUE,"TMRSAMPLE";#N/A,#N/A,TRUE,"OPS";#N/A,#N/A,TRUE,"TMR"}</definedName>
    <definedName name="eeeeeeee"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eer" hidden="1">{#N/A,#N/A,TRUE,"Cover sheet";#N/A,#N/A,TRUE,"Summary";#N/A,#N/A,TRUE,"Key Assumptions";#N/A,#N/A,TRUE,"Profit &amp; Loss";#N/A,#N/A,TRUE,"Balance Sheet";#N/A,#N/A,TRUE,"Cashflow";#N/A,#N/A,TRUE,"IRR";#N/A,#N/A,TRUE,"Ratios";#N/A,#N/A,TRUE,"Debt analysis"}</definedName>
    <definedName name="EF" hidden="1">{#N/A,#N/A,TRUE,"Cover sheet";#N/A,#N/A,TRUE,"DCF analysis";#N/A,#N/A,TRUE,"WACC calculation"}</definedName>
    <definedName name="efwefwefasfafqwfe" hidden="1">{#N/A,#N/A,FALSE,"PMTABB";#N/A,#N/A,FALSE,"PMTABB"}</definedName>
    <definedName name="EKDJ" hidden="1">{#N/A,#N/A,TRUE,"TMRSAMPLE";#N/A,#N/A,TRUE,"OPS";#N/A,#N/A,TRUE,"TMR"}</definedName>
    <definedName name="EKDJ_1" hidden="1">{#N/A,#N/A,TRUE,"TMRSAMPLE";#N/A,#N/A,TRUE,"OPS";#N/A,#N/A,TRUE,"TMR"}</definedName>
    <definedName name="ems" hidden="1">{#N/A,#N/A,TRUE,"TMRSAMPLE";#N/A,#N/A,TRUE,"OPS";#N/A,#N/A,TRUE,"TMR"}</definedName>
    <definedName name="ems_1" hidden="1">{#N/A,#N/A,TRUE,"TMRSAMPLE";#N/A,#N/A,TRUE,"OPS";#N/A,#N/A,TRUE,"TMR"}</definedName>
    <definedName name="EOLsupplyLC" hidden="1">{#N/A,#N/A,FALSE,"PMTABB";#N/A,#N/A,FALSE,"PMTABB"}</definedName>
    <definedName name="EOTI" hidden="1">{#N/A,#N/A,TRUE,"TMRSAMPLE";#N/A,#N/A,TRUE,"OPS";#N/A,#N/A,TRUE,"TMR"}</definedName>
    <definedName name="EOTI_1" hidden="1">{#N/A,#N/A,TRUE,"TMRSAMPLE";#N/A,#N/A,TRUE,"OPS";#N/A,#N/A,TRUE,"TMR"}</definedName>
    <definedName name="ERERWE"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ERTFDSG" hidden="1">{#N/A,#N/A,FALSE,"PGW"}</definedName>
    <definedName name="eryery"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est" hidden="1">{"EVA",#N/A,FALSE,"EVA";"WACC",#N/A,FALSE,"WACC"}</definedName>
    <definedName name="est_1" hidden="1">{"EVA",#N/A,FALSE,"EVA";"WACC",#N/A,FALSE,"WACC"}</definedName>
    <definedName name="ev.Calculation" hidden="1">2</definedName>
    <definedName name="ev.Initialized" hidden="1">FALSE</definedName>
    <definedName name="EV__LASTREFTIME__" hidden="1">40280.3830671296</definedName>
    <definedName name="ewen" hidden="1">{#N/A,#N/A,FALSE,"$100 equity - 0% costs";#N/A,#N/A,FALSE,"$100 equity - 5% costs";#N/A,#N/A,FALSE,"$50 equity - 0% costs";#N/A,#N/A,FALSE,"$100 equity - 10% costs";#N/A,#N/A,FALSE,"$50 equity - 5% costs";#N/A,#N/A,FALSE,"$50 equity - 10% costs";#N/A,#N/A,FALSE,"$150 equity - 0% costs";#N/A,#N/A,FALSE,"$150 equity - 5% costs";#N/A,#N/A,FALSE,"$150 equity - 10% costs";#N/A,#N/A,FALSE,"Summary";#N/A,#N/A,FALSE,"$0 equity - 0% costs";#N/A,#N/A,FALSE,"$0 equity - 5% costs";#N/A,#N/A,FALSE,"$0 equity - 10% costs"}</definedName>
    <definedName name="ewewe" hidden="1">{#N/A,#N/A,FALSE,"Budget at a Glance";#N/A,#N/A,FALSE,"Receipts";#N/A,#N/A,FALSE,"Expenditure";#N/A,#N/A,FALSE,"Impact";#N/A,#N/A,FALSE,"Non-Durables";#N/A,#N/A,FALSE,"Durables";#N/A,#N/A,FALSE,"Cement";#N/A,#N/A,FALSE,"Power Cables";#N/A,#N/A,FALSE,"NFM";#N/A,#N/A,FALSE,"Auto";#N/A,#N/A,FALSE,"Auto1";#N/A,#N/A,FALSE,"Chemicals";#N/A,#N/A,FALSE,"Steel duty";#N/A,#N/A,FALSE,"Petrochemicals";#N/A,#N/A,FALSE,"Paper";#N/A,#N/A,FALSE,"Fibres";#N/A,#N/A,FALSE,"Tyre";#N/A,#N/A,FALSE,"Tyre1";#N/A,#N/A,FALSE,"Cotton (prices &amp; Duty)";#N/A,#N/A,FALSE,"Telecom Equipment";#N/A,#N/A,FALSE,"Cigarettes"}</definedName>
    <definedName name="ewfr" hidden="1">{"'PS-SOTM'!$A$1","'PS-SOTM'!$A$2:$M$30","'PS-SOTM'!$A$31:$A$38"}</definedName>
    <definedName name="ews"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ExactAddinConnection" hidden="1">"001"</definedName>
    <definedName name="ExactAddinConnection.001" hidden="1">"SO-W2K-PRO;005;jank;1"</definedName>
    <definedName name="exc" hidden="1">{"'Sheet1'!$A$4386:$N$4591"}</definedName>
    <definedName name="Exhibit" hidden="1">{#N/A,#N/A,FALSE,"New Depr Sch-150% DB";#N/A,#N/A,FALSE,"Cash Flows RLP";#N/A,#N/A,FALSE,"IRR";#N/A,#N/A,FALSE,"Proforma IS";#N/A,#N/A,FALSE,"Assumptions"}</definedName>
    <definedName name="Exhibit_1" hidden="1">{#N/A,#N/A,FALSE,"New Depr Sch-150% DB";#N/A,#N/A,FALSE,"Cash Flows RLP";#N/A,#N/A,FALSE,"IRR";#N/A,#N/A,FALSE,"Proforma IS";#N/A,#N/A,FALSE,"Assumptions"}</definedName>
    <definedName name="fafdsasf" hidden="1">#REF!</definedName>
    <definedName name="faq" hidden="1">'[28]Op. Stat.'!#REF!</definedName>
    <definedName name="fasdfsdfsegds" hidden="1">{#N/A,#N/A,FALSE,"PMTABB";#N/A,#N/A,FALSE,"PMTABB"}</definedName>
    <definedName name="fasfas" hidden="1">{#N/A,#N/A,FALSE,"FREE"}</definedName>
    <definedName name="FCode" hidden="1">#REF!</definedName>
    <definedName name="fdasfds" hidden="1">{#N/A,#N/A,TRUE,"Cover sheet";#N/A,#N/A,TRUE,"INPUTS";#N/A,#N/A,TRUE,"OUTPUTS";#N/A,#N/A,TRUE,"VALUATION"}</definedName>
    <definedName name="FDC_0_0" hidden="1">"#"</definedName>
    <definedName name="FDC_1_0" hidden="1">"#"</definedName>
    <definedName name="FDC_10_0" hidden="1">"#"</definedName>
    <definedName name="FDC_10_1" hidden="1">"#"</definedName>
    <definedName name="FDC_10_2" hidden="1">"#"</definedName>
    <definedName name="FDC_10_3" hidden="1">"#"</definedName>
    <definedName name="FDC_11_0" hidden="1">"#"</definedName>
    <definedName name="FDC_11_1" hidden="1">"#"</definedName>
    <definedName name="FDC_11_2" hidden="1">"#"</definedName>
    <definedName name="FDC_11_3" hidden="1">"#"</definedName>
    <definedName name="FDC_12_0" hidden="1">"#"</definedName>
    <definedName name="FDC_12_1" hidden="1">"#"</definedName>
    <definedName name="FDC_12_2" hidden="1">"#"</definedName>
    <definedName name="FDC_12_3" hidden="1">"#"</definedName>
    <definedName name="FDC_13_0" hidden="1">"#"</definedName>
    <definedName name="FDC_13_1" hidden="1">"#"</definedName>
    <definedName name="FDC_13_2" hidden="1">"#"</definedName>
    <definedName name="FDC_13_3" hidden="1">"#"</definedName>
    <definedName name="FDC_14_0" hidden="1">"#"</definedName>
    <definedName name="FDC_14_1" hidden="1">"#"</definedName>
    <definedName name="FDC_14_2" hidden="1">"#"</definedName>
    <definedName name="FDC_14_3" hidden="1">"#"</definedName>
    <definedName name="FDC_15_0" hidden="1">"#"</definedName>
    <definedName name="FDC_16_0" hidden="1">"#"</definedName>
    <definedName name="FDC_17_0" hidden="1">"#"</definedName>
    <definedName name="FDC_18_0" hidden="1">"#"</definedName>
    <definedName name="FDC_19_0" hidden="1">"#"</definedName>
    <definedName name="FDC_19_1" hidden="1">"#"</definedName>
    <definedName name="FDC_19_2" hidden="1">"#"</definedName>
    <definedName name="FDC_19_3" hidden="1">"#"</definedName>
    <definedName name="FDC_2_0" hidden="1">"#"</definedName>
    <definedName name="FDC_20_0" hidden="1">"#"</definedName>
    <definedName name="FDC_21_0" hidden="1">"#"</definedName>
    <definedName name="FDC_21_1" hidden="1">"#"</definedName>
    <definedName name="FDC_21_2" hidden="1">"#"</definedName>
    <definedName name="FDC_21_3" hidden="1">"#"</definedName>
    <definedName name="FDC_22_0" hidden="1">"#"</definedName>
    <definedName name="FDC_23_0" hidden="1">"#"</definedName>
    <definedName name="FDC_24_0" hidden="1">"#"</definedName>
    <definedName name="FDC_25_0" hidden="1">"#"</definedName>
    <definedName name="FDC_25_1" hidden="1">"#"</definedName>
    <definedName name="FDC_25_2" hidden="1">"#"</definedName>
    <definedName name="FDC_25_3" hidden="1">"#"</definedName>
    <definedName name="FDC_26_0" hidden="1">"#"</definedName>
    <definedName name="FDC_26_1" hidden="1">"#"</definedName>
    <definedName name="FDC_26_2" hidden="1">"#"</definedName>
    <definedName name="FDC_26_3" hidden="1">"#"</definedName>
    <definedName name="FDC_27_0" hidden="1">"#"</definedName>
    <definedName name="FDC_28_0" hidden="1">"#"</definedName>
    <definedName name="FDC_28_1" hidden="1">"#"</definedName>
    <definedName name="FDC_28_2" hidden="1">"#"</definedName>
    <definedName name="FDC_28_3" hidden="1">"#"</definedName>
    <definedName name="FDC_29_0" hidden="1">"#"</definedName>
    <definedName name="FDC_29_1" hidden="1">"#"</definedName>
    <definedName name="FDC_29_2" hidden="1">"#"</definedName>
    <definedName name="FDC_29_3" hidden="1">"#"</definedName>
    <definedName name="FDC_3_0" hidden="1">"#"</definedName>
    <definedName name="FDC_30_0" hidden="1">"#"</definedName>
    <definedName name="FDC_31_0" hidden="1">"#"</definedName>
    <definedName name="FDC_32_0" hidden="1">"#"</definedName>
    <definedName name="FDC_33_0" hidden="1">"#"</definedName>
    <definedName name="FDC_34_0" hidden="1">"#"</definedName>
    <definedName name="FDC_35_0" hidden="1">"#"</definedName>
    <definedName name="FDC_36_0" hidden="1">"#"</definedName>
    <definedName name="FDC_37_0" hidden="1">"#"</definedName>
    <definedName name="FDC_38_0" hidden="1">"#"</definedName>
    <definedName name="FDC_39_0" hidden="1">"#"</definedName>
    <definedName name="FDC_4_0" hidden="1">"#"</definedName>
    <definedName name="FDC_40_0" hidden="1">"#"</definedName>
    <definedName name="FDC_41_0" hidden="1">"#"</definedName>
    <definedName name="FDC_41_1" hidden="1">"#"</definedName>
    <definedName name="FDC_41_2" hidden="1">"#"</definedName>
    <definedName name="FDC_41_3" hidden="1">"#"</definedName>
    <definedName name="FDC_42_0" hidden="1">"#"</definedName>
    <definedName name="FDC_42_1" hidden="1">"#"</definedName>
    <definedName name="FDC_42_2" hidden="1">"#"</definedName>
    <definedName name="FDC_42_3" hidden="1">"#"</definedName>
    <definedName name="FDC_43_0" hidden="1">"#"</definedName>
    <definedName name="FDC_43_1" hidden="1">"#"</definedName>
    <definedName name="FDC_43_2" hidden="1">"#"</definedName>
    <definedName name="FDC_43_3" hidden="1">"#"</definedName>
    <definedName name="FDC_44_0" hidden="1">"#"</definedName>
    <definedName name="FDC_45_0" hidden="1">"#"</definedName>
    <definedName name="FDC_45_1" hidden="1">"#"</definedName>
    <definedName name="FDC_45_2" hidden="1">"#"</definedName>
    <definedName name="FDC_45_3" hidden="1">"#"</definedName>
    <definedName name="FDC_46_0" hidden="1">"#"</definedName>
    <definedName name="FDC_46_1" hidden="1">"#"</definedName>
    <definedName name="FDC_46_2" hidden="1">"#"</definedName>
    <definedName name="FDC_46_3" hidden="1">"#"</definedName>
    <definedName name="FDC_47_0" hidden="1">"#"</definedName>
    <definedName name="FDC_47_1" hidden="1">"#"</definedName>
    <definedName name="FDC_47_2" hidden="1">"#"</definedName>
    <definedName name="FDC_47_3" hidden="1">"#"</definedName>
    <definedName name="FDC_48_0" hidden="1">"#"</definedName>
    <definedName name="FDC_48_1" hidden="1">"#"</definedName>
    <definedName name="FDC_48_2" hidden="1">"#"</definedName>
    <definedName name="FDC_48_3" hidden="1">"#"</definedName>
    <definedName name="FDC_49_0" hidden="1">"#"</definedName>
    <definedName name="FDC_49_1" hidden="1">"#"</definedName>
    <definedName name="FDC_49_2" hidden="1">"#"</definedName>
    <definedName name="FDC_49_3" hidden="1">"#"</definedName>
    <definedName name="FDC_5_0" hidden="1">"#"</definedName>
    <definedName name="FDC_5_1" hidden="1">"#"</definedName>
    <definedName name="FDC_5_2" hidden="1">"#"</definedName>
    <definedName name="FDC_5_3" hidden="1">"#"</definedName>
    <definedName name="FDC_50_0" hidden="1">"#"</definedName>
    <definedName name="FDC_50_1" hidden="1">"#"</definedName>
    <definedName name="FDC_50_2" hidden="1">"#"</definedName>
    <definedName name="FDC_50_3" hidden="1">"#"</definedName>
    <definedName name="FDC_51_0" hidden="1">"#"</definedName>
    <definedName name="FDC_51_1" hidden="1">"#"</definedName>
    <definedName name="FDC_51_2" hidden="1">"#"</definedName>
    <definedName name="FDC_51_3" hidden="1">"#"</definedName>
    <definedName name="FDC_52_0" hidden="1">"#"</definedName>
    <definedName name="FDC_52_1" hidden="1">"#"</definedName>
    <definedName name="FDC_52_2" hidden="1">"#"</definedName>
    <definedName name="FDC_52_3" hidden="1">"#"</definedName>
    <definedName name="FDC_53_0" hidden="1">"#"</definedName>
    <definedName name="FDC_53_1" hidden="1">"#"</definedName>
    <definedName name="FDC_53_2" hidden="1">"#"</definedName>
    <definedName name="FDC_53_3" hidden="1">"#"</definedName>
    <definedName name="FDC_54_0" hidden="1">"#"</definedName>
    <definedName name="FDC_54_1" hidden="1">"#"</definedName>
    <definedName name="FDC_54_2" hidden="1">"#"</definedName>
    <definedName name="FDC_54_3" hidden="1">"#"</definedName>
    <definedName name="FDC_55_0" hidden="1">"#"</definedName>
    <definedName name="FDC_55_1" hidden="1">"#"</definedName>
    <definedName name="FDC_55_2" hidden="1">"#"</definedName>
    <definedName name="FDC_55_3" hidden="1">"#"</definedName>
    <definedName name="FDC_56_0" hidden="1">"#"</definedName>
    <definedName name="FDC_57_0" hidden="1">"#"</definedName>
    <definedName name="FDC_58_0" hidden="1">"#"</definedName>
    <definedName name="FDC_58_1" hidden="1">"#"</definedName>
    <definedName name="FDC_58_10" hidden="1">"#"</definedName>
    <definedName name="FDC_58_100" hidden="1">"#"</definedName>
    <definedName name="FDC_58_101" hidden="1">"#"</definedName>
    <definedName name="FDC_58_102" hidden="1">"#"</definedName>
    <definedName name="FDC_58_103" hidden="1">"#"</definedName>
    <definedName name="FDC_58_104" hidden="1">"#"</definedName>
    <definedName name="FDC_58_105" hidden="1">"#"</definedName>
    <definedName name="FDC_58_106" hidden="1">"#"</definedName>
    <definedName name="FDC_58_107" hidden="1">"#"</definedName>
    <definedName name="FDC_58_108" hidden="1">"#"</definedName>
    <definedName name="FDC_58_109" hidden="1">"#"</definedName>
    <definedName name="FDC_58_11" hidden="1">"#"</definedName>
    <definedName name="FDC_58_110" hidden="1">"#"</definedName>
    <definedName name="FDC_58_111" hidden="1">"#"</definedName>
    <definedName name="FDC_58_112" hidden="1">"#"</definedName>
    <definedName name="FDC_58_113" hidden="1">"#"</definedName>
    <definedName name="FDC_58_114" hidden="1">"#"</definedName>
    <definedName name="FDC_58_115" hidden="1">"#"</definedName>
    <definedName name="FDC_58_116" hidden="1">"#"</definedName>
    <definedName name="FDC_58_117" hidden="1">"#"</definedName>
    <definedName name="FDC_58_118" hidden="1">"#"</definedName>
    <definedName name="FDC_58_119" hidden="1">"#"</definedName>
    <definedName name="FDC_58_12" hidden="1">"#"</definedName>
    <definedName name="FDC_58_120" hidden="1">"#"</definedName>
    <definedName name="FDC_58_121" hidden="1">"#"</definedName>
    <definedName name="FDC_58_122" hidden="1">"#"</definedName>
    <definedName name="FDC_58_123" hidden="1">"#"</definedName>
    <definedName name="FDC_58_124" hidden="1">"#"</definedName>
    <definedName name="FDC_58_125" hidden="1">"#"</definedName>
    <definedName name="FDC_58_126" hidden="1">"#"</definedName>
    <definedName name="FDC_58_127" hidden="1">"#"</definedName>
    <definedName name="FDC_58_128" hidden="1">"#"</definedName>
    <definedName name="FDC_58_129" hidden="1">"#"</definedName>
    <definedName name="FDC_58_13" hidden="1">"#"</definedName>
    <definedName name="FDC_58_130" hidden="1">"#"</definedName>
    <definedName name="FDC_58_131" hidden="1">"#"</definedName>
    <definedName name="FDC_58_132" hidden="1">"#"</definedName>
    <definedName name="FDC_58_133" hidden="1">"#"</definedName>
    <definedName name="FDC_58_134" hidden="1">"#"</definedName>
    <definedName name="FDC_58_135" hidden="1">"#"</definedName>
    <definedName name="FDC_58_136" hidden="1">"#"</definedName>
    <definedName name="FDC_58_137" hidden="1">"#"</definedName>
    <definedName name="FDC_58_138" hidden="1">"#"</definedName>
    <definedName name="FDC_58_139" hidden="1">"#"</definedName>
    <definedName name="FDC_58_14" hidden="1">"#"</definedName>
    <definedName name="FDC_58_140" hidden="1">"#"</definedName>
    <definedName name="FDC_58_141" hidden="1">"#"</definedName>
    <definedName name="FDC_58_142" hidden="1">"#"</definedName>
    <definedName name="FDC_58_143" hidden="1">"#"</definedName>
    <definedName name="FDC_58_144" hidden="1">"#"</definedName>
    <definedName name="FDC_58_145" hidden="1">"#"</definedName>
    <definedName name="FDC_58_146" hidden="1">"#"</definedName>
    <definedName name="FDC_58_147" hidden="1">"#"</definedName>
    <definedName name="FDC_58_148" hidden="1">"#"</definedName>
    <definedName name="FDC_58_149" hidden="1">"#"</definedName>
    <definedName name="FDC_58_15" hidden="1">"#"</definedName>
    <definedName name="FDC_58_150" hidden="1">"#"</definedName>
    <definedName name="FDC_58_151" hidden="1">"#"</definedName>
    <definedName name="FDC_58_152" hidden="1">"#"</definedName>
    <definedName name="FDC_58_153" hidden="1">"#"</definedName>
    <definedName name="FDC_58_154" hidden="1">"#"</definedName>
    <definedName name="FDC_58_155" hidden="1">"#"</definedName>
    <definedName name="FDC_58_156" hidden="1">"#"</definedName>
    <definedName name="FDC_58_157" hidden="1">"#"</definedName>
    <definedName name="FDC_58_158" hidden="1">"#"</definedName>
    <definedName name="FDC_58_159" hidden="1">"#"</definedName>
    <definedName name="FDC_58_16" hidden="1">"#"</definedName>
    <definedName name="FDC_58_160" hidden="1">"#"</definedName>
    <definedName name="FDC_58_161" hidden="1">"#"</definedName>
    <definedName name="FDC_58_162" hidden="1">"#"</definedName>
    <definedName name="FDC_58_163" hidden="1">"#"</definedName>
    <definedName name="FDC_58_164" hidden="1">"#"</definedName>
    <definedName name="FDC_58_165" hidden="1">"#"</definedName>
    <definedName name="FDC_58_166" hidden="1">"#"</definedName>
    <definedName name="FDC_58_167" hidden="1">"#"</definedName>
    <definedName name="FDC_58_168" hidden="1">"#"</definedName>
    <definedName name="FDC_58_169" hidden="1">"#"</definedName>
    <definedName name="FDC_58_17" hidden="1">"#"</definedName>
    <definedName name="FDC_58_170" hidden="1">"#"</definedName>
    <definedName name="FDC_58_171" hidden="1">"#"</definedName>
    <definedName name="FDC_58_172" hidden="1">"#"</definedName>
    <definedName name="FDC_58_173" hidden="1">"#"</definedName>
    <definedName name="FDC_58_174" hidden="1">"#"</definedName>
    <definedName name="FDC_58_175" hidden="1">"#"</definedName>
    <definedName name="FDC_58_176" hidden="1">"#"</definedName>
    <definedName name="FDC_58_177" hidden="1">"#"</definedName>
    <definedName name="FDC_58_178" hidden="1">"#"</definedName>
    <definedName name="FDC_58_179" hidden="1">"#"</definedName>
    <definedName name="FDC_58_18" hidden="1">"#"</definedName>
    <definedName name="FDC_58_180" hidden="1">"#"</definedName>
    <definedName name="FDC_58_181" hidden="1">"#"</definedName>
    <definedName name="FDC_58_182" hidden="1">"#"</definedName>
    <definedName name="FDC_58_183" hidden="1">"#"</definedName>
    <definedName name="FDC_58_184" hidden="1">"#"</definedName>
    <definedName name="FDC_58_185" hidden="1">"#"</definedName>
    <definedName name="FDC_58_186" hidden="1">"#"</definedName>
    <definedName name="FDC_58_187" hidden="1">"#"</definedName>
    <definedName name="FDC_58_188" hidden="1">"#"</definedName>
    <definedName name="FDC_58_189" hidden="1">"#"</definedName>
    <definedName name="FDC_58_19" hidden="1">"#"</definedName>
    <definedName name="FDC_58_190" hidden="1">"#"</definedName>
    <definedName name="FDC_58_191" hidden="1">"#"</definedName>
    <definedName name="FDC_58_192" hidden="1">"#"</definedName>
    <definedName name="FDC_58_193" hidden="1">"#"</definedName>
    <definedName name="FDC_58_194" hidden="1">"#"</definedName>
    <definedName name="FDC_58_195" hidden="1">"#"</definedName>
    <definedName name="FDC_58_196" hidden="1">"#"</definedName>
    <definedName name="FDC_58_197" hidden="1">"#"</definedName>
    <definedName name="FDC_58_198" hidden="1">"#"</definedName>
    <definedName name="FDC_58_199" hidden="1">"#"</definedName>
    <definedName name="FDC_58_2" hidden="1">"#"</definedName>
    <definedName name="FDC_58_20" hidden="1">"#"</definedName>
    <definedName name="FDC_58_200" hidden="1">"#"</definedName>
    <definedName name="FDC_58_201" hidden="1">"#"</definedName>
    <definedName name="FDC_58_202" hidden="1">"#"</definedName>
    <definedName name="FDC_58_203" hidden="1">"#"</definedName>
    <definedName name="FDC_58_204" hidden="1">"#"</definedName>
    <definedName name="FDC_58_205" hidden="1">"#"</definedName>
    <definedName name="FDC_58_206" hidden="1">"#"</definedName>
    <definedName name="FDC_58_207" hidden="1">"#"</definedName>
    <definedName name="FDC_58_208" hidden="1">"#"</definedName>
    <definedName name="FDC_58_209" hidden="1">"#"</definedName>
    <definedName name="FDC_58_21" hidden="1">"#"</definedName>
    <definedName name="FDC_58_210" hidden="1">"#"</definedName>
    <definedName name="FDC_58_211" hidden="1">"#"</definedName>
    <definedName name="FDC_58_212" hidden="1">"#"</definedName>
    <definedName name="FDC_58_213" hidden="1">"#"</definedName>
    <definedName name="FDC_58_214" hidden="1">"#"</definedName>
    <definedName name="FDC_58_215" hidden="1">"#"</definedName>
    <definedName name="FDC_58_216" hidden="1">"#"</definedName>
    <definedName name="FDC_58_217" hidden="1">"#"</definedName>
    <definedName name="FDC_58_218" hidden="1">"#"</definedName>
    <definedName name="FDC_58_219" hidden="1">"#"</definedName>
    <definedName name="FDC_58_22" hidden="1">"#"</definedName>
    <definedName name="FDC_58_220" hidden="1">"#"</definedName>
    <definedName name="FDC_58_221" hidden="1">"#"</definedName>
    <definedName name="FDC_58_222" hidden="1">"#"</definedName>
    <definedName name="FDC_58_223" hidden="1">"#"</definedName>
    <definedName name="FDC_58_224" hidden="1">"#"</definedName>
    <definedName name="FDC_58_225" hidden="1">"#"</definedName>
    <definedName name="FDC_58_226" hidden="1">"#"</definedName>
    <definedName name="FDC_58_227" hidden="1">"#"</definedName>
    <definedName name="FDC_58_228" hidden="1">"#"</definedName>
    <definedName name="FDC_58_229" hidden="1">"#"</definedName>
    <definedName name="FDC_58_23" hidden="1">"#"</definedName>
    <definedName name="FDC_58_230" hidden="1">"#"</definedName>
    <definedName name="FDC_58_231" hidden="1">"#"</definedName>
    <definedName name="FDC_58_232" hidden="1">"#"</definedName>
    <definedName name="FDC_58_233" hidden="1">"#"</definedName>
    <definedName name="FDC_58_234" hidden="1">"#"</definedName>
    <definedName name="FDC_58_235" hidden="1">"#"</definedName>
    <definedName name="FDC_58_236" hidden="1">"#"</definedName>
    <definedName name="FDC_58_237" hidden="1">"#"</definedName>
    <definedName name="FDC_58_238" hidden="1">"#"</definedName>
    <definedName name="FDC_58_239" hidden="1">"#"</definedName>
    <definedName name="FDC_58_24" hidden="1">"#"</definedName>
    <definedName name="FDC_58_240" hidden="1">"#"</definedName>
    <definedName name="FDC_58_241" hidden="1">"#"</definedName>
    <definedName name="FDC_58_242" hidden="1">"#"</definedName>
    <definedName name="FDC_58_243" hidden="1">"#"</definedName>
    <definedName name="FDC_58_244" hidden="1">"#"</definedName>
    <definedName name="FDC_58_245" hidden="1">"#"</definedName>
    <definedName name="FDC_58_246" hidden="1">"#"</definedName>
    <definedName name="FDC_58_247" hidden="1">"#"</definedName>
    <definedName name="FDC_58_248" hidden="1">"#"</definedName>
    <definedName name="FDC_58_249" hidden="1">"#"</definedName>
    <definedName name="FDC_58_25" hidden="1">"#"</definedName>
    <definedName name="FDC_58_250" hidden="1">"#"</definedName>
    <definedName name="FDC_58_251" hidden="1">"#"</definedName>
    <definedName name="FDC_58_252" hidden="1">"#"</definedName>
    <definedName name="FDC_58_253" hidden="1">"#"</definedName>
    <definedName name="FDC_58_254" hidden="1">"#"</definedName>
    <definedName name="FDC_58_255" hidden="1">"#"</definedName>
    <definedName name="FDC_58_256" hidden="1">"#"</definedName>
    <definedName name="FDC_58_257" hidden="1">"#"</definedName>
    <definedName name="FDC_58_258" hidden="1">"#"</definedName>
    <definedName name="FDC_58_259" hidden="1">"#"</definedName>
    <definedName name="FDC_58_26" hidden="1">"#"</definedName>
    <definedName name="FDC_58_260" hidden="1">"#"</definedName>
    <definedName name="FDC_58_261" hidden="1">"#"</definedName>
    <definedName name="FDC_58_27" hidden="1">"#"</definedName>
    <definedName name="FDC_58_28" hidden="1">"#"</definedName>
    <definedName name="FDC_58_29" hidden="1">"#"</definedName>
    <definedName name="FDC_58_3" hidden="1">"#"</definedName>
    <definedName name="FDC_58_30" hidden="1">"#"</definedName>
    <definedName name="FDC_58_31" hidden="1">"#"</definedName>
    <definedName name="FDC_58_32" hidden="1">"#"</definedName>
    <definedName name="FDC_58_33" hidden="1">"#"</definedName>
    <definedName name="FDC_58_34" hidden="1">"#"</definedName>
    <definedName name="FDC_58_35" hidden="1">"#"</definedName>
    <definedName name="FDC_58_36" hidden="1">"#"</definedName>
    <definedName name="FDC_58_37" hidden="1">"#"</definedName>
    <definedName name="FDC_58_38" hidden="1">"#"</definedName>
    <definedName name="FDC_58_39" hidden="1">"#"</definedName>
    <definedName name="FDC_58_4" hidden="1">"#"</definedName>
    <definedName name="FDC_58_40" hidden="1">"#"</definedName>
    <definedName name="FDC_58_41" hidden="1">"#"</definedName>
    <definedName name="FDC_58_42" hidden="1">"#"</definedName>
    <definedName name="FDC_58_43" hidden="1">"#"</definedName>
    <definedName name="FDC_58_44" hidden="1">"#"</definedName>
    <definedName name="FDC_58_45" hidden="1">"#"</definedName>
    <definedName name="FDC_58_46" hidden="1">"#"</definedName>
    <definedName name="FDC_58_47" hidden="1">"#"</definedName>
    <definedName name="FDC_58_48" hidden="1">"#"</definedName>
    <definedName name="FDC_58_49" hidden="1">"#"</definedName>
    <definedName name="FDC_58_5" hidden="1">"#"</definedName>
    <definedName name="FDC_58_50" hidden="1">"#"</definedName>
    <definedName name="FDC_58_51" hidden="1">"#"</definedName>
    <definedName name="FDC_58_52" hidden="1">"#"</definedName>
    <definedName name="FDC_58_53" hidden="1">"#"</definedName>
    <definedName name="FDC_58_54" hidden="1">"#"</definedName>
    <definedName name="FDC_58_55" hidden="1">"#"</definedName>
    <definedName name="FDC_58_56" hidden="1">"#"</definedName>
    <definedName name="FDC_58_57" hidden="1">"#"</definedName>
    <definedName name="FDC_58_58" hidden="1">"#"</definedName>
    <definedName name="FDC_58_59" hidden="1">"#"</definedName>
    <definedName name="FDC_58_6" hidden="1">"#"</definedName>
    <definedName name="FDC_58_60" hidden="1">"#"</definedName>
    <definedName name="FDC_58_61" hidden="1">"#"</definedName>
    <definedName name="FDC_58_62" hidden="1">"#"</definedName>
    <definedName name="FDC_58_63" hidden="1">"#"</definedName>
    <definedName name="FDC_58_64" hidden="1">"#"</definedName>
    <definedName name="FDC_58_65" hidden="1">"#"</definedName>
    <definedName name="FDC_58_66" hidden="1">"#"</definedName>
    <definedName name="FDC_58_67" hidden="1">"#"</definedName>
    <definedName name="FDC_58_68" hidden="1">"#"</definedName>
    <definedName name="FDC_58_69" hidden="1">"#"</definedName>
    <definedName name="FDC_58_7" hidden="1">"#"</definedName>
    <definedName name="FDC_58_70" hidden="1">"#"</definedName>
    <definedName name="FDC_58_71" hidden="1">"#"</definedName>
    <definedName name="FDC_58_72" hidden="1">"#"</definedName>
    <definedName name="FDC_58_73" hidden="1">"#"</definedName>
    <definedName name="FDC_58_74" hidden="1">"#"</definedName>
    <definedName name="FDC_58_75" hidden="1">"#"</definedName>
    <definedName name="FDC_58_76" hidden="1">"#"</definedName>
    <definedName name="FDC_58_77" hidden="1">"#"</definedName>
    <definedName name="FDC_58_78" hidden="1">"#"</definedName>
    <definedName name="FDC_58_79" hidden="1">"#"</definedName>
    <definedName name="FDC_58_8" hidden="1">"#"</definedName>
    <definedName name="FDC_58_80" hidden="1">"#"</definedName>
    <definedName name="FDC_58_81" hidden="1">"#"</definedName>
    <definedName name="FDC_58_82" hidden="1">"#"</definedName>
    <definedName name="FDC_58_83" hidden="1">"#"</definedName>
    <definedName name="FDC_58_84" hidden="1">"#"</definedName>
    <definedName name="FDC_58_85" hidden="1">"#"</definedName>
    <definedName name="FDC_58_86" hidden="1">"#"</definedName>
    <definedName name="FDC_58_87" hidden="1">"#"</definedName>
    <definedName name="FDC_58_88" hidden="1">"#"</definedName>
    <definedName name="FDC_58_89" hidden="1">"#"</definedName>
    <definedName name="FDC_58_9" hidden="1">"#"</definedName>
    <definedName name="FDC_58_90" hidden="1">"#"</definedName>
    <definedName name="FDC_58_91" hidden="1">"#"</definedName>
    <definedName name="FDC_58_92" hidden="1">"#"</definedName>
    <definedName name="FDC_58_93" hidden="1">"#"</definedName>
    <definedName name="FDC_58_94" hidden="1">"#"</definedName>
    <definedName name="FDC_58_95" hidden="1">"#"</definedName>
    <definedName name="FDC_58_96" hidden="1">"#"</definedName>
    <definedName name="FDC_58_97" hidden="1">"#"</definedName>
    <definedName name="FDC_58_98" hidden="1">"#"</definedName>
    <definedName name="FDC_58_99" hidden="1">"#"</definedName>
    <definedName name="FDC_59_0" hidden="1">"#"</definedName>
    <definedName name="FDC_59_1" hidden="1">"#"</definedName>
    <definedName name="FDC_59_10" hidden="1">"#"</definedName>
    <definedName name="FDC_59_100" hidden="1">"#"</definedName>
    <definedName name="FDC_59_101" hidden="1">"#"</definedName>
    <definedName name="FDC_59_102" hidden="1">"#"</definedName>
    <definedName name="FDC_59_103" hidden="1">"#"</definedName>
    <definedName name="FDC_59_104" hidden="1">"#"</definedName>
    <definedName name="FDC_59_105" hidden="1">"#"</definedName>
    <definedName name="FDC_59_106" hidden="1">"#"</definedName>
    <definedName name="FDC_59_107" hidden="1">"#"</definedName>
    <definedName name="FDC_59_108" hidden="1">"#"</definedName>
    <definedName name="FDC_59_109" hidden="1">"#"</definedName>
    <definedName name="FDC_59_11" hidden="1">"#"</definedName>
    <definedName name="FDC_59_110" hidden="1">"#"</definedName>
    <definedName name="FDC_59_111" hidden="1">"#"</definedName>
    <definedName name="FDC_59_112" hidden="1">"#"</definedName>
    <definedName name="FDC_59_113" hidden="1">"#"</definedName>
    <definedName name="FDC_59_114" hidden="1">"#"</definedName>
    <definedName name="FDC_59_115" hidden="1">"#"</definedName>
    <definedName name="FDC_59_116" hidden="1">"#"</definedName>
    <definedName name="FDC_59_117" hidden="1">"#"</definedName>
    <definedName name="FDC_59_118" hidden="1">"#"</definedName>
    <definedName name="FDC_59_119" hidden="1">"#"</definedName>
    <definedName name="FDC_59_12" hidden="1">"#"</definedName>
    <definedName name="FDC_59_120" hidden="1">"#"</definedName>
    <definedName name="FDC_59_121" hidden="1">"#"</definedName>
    <definedName name="FDC_59_122" hidden="1">"#"</definedName>
    <definedName name="FDC_59_123" hidden="1">"#"</definedName>
    <definedName name="FDC_59_124" hidden="1">"#"</definedName>
    <definedName name="FDC_59_125" hidden="1">"#"</definedName>
    <definedName name="FDC_59_126" hidden="1">"#"</definedName>
    <definedName name="FDC_59_127" hidden="1">"#"</definedName>
    <definedName name="FDC_59_128" hidden="1">"#"</definedName>
    <definedName name="FDC_59_129" hidden="1">"#"</definedName>
    <definedName name="FDC_59_13" hidden="1">"#"</definedName>
    <definedName name="FDC_59_130" hidden="1">"#"</definedName>
    <definedName name="FDC_59_131" hidden="1">"#"</definedName>
    <definedName name="FDC_59_132" hidden="1">"#"</definedName>
    <definedName name="FDC_59_133" hidden="1">"#"</definedName>
    <definedName name="FDC_59_134" hidden="1">"#"</definedName>
    <definedName name="FDC_59_135" hidden="1">"#"</definedName>
    <definedName name="FDC_59_136" hidden="1">"#"</definedName>
    <definedName name="FDC_59_137" hidden="1">"#"</definedName>
    <definedName name="FDC_59_138" hidden="1">"#"</definedName>
    <definedName name="FDC_59_139" hidden="1">"#"</definedName>
    <definedName name="FDC_59_14" hidden="1">"#"</definedName>
    <definedName name="FDC_59_140" hidden="1">"#"</definedName>
    <definedName name="FDC_59_141" hidden="1">"#"</definedName>
    <definedName name="FDC_59_142" hidden="1">"#"</definedName>
    <definedName name="FDC_59_143" hidden="1">"#"</definedName>
    <definedName name="FDC_59_144" hidden="1">"#"</definedName>
    <definedName name="FDC_59_145" hidden="1">"#"</definedName>
    <definedName name="FDC_59_146" hidden="1">"#"</definedName>
    <definedName name="FDC_59_147" hidden="1">"#"</definedName>
    <definedName name="FDC_59_148" hidden="1">"#"</definedName>
    <definedName name="FDC_59_149" hidden="1">"#"</definedName>
    <definedName name="FDC_59_15" hidden="1">"#"</definedName>
    <definedName name="FDC_59_150" hidden="1">"#"</definedName>
    <definedName name="FDC_59_151" hidden="1">"#"</definedName>
    <definedName name="FDC_59_152" hidden="1">"#"</definedName>
    <definedName name="FDC_59_153" hidden="1">"#"</definedName>
    <definedName name="FDC_59_154" hidden="1">"#"</definedName>
    <definedName name="FDC_59_155" hidden="1">"#"</definedName>
    <definedName name="FDC_59_156" hidden="1">"#"</definedName>
    <definedName name="FDC_59_157" hidden="1">"#"</definedName>
    <definedName name="FDC_59_158" hidden="1">"#"</definedName>
    <definedName name="FDC_59_159" hidden="1">"#"</definedName>
    <definedName name="FDC_59_16" hidden="1">"#"</definedName>
    <definedName name="FDC_59_160" hidden="1">"#"</definedName>
    <definedName name="FDC_59_161" hidden="1">"#"</definedName>
    <definedName name="FDC_59_162" hidden="1">"#"</definedName>
    <definedName name="FDC_59_163" hidden="1">"#"</definedName>
    <definedName name="FDC_59_164" hidden="1">"#"</definedName>
    <definedName name="FDC_59_165" hidden="1">"#"</definedName>
    <definedName name="FDC_59_166" hidden="1">"#"</definedName>
    <definedName name="FDC_59_167" hidden="1">"#"</definedName>
    <definedName name="FDC_59_168" hidden="1">"#"</definedName>
    <definedName name="FDC_59_169" hidden="1">"#"</definedName>
    <definedName name="FDC_59_17" hidden="1">"#"</definedName>
    <definedName name="FDC_59_170" hidden="1">"#"</definedName>
    <definedName name="FDC_59_171" hidden="1">"#"</definedName>
    <definedName name="FDC_59_172" hidden="1">"#"</definedName>
    <definedName name="FDC_59_173" hidden="1">"#"</definedName>
    <definedName name="FDC_59_174" hidden="1">"#"</definedName>
    <definedName name="FDC_59_175" hidden="1">"#"</definedName>
    <definedName name="FDC_59_176" hidden="1">"#"</definedName>
    <definedName name="FDC_59_177" hidden="1">"#"</definedName>
    <definedName name="FDC_59_178" hidden="1">"#"</definedName>
    <definedName name="FDC_59_179" hidden="1">"#"</definedName>
    <definedName name="FDC_59_18" hidden="1">"#"</definedName>
    <definedName name="FDC_59_180" hidden="1">"#"</definedName>
    <definedName name="FDC_59_181" hidden="1">"#"</definedName>
    <definedName name="FDC_59_182" hidden="1">"#"</definedName>
    <definedName name="FDC_59_183" hidden="1">"#"</definedName>
    <definedName name="FDC_59_184" hidden="1">"#"</definedName>
    <definedName name="FDC_59_185" hidden="1">"#"</definedName>
    <definedName name="FDC_59_186" hidden="1">"#"</definedName>
    <definedName name="FDC_59_187" hidden="1">"#"</definedName>
    <definedName name="FDC_59_188" hidden="1">"#"</definedName>
    <definedName name="FDC_59_189" hidden="1">"#"</definedName>
    <definedName name="FDC_59_19" hidden="1">"#"</definedName>
    <definedName name="FDC_59_190" hidden="1">"#"</definedName>
    <definedName name="FDC_59_191" hidden="1">"#"</definedName>
    <definedName name="FDC_59_192" hidden="1">"#"</definedName>
    <definedName name="FDC_59_193" hidden="1">"#"</definedName>
    <definedName name="FDC_59_194" hidden="1">"#"</definedName>
    <definedName name="FDC_59_195" hidden="1">"#"</definedName>
    <definedName name="FDC_59_196" hidden="1">"#"</definedName>
    <definedName name="FDC_59_197" hidden="1">"#"</definedName>
    <definedName name="FDC_59_198" hidden="1">"#"</definedName>
    <definedName name="FDC_59_199" hidden="1">"#"</definedName>
    <definedName name="FDC_59_2" hidden="1">"#"</definedName>
    <definedName name="FDC_59_20" hidden="1">"#"</definedName>
    <definedName name="FDC_59_200" hidden="1">"#"</definedName>
    <definedName name="FDC_59_201" hidden="1">"#"</definedName>
    <definedName name="FDC_59_202" hidden="1">"#"</definedName>
    <definedName name="FDC_59_203" hidden="1">"#"</definedName>
    <definedName name="FDC_59_204" hidden="1">"#"</definedName>
    <definedName name="FDC_59_205" hidden="1">"#"</definedName>
    <definedName name="FDC_59_206" hidden="1">"#"</definedName>
    <definedName name="FDC_59_207" hidden="1">"#"</definedName>
    <definedName name="FDC_59_208" hidden="1">"#"</definedName>
    <definedName name="FDC_59_209" hidden="1">"#"</definedName>
    <definedName name="FDC_59_21" hidden="1">"#"</definedName>
    <definedName name="FDC_59_210" hidden="1">"#"</definedName>
    <definedName name="FDC_59_211" hidden="1">"#"</definedName>
    <definedName name="FDC_59_212" hidden="1">"#"</definedName>
    <definedName name="FDC_59_213" hidden="1">"#"</definedName>
    <definedName name="FDC_59_214" hidden="1">"#"</definedName>
    <definedName name="FDC_59_215" hidden="1">"#"</definedName>
    <definedName name="FDC_59_216" hidden="1">"#"</definedName>
    <definedName name="FDC_59_217" hidden="1">"#"</definedName>
    <definedName name="FDC_59_218" hidden="1">"#"</definedName>
    <definedName name="FDC_59_219" hidden="1">"#"</definedName>
    <definedName name="FDC_59_22" hidden="1">"#"</definedName>
    <definedName name="FDC_59_220" hidden="1">"#"</definedName>
    <definedName name="FDC_59_221" hidden="1">"#"</definedName>
    <definedName name="FDC_59_222" hidden="1">"#"</definedName>
    <definedName name="FDC_59_223" hidden="1">"#"</definedName>
    <definedName name="FDC_59_224" hidden="1">"#"</definedName>
    <definedName name="FDC_59_225" hidden="1">"#"</definedName>
    <definedName name="FDC_59_226" hidden="1">"#"</definedName>
    <definedName name="FDC_59_227" hidden="1">"#"</definedName>
    <definedName name="FDC_59_228" hidden="1">"#"</definedName>
    <definedName name="FDC_59_229" hidden="1">"#"</definedName>
    <definedName name="FDC_59_23" hidden="1">"#"</definedName>
    <definedName name="FDC_59_230" hidden="1">"#"</definedName>
    <definedName name="FDC_59_231" hidden="1">"#"</definedName>
    <definedName name="FDC_59_232" hidden="1">"#"</definedName>
    <definedName name="FDC_59_233" hidden="1">"#"</definedName>
    <definedName name="FDC_59_234" hidden="1">"#"</definedName>
    <definedName name="FDC_59_235" hidden="1">"#"</definedName>
    <definedName name="FDC_59_236" hidden="1">"#"</definedName>
    <definedName name="FDC_59_237" hidden="1">"#"</definedName>
    <definedName name="FDC_59_238" hidden="1">"#"</definedName>
    <definedName name="FDC_59_239" hidden="1">"#"</definedName>
    <definedName name="FDC_59_24" hidden="1">"#"</definedName>
    <definedName name="FDC_59_240" hidden="1">"#"</definedName>
    <definedName name="FDC_59_241" hidden="1">"#"</definedName>
    <definedName name="FDC_59_242" hidden="1">"#"</definedName>
    <definedName name="FDC_59_243" hidden="1">"#"</definedName>
    <definedName name="FDC_59_244" hidden="1">"#"</definedName>
    <definedName name="FDC_59_245" hidden="1">"#"</definedName>
    <definedName name="FDC_59_246" hidden="1">"#"</definedName>
    <definedName name="FDC_59_247" hidden="1">"#"</definedName>
    <definedName name="FDC_59_248" hidden="1">"#"</definedName>
    <definedName name="FDC_59_249" hidden="1">"#"</definedName>
    <definedName name="FDC_59_25" hidden="1">"#"</definedName>
    <definedName name="FDC_59_250" hidden="1">"#"</definedName>
    <definedName name="FDC_59_251" hidden="1">"#"</definedName>
    <definedName name="FDC_59_252" hidden="1">"#"</definedName>
    <definedName name="FDC_59_253" hidden="1">"#"</definedName>
    <definedName name="FDC_59_254" hidden="1">"#"</definedName>
    <definedName name="FDC_59_255" hidden="1">"#"</definedName>
    <definedName name="FDC_59_256" hidden="1">"#"</definedName>
    <definedName name="FDC_59_257" hidden="1">"#"</definedName>
    <definedName name="FDC_59_258" hidden="1">"#"</definedName>
    <definedName name="FDC_59_259" hidden="1">"#"</definedName>
    <definedName name="FDC_59_26" hidden="1">"#"</definedName>
    <definedName name="FDC_59_260" hidden="1">"#"</definedName>
    <definedName name="FDC_59_261" hidden="1">"#"</definedName>
    <definedName name="FDC_59_27" hidden="1">"#"</definedName>
    <definedName name="FDC_59_28" hidden="1">"#"</definedName>
    <definedName name="FDC_59_29" hidden="1">"#"</definedName>
    <definedName name="FDC_59_3" hidden="1">"#"</definedName>
    <definedName name="FDC_59_30" hidden="1">"#"</definedName>
    <definedName name="FDC_59_31" hidden="1">"#"</definedName>
    <definedName name="FDC_59_32" hidden="1">"#"</definedName>
    <definedName name="FDC_59_33" hidden="1">"#"</definedName>
    <definedName name="FDC_59_34" hidden="1">"#"</definedName>
    <definedName name="FDC_59_35" hidden="1">"#"</definedName>
    <definedName name="FDC_59_36" hidden="1">"#"</definedName>
    <definedName name="FDC_59_37" hidden="1">"#"</definedName>
    <definedName name="FDC_59_38" hidden="1">"#"</definedName>
    <definedName name="FDC_59_39" hidden="1">"#"</definedName>
    <definedName name="FDC_59_4" hidden="1">"#"</definedName>
    <definedName name="FDC_59_40" hidden="1">"#"</definedName>
    <definedName name="FDC_59_41" hidden="1">"#"</definedName>
    <definedName name="FDC_59_42" hidden="1">"#"</definedName>
    <definedName name="FDC_59_43" hidden="1">"#"</definedName>
    <definedName name="FDC_59_44" hidden="1">"#"</definedName>
    <definedName name="FDC_59_45" hidden="1">"#"</definedName>
    <definedName name="FDC_59_46" hidden="1">"#"</definedName>
    <definedName name="FDC_59_47" hidden="1">"#"</definedName>
    <definedName name="FDC_59_48" hidden="1">"#"</definedName>
    <definedName name="FDC_59_49" hidden="1">"#"</definedName>
    <definedName name="FDC_59_5" hidden="1">"#"</definedName>
    <definedName name="FDC_59_50" hidden="1">"#"</definedName>
    <definedName name="FDC_59_51" hidden="1">"#"</definedName>
    <definedName name="FDC_59_52" hidden="1">"#"</definedName>
    <definedName name="FDC_59_53" hidden="1">"#"</definedName>
    <definedName name="FDC_59_54" hidden="1">"#"</definedName>
    <definedName name="FDC_59_55" hidden="1">"#"</definedName>
    <definedName name="FDC_59_56" hidden="1">"#"</definedName>
    <definedName name="FDC_59_57" hidden="1">"#"</definedName>
    <definedName name="FDC_59_58" hidden="1">"#"</definedName>
    <definedName name="FDC_59_59" hidden="1">"#"</definedName>
    <definedName name="FDC_59_6" hidden="1">"#"</definedName>
    <definedName name="FDC_59_60" hidden="1">"#"</definedName>
    <definedName name="FDC_59_61" hidden="1">"#"</definedName>
    <definedName name="FDC_59_62" hidden="1">"#"</definedName>
    <definedName name="FDC_59_63" hidden="1">"#"</definedName>
    <definedName name="FDC_59_64" hidden="1">"#"</definedName>
    <definedName name="FDC_59_65" hidden="1">"#"</definedName>
    <definedName name="FDC_59_66" hidden="1">"#"</definedName>
    <definedName name="FDC_59_67" hidden="1">"#"</definedName>
    <definedName name="FDC_59_68" hidden="1">"#"</definedName>
    <definedName name="FDC_59_69" hidden="1">"#"</definedName>
    <definedName name="FDC_59_7" hidden="1">"#"</definedName>
    <definedName name="FDC_59_70" hidden="1">"#"</definedName>
    <definedName name="FDC_59_71" hidden="1">"#"</definedName>
    <definedName name="FDC_59_72" hidden="1">"#"</definedName>
    <definedName name="FDC_59_73" hidden="1">"#"</definedName>
    <definedName name="FDC_59_74" hidden="1">"#"</definedName>
    <definedName name="FDC_59_75" hidden="1">"#"</definedName>
    <definedName name="FDC_59_76" hidden="1">"#"</definedName>
    <definedName name="FDC_59_77" hidden="1">"#"</definedName>
    <definedName name="FDC_59_78" hidden="1">"#"</definedName>
    <definedName name="FDC_59_79" hidden="1">"#"</definedName>
    <definedName name="FDC_59_8" hidden="1">"#"</definedName>
    <definedName name="FDC_59_80" hidden="1">"#"</definedName>
    <definedName name="FDC_59_81" hidden="1">"#"</definedName>
    <definedName name="FDC_59_82" hidden="1">"#"</definedName>
    <definedName name="FDC_59_83" hidden="1">"#"</definedName>
    <definedName name="FDC_59_84" hidden="1">"#"</definedName>
    <definedName name="FDC_59_85" hidden="1">"#"</definedName>
    <definedName name="FDC_59_86" hidden="1">"#"</definedName>
    <definedName name="FDC_59_87" hidden="1">"#"</definedName>
    <definedName name="FDC_59_88" hidden="1">"#"</definedName>
    <definedName name="FDC_59_89" hidden="1">"#"</definedName>
    <definedName name="FDC_59_9" hidden="1">"#"</definedName>
    <definedName name="FDC_59_90" hidden="1">"#"</definedName>
    <definedName name="FDC_59_91" hidden="1">"#"</definedName>
    <definedName name="FDC_59_92" hidden="1">"#"</definedName>
    <definedName name="FDC_59_93" hidden="1">"#"</definedName>
    <definedName name="FDC_59_94" hidden="1">"#"</definedName>
    <definedName name="FDC_59_95" hidden="1">"#"</definedName>
    <definedName name="FDC_59_96" hidden="1">"#"</definedName>
    <definedName name="FDC_59_97" hidden="1">"#"</definedName>
    <definedName name="FDC_59_98" hidden="1">"#"</definedName>
    <definedName name="FDC_59_99" hidden="1">"#"</definedName>
    <definedName name="FDC_6_0" hidden="1">"#"</definedName>
    <definedName name="FDC_6_1" hidden="1">"#"</definedName>
    <definedName name="FDC_6_2" hidden="1">"#"</definedName>
    <definedName name="FDC_6_3" hidden="1">"#"</definedName>
    <definedName name="FDC_60_0" hidden="1">"#"</definedName>
    <definedName name="FDC_60_1" hidden="1">"#"</definedName>
    <definedName name="FDC_60_10" hidden="1">"#"</definedName>
    <definedName name="FDC_60_100" hidden="1">"#"</definedName>
    <definedName name="FDC_60_101" hidden="1">"#"</definedName>
    <definedName name="FDC_60_102" hidden="1">"#"</definedName>
    <definedName name="FDC_60_103" hidden="1">"#"</definedName>
    <definedName name="FDC_60_104" hidden="1">"#"</definedName>
    <definedName name="FDC_60_105" hidden="1">"#"</definedName>
    <definedName name="FDC_60_106" hidden="1">"#"</definedName>
    <definedName name="FDC_60_107" hidden="1">"#"</definedName>
    <definedName name="FDC_60_108" hidden="1">"#"</definedName>
    <definedName name="FDC_60_109" hidden="1">"#"</definedName>
    <definedName name="FDC_60_11" hidden="1">"#"</definedName>
    <definedName name="FDC_60_110" hidden="1">"#"</definedName>
    <definedName name="FDC_60_111" hidden="1">"#"</definedName>
    <definedName name="FDC_60_112" hidden="1">"#"</definedName>
    <definedName name="FDC_60_113" hidden="1">"#"</definedName>
    <definedName name="FDC_60_114" hidden="1">"#"</definedName>
    <definedName name="FDC_60_115" hidden="1">"#"</definedName>
    <definedName name="FDC_60_116" hidden="1">"#"</definedName>
    <definedName name="FDC_60_117" hidden="1">"#"</definedName>
    <definedName name="FDC_60_118" hidden="1">"#"</definedName>
    <definedName name="FDC_60_119" hidden="1">"#"</definedName>
    <definedName name="FDC_60_12" hidden="1">"#"</definedName>
    <definedName name="FDC_60_120" hidden="1">"#"</definedName>
    <definedName name="FDC_60_121" hidden="1">"#"</definedName>
    <definedName name="FDC_60_122" hidden="1">"#"</definedName>
    <definedName name="FDC_60_123" hidden="1">"#"</definedName>
    <definedName name="FDC_60_124" hidden="1">"#"</definedName>
    <definedName name="FDC_60_125" hidden="1">"#"</definedName>
    <definedName name="FDC_60_126" hidden="1">"#"</definedName>
    <definedName name="FDC_60_127" hidden="1">"#"</definedName>
    <definedName name="FDC_60_128" hidden="1">"#"</definedName>
    <definedName name="FDC_60_129" hidden="1">"#"</definedName>
    <definedName name="FDC_60_13" hidden="1">"#"</definedName>
    <definedName name="FDC_60_130" hidden="1">"#"</definedName>
    <definedName name="FDC_60_131" hidden="1">"#"</definedName>
    <definedName name="FDC_60_132" hidden="1">"#"</definedName>
    <definedName name="FDC_60_133" hidden="1">"#"</definedName>
    <definedName name="FDC_60_134" hidden="1">"#"</definedName>
    <definedName name="FDC_60_135" hidden="1">"#"</definedName>
    <definedName name="FDC_60_136" hidden="1">"#"</definedName>
    <definedName name="FDC_60_137" hidden="1">"#"</definedName>
    <definedName name="FDC_60_138" hidden="1">"#"</definedName>
    <definedName name="FDC_60_139" hidden="1">"#"</definedName>
    <definedName name="FDC_60_14" hidden="1">"#"</definedName>
    <definedName name="FDC_60_140" hidden="1">"#"</definedName>
    <definedName name="FDC_60_141" hidden="1">"#"</definedName>
    <definedName name="FDC_60_142" hidden="1">"#"</definedName>
    <definedName name="FDC_60_143" hidden="1">"#"</definedName>
    <definedName name="FDC_60_144" hidden="1">"#"</definedName>
    <definedName name="FDC_60_145" hidden="1">"#"</definedName>
    <definedName name="FDC_60_146" hidden="1">"#"</definedName>
    <definedName name="FDC_60_147" hidden="1">"#"</definedName>
    <definedName name="FDC_60_148" hidden="1">"#"</definedName>
    <definedName name="FDC_60_149" hidden="1">"#"</definedName>
    <definedName name="FDC_60_15" hidden="1">"#"</definedName>
    <definedName name="FDC_60_150" hidden="1">"#"</definedName>
    <definedName name="FDC_60_151" hidden="1">"#"</definedName>
    <definedName name="FDC_60_152" hidden="1">"#"</definedName>
    <definedName name="FDC_60_153" hidden="1">"#"</definedName>
    <definedName name="FDC_60_154" hidden="1">"#"</definedName>
    <definedName name="FDC_60_155" hidden="1">"#"</definedName>
    <definedName name="FDC_60_156" hidden="1">"#"</definedName>
    <definedName name="FDC_60_157" hidden="1">"#"</definedName>
    <definedName name="FDC_60_158" hidden="1">"#"</definedName>
    <definedName name="FDC_60_159" hidden="1">"#"</definedName>
    <definedName name="FDC_60_16" hidden="1">"#"</definedName>
    <definedName name="FDC_60_160" hidden="1">"#"</definedName>
    <definedName name="FDC_60_161" hidden="1">"#"</definedName>
    <definedName name="FDC_60_162" hidden="1">"#"</definedName>
    <definedName name="FDC_60_163" hidden="1">"#"</definedName>
    <definedName name="FDC_60_164" hidden="1">"#"</definedName>
    <definedName name="FDC_60_165" hidden="1">"#"</definedName>
    <definedName name="FDC_60_166" hidden="1">"#"</definedName>
    <definedName name="FDC_60_167" hidden="1">"#"</definedName>
    <definedName name="FDC_60_168" hidden="1">"#"</definedName>
    <definedName name="FDC_60_169" hidden="1">"#"</definedName>
    <definedName name="FDC_60_17" hidden="1">"#"</definedName>
    <definedName name="FDC_60_170" hidden="1">"#"</definedName>
    <definedName name="FDC_60_171" hidden="1">"#"</definedName>
    <definedName name="FDC_60_172" hidden="1">"#"</definedName>
    <definedName name="FDC_60_173" hidden="1">"#"</definedName>
    <definedName name="FDC_60_174" hidden="1">"#"</definedName>
    <definedName name="FDC_60_175" hidden="1">"#"</definedName>
    <definedName name="FDC_60_176" hidden="1">"#"</definedName>
    <definedName name="FDC_60_177" hidden="1">"#"</definedName>
    <definedName name="FDC_60_178" hidden="1">"#"</definedName>
    <definedName name="FDC_60_179" hidden="1">"#"</definedName>
    <definedName name="FDC_60_18" hidden="1">"#"</definedName>
    <definedName name="FDC_60_180" hidden="1">"#"</definedName>
    <definedName name="FDC_60_181" hidden="1">"#"</definedName>
    <definedName name="FDC_60_182" hidden="1">"#"</definedName>
    <definedName name="FDC_60_183" hidden="1">"#"</definedName>
    <definedName name="FDC_60_184" hidden="1">"#"</definedName>
    <definedName name="FDC_60_185" hidden="1">"#"</definedName>
    <definedName name="FDC_60_186" hidden="1">"#"</definedName>
    <definedName name="FDC_60_187" hidden="1">"#"</definedName>
    <definedName name="FDC_60_188" hidden="1">"#"</definedName>
    <definedName name="FDC_60_189" hidden="1">"#"</definedName>
    <definedName name="FDC_60_19" hidden="1">"#"</definedName>
    <definedName name="FDC_60_190" hidden="1">"#"</definedName>
    <definedName name="FDC_60_191" hidden="1">"#"</definedName>
    <definedName name="FDC_60_192" hidden="1">"#"</definedName>
    <definedName name="FDC_60_193" hidden="1">"#"</definedName>
    <definedName name="FDC_60_194" hidden="1">"#"</definedName>
    <definedName name="FDC_60_195" hidden="1">"#"</definedName>
    <definedName name="FDC_60_196" hidden="1">"#"</definedName>
    <definedName name="FDC_60_197" hidden="1">"#"</definedName>
    <definedName name="FDC_60_198" hidden="1">"#"</definedName>
    <definedName name="FDC_60_199" hidden="1">"#"</definedName>
    <definedName name="FDC_60_2" hidden="1">"#"</definedName>
    <definedName name="FDC_60_20" hidden="1">"#"</definedName>
    <definedName name="FDC_60_200" hidden="1">"#"</definedName>
    <definedName name="FDC_60_201" hidden="1">"#"</definedName>
    <definedName name="FDC_60_202" hidden="1">"#"</definedName>
    <definedName name="FDC_60_203" hidden="1">"#"</definedName>
    <definedName name="FDC_60_204" hidden="1">"#"</definedName>
    <definedName name="FDC_60_205" hidden="1">"#"</definedName>
    <definedName name="FDC_60_206" hidden="1">"#"</definedName>
    <definedName name="FDC_60_207" hidden="1">"#"</definedName>
    <definedName name="FDC_60_208" hidden="1">"#"</definedName>
    <definedName name="FDC_60_209" hidden="1">"#"</definedName>
    <definedName name="FDC_60_21" hidden="1">"#"</definedName>
    <definedName name="FDC_60_210" hidden="1">"#"</definedName>
    <definedName name="FDC_60_211" hidden="1">"#"</definedName>
    <definedName name="FDC_60_212" hidden="1">"#"</definedName>
    <definedName name="FDC_60_213" hidden="1">"#"</definedName>
    <definedName name="FDC_60_214" hidden="1">"#"</definedName>
    <definedName name="FDC_60_215" hidden="1">"#"</definedName>
    <definedName name="FDC_60_216" hidden="1">"#"</definedName>
    <definedName name="FDC_60_217" hidden="1">"#"</definedName>
    <definedName name="FDC_60_218" hidden="1">"#"</definedName>
    <definedName name="FDC_60_219" hidden="1">"#"</definedName>
    <definedName name="FDC_60_22" hidden="1">"#"</definedName>
    <definedName name="FDC_60_220" hidden="1">"#"</definedName>
    <definedName name="FDC_60_221" hidden="1">"#"</definedName>
    <definedName name="FDC_60_222" hidden="1">"#"</definedName>
    <definedName name="FDC_60_223" hidden="1">"#"</definedName>
    <definedName name="FDC_60_224" hidden="1">"#"</definedName>
    <definedName name="FDC_60_225" hidden="1">"#"</definedName>
    <definedName name="FDC_60_226" hidden="1">"#"</definedName>
    <definedName name="FDC_60_227" hidden="1">"#"</definedName>
    <definedName name="FDC_60_228" hidden="1">"#"</definedName>
    <definedName name="FDC_60_229" hidden="1">"#"</definedName>
    <definedName name="FDC_60_23" hidden="1">"#"</definedName>
    <definedName name="FDC_60_230" hidden="1">"#"</definedName>
    <definedName name="FDC_60_231" hidden="1">"#"</definedName>
    <definedName name="FDC_60_232" hidden="1">"#"</definedName>
    <definedName name="FDC_60_233" hidden="1">"#"</definedName>
    <definedName name="FDC_60_234" hidden="1">"#"</definedName>
    <definedName name="FDC_60_235" hidden="1">"#"</definedName>
    <definedName name="FDC_60_236" hidden="1">"#"</definedName>
    <definedName name="FDC_60_237" hidden="1">"#"</definedName>
    <definedName name="FDC_60_238" hidden="1">"#"</definedName>
    <definedName name="FDC_60_239" hidden="1">"#"</definedName>
    <definedName name="FDC_60_24" hidden="1">"#"</definedName>
    <definedName name="FDC_60_240" hidden="1">"#"</definedName>
    <definedName name="FDC_60_241" hidden="1">"#"</definedName>
    <definedName name="FDC_60_242" hidden="1">"#"</definedName>
    <definedName name="FDC_60_243" hidden="1">"#"</definedName>
    <definedName name="FDC_60_244" hidden="1">"#"</definedName>
    <definedName name="FDC_60_245" hidden="1">"#"</definedName>
    <definedName name="FDC_60_246" hidden="1">"#"</definedName>
    <definedName name="FDC_60_247" hidden="1">"#"</definedName>
    <definedName name="FDC_60_248" hidden="1">"#"</definedName>
    <definedName name="FDC_60_249" hidden="1">"#"</definedName>
    <definedName name="FDC_60_25" hidden="1">"#"</definedName>
    <definedName name="FDC_60_250" hidden="1">"#"</definedName>
    <definedName name="FDC_60_251" hidden="1">"#"</definedName>
    <definedName name="FDC_60_252" hidden="1">"#"</definedName>
    <definedName name="FDC_60_253" hidden="1">"#"</definedName>
    <definedName name="FDC_60_254" hidden="1">"#"</definedName>
    <definedName name="FDC_60_255" hidden="1">"#"</definedName>
    <definedName name="FDC_60_256" hidden="1">"#"</definedName>
    <definedName name="FDC_60_257" hidden="1">"#"</definedName>
    <definedName name="FDC_60_258" hidden="1">"#"</definedName>
    <definedName name="FDC_60_259" hidden="1">"#"</definedName>
    <definedName name="FDC_60_26" hidden="1">"#"</definedName>
    <definedName name="FDC_60_260" hidden="1">"#"</definedName>
    <definedName name="FDC_60_261" hidden="1">"#"</definedName>
    <definedName name="FDC_60_27" hidden="1">"#"</definedName>
    <definedName name="FDC_60_28" hidden="1">"#"</definedName>
    <definedName name="FDC_60_29" hidden="1">"#"</definedName>
    <definedName name="FDC_60_3" hidden="1">"#"</definedName>
    <definedName name="FDC_60_30" hidden="1">"#"</definedName>
    <definedName name="FDC_60_31" hidden="1">"#"</definedName>
    <definedName name="FDC_60_32" hidden="1">"#"</definedName>
    <definedName name="FDC_60_33" hidden="1">"#"</definedName>
    <definedName name="FDC_60_34" hidden="1">"#"</definedName>
    <definedName name="FDC_60_35" hidden="1">"#"</definedName>
    <definedName name="FDC_60_36" hidden="1">"#"</definedName>
    <definedName name="FDC_60_37" hidden="1">"#"</definedName>
    <definedName name="FDC_60_38" hidden="1">"#"</definedName>
    <definedName name="FDC_60_39" hidden="1">"#"</definedName>
    <definedName name="FDC_60_4" hidden="1">"#"</definedName>
    <definedName name="FDC_60_40" hidden="1">"#"</definedName>
    <definedName name="FDC_60_41" hidden="1">"#"</definedName>
    <definedName name="FDC_60_42" hidden="1">"#"</definedName>
    <definedName name="FDC_60_43" hidden="1">"#"</definedName>
    <definedName name="FDC_60_44" hidden="1">"#"</definedName>
    <definedName name="FDC_60_45" hidden="1">"#"</definedName>
    <definedName name="FDC_60_46" hidden="1">"#"</definedName>
    <definedName name="FDC_60_47" hidden="1">"#"</definedName>
    <definedName name="FDC_60_48" hidden="1">"#"</definedName>
    <definedName name="FDC_60_49" hidden="1">"#"</definedName>
    <definedName name="FDC_60_5" hidden="1">"#"</definedName>
    <definedName name="FDC_60_50" hidden="1">"#"</definedName>
    <definedName name="FDC_60_51" hidden="1">"#"</definedName>
    <definedName name="FDC_60_52" hidden="1">"#"</definedName>
    <definedName name="FDC_60_53" hidden="1">"#"</definedName>
    <definedName name="FDC_60_54" hidden="1">"#"</definedName>
    <definedName name="FDC_60_55" hidden="1">"#"</definedName>
    <definedName name="FDC_60_56" hidden="1">"#"</definedName>
    <definedName name="FDC_60_57" hidden="1">"#"</definedName>
    <definedName name="FDC_60_58" hidden="1">"#"</definedName>
    <definedName name="FDC_60_59" hidden="1">"#"</definedName>
    <definedName name="FDC_60_6" hidden="1">"#"</definedName>
    <definedName name="FDC_60_60" hidden="1">"#"</definedName>
    <definedName name="FDC_60_61" hidden="1">"#"</definedName>
    <definedName name="FDC_60_62" hidden="1">"#"</definedName>
    <definedName name="FDC_60_63" hidden="1">"#"</definedName>
    <definedName name="FDC_60_64" hidden="1">"#"</definedName>
    <definedName name="FDC_60_65" hidden="1">"#"</definedName>
    <definedName name="FDC_60_66" hidden="1">"#"</definedName>
    <definedName name="FDC_60_67" hidden="1">"#"</definedName>
    <definedName name="FDC_60_68" hidden="1">"#"</definedName>
    <definedName name="FDC_60_69" hidden="1">"#"</definedName>
    <definedName name="FDC_60_7" hidden="1">"#"</definedName>
    <definedName name="FDC_60_70" hidden="1">"#"</definedName>
    <definedName name="FDC_60_71" hidden="1">"#"</definedName>
    <definedName name="FDC_60_72" hidden="1">"#"</definedName>
    <definedName name="FDC_60_73" hidden="1">"#"</definedName>
    <definedName name="FDC_60_74" hidden="1">"#"</definedName>
    <definedName name="FDC_60_75" hidden="1">"#"</definedName>
    <definedName name="FDC_60_76" hidden="1">"#"</definedName>
    <definedName name="FDC_60_77" hidden="1">"#"</definedName>
    <definedName name="FDC_60_78" hidden="1">"#"</definedName>
    <definedName name="FDC_60_79" hidden="1">"#"</definedName>
    <definedName name="FDC_60_8" hidden="1">"#"</definedName>
    <definedName name="FDC_60_80" hidden="1">"#"</definedName>
    <definedName name="FDC_60_81" hidden="1">"#"</definedName>
    <definedName name="FDC_60_82" hidden="1">"#"</definedName>
    <definedName name="FDC_60_83" hidden="1">"#"</definedName>
    <definedName name="FDC_60_84" hidden="1">"#"</definedName>
    <definedName name="FDC_60_85" hidden="1">"#"</definedName>
    <definedName name="FDC_60_86" hidden="1">"#"</definedName>
    <definedName name="FDC_60_87" hidden="1">"#"</definedName>
    <definedName name="FDC_60_88" hidden="1">"#"</definedName>
    <definedName name="FDC_60_89" hidden="1">"#"</definedName>
    <definedName name="FDC_60_9" hidden="1">"#"</definedName>
    <definedName name="FDC_60_90" hidden="1">"#"</definedName>
    <definedName name="FDC_60_91" hidden="1">"#"</definedName>
    <definedName name="FDC_60_92" hidden="1">"#"</definedName>
    <definedName name="FDC_60_93" hidden="1">"#"</definedName>
    <definedName name="FDC_60_94" hidden="1">"#"</definedName>
    <definedName name="FDC_60_95" hidden="1">"#"</definedName>
    <definedName name="FDC_60_96" hidden="1">"#"</definedName>
    <definedName name="FDC_60_97" hidden="1">"#"</definedName>
    <definedName name="FDC_60_98" hidden="1">"#"</definedName>
    <definedName name="FDC_60_99" hidden="1">"#"</definedName>
    <definedName name="FDC_61_0" hidden="1">"#"</definedName>
    <definedName name="FDC_62_0" hidden="1">"#"</definedName>
    <definedName name="FDC_62_1" hidden="1">"#"</definedName>
    <definedName name="FDC_62_10" hidden="1">"#"</definedName>
    <definedName name="FDC_62_100" hidden="1">"#"</definedName>
    <definedName name="FDC_62_101" hidden="1">"#"</definedName>
    <definedName name="FDC_62_102" hidden="1">"#"</definedName>
    <definedName name="FDC_62_103" hidden="1">"#"</definedName>
    <definedName name="FDC_62_104" hidden="1">"#"</definedName>
    <definedName name="FDC_62_105" hidden="1">"#"</definedName>
    <definedName name="FDC_62_106" hidden="1">"#"</definedName>
    <definedName name="FDC_62_107" hidden="1">"#"</definedName>
    <definedName name="FDC_62_108" hidden="1">"#"</definedName>
    <definedName name="FDC_62_109" hidden="1">"#"</definedName>
    <definedName name="FDC_62_11" hidden="1">"#"</definedName>
    <definedName name="FDC_62_110" hidden="1">"#"</definedName>
    <definedName name="FDC_62_111" hidden="1">"#"</definedName>
    <definedName name="FDC_62_112" hidden="1">"#"</definedName>
    <definedName name="FDC_62_113" hidden="1">"#"</definedName>
    <definedName name="FDC_62_114" hidden="1">"#"</definedName>
    <definedName name="FDC_62_115" hidden="1">"#"</definedName>
    <definedName name="FDC_62_116" hidden="1">"#"</definedName>
    <definedName name="FDC_62_117" hidden="1">"#"</definedName>
    <definedName name="FDC_62_118" hidden="1">"#"</definedName>
    <definedName name="FDC_62_119" hidden="1">"#"</definedName>
    <definedName name="FDC_62_12" hidden="1">"#"</definedName>
    <definedName name="FDC_62_120" hidden="1">"#"</definedName>
    <definedName name="FDC_62_121" hidden="1">"#"</definedName>
    <definedName name="FDC_62_122" hidden="1">"#"</definedName>
    <definedName name="FDC_62_123" hidden="1">"#"</definedName>
    <definedName name="FDC_62_124" hidden="1">"#"</definedName>
    <definedName name="FDC_62_125" hidden="1">"#"</definedName>
    <definedName name="FDC_62_126" hidden="1">"#"</definedName>
    <definedName name="FDC_62_127" hidden="1">"#"</definedName>
    <definedName name="FDC_62_128" hidden="1">"#"</definedName>
    <definedName name="FDC_62_129" hidden="1">"#"</definedName>
    <definedName name="FDC_62_13" hidden="1">"#"</definedName>
    <definedName name="FDC_62_130" hidden="1">"#"</definedName>
    <definedName name="FDC_62_131" hidden="1">"#"</definedName>
    <definedName name="FDC_62_132" hidden="1">"#"</definedName>
    <definedName name="FDC_62_133" hidden="1">"#"</definedName>
    <definedName name="FDC_62_134" hidden="1">"#"</definedName>
    <definedName name="FDC_62_135" hidden="1">"#"</definedName>
    <definedName name="FDC_62_136" hidden="1">"#"</definedName>
    <definedName name="FDC_62_137" hidden="1">"#"</definedName>
    <definedName name="FDC_62_138" hidden="1">"#"</definedName>
    <definedName name="FDC_62_139" hidden="1">"#"</definedName>
    <definedName name="FDC_62_14" hidden="1">"#"</definedName>
    <definedName name="FDC_62_140" hidden="1">"#"</definedName>
    <definedName name="FDC_62_141" hidden="1">"#"</definedName>
    <definedName name="FDC_62_142" hidden="1">"#"</definedName>
    <definedName name="FDC_62_143" hidden="1">"#"</definedName>
    <definedName name="FDC_62_144" hidden="1">"#"</definedName>
    <definedName name="FDC_62_145" hidden="1">"#"</definedName>
    <definedName name="FDC_62_146" hidden="1">"#"</definedName>
    <definedName name="FDC_62_147" hidden="1">"#"</definedName>
    <definedName name="FDC_62_148" hidden="1">"#"</definedName>
    <definedName name="FDC_62_149" hidden="1">"#"</definedName>
    <definedName name="FDC_62_15" hidden="1">"#"</definedName>
    <definedName name="FDC_62_150" hidden="1">"#"</definedName>
    <definedName name="FDC_62_151" hidden="1">"#"</definedName>
    <definedName name="FDC_62_152" hidden="1">"#"</definedName>
    <definedName name="FDC_62_153" hidden="1">"#"</definedName>
    <definedName name="FDC_62_154" hidden="1">"#"</definedName>
    <definedName name="FDC_62_155" hidden="1">"#"</definedName>
    <definedName name="FDC_62_156" hidden="1">"#"</definedName>
    <definedName name="FDC_62_157" hidden="1">"#"</definedName>
    <definedName name="FDC_62_158" hidden="1">"#"</definedName>
    <definedName name="FDC_62_159" hidden="1">"#"</definedName>
    <definedName name="FDC_62_16" hidden="1">"#"</definedName>
    <definedName name="FDC_62_160" hidden="1">"#"</definedName>
    <definedName name="FDC_62_161" hidden="1">"#"</definedName>
    <definedName name="FDC_62_162" hidden="1">"#"</definedName>
    <definedName name="FDC_62_163" hidden="1">"#"</definedName>
    <definedName name="FDC_62_164" hidden="1">"#"</definedName>
    <definedName name="FDC_62_165" hidden="1">"#"</definedName>
    <definedName name="FDC_62_166" hidden="1">"#"</definedName>
    <definedName name="FDC_62_167" hidden="1">"#"</definedName>
    <definedName name="FDC_62_168" hidden="1">"#"</definedName>
    <definedName name="FDC_62_169" hidden="1">"#"</definedName>
    <definedName name="FDC_62_17" hidden="1">"#"</definedName>
    <definedName name="FDC_62_170" hidden="1">"#"</definedName>
    <definedName name="FDC_62_171" hidden="1">"#"</definedName>
    <definedName name="FDC_62_172" hidden="1">"#"</definedName>
    <definedName name="FDC_62_173" hidden="1">"#"</definedName>
    <definedName name="FDC_62_174" hidden="1">"#"</definedName>
    <definedName name="FDC_62_175" hidden="1">"#"</definedName>
    <definedName name="FDC_62_176" hidden="1">"#"</definedName>
    <definedName name="FDC_62_177" hidden="1">"#"</definedName>
    <definedName name="FDC_62_178" hidden="1">"#"</definedName>
    <definedName name="FDC_62_179" hidden="1">"#"</definedName>
    <definedName name="FDC_62_18" hidden="1">"#"</definedName>
    <definedName name="FDC_62_180" hidden="1">"#"</definedName>
    <definedName name="FDC_62_181" hidden="1">"#"</definedName>
    <definedName name="FDC_62_182" hidden="1">"#"</definedName>
    <definedName name="FDC_62_183" hidden="1">"#"</definedName>
    <definedName name="FDC_62_184" hidden="1">"#"</definedName>
    <definedName name="FDC_62_185" hidden="1">"#"</definedName>
    <definedName name="FDC_62_186" hidden="1">"#"</definedName>
    <definedName name="FDC_62_187" hidden="1">"#"</definedName>
    <definedName name="FDC_62_188" hidden="1">"#"</definedName>
    <definedName name="FDC_62_189" hidden="1">"#"</definedName>
    <definedName name="FDC_62_19" hidden="1">"#"</definedName>
    <definedName name="FDC_62_190" hidden="1">"#"</definedName>
    <definedName name="FDC_62_191" hidden="1">"#"</definedName>
    <definedName name="FDC_62_192" hidden="1">"#"</definedName>
    <definedName name="FDC_62_193" hidden="1">"#"</definedName>
    <definedName name="FDC_62_194" hidden="1">"#"</definedName>
    <definedName name="FDC_62_195" hidden="1">"#"</definedName>
    <definedName name="FDC_62_196" hidden="1">"#"</definedName>
    <definedName name="FDC_62_197" hidden="1">"#"</definedName>
    <definedName name="FDC_62_198" hidden="1">"#"</definedName>
    <definedName name="FDC_62_199" hidden="1">"#"</definedName>
    <definedName name="FDC_62_2" hidden="1">"#"</definedName>
    <definedName name="FDC_62_20" hidden="1">"#"</definedName>
    <definedName name="FDC_62_200" hidden="1">"#"</definedName>
    <definedName name="FDC_62_201" hidden="1">"#"</definedName>
    <definedName name="FDC_62_202" hidden="1">"#"</definedName>
    <definedName name="FDC_62_203" hidden="1">"#"</definedName>
    <definedName name="FDC_62_204" hidden="1">"#"</definedName>
    <definedName name="FDC_62_205" hidden="1">"#"</definedName>
    <definedName name="FDC_62_206" hidden="1">"#"</definedName>
    <definedName name="FDC_62_207" hidden="1">"#"</definedName>
    <definedName name="FDC_62_208" hidden="1">"#"</definedName>
    <definedName name="FDC_62_209" hidden="1">"#"</definedName>
    <definedName name="FDC_62_21" hidden="1">"#"</definedName>
    <definedName name="FDC_62_210" hidden="1">"#"</definedName>
    <definedName name="FDC_62_211" hidden="1">"#"</definedName>
    <definedName name="FDC_62_212" hidden="1">"#"</definedName>
    <definedName name="FDC_62_213" hidden="1">"#"</definedName>
    <definedName name="FDC_62_214" hidden="1">"#"</definedName>
    <definedName name="FDC_62_215" hidden="1">"#"</definedName>
    <definedName name="FDC_62_216" hidden="1">"#"</definedName>
    <definedName name="FDC_62_217" hidden="1">"#"</definedName>
    <definedName name="FDC_62_218" hidden="1">"#"</definedName>
    <definedName name="FDC_62_219" hidden="1">"#"</definedName>
    <definedName name="FDC_62_22" hidden="1">"#"</definedName>
    <definedName name="FDC_62_220" hidden="1">"#"</definedName>
    <definedName name="FDC_62_221" hidden="1">"#"</definedName>
    <definedName name="FDC_62_222" hidden="1">"#"</definedName>
    <definedName name="FDC_62_223" hidden="1">"#"</definedName>
    <definedName name="FDC_62_224" hidden="1">"#"</definedName>
    <definedName name="FDC_62_225" hidden="1">"#"</definedName>
    <definedName name="FDC_62_226" hidden="1">"#"</definedName>
    <definedName name="FDC_62_227" hidden="1">"#"</definedName>
    <definedName name="FDC_62_228" hidden="1">"#"</definedName>
    <definedName name="FDC_62_229" hidden="1">"#"</definedName>
    <definedName name="FDC_62_23" hidden="1">"#"</definedName>
    <definedName name="FDC_62_230" hidden="1">"#"</definedName>
    <definedName name="FDC_62_231" hidden="1">"#"</definedName>
    <definedName name="FDC_62_232" hidden="1">"#"</definedName>
    <definedName name="FDC_62_233" hidden="1">"#"</definedName>
    <definedName name="FDC_62_234" hidden="1">"#"</definedName>
    <definedName name="FDC_62_235" hidden="1">"#"</definedName>
    <definedName name="FDC_62_236" hidden="1">"#"</definedName>
    <definedName name="FDC_62_237" hidden="1">"#"</definedName>
    <definedName name="FDC_62_238" hidden="1">"#"</definedName>
    <definedName name="FDC_62_239" hidden="1">"#"</definedName>
    <definedName name="FDC_62_24" hidden="1">"#"</definedName>
    <definedName name="FDC_62_240" hidden="1">"#"</definedName>
    <definedName name="FDC_62_241" hidden="1">"#"</definedName>
    <definedName name="FDC_62_242" hidden="1">"#"</definedName>
    <definedName name="FDC_62_243" hidden="1">"#"</definedName>
    <definedName name="FDC_62_244" hidden="1">"#"</definedName>
    <definedName name="FDC_62_245" hidden="1">"#"</definedName>
    <definedName name="FDC_62_246" hidden="1">"#"</definedName>
    <definedName name="FDC_62_247" hidden="1">"#"</definedName>
    <definedName name="FDC_62_248" hidden="1">"#"</definedName>
    <definedName name="FDC_62_249" hidden="1">"#"</definedName>
    <definedName name="FDC_62_25" hidden="1">"#"</definedName>
    <definedName name="FDC_62_250" hidden="1">"#"</definedName>
    <definedName name="FDC_62_251" hidden="1">"#"</definedName>
    <definedName name="FDC_62_252" hidden="1">"#"</definedName>
    <definedName name="FDC_62_253" hidden="1">"#"</definedName>
    <definedName name="FDC_62_254" hidden="1">"#"</definedName>
    <definedName name="FDC_62_255" hidden="1">"#"</definedName>
    <definedName name="FDC_62_256" hidden="1">"#"</definedName>
    <definedName name="FDC_62_257" hidden="1">"#"</definedName>
    <definedName name="FDC_62_258" hidden="1">"#"</definedName>
    <definedName name="FDC_62_259" hidden="1">"#"</definedName>
    <definedName name="FDC_62_26" hidden="1">"#"</definedName>
    <definedName name="FDC_62_260" hidden="1">"#"</definedName>
    <definedName name="FDC_62_261" hidden="1">"#"</definedName>
    <definedName name="FDC_62_27" hidden="1">"#"</definedName>
    <definedName name="FDC_62_28" hidden="1">"#"</definedName>
    <definedName name="FDC_62_29" hidden="1">"#"</definedName>
    <definedName name="FDC_62_3" hidden="1">"#"</definedName>
    <definedName name="FDC_62_30" hidden="1">"#"</definedName>
    <definedName name="FDC_62_31" hidden="1">"#"</definedName>
    <definedName name="FDC_62_32" hidden="1">"#"</definedName>
    <definedName name="FDC_62_33" hidden="1">"#"</definedName>
    <definedName name="FDC_62_34" hidden="1">"#"</definedName>
    <definedName name="FDC_62_35" hidden="1">"#"</definedName>
    <definedName name="FDC_62_36" hidden="1">"#"</definedName>
    <definedName name="FDC_62_37" hidden="1">"#"</definedName>
    <definedName name="FDC_62_38" hidden="1">"#"</definedName>
    <definedName name="FDC_62_39" hidden="1">"#"</definedName>
    <definedName name="FDC_62_4" hidden="1">"#"</definedName>
    <definedName name="FDC_62_40" hidden="1">"#"</definedName>
    <definedName name="FDC_62_41" hidden="1">"#"</definedName>
    <definedName name="FDC_62_42" hidden="1">"#"</definedName>
    <definedName name="FDC_62_43" hidden="1">"#"</definedName>
    <definedName name="FDC_62_44" hidden="1">"#"</definedName>
    <definedName name="FDC_62_45" hidden="1">"#"</definedName>
    <definedName name="FDC_62_46" hidden="1">"#"</definedName>
    <definedName name="FDC_62_47" hidden="1">"#"</definedName>
    <definedName name="FDC_62_48" hidden="1">"#"</definedName>
    <definedName name="FDC_62_49" hidden="1">"#"</definedName>
    <definedName name="FDC_62_5" hidden="1">"#"</definedName>
    <definedName name="FDC_62_50" hidden="1">"#"</definedName>
    <definedName name="FDC_62_51" hidden="1">"#"</definedName>
    <definedName name="FDC_62_52" hidden="1">"#"</definedName>
    <definedName name="FDC_62_53" hidden="1">"#"</definedName>
    <definedName name="FDC_62_54" hidden="1">"#"</definedName>
    <definedName name="FDC_62_55" hidden="1">"#"</definedName>
    <definedName name="FDC_62_56" hidden="1">"#"</definedName>
    <definedName name="FDC_62_57" hidden="1">"#"</definedName>
    <definedName name="FDC_62_58" hidden="1">"#"</definedName>
    <definedName name="FDC_62_59" hidden="1">"#"</definedName>
    <definedName name="FDC_62_6" hidden="1">"#"</definedName>
    <definedName name="FDC_62_60" hidden="1">"#"</definedName>
    <definedName name="FDC_62_61" hidden="1">"#"</definedName>
    <definedName name="FDC_62_62" hidden="1">"#"</definedName>
    <definedName name="FDC_62_63" hidden="1">"#"</definedName>
    <definedName name="FDC_62_64" hidden="1">"#"</definedName>
    <definedName name="FDC_62_65" hidden="1">"#"</definedName>
    <definedName name="FDC_62_66" hidden="1">"#"</definedName>
    <definedName name="FDC_62_67" hidden="1">"#"</definedName>
    <definedName name="FDC_62_68" hidden="1">"#"</definedName>
    <definedName name="FDC_62_69" hidden="1">"#"</definedName>
    <definedName name="FDC_62_7" hidden="1">"#"</definedName>
    <definedName name="FDC_62_70" hidden="1">"#"</definedName>
    <definedName name="FDC_62_71" hidden="1">"#"</definedName>
    <definedName name="FDC_62_72" hidden="1">"#"</definedName>
    <definedName name="FDC_62_73" hidden="1">"#"</definedName>
    <definedName name="FDC_62_74" hidden="1">"#"</definedName>
    <definedName name="FDC_62_75" hidden="1">"#"</definedName>
    <definedName name="FDC_62_76" hidden="1">"#"</definedName>
    <definedName name="FDC_62_77" hidden="1">"#"</definedName>
    <definedName name="FDC_62_78" hidden="1">"#"</definedName>
    <definedName name="FDC_62_79" hidden="1">"#"</definedName>
    <definedName name="FDC_62_8" hidden="1">"#"</definedName>
    <definedName name="FDC_62_80" hidden="1">"#"</definedName>
    <definedName name="FDC_62_81" hidden="1">"#"</definedName>
    <definedName name="FDC_62_82" hidden="1">"#"</definedName>
    <definedName name="FDC_62_83" hidden="1">"#"</definedName>
    <definedName name="FDC_62_84" hidden="1">"#"</definedName>
    <definedName name="FDC_62_85" hidden="1">"#"</definedName>
    <definedName name="FDC_62_86" hidden="1">"#"</definedName>
    <definedName name="FDC_62_87" hidden="1">"#"</definedName>
    <definedName name="FDC_62_88" hidden="1">"#"</definedName>
    <definedName name="FDC_62_89" hidden="1">"#"</definedName>
    <definedName name="FDC_62_9" hidden="1">"#"</definedName>
    <definedName name="FDC_62_90" hidden="1">"#"</definedName>
    <definedName name="FDC_62_91" hidden="1">"#"</definedName>
    <definedName name="FDC_62_92" hidden="1">"#"</definedName>
    <definedName name="FDC_62_93" hidden="1">"#"</definedName>
    <definedName name="FDC_62_94" hidden="1">"#"</definedName>
    <definedName name="FDC_62_95" hidden="1">"#"</definedName>
    <definedName name="FDC_62_96" hidden="1">"#"</definedName>
    <definedName name="FDC_62_97" hidden="1">"#"</definedName>
    <definedName name="FDC_62_98" hidden="1">"#"</definedName>
    <definedName name="FDC_62_99" hidden="1">"#"</definedName>
    <definedName name="FDC_63_0" hidden="1">"#"</definedName>
    <definedName name="FDC_63_1" hidden="1">"#"</definedName>
    <definedName name="FDC_63_10" hidden="1">"#"</definedName>
    <definedName name="FDC_63_100" hidden="1">"#"</definedName>
    <definedName name="FDC_63_101" hidden="1">"#"</definedName>
    <definedName name="FDC_63_102" hidden="1">"#"</definedName>
    <definedName name="FDC_63_103" hidden="1">"#"</definedName>
    <definedName name="FDC_63_104" hidden="1">"#"</definedName>
    <definedName name="FDC_63_105" hidden="1">"#"</definedName>
    <definedName name="FDC_63_106" hidden="1">"#"</definedName>
    <definedName name="FDC_63_107" hidden="1">"#"</definedName>
    <definedName name="FDC_63_108" hidden="1">"#"</definedName>
    <definedName name="FDC_63_109" hidden="1">"#"</definedName>
    <definedName name="FDC_63_11" hidden="1">"#"</definedName>
    <definedName name="FDC_63_110" hidden="1">"#"</definedName>
    <definedName name="FDC_63_111" hidden="1">"#"</definedName>
    <definedName name="FDC_63_112" hidden="1">"#"</definedName>
    <definedName name="FDC_63_113" hidden="1">"#"</definedName>
    <definedName name="FDC_63_114" hidden="1">"#"</definedName>
    <definedName name="FDC_63_115" hidden="1">"#"</definedName>
    <definedName name="FDC_63_116" hidden="1">"#"</definedName>
    <definedName name="FDC_63_117" hidden="1">"#"</definedName>
    <definedName name="FDC_63_118" hidden="1">"#"</definedName>
    <definedName name="FDC_63_119" hidden="1">"#"</definedName>
    <definedName name="FDC_63_12" hidden="1">"#"</definedName>
    <definedName name="FDC_63_120" hidden="1">"#"</definedName>
    <definedName name="FDC_63_121" hidden="1">"#"</definedName>
    <definedName name="FDC_63_122" hidden="1">"#"</definedName>
    <definedName name="FDC_63_123" hidden="1">"#"</definedName>
    <definedName name="FDC_63_124" hidden="1">"#"</definedName>
    <definedName name="FDC_63_125" hidden="1">"#"</definedName>
    <definedName name="FDC_63_126" hidden="1">"#"</definedName>
    <definedName name="FDC_63_127" hidden="1">"#"</definedName>
    <definedName name="FDC_63_128" hidden="1">"#"</definedName>
    <definedName name="FDC_63_129" hidden="1">"#"</definedName>
    <definedName name="FDC_63_13" hidden="1">"#"</definedName>
    <definedName name="FDC_63_130" hidden="1">"#"</definedName>
    <definedName name="FDC_63_131" hidden="1">"#"</definedName>
    <definedName name="FDC_63_132" hidden="1">"#"</definedName>
    <definedName name="FDC_63_133" hidden="1">"#"</definedName>
    <definedName name="FDC_63_134" hidden="1">"#"</definedName>
    <definedName name="FDC_63_135" hidden="1">"#"</definedName>
    <definedName name="FDC_63_136" hidden="1">"#"</definedName>
    <definedName name="FDC_63_137" hidden="1">"#"</definedName>
    <definedName name="FDC_63_138" hidden="1">"#"</definedName>
    <definedName name="FDC_63_139" hidden="1">"#"</definedName>
    <definedName name="FDC_63_14" hidden="1">"#"</definedName>
    <definedName name="FDC_63_140" hidden="1">"#"</definedName>
    <definedName name="FDC_63_141" hidden="1">"#"</definedName>
    <definedName name="FDC_63_142" hidden="1">"#"</definedName>
    <definedName name="FDC_63_143" hidden="1">"#"</definedName>
    <definedName name="FDC_63_144" hidden="1">"#"</definedName>
    <definedName name="FDC_63_145" hidden="1">"#"</definedName>
    <definedName name="FDC_63_146" hidden="1">"#"</definedName>
    <definedName name="FDC_63_147" hidden="1">"#"</definedName>
    <definedName name="FDC_63_148" hidden="1">"#"</definedName>
    <definedName name="FDC_63_149" hidden="1">"#"</definedName>
    <definedName name="FDC_63_15" hidden="1">"#"</definedName>
    <definedName name="FDC_63_150" hidden="1">"#"</definedName>
    <definedName name="FDC_63_151" hidden="1">"#"</definedName>
    <definedName name="FDC_63_152" hidden="1">"#"</definedName>
    <definedName name="FDC_63_153" hidden="1">"#"</definedName>
    <definedName name="FDC_63_154" hidden="1">"#"</definedName>
    <definedName name="FDC_63_155" hidden="1">"#"</definedName>
    <definedName name="FDC_63_156" hidden="1">"#"</definedName>
    <definedName name="FDC_63_157" hidden="1">"#"</definedName>
    <definedName name="FDC_63_158" hidden="1">"#"</definedName>
    <definedName name="FDC_63_159" hidden="1">"#"</definedName>
    <definedName name="FDC_63_16" hidden="1">"#"</definedName>
    <definedName name="FDC_63_160" hidden="1">"#"</definedName>
    <definedName name="FDC_63_161" hidden="1">"#"</definedName>
    <definedName name="FDC_63_162" hidden="1">"#"</definedName>
    <definedName name="FDC_63_163" hidden="1">"#"</definedName>
    <definedName name="FDC_63_164" hidden="1">"#"</definedName>
    <definedName name="FDC_63_165" hidden="1">"#"</definedName>
    <definedName name="FDC_63_166" hidden="1">"#"</definedName>
    <definedName name="FDC_63_167" hidden="1">"#"</definedName>
    <definedName name="FDC_63_168" hidden="1">"#"</definedName>
    <definedName name="FDC_63_169" hidden="1">"#"</definedName>
    <definedName name="FDC_63_17" hidden="1">"#"</definedName>
    <definedName name="FDC_63_170" hidden="1">"#"</definedName>
    <definedName name="FDC_63_171" hidden="1">"#"</definedName>
    <definedName name="FDC_63_172" hidden="1">"#"</definedName>
    <definedName name="FDC_63_173" hidden="1">"#"</definedName>
    <definedName name="FDC_63_174" hidden="1">"#"</definedName>
    <definedName name="FDC_63_175" hidden="1">"#"</definedName>
    <definedName name="FDC_63_176" hidden="1">"#"</definedName>
    <definedName name="FDC_63_177" hidden="1">"#"</definedName>
    <definedName name="FDC_63_178" hidden="1">"#"</definedName>
    <definedName name="FDC_63_179" hidden="1">"#"</definedName>
    <definedName name="FDC_63_18" hidden="1">"#"</definedName>
    <definedName name="FDC_63_180" hidden="1">"#"</definedName>
    <definedName name="FDC_63_181" hidden="1">"#"</definedName>
    <definedName name="FDC_63_182" hidden="1">"#"</definedName>
    <definedName name="FDC_63_183" hidden="1">"#"</definedName>
    <definedName name="FDC_63_184" hidden="1">"#"</definedName>
    <definedName name="FDC_63_185" hidden="1">"#"</definedName>
    <definedName name="FDC_63_186" hidden="1">"#"</definedName>
    <definedName name="FDC_63_187" hidden="1">"#"</definedName>
    <definedName name="FDC_63_188" hidden="1">"#"</definedName>
    <definedName name="FDC_63_189" hidden="1">"#"</definedName>
    <definedName name="FDC_63_19" hidden="1">"#"</definedName>
    <definedName name="FDC_63_190" hidden="1">"#"</definedName>
    <definedName name="FDC_63_191" hidden="1">"#"</definedName>
    <definedName name="FDC_63_192" hidden="1">"#"</definedName>
    <definedName name="FDC_63_193" hidden="1">"#"</definedName>
    <definedName name="FDC_63_194" hidden="1">"#"</definedName>
    <definedName name="FDC_63_195" hidden="1">"#"</definedName>
    <definedName name="FDC_63_196" hidden="1">"#"</definedName>
    <definedName name="FDC_63_197" hidden="1">"#"</definedName>
    <definedName name="FDC_63_198" hidden="1">"#"</definedName>
    <definedName name="FDC_63_199" hidden="1">"#"</definedName>
    <definedName name="FDC_63_2" hidden="1">"#"</definedName>
    <definedName name="FDC_63_20" hidden="1">"#"</definedName>
    <definedName name="FDC_63_200" hidden="1">"#"</definedName>
    <definedName name="FDC_63_201" hidden="1">"#"</definedName>
    <definedName name="FDC_63_202" hidden="1">"#"</definedName>
    <definedName name="FDC_63_203" hidden="1">"#"</definedName>
    <definedName name="FDC_63_204" hidden="1">"#"</definedName>
    <definedName name="FDC_63_205" hidden="1">"#"</definedName>
    <definedName name="FDC_63_206" hidden="1">"#"</definedName>
    <definedName name="FDC_63_207" hidden="1">"#"</definedName>
    <definedName name="FDC_63_208" hidden="1">"#"</definedName>
    <definedName name="FDC_63_209" hidden="1">"#"</definedName>
    <definedName name="FDC_63_21" hidden="1">"#"</definedName>
    <definedName name="FDC_63_210" hidden="1">"#"</definedName>
    <definedName name="FDC_63_211" hidden="1">"#"</definedName>
    <definedName name="FDC_63_212" hidden="1">"#"</definedName>
    <definedName name="FDC_63_213" hidden="1">"#"</definedName>
    <definedName name="FDC_63_214" hidden="1">"#"</definedName>
    <definedName name="FDC_63_215" hidden="1">"#"</definedName>
    <definedName name="FDC_63_216" hidden="1">"#"</definedName>
    <definedName name="FDC_63_217" hidden="1">"#"</definedName>
    <definedName name="FDC_63_218" hidden="1">"#"</definedName>
    <definedName name="FDC_63_219" hidden="1">"#"</definedName>
    <definedName name="FDC_63_22" hidden="1">"#"</definedName>
    <definedName name="FDC_63_220" hidden="1">"#"</definedName>
    <definedName name="FDC_63_221" hidden="1">"#"</definedName>
    <definedName name="FDC_63_222" hidden="1">"#"</definedName>
    <definedName name="FDC_63_223" hidden="1">"#"</definedName>
    <definedName name="FDC_63_224" hidden="1">"#"</definedName>
    <definedName name="FDC_63_225" hidden="1">"#"</definedName>
    <definedName name="FDC_63_226" hidden="1">"#"</definedName>
    <definedName name="FDC_63_227" hidden="1">"#"</definedName>
    <definedName name="FDC_63_228" hidden="1">"#"</definedName>
    <definedName name="FDC_63_229" hidden="1">"#"</definedName>
    <definedName name="FDC_63_23" hidden="1">"#"</definedName>
    <definedName name="FDC_63_230" hidden="1">"#"</definedName>
    <definedName name="FDC_63_231" hidden="1">"#"</definedName>
    <definedName name="FDC_63_232" hidden="1">"#"</definedName>
    <definedName name="FDC_63_233" hidden="1">"#"</definedName>
    <definedName name="FDC_63_234" hidden="1">"#"</definedName>
    <definedName name="FDC_63_235" hidden="1">"#"</definedName>
    <definedName name="FDC_63_236" hidden="1">"#"</definedName>
    <definedName name="FDC_63_237" hidden="1">"#"</definedName>
    <definedName name="FDC_63_238" hidden="1">"#"</definedName>
    <definedName name="FDC_63_239" hidden="1">"#"</definedName>
    <definedName name="FDC_63_24" hidden="1">"#"</definedName>
    <definedName name="FDC_63_240" hidden="1">"#"</definedName>
    <definedName name="FDC_63_241" hidden="1">"#"</definedName>
    <definedName name="FDC_63_242" hidden="1">"#"</definedName>
    <definedName name="FDC_63_243" hidden="1">"#"</definedName>
    <definedName name="FDC_63_244" hidden="1">"#"</definedName>
    <definedName name="FDC_63_245" hidden="1">"#"</definedName>
    <definedName name="FDC_63_246" hidden="1">"#"</definedName>
    <definedName name="FDC_63_247" hidden="1">"#"</definedName>
    <definedName name="FDC_63_248" hidden="1">"#"</definedName>
    <definedName name="FDC_63_249" hidden="1">"#"</definedName>
    <definedName name="FDC_63_25" hidden="1">"#"</definedName>
    <definedName name="FDC_63_250" hidden="1">"#"</definedName>
    <definedName name="FDC_63_251" hidden="1">"#"</definedName>
    <definedName name="FDC_63_252" hidden="1">"#"</definedName>
    <definedName name="FDC_63_253" hidden="1">"#"</definedName>
    <definedName name="FDC_63_254" hidden="1">"#"</definedName>
    <definedName name="FDC_63_255" hidden="1">"#"</definedName>
    <definedName name="FDC_63_256" hidden="1">"#"</definedName>
    <definedName name="FDC_63_257" hidden="1">"#"</definedName>
    <definedName name="FDC_63_258" hidden="1">"#"</definedName>
    <definedName name="FDC_63_259" hidden="1">"#"</definedName>
    <definedName name="FDC_63_26" hidden="1">"#"</definedName>
    <definedName name="FDC_63_260" hidden="1">"#"</definedName>
    <definedName name="FDC_63_261" hidden="1">"#"</definedName>
    <definedName name="FDC_63_27" hidden="1">"#"</definedName>
    <definedName name="FDC_63_28" hidden="1">"#"</definedName>
    <definedName name="FDC_63_29" hidden="1">"#"</definedName>
    <definedName name="FDC_63_3" hidden="1">"#"</definedName>
    <definedName name="FDC_63_30" hidden="1">"#"</definedName>
    <definedName name="FDC_63_31" hidden="1">"#"</definedName>
    <definedName name="FDC_63_32" hidden="1">"#"</definedName>
    <definedName name="FDC_63_33" hidden="1">"#"</definedName>
    <definedName name="FDC_63_34" hidden="1">"#"</definedName>
    <definedName name="FDC_63_35" hidden="1">"#"</definedName>
    <definedName name="FDC_63_36" hidden="1">"#"</definedName>
    <definedName name="FDC_63_37" hidden="1">"#"</definedName>
    <definedName name="FDC_63_38" hidden="1">"#"</definedName>
    <definedName name="FDC_63_39" hidden="1">"#"</definedName>
    <definedName name="FDC_63_4" hidden="1">"#"</definedName>
    <definedName name="FDC_63_40" hidden="1">"#"</definedName>
    <definedName name="FDC_63_41" hidden="1">"#"</definedName>
    <definedName name="FDC_63_42" hidden="1">"#"</definedName>
    <definedName name="FDC_63_43" hidden="1">"#"</definedName>
    <definedName name="FDC_63_44" hidden="1">"#"</definedName>
    <definedName name="FDC_63_45" hidden="1">"#"</definedName>
    <definedName name="FDC_63_46" hidden="1">"#"</definedName>
    <definedName name="FDC_63_47" hidden="1">"#"</definedName>
    <definedName name="FDC_63_48" hidden="1">"#"</definedName>
    <definedName name="FDC_63_49" hidden="1">"#"</definedName>
    <definedName name="FDC_63_5" hidden="1">"#"</definedName>
    <definedName name="FDC_63_50" hidden="1">"#"</definedName>
    <definedName name="FDC_63_51" hidden="1">"#"</definedName>
    <definedName name="FDC_63_52" hidden="1">"#"</definedName>
    <definedName name="FDC_63_53" hidden="1">"#"</definedName>
    <definedName name="FDC_63_54" hidden="1">"#"</definedName>
    <definedName name="FDC_63_55" hidden="1">"#"</definedName>
    <definedName name="FDC_63_56" hidden="1">"#"</definedName>
    <definedName name="FDC_63_57" hidden="1">"#"</definedName>
    <definedName name="FDC_63_58" hidden="1">"#"</definedName>
    <definedName name="FDC_63_59" hidden="1">"#"</definedName>
    <definedName name="FDC_63_6" hidden="1">"#"</definedName>
    <definedName name="FDC_63_60" hidden="1">"#"</definedName>
    <definedName name="FDC_63_61" hidden="1">"#"</definedName>
    <definedName name="FDC_63_62" hidden="1">"#"</definedName>
    <definedName name="FDC_63_63" hidden="1">"#"</definedName>
    <definedName name="FDC_63_64" hidden="1">"#"</definedName>
    <definedName name="FDC_63_65" hidden="1">"#"</definedName>
    <definedName name="FDC_63_66" hidden="1">"#"</definedName>
    <definedName name="FDC_63_67" hidden="1">"#"</definedName>
    <definedName name="FDC_63_68" hidden="1">"#"</definedName>
    <definedName name="FDC_63_69" hidden="1">"#"</definedName>
    <definedName name="FDC_63_7" hidden="1">"#"</definedName>
    <definedName name="FDC_63_70" hidden="1">"#"</definedName>
    <definedName name="FDC_63_71" hidden="1">"#"</definedName>
    <definedName name="FDC_63_72" hidden="1">"#"</definedName>
    <definedName name="FDC_63_73" hidden="1">"#"</definedName>
    <definedName name="FDC_63_74" hidden="1">"#"</definedName>
    <definedName name="FDC_63_75" hidden="1">"#"</definedName>
    <definedName name="FDC_63_76" hidden="1">"#"</definedName>
    <definedName name="FDC_63_77" hidden="1">"#"</definedName>
    <definedName name="FDC_63_78" hidden="1">"#"</definedName>
    <definedName name="FDC_63_79" hidden="1">"#"</definedName>
    <definedName name="FDC_63_8" hidden="1">"#"</definedName>
    <definedName name="FDC_63_80" hidden="1">"#"</definedName>
    <definedName name="FDC_63_81" hidden="1">"#"</definedName>
    <definedName name="FDC_63_82" hidden="1">"#"</definedName>
    <definedName name="FDC_63_83" hidden="1">"#"</definedName>
    <definedName name="FDC_63_84" hidden="1">"#"</definedName>
    <definedName name="FDC_63_85" hidden="1">"#"</definedName>
    <definedName name="FDC_63_86" hidden="1">"#"</definedName>
    <definedName name="FDC_63_87" hidden="1">"#"</definedName>
    <definedName name="FDC_63_88" hidden="1">"#"</definedName>
    <definedName name="FDC_63_89" hidden="1">"#"</definedName>
    <definedName name="FDC_63_9" hidden="1">"#"</definedName>
    <definedName name="FDC_63_90" hidden="1">"#"</definedName>
    <definedName name="FDC_63_91" hidden="1">"#"</definedName>
    <definedName name="FDC_63_92" hidden="1">"#"</definedName>
    <definedName name="FDC_63_93" hidden="1">"#"</definedName>
    <definedName name="FDC_63_94" hidden="1">"#"</definedName>
    <definedName name="FDC_63_95" hidden="1">"#"</definedName>
    <definedName name="FDC_63_96" hidden="1">"#"</definedName>
    <definedName name="FDC_63_97" hidden="1">"#"</definedName>
    <definedName name="FDC_63_98" hidden="1">"#"</definedName>
    <definedName name="FDC_63_99" hidden="1">"#"</definedName>
    <definedName name="FDC_64_0" hidden="1">"#"</definedName>
    <definedName name="FDC_64_1" hidden="1">"#"</definedName>
    <definedName name="FDC_64_10" hidden="1">"#"</definedName>
    <definedName name="FDC_64_100" hidden="1">"#"</definedName>
    <definedName name="FDC_64_101" hidden="1">"#"</definedName>
    <definedName name="FDC_64_102" hidden="1">"#"</definedName>
    <definedName name="FDC_64_103" hidden="1">"#"</definedName>
    <definedName name="FDC_64_104" hidden="1">"#"</definedName>
    <definedName name="FDC_64_105" hidden="1">"#"</definedName>
    <definedName name="FDC_64_106" hidden="1">"#"</definedName>
    <definedName name="FDC_64_107" hidden="1">"#"</definedName>
    <definedName name="FDC_64_108" hidden="1">"#"</definedName>
    <definedName name="FDC_64_109" hidden="1">"#"</definedName>
    <definedName name="FDC_64_11" hidden="1">"#"</definedName>
    <definedName name="FDC_64_110" hidden="1">"#"</definedName>
    <definedName name="FDC_64_111" hidden="1">"#"</definedName>
    <definedName name="FDC_64_112" hidden="1">"#"</definedName>
    <definedName name="FDC_64_113" hidden="1">"#"</definedName>
    <definedName name="FDC_64_114" hidden="1">"#"</definedName>
    <definedName name="FDC_64_115" hidden="1">"#"</definedName>
    <definedName name="FDC_64_116" hidden="1">"#"</definedName>
    <definedName name="FDC_64_117" hidden="1">"#"</definedName>
    <definedName name="FDC_64_118" hidden="1">"#"</definedName>
    <definedName name="FDC_64_119" hidden="1">"#"</definedName>
    <definedName name="FDC_64_12" hidden="1">"#"</definedName>
    <definedName name="FDC_64_120" hidden="1">"#"</definedName>
    <definedName name="FDC_64_121" hidden="1">"#"</definedName>
    <definedName name="FDC_64_122" hidden="1">"#"</definedName>
    <definedName name="FDC_64_123" hidden="1">"#"</definedName>
    <definedName name="FDC_64_124" hidden="1">"#"</definedName>
    <definedName name="FDC_64_125" hidden="1">"#"</definedName>
    <definedName name="FDC_64_126" hidden="1">"#"</definedName>
    <definedName name="FDC_64_127" hidden="1">"#"</definedName>
    <definedName name="FDC_64_128" hidden="1">"#"</definedName>
    <definedName name="FDC_64_129" hidden="1">"#"</definedName>
    <definedName name="FDC_64_13" hidden="1">"#"</definedName>
    <definedName name="FDC_64_130" hidden="1">"#"</definedName>
    <definedName name="FDC_64_131" hidden="1">"#"</definedName>
    <definedName name="FDC_64_132" hidden="1">"#"</definedName>
    <definedName name="FDC_64_133" hidden="1">"#"</definedName>
    <definedName name="FDC_64_134" hidden="1">"#"</definedName>
    <definedName name="FDC_64_135" hidden="1">"#"</definedName>
    <definedName name="FDC_64_136" hidden="1">"#"</definedName>
    <definedName name="FDC_64_137" hidden="1">"#"</definedName>
    <definedName name="FDC_64_138" hidden="1">"#"</definedName>
    <definedName name="FDC_64_139" hidden="1">"#"</definedName>
    <definedName name="FDC_64_14" hidden="1">"#"</definedName>
    <definedName name="FDC_64_140" hidden="1">"#"</definedName>
    <definedName name="FDC_64_141" hidden="1">"#"</definedName>
    <definedName name="FDC_64_142" hidden="1">"#"</definedName>
    <definedName name="FDC_64_143" hidden="1">"#"</definedName>
    <definedName name="FDC_64_144" hidden="1">"#"</definedName>
    <definedName name="FDC_64_145" hidden="1">"#"</definedName>
    <definedName name="FDC_64_146" hidden="1">"#"</definedName>
    <definedName name="FDC_64_147" hidden="1">"#"</definedName>
    <definedName name="FDC_64_148" hidden="1">"#"</definedName>
    <definedName name="FDC_64_149" hidden="1">"#"</definedName>
    <definedName name="FDC_64_15" hidden="1">"#"</definedName>
    <definedName name="FDC_64_150" hidden="1">"#"</definedName>
    <definedName name="FDC_64_151" hidden="1">"#"</definedName>
    <definedName name="FDC_64_152" hidden="1">"#"</definedName>
    <definedName name="FDC_64_153" hidden="1">"#"</definedName>
    <definedName name="FDC_64_154" hidden="1">"#"</definedName>
    <definedName name="FDC_64_155" hidden="1">"#"</definedName>
    <definedName name="FDC_64_156" hidden="1">"#"</definedName>
    <definedName name="FDC_64_157" hidden="1">"#"</definedName>
    <definedName name="FDC_64_158" hidden="1">"#"</definedName>
    <definedName name="FDC_64_159" hidden="1">"#"</definedName>
    <definedName name="FDC_64_16" hidden="1">"#"</definedName>
    <definedName name="FDC_64_160" hidden="1">"#"</definedName>
    <definedName name="FDC_64_161" hidden="1">"#"</definedName>
    <definedName name="FDC_64_162" hidden="1">"#"</definedName>
    <definedName name="FDC_64_163" hidden="1">"#"</definedName>
    <definedName name="FDC_64_164" hidden="1">"#"</definedName>
    <definedName name="FDC_64_165" hidden="1">"#"</definedName>
    <definedName name="FDC_64_166" hidden="1">"#"</definedName>
    <definedName name="FDC_64_167" hidden="1">"#"</definedName>
    <definedName name="FDC_64_168" hidden="1">"#"</definedName>
    <definedName name="FDC_64_169" hidden="1">"#"</definedName>
    <definedName name="FDC_64_17" hidden="1">"#"</definedName>
    <definedName name="FDC_64_170" hidden="1">"#"</definedName>
    <definedName name="FDC_64_171" hidden="1">"#"</definedName>
    <definedName name="FDC_64_172" hidden="1">"#"</definedName>
    <definedName name="FDC_64_173" hidden="1">"#"</definedName>
    <definedName name="FDC_64_174" hidden="1">"#"</definedName>
    <definedName name="FDC_64_175" hidden="1">"#"</definedName>
    <definedName name="FDC_64_176" hidden="1">"#"</definedName>
    <definedName name="FDC_64_177" hidden="1">"#"</definedName>
    <definedName name="FDC_64_178" hidden="1">"#"</definedName>
    <definedName name="FDC_64_179" hidden="1">"#"</definedName>
    <definedName name="FDC_64_18" hidden="1">"#"</definedName>
    <definedName name="FDC_64_180" hidden="1">"#"</definedName>
    <definedName name="FDC_64_181" hidden="1">"#"</definedName>
    <definedName name="FDC_64_182" hidden="1">"#"</definedName>
    <definedName name="FDC_64_183" hidden="1">"#"</definedName>
    <definedName name="FDC_64_184" hidden="1">"#"</definedName>
    <definedName name="FDC_64_185" hidden="1">"#"</definedName>
    <definedName name="FDC_64_186" hidden="1">"#"</definedName>
    <definedName name="FDC_64_187" hidden="1">"#"</definedName>
    <definedName name="FDC_64_188" hidden="1">"#"</definedName>
    <definedName name="FDC_64_189" hidden="1">"#"</definedName>
    <definedName name="FDC_64_19" hidden="1">"#"</definedName>
    <definedName name="FDC_64_190" hidden="1">"#"</definedName>
    <definedName name="FDC_64_191" hidden="1">"#"</definedName>
    <definedName name="FDC_64_192" hidden="1">"#"</definedName>
    <definedName name="FDC_64_193" hidden="1">"#"</definedName>
    <definedName name="FDC_64_194" hidden="1">"#"</definedName>
    <definedName name="FDC_64_195" hidden="1">"#"</definedName>
    <definedName name="FDC_64_196" hidden="1">"#"</definedName>
    <definedName name="FDC_64_197" hidden="1">"#"</definedName>
    <definedName name="FDC_64_198" hidden="1">"#"</definedName>
    <definedName name="FDC_64_199" hidden="1">"#"</definedName>
    <definedName name="FDC_64_2" hidden="1">"#"</definedName>
    <definedName name="FDC_64_20" hidden="1">"#"</definedName>
    <definedName name="FDC_64_200" hidden="1">"#"</definedName>
    <definedName name="FDC_64_201" hidden="1">"#"</definedName>
    <definedName name="FDC_64_202" hidden="1">"#"</definedName>
    <definedName name="FDC_64_203" hidden="1">"#"</definedName>
    <definedName name="FDC_64_204" hidden="1">"#"</definedName>
    <definedName name="FDC_64_205" hidden="1">"#"</definedName>
    <definedName name="FDC_64_206" hidden="1">"#"</definedName>
    <definedName name="FDC_64_207" hidden="1">"#"</definedName>
    <definedName name="FDC_64_208" hidden="1">"#"</definedName>
    <definedName name="FDC_64_209" hidden="1">"#"</definedName>
    <definedName name="FDC_64_21" hidden="1">"#"</definedName>
    <definedName name="FDC_64_210" hidden="1">"#"</definedName>
    <definedName name="FDC_64_211" hidden="1">"#"</definedName>
    <definedName name="FDC_64_212" hidden="1">"#"</definedName>
    <definedName name="FDC_64_213" hidden="1">"#"</definedName>
    <definedName name="FDC_64_214" hidden="1">"#"</definedName>
    <definedName name="FDC_64_215" hidden="1">"#"</definedName>
    <definedName name="FDC_64_216" hidden="1">"#"</definedName>
    <definedName name="FDC_64_217" hidden="1">"#"</definedName>
    <definedName name="FDC_64_218" hidden="1">"#"</definedName>
    <definedName name="FDC_64_219" hidden="1">"#"</definedName>
    <definedName name="FDC_64_22" hidden="1">"#"</definedName>
    <definedName name="FDC_64_220" hidden="1">"#"</definedName>
    <definedName name="FDC_64_221" hidden="1">"#"</definedName>
    <definedName name="FDC_64_222" hidden="1">"#"</definedName>
    <definedName name="FDC_64_223" hidden="1">"#"</definedName>
    <definedName name="FDC_64_224" hidden="1">"#"</definedName>
    <definedName name="FDC_64_225" hidden="1">"#"</definedName>
    <definedName name="FDC_64_226" hidden="1">"#"</definedName>
    <definedName name="FDC_64_227" hidden="1">"#"</definedName>
    <definedName name="FDC_64_228" hidden="1">"#"</definedName>
    <definedName name="FDC_64_229" hidden="1">"#"</definedName>
    <definedName name="FDC_64_23" hidden="1">"#"</definedName>
    <definedName name="FDC_64_230" hidden="1">"#"</definedName>
    <definedName name="FDC_64_231" hidden="1">"#"</definedName>
    <definedName name="FDC_64_232" hidden="1">"#"</definedName>
    <definedName name="FDC_64_233" hidden="1">"#"</definedName>
    <definedName name="FDC_64_234" hidden="1">"#"</definedName>
    <definedName name="FDC_64_235" hidden="1">"#"</definedName>
    <definedName name="FDC_64_236" hidden="1">"#"</definedName>
    <definedName name="FDC_64_237" hidden="1">"#"</definedName>
    <definedName name="FDC_64_238" hidden="1">"#"</definedName>
    <definedName name="FDC_64_239" hidden="1">"#"</definedName>
    <definedName name="FDC_64_24" hidden="1">"#"</definedName>
    <definedName name="FDC_64_240" hidden="1">"#"</definedName>
    <definedName name="FDC_64_241" hidden="1">"#"</definedName>
    <definedName name="FDC_64_242" hidden="1">"#"</definedName>
    <definedName name="FDC_64_243" hidden="1">"#"</definedName>
    <definedName name="FDC_64_244" hidden="1">"#"</definedName>
    <definedName name="FDC_64_245" hidden="1">"#"</definedName>
    <definedName name="FDC_64_246" hidden="1">"#"</definedName>
    <definedName name="FDC_64_247" hidden="1">"#"</definedName>
    <definedName name="FDC_64_248" hidden="1">"#"</definedName>
    <definedName name="FDC_64_249" hidden="1">"#"</definedName>
    <definedName name="FDC_64_25" hidden="1">"#"</definedName>
    <definedName name="FDC_64_250" hidden="1">"#"</definedName>
    <definedName name="FDC_64_251" hidden="1">"#"</definedName>
    <definedName name="FDC_64_252" hidden="1">"#"</definedName>
    <definedName name="FDC_64_253" hidden="1">"#"</definedName>
    <definedName name="FDC_64_254" hidden="1">"#"</definedName>
    <definedName name="FDC_64_255" hidden="1">"#"</definedName>
    <definedName name="FDC_64_256" hidden="1">"#"</definedName>
    <definedName name="FDC_64_257" hidden="1">"#"</definedName>
    <definedName name="FDC_64_258" hidden="1">"#"</definedName>
    <definedName name="FDC_64_259" hidden="1">"#"</definedName>
    <definedName name="FDC_64_26" hidden="1">"#"</definedName>
    <definedName name="FDC_64_260" hidden="1">"#"</definedName>
    <definedName name="FDC_64_261" hidden="1">"#"</definedName>
    <definedName name="FDC_64_27" hidden="1">"#"</definedName>
    <definedName name="FDC_64_28" hidden="1">"#"</definedName>
    <definedName name="FDC_64_29" hidden="1">"#"</definedName>
    <definedName name="FDC_64_3" hidden="1">"#"</definedName>
    <definedName name="FDC_64_30" hidden="1">"#"</definedName>
    <definedName name="FDC_64_31" hidden="1">"#"</definedName>
    <definedName name="FDC_64_32" hidden="1">"#"</definedName>
    <definedName name="FDC_64_33" hidden="1">"#"</definedName>
    <definedName name="FDC_64_34" hidden="1">"#"</definedName>
    <definedName name="FDC_64_35" hidden="1">"#"</definedName>
    <definedName name="FDC_64_36" hidden="1">"#"</definedName>
    <definedName name="FDC_64_37" hidden="1">"#"</definedName>
    <definedName name="FDC_64_38" hidden="1">"#"</definedName>
    <definedName name="FDC_64_39" hidden="1">"#"</definedName>
    <definedName name="FDC_64_4" hidden="1">"#"</definedName>
    <definedName name="FDC_64_40" hidden="1">"#"</definedName>
    <definedName name="FDC_64_41" hidden="1">"#"</definedName>
    <definedName name="FDC_64_42" hidden="1">"#"</definedName>
    <definedName name="FDC_64_43" hidden="1">"#"</definedName>
    <definedName name="FDC_64_44" hidden="1">"#"</definedName>
    <definedName name="FDC_64_45" hidden="1">"#"</definedName>
    <definedName name="FDC_64_46" hidden="1">"#"</definedName>
    <definedName name="FDC_64_47" hidden="1">"#"</definedName>
    <definedName name="FDC_64_48" hidden="1">"#"</definedName>
    <definedName name="FDC_64_49" hidden="1">"#"</definedName>
    <definedName name="FDC_64_5" hidden="1">"#"</definedName>
    <definedName name="FDC_64_50" hidden="1">"#"</definedName>
    <definedName name="FDC_64_51" hidden="1">"#"</definedName>
    <definedName name="FDC_64_52" hidden="1">"#"</definedName>
    <definedName name="FDC_64_53" hidden="1">"#"</definedName>
    <definedName name="FDC_64_54" hidden="1">"#"</definedName>
    <definedName name="FDC_64_55" hidden="1">"#"</definedName>
    <definedName name="FDC_64_56" hidden="1">"#"</definedName>
    <definedName name="FDC_64_57" hidden="1">"#"</definedName>
    <definedName name="FDC_64_58" hidden="1">"#"</definedName>
    <definedName name="FDC_64_59" hidden="1">"#"</definedName>
    <definedName name="FDC_64_6" hidden="1">"#"</definedName>
    <definedName name="FDC_64_60" hidden="1">"#"</definedName>
    <definedName name="FDC_64_61" hidden="1">"#"</definedName>
    <definedName name="FDC_64_62" hidden="1">"#"</definedName>
    <definedName name="FDC_64_63" hidden="1">"#"</definedName>
    <definedName name="FDC_64_64" hidden="1">"#"</definedName>
    <definedName name="FDC_64_65" hidden="1">"#"</definedName>
    <definedName name="FDC_64_66" hidden="1">"#"</definedName>
    <definedName name="FDC_64_67" hidden="1">"#"</definedName>
    <definedName name="FDC_64_68" hidden="1">"#"</definedName>
    <definedName name="FDC_64_69" hidden="1">"#"</definedName>
    <definedName name="FDC_64_7" hidden="1">"#"</definedName>
    <definedName name="FDC_64_70" hidden="1">"#"</definedName>
    <definedName name="FDC_64_71" hidden="1">"#"</definedName>
    <definedName name="FDC_64_72" hidden="1">"#"</definedName>
    <definedName name="FDC_64_73" hidden="1">"#"</definedName>
    <definedName name="FDC_64_74" hidden="1">"#"</definedName>
    <definedName name="FDC_64_75" hidden="1">"#"</definedName>
    <definedName name="FDC_64_76" hidden="1">"#"</definedName>
    <definedName name="FDC_64_77" hidden="1">"#"</definedName>
    <definedName name="FDC_64_78" hidden="1">"#"</definedName>
    <definedName name="FDC_64_79" hidden="1">"#"</definedName>
    <definedName name="FDC_64_8" hidden="1">"#"</definedName>
    <definedName name="FDC_64_80" hidden="1">"#"</definedName>
    <definedName name="FDC_64_81" hidden="1">"#"</definedName>
    <definedName name="FDC_64_82" hidden="1">"#"</definedName>
    <definedName name="FDC_64_83" hidden="1">"#"</definedName>
    <definedName name="FDC_64_84" hidden="1">"#"</definedName>
    <definedName name="FDC_64_85" hidden="1">"#"</definedName>
    <definedName name="FDC_64_86" hidden="1">"#"</definedName>
    <definedName name="FDC_64_87" hidden="1">"#"</definedName>
    <definedName name="FDC_64_88" hidden="1">"#"</definedName>
    <definedName name="FDC_64_89" hidden="1">"#"</definedName>
    <definedName name="FDC_64_9" hidden="1">"#"</definedName>
    <definedName name="FDC_64_90" hidden="1">"#"</definedName>
    <definedName name="FDC_64_91" hidden="1">"#"</definedName>
    <definedName name="FDC_64_92" hidden="1">"#"</definedName>
    <definedName name="FDC_64_93" hidden="1">"#"</definedName>
    <definedName name="FDC_64_94" hidden="1">"#"</definedName>
    <definedName name="FDC_64_95" hidden="1">"#"</definedName>
    <definedName name="FDC_64_96" hidden="1">"#"</definedName>
    <definedName name="FDC_64_97" hidden="1">"#"</definedName>
    <definedName name="FDC_64_98" hidden="1">"#"</definedName>
    <definedName name="FDC_64_99" hidden="1">"#"</definedName>
    <definedName name="FDC_65_0" hidden="1">"#"</definedName>
    <definedName name="FDC_7_0" hidden="1">"#"</definedName>
    <definedName name="FDC_7_1" hidden="1">"#"</definedName>
    <definedName name="FDC_7_2" hidden="1">"#"</definedName>
    <definedName name="FDC_7_3" hidden="1">"#"</definedName>
    <definedName name="FDC_8_0" hidden="1">"#"</definedName>
    <definedName name="FDC_8_1" hidden="1">"#"</definedName>
    <definedName name="FDC_8_2" hidden="1">"#"</definedName>
    <definedName name="FDC_8_3" hidden="1">"#"</definedName>
    <definedName name="FDC_9_0" hidden="1">"#"</definedName>
    <definedName name="FDC_9_1" hidden="1">"#"</definedName>
    <definedName name="FDC_9_2" hidden="1">"#"</definedName>
    <definedName name="FDC_9_3" hidden="1">"#"</definedName>
    <definedName name="FDD_0_0" hidden="1">"A30681"</definedName>
    <definedName name="FDD_0_1" hidden="1">"A31047"</definedName>
    <definedName name="FDD_0_10" hidden="1">"A34334"</definedName>
    <definedName name="FDD_0_11" hidden="1">"A34699"</definedName>
    <definedName name="FDD_0_12" hidden="1">"A35064"</definedName>
    <definedName name="FDD_0_13" hidden="1">"A35430"</definedName>
    <definedName name="FDD_0_14" hidden="1">"A35795"</definedName>
    <definedName name="FDD_0_2" hidden="1">"A31412"</definedName>
    <definedName name="FDD_0_3" hidden="1">"A31777"</definedName>
    <definedName name="FDD_0_4" hidden="1">"A32142"</definedName>
    <definedName name="FDD_0_5" hidden="1">"A32508"</definedName>
    <definedName name="FDD_0_6" hidden="1">"A32873"</definedName>
    <definedName name="FDD_0_7" hidden="1">"A33238"</definedName>
    <definedName name="FDD_0_8" hidden="1">"A33603"</definedName>
    <definedName name="FDD_0_9" hidden="1">"A33969"</definedName>
    <definedName name="FDD_1_0" hidden="1">"U25569"</definedName>
    <definedName name="FDD_10_0" hidden="1">"A25569"</definedName>
    <definedName name="FDD_100_0" hidden="1">"A25569"</definedName>
    <definedName name="FDD_101_0" hidden="1">"A25569"</definedName>
    <definedName name="FDD_102_0" hidden="1">"A25569"</definedName>
    <definedName name="FDD_103_0" hidden="1">"A25569"</definedName>
    <definedName name="FDD_104_0" hidden="1">"A25569"</definedName>
    <definedName name="FDD_105_0" hidden="1">"A25569"</definedName>
    <definedName name="FDD_106_0" hidden="1">"A25569"</definedName>
    <definedName name="FDD_107_0" hidden="1">"A25569"</definedName>
    <definedName name="FDD_108_0" hidden="1">"A25569"</definedName>
    <definedName name="FDD_109_0" hidden="1">"A25569"</definedName>
    <definedName name="FDD_11_0" hidden="1">"A25569"</definedName>
    <definedName name="FDD_110_0" hidden="1">"A25569"</definedName>
    <definedName name="FDD_111_0" hidden="1">"A25569"</definedName>
    <definedName name="FDD_112_0" hidden="1">"A25569"</definedName>
    <definedName name="FDD_113_0" hidden="1">"A25569"</definedName>
    <definedName name="FDD_114_0" hidden="1">"A25569"</definedName>
    <definedName name="FDD_115_0" hidden="1">"A25569"</definedName>
    <definedName name="FDD_116_0" hidden="1">"A25569"</definedName>
    <definedName name="FDD_117_0" hidden="1">"A30681"</definedName>
    <definedName name="FDD_117_1" hidden="1">"A31047"</definedName>
    <definedName name="FDD_117_10" hidden="1">"A34334"</definedName>
    <definedName name="FDD_117_11" hidden="1">"A34699"</definedName>
    <definedName name="FDD_117_12" hidden="1">"A35064"</definedName>
    <definedName name="FDD_117_13" hidden="1">"A35430"</definedName>
    <definedName name="FDD_117_14" hidden="1">"A35795"</definedName>
    <definedName name="FDD_117_2" hidden="1">"A31412"</definedName>
    <definedName name="FDD_117_3" hidden="1">"A31777"</definedName>
    <definedName name="FDD_117_4" hidden="1">"A32142"</definedName>
    <definedName name="FDD_117_5" hidden="1">"A32508"</definedName>
    <definedName name="FDD_117_6" hidden="1">"A32873"</definedName>
    <definedName name="FDD_117_7" hidden="1">"A33238"</definedName>
    <definedName name="FDD_117_8" hidden="1">"A33603"</definedName>
    <definedName name="FDD_117_9" hidden="1">"A33969"</definedName>
    <definedName name="FDD_118_0" hidden="1">"A30681"</definedName>
    <definedName name="FDD_118_1" hidden="1">"A31047"</definedName>
    <definedName name="FDD_118_10" hidden="1">"A34334"</definedName>
    <definedName name="FDD_118_11" hidden="1">"A34699"</definedName>
    <definedName name="FDD_118_12" hidden="1">"A35064"</definedName>
    <definedName name="FDD_118_13" hidden="1">"A35430"</definedName>
    <definedName name="FDD_118_14" hidden="1">"A35795"</definedName>
    <definedName name="FDD_118_2" hidden="1">"A31412"</definedName>
    <definedName name="FDD_118_3" hidden="1">"A31777"</definedName>
    <definedName name="FDD_118_4" hidden="1">"A32142"</definedName>
    <definedName name="FDD_118_5" hidden="1">"A32508"</definedName>
    <definedName name="FDD_118_6" hidden="1">"A32873"</definedName>
    <definedName name="FDD_118_7" hidden="1">"A33238"</definedName>
    <definedName name="FDD_118_8" hidden="1">"A33603"</definedName>
    <definedName name="FDD_118_9" hidden="1">"A33969"</definedName>
    <definedName name="FDD_119_0" hidden="1">"A30681"</definedName>
    <definedName name="FDD_119_1" hidden="1">"A31047"</definedName>
    <definedName name="FDD_119_10" hidden="1">"A34334"</definedName>
    <definedName name="FDD_119_11" hidden="1">"A34699"</definedName>
    <definedName name="FDD_119_12" hidden="1">"A35064"</definedName>
    <definedName name="FDD_119_13" hidden="1">"A35430"</definedName>
    <definedName name="FDD_119_14" hidden="1">"A35795"</definedName>
    <definedName name="FDD_119_2" hidden="1">"A31412"</definedName>
    <definedName name="FDD_119_3" hidden="1">"A31777"</definedName>
    <definedName name="FDD_119_4" hidden="1">"A32142"</definedName>
    <definedName name="FDD_119_5" hidden="1">"A32508"</definedName>
    <definedName name="FDD_119_6" hidden="1">"A32873"</definedName>
    <definedName name="FDD_119_7" hidden="1">"A33238"</definedName>
    <definedName name="FDD_119_8" hidden="1">"A33603"</definedName>
    <definedName name="FDD_119_9" hidden="1">"A33969"</definedName>
    <definedName name="FDD_12_0" hidden="1">"A25569"</definedName>
    <definedName name="FDD_120_0" hidden="1">"A30681"</definedName>
    <definedName name="FDD_120_1" hidden="1">"A31047"</definedName>
    <definedName name="FDD_120_10" hidden="1">"A34334"</definedName>
    <definedName name="FDD_120_11" hidden="1">"A34699"</definedName>
    <definedName name="FDD_120_12" hidden="1">"A35064"</definedName>
    <definedName name="FDD_120_13" hidden="1">"A35430"</definedName>
    <definedName name="FDD_120_14" hidden="1">"A35795"</definedName>
    <definedName name="FDD_120_2" hidden="1">"A31412"</definedName>
    <definedName name="FDD_120_3" hidden="1">"A31777"</definedName>
    <definedName name="FDD_120_4" hidden="1">"A32142"</definedName>
    <definedName name="FDD_120_5" hidden="1">"A32508"</definedName>
    <definedName name="FDD_120_6" hidden="1">"A32873"</definedName>
    <definedName name="FDD_120_7" hidden="1">"A33238"</definedName>
    <definedName name="FDD_120_8" hidden="1">"A33603"</definedName>
    <definedName name="FDD_120_9" hidden="1">"A33969"</definedName>
    <definedName name="FDD_121_0" hidden="1">"A30681"</definedName>
    <definedName name="FDD_121_1" hidden="1">"A31047"</definedName>
    <definedName name="FDD_121_10" hidden="1">"A34334"</definedName>
    <definedName name="FDD_121_11" hidden="1">"A34699"</definedName>
    <definedName name="FDD_121_12" hidden="1">"A35064"</definedName>
    <definedName name="FDD_121_13" hidden="1">"A35430"</definedName>
    <definedName name="FDD_121_14" hidden="1">"A35795"</definedName>
    <definedName name="FDD_121_2" hidden="1">"A31412"</definedName>
    <definedName name="FDD_121_3" hidden="1">"A31777"</definedName>
    <definedName name="FDD_121_4" hidden="1">"A32142"</definedName>
    <definedName name="FDD_121_5" hidden="1">"A32508"</definedName>
    <definedName name="FDD_121_6" hidden="1">"A32873"</definedName>
    <definedName name="FDD_121_7" hidden="1">"A33238"</definedName>
    <definedName name="FDD_121_8" hidden="1">"A33603"</definedName>
    <definedName name="FDD_121_9" hidden="1">"A33969"</definedName>
    <definedName name="FDD_122_0" hidden="1">"A30681"</definedName>
    <definedName name="FDD_122_1" hidden="1">"A31047"</definedName>
    <definedName name="FDD_122_10" hidden="1">"A34334"</definedName>
    <definedName name="FDD_122_11" hidden="1">"A34699"</definedName>
    <definedName name="FDD_122_12" hidden="1">"A35064"</definedName>
    <definedName name="FDD_122_13" hidden="1">"A35430"</definedName>
    <definedName name="FDD_122_14" hidden="1">"A35795"</definedName>
    <definedName name="FDD_122_2" hidden="1">"A31412"</definedName>
    <definedName name="FDD_122_3" hidden="1">"A31777"</definedName>
    <definedName name="FDD_122_4" hidden="1">"A32142"</definedName>
    <definedName name="FDD_122_5" hidden="1">"A32508"</definedName>
    <definedName name="FDD_122_6" hidden="1">"A32873"</definedName>
    <definedName name="FDD_122_7" hidden="1">"A33238"</definedName>
    <definedName name="FDD_122_8" hidden="1">"A33603"</definedName>
    <definedName name="FDD_122_9" hidden="1">"A33969"</definedName>
    <definedName name="FDD_123_0" hidden="1">"A30681"</definedName>
    <definedName name="FDD_123_1" hidden="1">"A31047"</definedName>
    <definedName name="FDD_123_10" hidden="1">"A34334"</definedName>
    <definedName name="FDD_123_11" hidden="1">"A34699"</definedName>
    <definedName name="FDD_123_12" hidden="1">"A35064"</definedName>
    <definedName name="FDD_123_13" hidden="1">"A35430"</definedName>
    <definedName name="FDD_123_14" hidden="1">"A35795"</definedName>
    <definedName name="FDD_123_2" hidden="1">"A31412"</definedName>
    <definedName name="FDD_123_3" hidden="1">"A31777"</definedName>
    <definedName name="FDD_123_4" hidden="1">"A32142"</definedName>
    <definedName name="FDD_123_5" hidden="1">"A32508"</definedName>
    <definedName name="FDD_123_6" hidden="1">"A32873"</definedName>
    <definedName name="FDD_123_7" hidden="1">"A33238"</definedName>
    <definedName name="FDD_123_8" hidden="1">"A33603"</definedName>
    <definedName name="FDD_123_9" hidden="1">"A33969"</definedName>
    <definedName name="FDD_124_0" hidden="1">"A30681"</definedName>
    <definedName name="FDD_124_1" hidden="1">"A31047"</definedName>
    <definedName name="FDD_124_10" hidden="1">"A34334"</definedName>
    <definedName name="FDD_124_11" hidden="1">"A34699"</definedName>
    <definedName name="FDD_124_12" hidden="1">"A35064"</definedName>
    <definedName name="FDD_124_13" hidden="1">"A35430"</definedName>
    <definedName name="FDD_124_14" hidden="1">"A35795"</definedName>
    <definedName name="FDD_124_2" hidden="1">"A31412"</definedName>
    <definedName name="FDD_124_3" hidden="1">"A31777"</definedName>
    <definedName name="FDD_124_4" hidden="1">"A32142"</definedName>
    <definedName name="FDD_124_5" hidden="1">"A32508"</definedName>
    <definedName name="FDD_124_6" hidden="1">"A32873"</definedName>
    <definedName name="FDD_124_7" hidden="1">"A33238"</definedName>
    <definedName name="FDD_124_8" hidden="1">"A33603"</definedName>
    <definedName name="FDD_124_9" hidden="1">"A33969"</definedName>
    <definedName name="FDD_125_0" hidden="1">"A30681"</definedName>
    <definedName name="FDD_125_1" hidden="1">"A31047"</definedName>
    <definedName name="FDD_125_10" hidden="1">"A34334"</definedName>
    <definedName name="FDD_125_11" hidden="1">"A34699"</definedName>
    <definedName name="FDD_125_12" hidden="1">"A35064"</definedName>
    <definedName name="FDD_125_13" hidden="1">"A35430"</definedName>
    <definedName name="FDD_125_14" hidden="1">"A35795"</definedName>
    <definedName name="FDD_125_2" hidden="1">"A31412"</definedName>
    <definedName name="FDD_125_3" hidden="1">"A31777"</definedName>
    <definedName name="FDD_125_4" hidden="1">"A32142"</definedName>
    <definedName name="FDD_125_5" hidden="1">"A32508"</definedName>
    <definedName name="FDD_125_6" hidden="1">"A32873"</definedName>
    <definedName name="FDD_125_7" hidden="1">"A33238"</definedName>
    <definedName name="FDD_125_8" hidden="1">"A33603"</definedName>
    <definedName name="FDD_125_9" hidden="1">"A33969"</definedName>
    <definedName name="FDD_126_0" hidden="1">"A30681"</definedName>
    <definedName name="FDD_126_1" hidden="1">"A31047"</definedName>
    <definedName name="FDD_126_10" hidden="1">"A34334"</definedName>
    <definedName name="FDD_126_11" hidden="1">"A34699"</definedName>
    <definedName name="FDD_126_12" hidden="1">"A35064"</definedName>
    <definedName name="FDD_126_13" hidden="1">"A35430"</definedName>
    <definedName name="FDD_126_14" hidden="1">"A35795"</definedName>
    <definedName name="FDD_126_2" hidden="1">"A31412"</definedName>
    <definedName name="FDD_126_3" hidden="1">"A31777"</definedName>
    <definedName name="FDD_126_4" hidden="1">"A32142"</definedName>
    <definedName name="FDD_126_5" hidden="1">"A32508"</definedName>
    <definedName name="FDD_126_6" hidden="1">"A32873"</definedName>
    <definedName name="FDD_126_7" hidden="1">"A33238"</definedName>
    <definedName name="FDD_126_8" hidden="1">"A33603"</definedName>
    <definedName name="FDD_126_9" hidden="1">"A33969"</definedName>
    <definedName name="FDD_127_0" hidden="1">"A30681"</definedName>
    <definedName name="FDD_127_1" hidden="1">"A31047"</definedName>
    <definedName name="FDD_127_10" hidden="1">"A34334"</definedName>
    <definedName name="FDD_127_11" hidden="1">"A34699"</definedName>
    <definedName name="FDD_127_12" hidden="1">"A35064"</definedName>
    <definedName name="FDD_127_13" hidden="1">"A35430"</definedName>
    <definedName name="FDD_127_14" hidden="1">"A35795"</definedName>
    <definedName name="FDD_127_2" hidden="1">"A31412"</definedName>
    <definedName name="FDD_127_3" hidden="1">"A31777"</definedName>
    <definedName name="FDD_127_4" hidden="1">"A32142"</definedName>
    <definedName name="FDD_127_5" hidden="1">"A32508"</definedName>
    <definedName name="FDD_127_6" hidden="1">"A32873"</definedName>
    <definedName name="FDD_127_7" hidden="1">"A33238"</definedName>
    <definedName name="FDD_127_8" hidden="1">"A33603"</definedName>
    <definedName name="FDD_127_9" hidden="1">"A33969"</definedName>
    <definedName name="FDD_128_0" hidden="1">"A30681"</definedName>
    <definedName name="FDD_128_1" hidden="1">"A31047"</definedName>
    <definedName name="FDD_128_10" hidden="1">"A34334"</definedName>
    <definedName name="FDD_128_11" hidden="1">"A34699"</definedName>
    <definedName name="FDD_128_12" hidden="1">"A35064"</definedName>
    <definedName name="FDD_128_13" hidden="1">"A35430"</definedName>
    <definedName name="FDD_128_14" hidden="1">"A35795"</definedName>
    <definedName name="FDD_128_2" hidden="1">"A31412"</definedName>
    <definedName name="FDD_128_3" hidden="1">"A31777"</definedName>
    <definedName name="FDD_128_4" hidden="1">"A32142"</definedName>
    <definedName name="FDD_128_5" hidden="1">"A32508"</definedName>
    <definedName name="FDD_128_6" hidden="1">"A32873"</definedName>
    <definedName name="FDD_128_7" hidden="1">"A33238"</definedName>
    <definedName name="FDD_128_8" hidden="1">"A33603"</definedName>
    <definedName name="FDD_128_9" hidden="1">"A33969"</definedName>
    <definedName name="FDD_129_0" hidden="1">"A30681"</definedName>
    <definedName name="FDD_129_1" hidden="1">"A31047"</definedName>
    <definedName name="FDD_129_10" hidden="1">"A34334"</definedName>
    <definedName name="FDD_129_11" hidden="1">"A34699"</definedName>
    <definedName name="FDD_129_12" hidden="1">"A35064"</definedName>
    <definedName name="FDD_129_13" hidden="1">"A35430"</definedName>
    <definedName name="FDD_129_14" hidden="1">"A35795"</definedName>
    <definedName name="FDD_129_2" hidden="1">"A31412"</definedName>
    <definedName name="FDD_129_3" hidden="1">"A31777"</definedName>
    <definedName name="FDD_129_4" hidden="1">"A32142"</definedName>
    <definedName name="FDD_129_5" hidden="1">"A32508"</definedName>
    <definedName name="FDD_129_6" hidden="1">"A32873"</definedName>
    <definedName name="FDD_129_7" hidden="1">"A33238"</definedName>
    <definedName name="FDD_129_8" hidden="1">"A33603"</definedName>
    <definedName name="FDD_129_9" hidden="1">"A33969"</definedName>
    <definedName name="FDD_13_0" hidden="1">"A25569"</definedName>
    <definedName name="FDD_130_0" hidden="1">"A30681"</definedName>
    <definedName name="FDD_130_1" hidden="1">"A31047"</definedName>
    <definedName name="FDD_130_10" hidden="1">"A34334"</definedName>
    <definedName name="FDD_130_11" hidden="1">"A34699"</definedName>
    <definedName name="FDD_130_12" hidden="1">"A35064"</definedName>
    <definedName name="FDD_130_13" hidden="1">"A35430"</definedName>
    <definedName name="FDD_130_14" hidden="1">"A35795"</definedName>
    <definedName name="FDD_130_2" hidden="1">"A31412"</definedName>
    <definedName name="FDD_130_3" hidden="1">"A31777"</definedName>
    <definedName name="FDD_130_4" hidden="1">"A32142"</definedName>
    <definedName name="FDD_130_5" hidden="1">"A32508"</definedName>
    <definedName name="FDD_130_6" hidden="1">"A32873"</definedName>
    <definedName name="FDD_130_7" hidden="1">"A33238"</definedName>
    <definedName name="FDD_130_8" hidden="1">"A33603"</definedName>
    <definedName name="FDD_130_9" hidden="1">"A33969"</definedName>
    <definedName name="FDD_131_0" hidden="1">"A30681"</definedName>
    <definedName name="FDD_131_1" hidden="1">"A31047"</definedName>
    <definedName name="FDD_131_10" hidden="1">"A34334"</definedName>
    <definedName name="FDD_131_11" hidden="1">"A34699"</definedName>
    <definedName name="FDD_131_12" hidden="1">"A35064"</definedName>
    <definedName name="FDD_131_13" hidden="1">"A35430"</definedName>
    <definedName name="FDD_131_14" hidden="1">"A35795"</definedName>
    <definedName name="FDD_131_2" hidden="1">"A31412"</definedName>
    <definedName name="FDD_131_3" hidden="1">"A31777"</definedName>
    <definedName name="FDD_131_4" hidden="1">"A32142"</definedName>
    <definedName name="FDD_131_5" hidden="1">"A32508"</definedName>
    <definedName name="FDD_131_6" hidden="1">"A32873"</definedName>
    <definedName name="FDD_131_7" hidden="1">"A33238"</definedName>
    <definedName name="FDD_131_8" hidden="1">"A33603"</definedName>
    <definedName name="FDD_131_9" hidden="1">"A33969"</definedName>
    <definedName name="FDD_132_0" hidden="1">"U30681"</definedName>
    <definedName name="FDD_132_1" hidden="1">"U31047"</definedName>
    <definedName name="FDD_132_10" hidden="1">"U34334"</definedName>
    <definedName name="FDD_132_11" hidden="1">"U34699"</definedName>
    <definedName name="FDD_132_12" hidden="1">"U35064"</definedName>
    <definedName name="FDD_132_13" hidden="1">"U35430"</definedName>
    <definedName name="FDD_132_14" hidden="1">"U35795"</definedName>
    <definedName name="FDD_132_2" hidden="1">"U31412"</definedName>
    <definedName name="FDD_132_3" hidden="1">"U31777"</definedName>
    <definedName name="FDD_132_4" hidden="1">"U32142"</definedName>
    <definedName name="FDD_132_5" hidden="1">"U32508"</definedName>
    <definedName name="FDD_132_6" hidden="1">"U32873"</definedName>
    <definedName name="FDD_132_7" hidden="1">"U33238"</definedName>
    <definedName name="FDD_132_8" hidden="1">"U33603"</definedName>
    <definedName name="FDD_132_9" hidden="1">"U33969"</definedName>
    <definedName name="FDD_133_0" hidden="1">"A30681"</definedName>
    <definedName name="FDD_133_1" hidden="1">"A31047"</definedName>
    <definedName name="FDD_133_10" hidden="1">"A34334"</definedName>
    <definedName name="FDD_133_11" hidden="1">"A34699"</definedName>
    <definedName name="FDD_133_12" hidden="1">"A35064"</definedName>
    <definedName name="FDD_133_13" hidden="1">"A35430"</definedName>
    <definedName name="FDD_133_14" hidden="1">"A35795"</definedName>
    <definedName name="FDD_133_2" hidden="1">"A31412"</definedName>
    <definedName name="FDD_133_3" hidden="1">"A31777"</definedName>
    <definedName name="FDD_133_4" hidden="1">"A32142"</definedName>
    <definedName name="FDD_133_5" hidden="1">"A32508"</definedName>
    <definedName name="FDD_133_6" hidden="1">"A32873"</definedName>
    <definedName name="FDD_133_7" hidden="1">"A33238"</definedName>
    <definedName name="FDD_133_8" hidden="1">"A33603"</definedName>
    <definedName name="FDD_133_9" hidden="1">"A33969"</definedName>
    <definedName name="FDD_134_0" hidden="1">"A30681"</definedName>
    <definedName name="FDD_134_1" hidden="1">"A31047"</definedName>
    <definedName name="FDD_134_10" hidden="1">"A34334"</definedName>
    <definedName name="FDD_134_11" hidden="1">"A34699"</definedName>
    <definedName name="FDD_134_12" hidden="1">"A35064"</definedName>
    <definedName name="FDD_134_13" hidden="1">"A35430"</definedName>
    <definedName name="FDD_134_14" hidden="1">"A35795"</definedName>
    <definedName name="FDD_134_2" hidden="1">"A31412"</definedName>
    <definedName name="FDD_134_3" hidden="1">"A31777"</definedName>
    <definedName name="FDD_134_4" hidden="1">"A32142"</definedName>
    <definedName name="FDD_134_5" hidden="1">"A32508"</definedName>
    <definedName name="FDD_134_6" hidden="1">"A32873"</definedName>
    <definedName name="FDD_134_7" hidden="1">"A33238"</definedName>
    <definedName name="FDD_134_8" hidden="1">"A33603"</definedName>
    <definedName name="FDD_134_9" hidden="1">"A33969"</definedName>
    <definedName name="FDD_135_0" hidden="1">"A30681"</definedName>
    <definedName name="FDD_135_1" hidden="1">"A31047"</definedName>
    <definedName name="FDD_135_10" hidden="1">"A34334"</definedName>
    <definedName name="FDD_135_11" hidden="1">"A34699"</definedName>
    <definedName name="FDD_135_12" hidden="1">"A35064"</definedName>
    <definedName name="FDD_135_13" hidden="1">"A35430"</definedName>
    <definedName name="FDD_135_14" hidden="1">"A35795"</definedName>
    <definedName name="FDD_135_2" hidden="1">"A31412"</definedName>
    <definedName name="FDD_135_3" hidden="1">"A31777"</definedName>
    <definedName name="FDD_135_4" hidden="1">"A32142"</definedName>
    <definedName name="FDD_135_5" hidden="1">"A32508"</definedName>
    <definedName name="FDD_135_6" hidden="1">"A32873"</definedName>
    <definedName name="FDD_135_7" hidden="1">"A33238"</definedName>
    <definedName name="FDD_135_8" hidden="1">"A33603"</definedName>
    <definedName name="FDD_135_9" hidden="1">"A33969"</definedName>
    <definedName name="FDD_136_0" hidden="1">"A30681"</definedName>
    <definedName name="FDD_136_1" hidden="1">"A31047"</definedName>
    <definedName name="FDD_136_10" hidden="1">"A34334"</definedName>
    <definedName name="FDD_136_11" hidden="1">"A34699"</definedName>
    <definedName name="FDD_136_12" hidden="1">"A35064"</definedName>
    <definedName name="FDD_136_13" hidden="1">"A35430"</definedName>
    <definedName name="FDD_136_14" hidden="1">"A35795"</definedName>
    <definedName name="FDD_136_2" hidden="1">"A31412"</definedName>
    <definedName name="FDD_136_3" hidden="1">"A31777"</definedName>
    <definedName name="FDD_136_4" hidden="1">"A32142"</definedName>
    <definedName name="FDD_136_5" hidden="1">"A32508"</definedName>
    <definedName name="FDD_136_6" hidden="1">"A32873"</definedName>
    <definedName name="FDD_136_7" hidden="1">"A33238"</definedName>
    <definedName name="FDD_136_8" hidden="1">"A33603"</definedName>
    <definedName name="FDD_136_9" hidden="1">"A33969"</definedName>
    <definedName name="FDD_137_0" hidden="1">"A30681"</definedName>
    <definedName name="FDD_137_1" hidden="1">"A31047"</definedName>
    <definedName name="FDD_137_10" hidden="1">"A34334"</definedName>
    <definedName name="FDD_137_11" hidden="1">"A34699"</definedName>
    <definedName name="FDD_137_12" hidden="1">"A35064"</definedName>
    <definedName name="FDD_137_13" hidden="1">"A35430"</definedName>
    <definedName name="FDD_137_14" hidden="1">"A35795"</definedName>
    <definedName name="FDD_137_2" hidden="1">"A31412"</definedName>
    <definedName name="FDD_137_3" hidden="1">"A31777"</definedName>
    <definedName name="FDD_137_4" hidden="1">"A32142"</definedName>
    <definedName name="FDD_137_5" hidden="1">"A32508"</definedName>
    <definedName name="FDD_137_6" hidden="1">"A32873"</definedName>
    <definedName name="FDD_137_7" hidden="1">"A33238"</definedName>
    <definedName name="FDD_137_8" hidden="1">"A33603"</definedName>
    <definedName name="FDD_137_9" hidden="1">"A33969"</definedName>
    <definedName name="FDD_138_0" hidden="1">"A30681"</definedName>
    <definedName name="FDD_138_1" hidden="1">"A31047"</definedName>
    <definedName name="FDD_138_10" hidden="1">"A34334"</definedName>
    <definedName name="FDD_138_11" hidden="1">"A34699"</definedName>
    <definedName name="FDD_138_12" hidden="1">"A35064"</definedName>
    <definedName name="FDD_138_13" hidden="1">"A35430"</definedName>
    <definedName name="FDD_138_14" hidden="1">"A35795"</definedName>
    <definedName name="FDD_138_2" hidden="1">"A31412"</definedName>
    <definedName name="FDD_138_3" hidden="1">"A31777"</definedName>
    <definedName name="FDD_138_4" hidden="1">"A32142"</definedName>
    <definedName name="FDD_138_5" hidden="1">"A32508"</definedName>
    <definedName name="FDD_138_6" hidden="1">"A32873"</definedName>
    <definedName name="FDD_138_7" hidden="1">"A33238"</definedName>
    <definedName name="FDD_138_8" hidden="1">"A33603"</definedName>
    <definedName name="FDD_138_9" hidden="1">"A33969"</definedName>
    <definedName name="FDD_139_0" hidden="1">"A30681"</definedName>
    <definedName name="FDD_139_1" hidden="1">"A31047"</definedName>
    <definedName name="FDD_139_10" hidden="1">"U34334"</definedName>
    <definedName name="FDD_139_11" hidden="1">"U34699"</definedName>
    <definedName name="FDD_139_12" hidden="1">"U35064"</definedName>
    <definedName name="FDD_139_13" hidden="1">"U35430"</definedName>
    <definedName name="FDD_139_14" hidden="1">"U35795"</definedName>
    <definedName name="FDD_139_2" hidden="1">"A31412"</definedName>
    <definedName name="FDD_139_3" hidden="1">"U31777"</definedName>
    <definedName name="FDD_139_4" hidden="1">"U32142"</definedName>
    <definedName name="FDD_139_5" hidden="1">"U32508"</definedName>
    <definedName name="FDD_139_6" hidden="1">"U32873"</definedName>
    <definedName name="FDD_139_7" hidden="1">"U33238"</definedName>
    <definedName name="FDD_139_8" hidden="1">"U33603"</definedName>
    <definedName name="FDD_139_9" hidden="1">"U33969"</definedName>
    <definedName name="FDD_14_0" hidden="1">"A25569"</definedName>
    <definedName name="FDD_140_0" hidden="1">"A25569"</definedName>
    <definedName name="FDD_141_0" hidden="1">"A30681"</definedName>
    <definedName name="FDD_141_1" hidden="1">"A31047"</definedName>
    <definedName name="FDD_141_10" hidden="1">"A34334"</definedName>
    <definedName name="FDD_141_11" hidden="1">"A34699"</definedName>
    <definedName name="FDD_141_12" hidden="1">"A35064"</definedName>
    <definedName name="FDD_141_13" hidden="1">"A35430"</definedName>
    <definedName name="FDD_141_14" hidden="1">"A35795"</definedName>
    <definedName name="FDD_141_2" hidden="1">"A31412"</definedName>
    <definedName name="FDD_141_3" hidden="1">"A31777"</definedName>
    <definedName name="FDD_141_4" hidden="1">"A32142"</definedName>
    <definedName name="FDD_141_5" hidden="1">"A32508"</definedName>
    <definedName name="FDD_141_6" hidden="1">"A32873"</definedName>
    <definedName name="FDD_141_7" hidden="1">"A33238"</definedName>
    <definedName name="FDD_141_8" hidden="1">"A33603"</definedName>
    <definedName name="FDD_141_9" hidden="1">"A33969"</definedName>
    <definedName name="FDD_142_0" hidden="1">"A30681"</definedName>
    <definedName name="FDD_142_1" hidden="1">"A31047"</definedName>
    <definedName name="FDD_142_10" hidden="1">"A34334"</definedName>
    <definedName name="FDD_142_11" hidden="1">"A34699"</definedName>
    <definedName name="FDD_142_12" hidden="1">"A35064"</definedName>
    <definedName name="FDD_142_13" hidden="1">"A35430"</definedName>
    <definedName name="FDD_142_14" hidden="1">"A35795"</definedName>
    <definedName name="FDD_142_2" hidden="1">"A31412"</definedName>
    <definedName name="FDD_142_3" hidden="1">"A31777"</definedName>
    <definedName name="FDD_142_4" hidden="1">"A32142"</definedName>
    <definedName name="FDD_142_5" hidden="1">"A32508"</definedName>
    <definedName name="FDD_142_6" hidden="1">"A32873"</definedName>
    <definedName name="FDD_142_7" hidden="1">"A33238"</definedName>
    <definedName name="FDD_142_8" hidden="1">"A33603"</definedName>
    <definedName name="FDD_142_9" hidden="1">"A33969"</definedName>
    <definedName name="FDD_143_0" hidden="1">"A30681"</definedName>
    <definedName name="FDD_143_1" hidden="1">"A31047"</definedName>
    <definedName name="FDD_143_10" hidden="1">"A34334"</definedName>
    <definedName name="FDD_143_11" hidden="1">"A34699"</definedName>
    <definedName name="FDD_143_12" hidden="1">"A35064"</definedName>
    <definedName name="FDD_143_13" hidden="1">"A35430"</definedName>
    <definedName name="FDD_143_14" hidden="1">"A35795"</definedName>
    <definedName name="FDD_143_2" hidden="1">"A31412"</definedName>
    <definedName name="FDD_143_3" hidden="1">"A31777"</definedName>
    <definedName name="FDD_143_4" hidden="1">"A32142"</definedName>
    <definedName name="FDD_143_5" hidden="1">"A32508"</definedName>
    <definedName name="FDD_143_6" hidden="1">"A32873"</definedName>
    <definedName name="FDD_143_7" hidden="1">"A33238"</definedName>
    <definedName name="FDD_143_8" hidden="1">"A33603"</definedName>
    <definedName name="FDD_143_9" hidden="1">"A33969"</definedName>
    <definedName name="FDD_144_0" hidden="1">"A30681"</definedName>
    <definedName name="FDD_144_1" hidden="1">"A31047"</definedName>
    <definedName name="FDD_144_10" hidden="1">"A34334"</definedName>
    <definedName name="FDD_144_11" hidden="1">"A34699"</definedName>
    <definedName name="FDD_144_12" hidden="1">"A35064"</definedName>
    <definedName name="FDD_144_13" hidden="1">"A35430"</definedName>
    <definedName name="FDD_144_14" hidden="1">"A35795"</definedName>
    <definedName name="FDD_144_2" hidden="1">"A31412"</definedName>
    <definedName name="FDD_144_3" hidden="1">"A31777"</definedName>
    <definedName name="FDD_144_4" hidden="1">"A32142"</definedName>
    <definedName name="FDD_144_5" hidden="1">"A32508"</definedName>
    <definedName name="FDD_144_6" hidden="1">"A32873"</definedName>
    <definedName name="FDD_144_7" hidden="1">"A33238"</definedName>
    <definedName name="FDD_144_8" hidden="1">"A33603"</definedName>
    <definedName name="FDD_144_9" hidden="1">"A33969"</definedName>
    <definedName name="FDD_145_0" hidden="1">"A30681"</definedName>
    <definedName name="FDD_145_1" hidden="1">"A31047"</definedName>
    <definedName name="FDD_145_10" hidden="1">"A34334"</definedName>
    <definedName name="FDD_145_11" hidden="1">"A34699"</definedName>
    <definedName name="FDD_145_12" hidden="1">"A35064"</definedName>
    <definedName name="FDD_145_13" hidden="1">"A35430"</definedName>
    <definedName name="FDD_145_14" hidden="1">"A35795"</definedName>
    <definedName name="FDD_145_2" hidden="1">"A31412"</definedName>
    <definedName name="FDD_145_3" hidden="1">"A31777"</definedName>
    <definedName name="FDD_145_4" hidden="1">"A32142"</definedName>
    <definedName name="FDD_145_5" hidden="1">"A32508"</definedName>
    <definedName name="FDD_145_6" hidden="1">"A32873"</definedName>
    <definedName name="FDD_145_7" hidden="1">"A33238"</definedName>
    <definedName name="FDD_145_8" hidden="1">"A33603"</definedName>
    <definedName name="FDD_145_9" hidden="1">"A33969"</definedName>
    <definedName name="FDD_146_0" hidden="1">"A30681"</definedName>
    <definedName name="FDD_146_1" hidden="1">"A31047"</definedName>
    <definedName name="FDD_146_10" hidden="1">"A34334"</definedName>
    <definedName name="FDD_146_11" hidden="1">"A34699"</definedName>
    <definedName name="FDD_146_12" hidden="1">"A35064"</definedName>
    <definedName name="FDD_146_13" hidden="1">"A35430"</definedName>
    <definedName name="FDD_146_14" hidden="1">"A35795"</definedName>
    <definedName name="FDD_146_2" hidden="1">"A31412"</definedName>
    <definedName name="FDD_146_3" hidden="1">"A31777"</definedName>
    <definedName name="FDD_146_4" hidden="1">"A32142"</definedName>
    <definedName name="FDD_146_5" hidden="1">"A32508"</definedName>
    <definedName name="FDD_146_6" hidden="1">"A32873"</definedName>
    <definedName name="FDD_146_7" hidden="1">"A33238"</definedName>
    <definedName name="FDD_146_8" hidden="1">"A33603"</definedName>
    <definedName name="FDD_146_9" hidden="1">"A33969"</definedName>
    <definedName name="FDD_147_0" hidden="1">"U30681"</definedName>
    <definedName name="FDD_147_1" hidden="1">"U31047"</definedName>
    <definedName name="FDD_147_10" hidden="1">"U34334"</definedName>
    <definedName name="FDD_147_11" hidden="1">"U34699"</definedName>
    <definedName name="FDD_147_12" hidden="1">"U35064"</definedName>
    <definedName name="FDD_147_13" hidden="1">"U35430"</definedName>
    <definedName name="FDD_147_14" hidden="1">"U35795"</definedName>
    <definedName name="FDD_147_2" hidden="1">"U31412"</definedName>
    <definedName name="FDD_147_3" hidden="1">"U31777"</definedName>
    <definedName name="FDD_147_4" hidden="1">"U32142"</definedName>
    <definedName name="FDD_147_5" hidden="1">"U32508"</definedName>
    <definedName name="FDD_147_6" hidden="1">"U32873"</definedName>
    <definedName name="FDD_147_7" hidden="1">"U33238"</definedName>
    <definedName name="FDD_147_8" hidden="1">"U33603"</definedName>
    <definedName name="FDD_147_9" hidden="1">"U33969"</definedName>
    <definedName name="FDD_148_0" hidden="1">"A30681"</definedName>
    <definedName name="FDD_148_1" hidden="1">"A31047"</definedName>
    <definedName name="FDD_148_10" hidden="1">"A34334"</definedName>
    <definedName name="FDD_148_11" hidden="1">"A34699"</definedName>
    <definedName name="FDD_148_12" hidden="1">"A35064"</definedName>
    <definedName name="FDD_148_13" hidden="1">"A35430"</definedName>
    <definedName name="FDD_148_14" hidden="1">"A35795"</definedName>
    <definedName name="FDD_148_2" hidden="1">"A31412"</definedName>
    <definedName name="FDD_148_3" hidden="1">"A31777"</definedName>
    <definedName name="FDD_148_4" hidden="1">"A32142"</definedName>
    <definedName name="FDD_148_5" hidden="1">"A32508"</definedName>
    <definedName name="FDD_148_6" hidden="1">"A32873"</definedName>
    <definedName name="FDD_148_7" hidden="1">"A33238"</definedName>
    <definedName name="FDD_148_8" hidden="1">"A33603"</definedName>
    <definedName name="FDD_148_9" hidden="1">"A33969"</definedName>
    <definedName name="FDD_149_0" hidden="1">"U30681"</definedName>
    <definedName name="FDD_149_1" hidden="1">"U31047"</definedName>
    <definedName name="FDD_149_10" hidden="1">"U34334"</definedName>
    <definedName name="FDD_149_11" hidden="1">"U34699"</definedName>
    <definedName name="FDD_149_12" hidden="1">"U35064"</definedName>
    <definedName name="FDD_149_13" hidden="1">"U35430"</definedName>
    <definedName name="FDD_149_14" hidden="1">"A35795"</definedName>
    <definedName name="FDD_149_2" hidden="1">"U31412"</definedName>
    <definedName name="FDD_149_3" hidden="1">"U31777"</definedName>
    <definedName name="FDD_149_4" hidden="1">"U32142"</definedName>
    <definedName name="FDD_149_5" hidden="1">"U32508"</definedName>
    <definedName name="FDD_149_6" hidden="1">"U32873"</definedName>
    <definedName name="FDD_149_7" hidden="1">"U33238"</definedName>
    <definedName name="FDD_149_8" hidden="1">"U33603"</definedName>
    <definedName name="FDD_149_9" hidden="1">"U33969"</definedName>
    <definedName name="FDD_15_0" hidden="1">"A25569"</definedName>
    <definedName name="FDD_151_0" hidden="1">"A30681"</definedName>
    <definedName name="FDD_151_1" hidden="1">"A31047"</definedName>
    <definedName name="FDD_151_10" hidden="1">"A34334"</definedName>
    <definedName name="FDD_151_11" hidden="1">"A34699"</definedName>
    <definedName name="FDD_151_12" hidden="1">"A35064"</definedName>
    <definedName name="FDD_151_13" hidden="1">"A35430"</definedName>
    <definedName name="FDD_151_14" hidden="1">"A35795"</definedName>
    <definedName name="FDD_151_2" hidden="1">"A31412"</definedName>
    <definedName name="FDD_151_3" hidden="1">"A31777"</definedName>
    <definedName name="FDD_151_4" hidden="1">"A32142"</definedName>
    <definedName name="FDD_151_5" hidden="1">"A32508"</definedName>
    <definedName name="FDD_151_6" hidden="1">"A32873"</definedName>
    <definedName name="FDD_151_7" hidden="1">"A33238"</definedName>
    <definedName name="FDD_151_8" hidden="1">"A33603"</definedName>
    <definedName name="FDD_151_9" hidden="1">"A33969"</definedName>
    <definedName name="FDD_152_0" hidden="1">"A30681"</definedName>
    <definedName name="FDD_152_1" hidden="1">"A31047"</definedName>
    <definedName name="FDD_152_10" hidden="1">"A34334"</definedName>
    <definedName name="FDD_152_11" hidden="1">"A34699"</definedName>
    <definedName name="FDD_152_12" hidden="1">"A35064"</definedName>
    <definedName name="FDD_152_13" hidden="1">"A35430"</definedName>
    <definedName name="FDD_152_14" hidden="1">"A35795"</definedName>
    <definedName name="FDD_152_15" hidden="1">"E36160"</definedName>
    <definedName name="FDD_152_2" hidden="1">"A31412"</definedName>
    <definedName name="FDD_152_3" hidden="1">"A31777"</definedName>
    <definedName name="FDD_152_4" hidden="1">"A32142"</definedName>
    <definedName name="FDD_152_5" hidden="1">"A32508"</definedName>
    <definedName name="FDD_152_6" hidden="1">"A32873"</definedName>
    <definedName name="FDD_152_7" hidden="1">"A33238"</definedName>
    <definedName name="FDD_152_8" hidden="1">"A33603"</definedName>
    <definedName name="FDD_152_9" hidden="1">"A33969"</definedName>
    <definedName name="FDD_153_0" hidden="1">"A30681"</definedName>
    <definedName name="FDD_153_1" hidden="1">"A31047"</definedName>
    <definedName name="FDD_153_10" hidden="1">"A34334"</definedName>
    <definedName name="FDD_153_11" hidden="1">"A34699"</definedName>
    <definedName name="FDD_153_12" hidden="1">"A35064"</definedName>
    <definedName name="FDD_153_13" hidden="1">"A35430"</definedName>
    <definedName name="FDD_153_14" hidden="1">"A35795"</definedName>
    <definedName name="FDD_153_2" hidden="1">"A31412"</definedName>
    <definedName name="FDD_153_3" hidden="1">"A31777"</definedName>
    <definedName name="FDD_153_4" hidden="1">"A32142"</definedName>
    <definedName name="FDD_153_5" hidden="1">"A32508"</definedName>
    <definedName name="FDD_153_6" hidden="1">"A32873"</definedName>
    <definedName name="FDD_153_7" hidden="1">"A33238"</definedName>
    <definedName name="FDD_153_8" hidden="1">"A33603"</definedName>
    <definedName name="FDD_153_9" hidden="1">"A33969"</definedName>
    <definedName name="FDD_154_0" hidden="1">"A30681"</definedName>
    <definedName name="FDD_154_1" hidden="1">"A31047"</definedName>
    <definedName name="FDD_154_10" hidden="1">"A34334"</definedName>
    <definedName name="FDD_154_11" hidden="1">"A34699"</definedName>
    <definedName name="FDD_154_12" hidden="1">"A35064"</definedName>
    <definedName name="FDD_154_13" hidden="1">"A35430"</definedName>
    <definedName name="FDD_154_14" hidden="1">"A35795"</definedName>
    <definedName name="FDD_154_2" hidden="1">"A31412"</definedName>
    <definedName name="FDD_154_3" hidden="1">"A31777"</definedName>
    <definedName name="FDD_154_4" hidden="1">"A32142"</definedName>
    <definedName name="FDD_154_5" hidden="1">"A32508"</definedName>
    <definedName name="FDD_154_6" hidden="1">"A32873"</definedName>
    <definedName name="FDD_154_7" hidden="1">"A33238"</definedName>
    <definedName name="FDD_154_8" hidden="1">"A33603"</definedName>
    <definedName name="FDD_154_9" hidden="1">"A33969"</definedName>
    <definedName name="FDD_155_0" hidden="1">"A25569"</definedName>
    <definedName name="FDD_156_0" hidden="1">"A30681"</definedName>
    <definedName name="FDD_156_1" hidden="1">"A31047"</definedName>
    <definedName name="FDD_156_10" hidden="1">"A34334"</definedName>
    <definedName name="FDD_156_11" hidden="1">"A34699"</definedName>
    <definedName name="FDD_156_12" hidden="1">"A35064"</definedName>
    <definedName name="FDD_156_13" hidden="1">"A35430"</definedName>
    <definedName name="FDD_156_14" hidden="1">"A35795"</definedName>
    <definedName name="FDD_156_15" hidden="1">"E36160"</definedName>
    <definedName name="FDD_156_2" hidden="1">"A31412"</definedName>
    <definedName name="FDD_156_3" hidden="1">"A31777"</definedName>
    <definedName name="FDD_156_4" hidden="1">"A32142"</definedName>
    <definedName name="FDD_156_5" hidden="1">"A32508"</definedName>
    <definedName name="FDD_156_6" hidden="1">"A32873"</definedName>
    <definedName name="FDD_156_7" hidden="1">"A33238"</definedName>
    <definedName name="FDD_156_8" hidden="1">"A33603"</definedName>
    <definedName name="FDD_156_9" hidden="1">"A33969"</definedName>
    <definedName name="FDD_157_0" hidden="1">"A30681"</definedName>
    <definedName name="FDD_157_1" hidden="1">"A31047"</definedName>
    <definedName name="FDD_157_10" hidden="1">"A34334"</definedName>
    <definedName name="FDD_157_11" hidden="1">"A34699"</definedName>
    <definedName name="FDD_157_12" hidden="1">"A35064"</definedName>
    <definedName name="FDD_157_13" hidden="1">"A35430"</definedName>
    <definedName name="FDD_157_14" hidden="1">"A35795"</definedName>
    <definedName name="FDD_157_2" hidden="1">"A31412"</definedName>
    <definedName name="FDD_157_3" hidden="1">"A31777"</definedName>
    <definedName name="FDD_157_4" hidden="1">"A32142"</definedName>
    <definedName name="FDD_157_5" hidden="1">"A32508"</definedName>
    <definedName name="FDD_157_6" hidden="1">"A32873"</definedName>
    <definedName name="FDD_157_7" hidden="1">"A33238"</definedName>
    <definedName name="FDD_157_8" hidden="1">"A33603"</definedName>
    <definedName name="FDD_157_9" hidden="1">"A33969"</definedName>
    <definedName name="FDD_158_0" hidden="1">"A30681"</definedName>
    <definedName name="FDD_158_1" hidden="1">"A31047"</definedName>
    <definedName name="FDD_158_10" hidden="1">"A34334"</definedName>
    <definedName name="FDD_158_11" hidden="1">"A34699"</definedName>
    <definedName name="FDD_158_12" hidden="1">"A35064"</definedName>
    <definedName name="FDD_158_13" hidden="1">"A35430"</definedName>
    <definedName name="FDD_158_14" hidden="1">"A35795"</definedName>
    <definedName name="FDD_158_15" hidden="1">"E36160"</definedName>
    <definedName name="FDD_158_2" hidden="1">"A31412"</definedName>
    <definedName name="FDD_158_3" hidden="1">"A31777"</definedName>
    <definedName name="FDD_158_4" hidden="1">"A32142"</definedName>
    <definedName name="FDD_158_5" hidden="1">"A32508"</definedName>
    <definedName name="FDD_158_6" hidden="1">"A32873"</definedName>
    <definedName name="FDD_158_7" hidden="1">"A33238"</definedName>
    <definedName name="FDD_158_8" hidden="1">"A33603"</definedName>
    <definedName name="FDD_158_9" hidden="1">"A33969"</definedName>
    <definedName name="FDD_159_0" hidden="1">"A30681"</definedName>
    <definedName name="FDD_159_1" hidden="1">"A31047"</definedName>
    <definedName name="FDD_159_10" hidden="1">"A34334"</definedName>
    <definedName name="FDD_159_11" hidden="1">"A34699"</definedName>
    <definedName name="FDD_159_12" hidden="1">"A35064"</definedName>
    <definedName name="FDD_159_13" hidden="1">"A35430"</definedName>
    <definedName name="FDD_159_14" hidden="1">"A35795"</definedName>
    <definedName name="FDD_159_2" hidden="1">"A31412"</definedName>
    <definedName name="FDD_159_3" hidden="1">"A31777"</definedName>
    <definedName name="FDD_159_4" hidden="1">"A32142"</definedName>
    <definedName name="FDD_159_5" hidden="1">"A32508"</definedName>
    <definedName name="FDD_159_6" hidden="1">"A32873"</definedName>
    <definedName name="FDD_159_7" hidden="1">"A33238"</definedName>
    <definedName name="FDD_159_8" hidden="1">"A33603"</definedName>
    <definedName name="FDD_159_9" hidden="1">"A33969"</definedName>
    <definedName name="FDD_16_0" hidden="1">"A25569"</definedName>
    <definedName name="FDD_160_0" hidden="1">"A30681"</definedName>
    <definedName name="FDD_160_1" hidden="1">"A31047"</definedName>
    <definedName name="FDD_160_10" hidden="1">"A34334"</definedName>
    <definedName name="FDD_160_11" hidden="1">"A34699"</definedName>
    <definedName name="FDD_160_12" hidden="1">"A35064"</definedName>
    <definedName name="FDD_160_13" hidden="1">"A35430"</definedName>
    <definedName name="FDD_160_14" hidden="1">"A35795"</definedName>
    <definedName name="FDD_160_15" hidden="1">"E36160"</definedName>
    <definedName name="FDD_160_2" hidden="1">"A31412"</definedName>
    <definedName name="FDD_160_3" hidden="1">"A31777"</definedName>
    <definedName name="FDD_160_4" hidden="1">"A32142"</definedName>
    <definedName name="FDD_160_5" hidden="1">"A32508"</definedName>
    <definedName name="FDD_160_6" hidden="1">"A32873"</definedName>
    <definedName name="FDD_160_7" hidden="1">"A33238"</definedName>
    <definedName name="FDD_160_8" hidden="1">"A33603"</definedName>
    <definedName name="FDD_160_9" hidden="1">"A33969"</definedName>
    <definedName name="FDD_161_0" hidden="1">"A30681"</definedName>
    <definedName name="FDD_161_1" hidden="1">"A31047"</definedName>
    <definedName name="FDD_161_10" hidden="1">"A34334"</definedName>
    <definedName name="FDD_161_11" hidden="1">"A34699"</definedName>
    <definedName name="FDD_161_12" hidden="1">"A35064"</definedName>
    <definedName name="FDD_161_13" hidden="1">"A35430"</definedName>
    <definedName name="FDD_161_14" hidden="1">"A35795"</definedName>
    <definedName name="FDD_161_2" hidden="1">"A31412"</definedName>
    <definedName name="FDD_161_3" hidden="1">"A31777"</definedName>
    <definedName name="FDD_161_4" hidden="1">"A32142"</definedName>
    <definedName name="FDD_161_5" hidden="1">"A32508"</definedName>
    <definedName name="FDD_161_6" hidden="1">"A32873"</definedName>
    <definedName name="FDD_161_7" hidden="1">"A33238"</definedName>
    <definedName name="FDD_161_8" hidden="1">"A33603"</definedName>
    <definedName name="FDD_161_9" hidden="1">"A33969"</definedName>
    <definedName name="FDD_162_0" hidden="1">"A30681"</definedName>
    <definedName name="FDD_162_1" hidden="1">"A31047"</definedName>
    <definedName name="FDD_162_10" hidden="1">"A34334"</definedName>
    <definedName name="FDD_162_11" hidden="1">"A34699"</definedName>
    <definedName name="FDD_162_12" hidden="1">"A35064"</definedName>
    <definedName name="FDD_162_13" hidden="1">"A35430"</definedName>
    <definedName name="FDD_162_14" hidden="1">"A35795"</definedName>
    <definedName name="FDD_162_2" hidden="1">"A31412"</definedName>
    <definedName name="FDD_162_3" hidden="1">"A31777"</definedName>
    <definedName name="FDD_162_4" hidden="1">"A32142"</definedName>
    <definedName name="FDD_162_5" hidden="1">"A32508"</definedName>
    <definedName name="FDD_162_6" hidden="1">"A32873"</definedName>
    <definedName name="FDD_162_7" hidden="1">"A33238"</definedName>
    <definedName name="FDD_162_8" hidden="1">"A33603"</definedName>
    <definedName name="FDD_162_9" hidden="1">"A33969"</definedName>
    <definedName name="FDD_163_0" hidden="1">"A30681"</definedName>
    <definedName name="FDD_163_1" hidden="1">"A31047"</definedName>
    <definedName name="FDD_163_10" hidden="1">"A34334"</definedName>
    <definedName name="FDD_163_11" hidden="1">"A34699"</definedName>
    <definedName name="FDD_163_12" hidden="1">"A35064"</definedName>
    <definedName name="FDD_163_13" hidden="1">"A35430"</definedName>
    <definedName name="FDD_163_14" hidden="1">"A35795"</definedName>
    <definedName name="FDD_163_2" hidden="1">"A31412"</definedName>
    <definedName name="FDD_163_3" hidden="1">"A31777"</definedName>
    <definedName name="FDD_163_4" hidden="1">"A32142"</definedName>
    <definedName name="FDD_163_5" hidden="1">"A32508"</definedName>
    <definedName name="FDD_163_6" hidden="1">"A32873"</definedName>
    <definedName name="FDD_163_7" hidden="1">"A33238"</definedName>
    <definedName name="FDD_163_8" hidden="1">"A33603"</definedName>
    <definedName name="FDD_163_9" hidden="1">"A33969"</definedName>
    <definedName name="FDD_164_0" hidden="1">"A25569"</definedName>
    <definedName name="FDD_165_0" hidden="1">"A30681"</definedName>
    <definedName name="FDD_165_1" hidden="1">"A31047"</definedName>
    <definedName name="FDD_165_10" hidden="1">"A34334"</definedName>
    <definedName name="FDD_165_11" hidden="1">"A34699"</definedName>
    <definedName name="FDD_165_12" hidden="1">"A35064"</definedName>
    <definedName name="FDD_165_13" hidden="1">"A35430"</definedName>
    <definedName name="FDD_165_14" hidden="1">"A35795"</definedName>
    <definedName name="FDD_165_2" hidden="1">"A31412"</definedName>
    <definedName name="FDD_165_3" hidden="1">"A31777"</definedName>
    <definedName name="FDD_165_4" hidden="1">"A32142"</definedName>
    <definedName name="FDD_165_5" hidden="1">"A32508"</definedName>
    <definedName name="FDD_165_6" hidden="1">"A32873"</definedName>
    <definedName name="FDD_165_7" hidden="1">"A33238"</definedName>
    <definedName name="FDD_165_8" hidden="1">"A33603"</definedName>
    <definedName name="FDD_165_9" hidden="1">"A33969"</definedName>
    <definedName name="FDD_166_0" hidden="1">"A30681"</definedName>
    <definedName name="FDD_166_1" hidden="1">"A31047"</definedName>
    <definedName name="FDD_166_10" hidden="1">"A34334"</definedName>
    <definedName name="FDD_166_11" hidden="1">"A34699"</definedName>
    <definedName name="FDD_166_12" hidden="1">"A35064"</definedName>
    <definedName name="FDD_166_13" hidden="1">"A35430"</definedName>
    <definedName name="FDD_166_14" hidden="1">"A35795"</definedName>
    <definedName name="FDD_166_2" hidden="1">"A31412"</definedName>
    <definedName name="FDD_166_3" hidden="1">"A31777"</definedName>
    <definedName name="FDD_166_4" hidden="1">"A32142"</definedName>
    <definedName name="FDD_166_5" hidden="1">"A32508"</definedName>
    <definedName name="FDD_166_6" hidden="1">"A32873"</definedName>
    <definedName name="FDD_166_7" hidden="1">"A33238"</definedName>
    <definedName name="FDD_166_8" hidden="1">"A33603"</definedName>
    <definedName name="FDD_166_9" hidden="1">"A33969"</definedName>
    <definedName name="FDD_167_0" hidden="1">"A30681"</definedName>
    <definedName name="FDD_167_1" hidden="1">"A31047"</definedName>
    <definedName name="FDD_167_10" hidden="1">"A34334"</definedName>
    <definedName name="FDD_167_11" hidden="1">"A34699"</definedName>
    <definedName name="FDD_167_12" hidden="1">"A35064"</definedName>
    <definedName name="FDD_167_13" hidden="1">"A35430"</definedName>
    <definedName name="FDD_167_14" hidden="1">"A35795"</definedName>
    <definedName name="FDD_167_2" hidden="1">"A31412"</definedName>
    <definedName name="FDD_167_3" hidden="1">"A31777"</definedName>
    <definedName name="FDD_167_4" hidden="1">"A32142"</definedName>
    <definedName name="FDD_167_5" hidden="1">"A32508"</definedName>
    <definedName name="FDD_167_6" hidden="1">"A32873"</definedName>
    <definedName name="FDD_167_7" hidden="1">"A33238"</definedName>
    <definedName name="FDD_167_8" hidden="1">"A33603"</definedName>
    <definedName name="FDD_167_9" hidden="1">"A33969"</definedName>
    <definedName name="FDD_168_0" hidden="1">"E36160"</definedName>
    <definedName name="FDD_168_1" hidden="1">"E36525"</definedName>
    <definedName name="FDD_168_2" hidden="1">"E36891"</definedName>
    <definedName name="FDD_169_0" hidden="1">"A30681"</definedName>
    <definedName name="FDD_169_1" hidden="1">"A31047"</definedName>
    <definedName name="FDD_169_10" hidden="1">"A34334"</definedName>
    <definedName name="FDD_169_11" hidden="1">"A34699"</definedName>
    <definedName name="FDD_169_12" hidden="1">"A35064"</definedName>
    <definedName name="FDD_169_13" hidden="1">"A35430"</definedName>
    <definedName name="FDD_169_14" hidden="1">"A35795"</definedName>
    <definedName name="FDD_169_2" hidden="1">"A31412"</definedName>
    <definedName name="FDD_169_3" hidden="1">"A31777"</definedName>
    <definedName name="FDD_169_4" hidden="1">"A32142"</definedName>
    <definedName name="FDD_169_5" hidden="1">"A32508"</definedName>
    <definedName name="FDD_169_6" hidden="1">"A32873"</definedName>
    <definedName name="FDD_169_7" hidden="1">"A33238"</definedName>
    <definedName name="FDD_169_8" hidden="1">"A33603"</definedName>
    <definedName name="FDD_169_9" hidden="1">"A33969"</definedName>
    <definedName name="FDD_17_0" hidden="1">"A25569"</definedName>
    <definedName name="FDD_170_0" hidden="1">"A30681"</definedName>
    <definedName name="FDD_170_1" hidden="1">"A31047"</definedName>
    <definedName name="FDD_170_10" hidden="1">"A34334"</definedName>
    <definedName name="FDD_170_11" hidden="1">"A34699"</definedName>
    <definedName name="FDD_170_12" hidden="1">"A35064"</definedName>
    <definedName name="FDD_170_13" hidden="1">"A35430"</definedName>
    <definedName name="FDD_170_14" hidden="1">"A35795"</definedName>
    <definedName name="FDD_170_2" hidden="1">"A31412"</definedName>
    <definedName name="FDD_170_3" hidden="1">"A31777"</definedName>
    <definedName name="FDD_170_4" hidden="1">"A32142"</definedName>
    <definedName name="FDD_170_5" hidden="1">"A32508"</definedName>
    <definedName name="FDD_170_6" hidden="1">"A32873"</definedName>
    <definedName name="FDD_170_7" hidden="1">"A33238"</definedName>
    <definedName name="FDD_170_8" hidden="1">"A33603"</definedName>
    <definedName name="FDD_170_9" hidden="1">"A33969"</definedName>
    <definedName name="FDD_171_0" hidden="1">"A30681"</definedName>
    <definedName name="FDD_171_1" hidden="1">"A31047"</definedName>
    <definedName name="FDD_171_10" hidden="1">"A34334"</definedName>
    <definedName name="FDD_171_11" hidden="1">"A34699"</definedName>
    <definedName name="FDD_171_12" hidden="1">"A35064"</definedName>
    <definedName name="FDD_171_13" hidden="1">"A35430"</definedName>
    <definedName name="FDD_171_14" hidden="1">"A35795"</definedName>
    <definedName name="FDD_171_2" hidden="1">"A31412"</definedName>
    <definedName name="FDD_171_3" hidden="1">"A31777"</definedName>
    <definedName name="FDD_171_4" hidden="1">"A32142"</definedName>
    <definedName name="FDD_171_5" hidden="1">"A32508"</definedName>
    <definedName name="FDD_171_6" hidden="1">"A32873"</definedName>
    <definedName name="FDD_171_7" hidden="1">"A33238"</definedName>
    <definedName name="FDD_171_8" hidden="1">"A33603"</definedName>
    <definedName name="FDD_171_9" hidden="1">"A33969"</definedName>
    <definedName name="FDD_172_0" hidden="1">"A30681"</definedName>
    <definedName name="FDD_172_1" hidden="1">"A31047"</definedName>
    <definedName name="FDD_172_10" hidden="1">"A34334"</definedName>
    <definedName name="FDD_172_11" hidden="1">"A34699"</definedName>
    <definedName name="FDD_172_12" hidden="1">"A35064"</definedName>
    <definedName name="FDD_172_13" hidden="1">"A35430"</definedName>
    <definedName name="FDD_172_14" hidden="1">"A35795"</definedName>
    <definedName name="FDD_172_2" hidden="1">"A31412"</definedName>
    <definedName name="FDD_172_3" hidden="1">"A31777"</definedName>
    <definedName name="FDD_172_4" hidden="1">"A32142"</definedName>
    <definedName name="FDD_172_5" hidden="1">"A32508"</definedName>
    <definedName name="FDD_172_6" hidden="1">"A32873"</definedName>
    <definedName name="FDD_172_7" hidden="1">"A33238"</definedName>
    <definedName name="FDD_172_8" hidden="1">"A33603"</definedName>
    <definedName name="FDD_172_9" hidden="1">"A33969"</definedName>
    <definedName name="FDD_173_0" hidden="1">"A30681"</definedName>
    <definedName name="FDD_173_1" hidden="1">"A31047"</definedName>
    <definedName name="FDD_173_10" hidden="1">"A34334"</definedName>
    <definedName name="FDD_173_11" hidden="1">"A34699"</definedName>
    <definedName name="FDD_173_12" hidden="1">"A35064"</definedName>
    <definedName name="FDD_173_13" hidden="1">"A35430"</definedName>
    <definedName name="FDD_173_14" hidden="1">"A35795"</definedName>
    <definedName name="FDD_173_2" hidden="1">"A31412"</definedName>
    <definedName name="FDD_173_3" hidden="1">"A31777"</definedName>
    <definedName name="FDD_173_4" hidden="1">"A32142"</definedName>
    <definedName name="FDD_173_5" hidden="1">"A32508"</definedName>
    <definedName name="FDD_173_6" hidden="1">"A32873"</definedName>
    <definedName name="FDD_173_7" hidden="1">"A33238"</definedName>
    <definedName name="FDD_173_8" hidden="1">"A33603"</definedName>
    <definedName name="FDD_173_9" hidden="1">"A33969"</definedName>
    <definedName name="FDD_174_0" hidden="1">"A30681"</definedName>
    <definedName name="FDD_174_1" hidden="1">"A31047"</definedName>
    <definedName name="FDD_174_10" hidden="1">"A34334"</definedName>
    <definedName name="FDD_174_11" hidden="1">"A34699"</definedName>
    <definedName name="FDD_174_12" hidden="1">"A35064"</definedName>
    <definedName name="FDD_174_13" hidden="1">"A35430"</definedName>
    <definedName name="FDD_174_14" hidden="1">"A35795"</definedName>
    <definedName name="FDD_174_2" hidden="1">"A31412"</definedName>
    <definedName name="FDD_174_3" hidden="1">"A31777"</definedName>
    <definedName name="FDD_174_4" hidden="1">"A32142"</definedName>
    <definedName name="FDD_174_5" hidden="1">"A32508"</definedName>
    <definedName name="FDD_174_6" hidden="1">"A32873"</definedName>
    <definedName name="FDD_174_7" hidden="1">"A33238"</definedName>
    <definedName name="FDD_174_8" hidden="1">"A33603"</definedName>
    <definedName name="FDD_174_9" hidden="1">"A33969"</definedName>
    <definedName name="FDD_175_0" hidden="1">"E36160"</definedName>
    <definedName name="FDD_175_1" hidden="1">"E36525"</definedName>
    <definedName name="FDD_175_2" hidden="1">"E36891"</definedName>
    <definedName name="FDD_176_0" hidden="1">"E36160"</definedName>
    <definedName name="FDD_176_1" hidden="1">"E36525"</definedName>
    <definedName name="FDD_176_2" hidden="1">"E36891"</definedName>
    <definedName name="FDD_177_0" hidden="1">"E36160"</definedName>
    <definedName name="FDD_177_1" hidden="1">"E36525"</definedName>
    <definedName name="FDD_177_2" hidden="1">"E36891"</definedName>
    <definedName name="FDD_178_0" hidden="1">"E36160"</definedName>
    <definedName name="FDD_178_1" hidden="1">"E36525"</definedName>
    <definedName name="FDD_178_2" hidden="1">"E36891"</definedName>
    <definedName name="FDD_179_0" hidden="1">"E36160"</definedName>
    <definedName name="FDD_179_1" hidden="1">"E36525"</definedName>
    <definedName name="FDD_179_2" hidden="1">"E36891"</definedName>
    <definedName name="FDD_18_0" hidden="1">"A25569"</definedName>
    <definedName name="FDD_180_0" hidden="1">"E36160"</definedName>
    <definedName name="FDD_180_1" hidden="1">"E36525"</definedName>
    <definedName name="FDD_180_2" hidden="1">"E36891"</definedName>
    <definedName name="FDD_181_0" hidden="1">"E36160"</definedName>
    <definedName name="FDD_181_1" hidden="1">"E36525"</definedName>
    <definedName name="FDD_181_2" hidden="1">"E36891"</definedName>
    <definedName name="FDD_182_0" hidden="1">"E36160"</definedName>
    <definedName name="FDD_182_1" hidden="1">"E36525"</definedName>
    <definedName name="FDD_182_2" hidden="1">"E36891"</definedName>
    <definedName name="FDD_183_0" hidden="1">"E36160"</definedName>
    <definedName name="FDD_183_1" hidden="1">"E36525"</definedName>
    <definedName name="FDD_183_2" hidden="1">"E36891"</definedName>
    <definedName name="FDD_184_0" hidden="1">"E36160"</definedName>
    <definedName name="FDD_184_1" hidden="1">"E36525"</definedName>
    <definedName name="FDD_184_2" hidden="1">"E36891"</definedName>
    <definedName name="FDD_185_0" hidden="1">"E36160"</definedName>
    <definedName name="FDD_185_1" hidden="1">"E36525"</definedName>
    <definedName name="FDD_185_2" hidden="1">"E36891"</definedName>
    <definedName name="FDD_186_0" hidden="1">"E36160"</definedName>
    <definedName name="FDD_186_1" hidden="1">"E36525"</definedName>
    <definedName name="FDD_186_2" hidden="1">"E36891"</definedName>
    <definedName name="FDD_187_0" hidden="1">"E36160"</definedName>
    <definedName name="FDD_187_1" hidden="1">"E36525"</definedName>
    <definedName name="FDD_187_2" hidden="1">"E36891"</definedName>
    <definedName name="FDD_188_0" hidden="1">"A30681"</definedName>
    <definedName name="FDD_188_1" hidden="1">"A31047"</definedName>
    <definedName name="FDD_188_10" hidden="1">"A34334"</definedName>
    <definedName name="FDD_188_11" hidden="1">"A34699"</definedName>
    <definedName name="FDD_188_12" hidden="1">"A35064"</definedName>
    <definedName name="FDD_188_13" hidden="1">"A35430"</definedName>
    <definedName name="FDD_188_14" hidden="1">"A35795"</definedName>
    <definedName name="FDD_188_2" hidden="1">"A31412"</definedName>
    <definedName name="FDD_188_3" hidden="1">"A31777"</definedName>
    <definedName name="FDD_188_4" hidden="1">"A32142"</definedName>
    <definedName name="FDD_188_5" hidden="1">"A32508"</definedName>
    <definedName name="FDD_188_6" hidden="1">"A32873"</definedName>
    <definedName name="FDD_188_7" hidden="1">"A33238"</definedName>
    <definedName name="FDD_188_8" hidden="1">"A33603"</definedName>
    <definedName name="FDD_188_9" hidden="1">"A33969"</definedName>
    <definedName name="FDD_189_0" hidden="1">"A30681"</definedName>
    <definedName name="FDD_189_1" hidden="1">"A31047"</definedName>
    <definedName name="FDD_189_10" hidden="1">"A34334"</definedName>
    <definedName name="FDD_189_11" hidden="1">"A34699"</definedName>
    <definedName name="FDD_189_12" hidden="1">"A35064"</definedName>
    <definedName name="FDD_189_13" hidden="1">"A35430"</definedName>
    <definedName name="FDD_189_14" hidden="1">"A35795"</definedName>
    <definedName name="FDD_189_2" hidden="1">"A31412"</definedName>
    <definedName name="FDD_189_3" hidden="1">"A31777"</definedName>
    <definedName name="FDD_189_4" hidden="1">"A32142"</definedName>
    <definedName name="FDD_189_5" hidden="1">"A32508"</definedName>
    <definedName name="FDD_189_6" hidden="1">"A32873"</definedName>
    <definedName name="FDD_189_7" hidden="1">"A33238"</definedName>
    <definedName name="FDD_189_8" hidden="1">"A33603"</definedName>
    <definedName name="FDD_189_9" hidden="1">"A33969"</definedName>
    <definedName name="FDD_19_0" hidden="1">"A25569"</definedName>
    <definedName name="FDD_190_0" hidden="1">"A30681"</definedName>
    <definedName name="FDD_190_1" hidden="1">"A31047"</definedName>
    <definedName name="FDD_190_10" hidden="1">"A34334"</definedName>
    <definedName name="FDD_190_11" hidden="1">"A34699"</definedName>
    <definedName name="FDD_190_12" hidden="1">"A35064"</definedName>
    <definedName name="FDD_190_13" hidden="1">"A35430"</definedName>
    <definedName name="FDD_190_14" hidden="1">"A35795"</definedName>
    <definedName name="FDD_190_2" hidden="1">"A31412"</definedName>
    <definedName name="FDD_190_3" hidden="1">"A31777"</definedName>
    <definedName name="FDD_190_4" hidden="1">"A32142"</definedName>
    <definedName name="FDD_190_5" hidden="1">"A32508"</definedName>
    <definedName name="FDD_190_6" hidden="1">"A32873"</definedName>
    <definedName name="FDD_190_7" hidden="1">"A33238"</definedName>
    <definedName name="FDD_190_8" hidden="1">"A33603"</definedName>
    <definedName name="FDD_190_9" hidden="1">"A33969"</definedName>
    <definedName name="FDD_191_0" hidden="1">"A30681"</definedName>
    <definedName name="FDD_191_1" hidden="1">"A31047"</definedName>
    <definedName name="FDD_191_10" hidden="1">"A34334"</definedName>
    <definedName name="FDD_191_11" hidden="1">"A34699"</definedName>
    <definedName name="FDD_191_12" hidden="1">"A35064"</definedName>
    <definedName name="FDD_191_13" hidden="1">"A35430"</definedName>
    <definedName name="FDD_191_14" hidden="1">"A35795"</definedName>
    <definedName name="FDD_191_2" hidden="1">"A31412"</definedName>
    <definedName name="FDD_191_3" hidden="1">"A31777"</definedName>
    <definedName name="FDD_191_4" hidden="1">"A32142"</definedName>
    <definedName name="FDD_191_5" hidden="1">"A32508"</definedName>
    <definedName name="FDD_191_6" hidden="1">"A32873"</definedName>
    <definedName name="FDD_191_7" hidden="1">"A33238"</definedName>
    <definedName name="FDD_191_8" hidden="1">"A33603"</definedName>
    <definedName name="FDD_191_9" hidden="1">"A33969"</definedName>
    <definedName name="FDD_192_0" hidden="1">"E36160"</definedName>
    <definedName name="FDD_192_1" hidden="1">"E36525"</definedName>
    <definedName name="FDD_192_2" hidden="1">"E36891"</definedName>
    <definedName name="FDD_193_0" hidden="1">"A30681"</definedName>
    <definedName name="FDD_193_1" hidden="1">"A31047"</definedName>
    <definedName name="FDD_193_10" hidden="1">"A34334"</definedName>
    <definedName name="FDD_193_11" hidden="1">"A34699"</definedName>
    <definedName name="FDD_193_12" hidden="1">"A35064"</definedName>
    <definedName name="FDD_193_13" hidden="1">"A35430"</definedName>
    <definedName name="FDD_193_14" hidden="1">"A35795"</definedName>
    <definedName name="FDD_193_2" hidden="1">"A31412"</definedName>
    <definedName name="FDD_193_3" hidden="1">"A31777"</definedName>
    <definedName name="FDD_193_4" hidden="1">"A32142"</definedName>
    <definedName name="FDD_193_5" hidden="1">"A32508"</definedName>
    <definedName name="FDD_193_6" hidden="1">"A32873"</definedName>
    <definedName name="FDD_193_7" hidden="1">"A33238"</definedName>
    <definedName name="FDD_193_8" hidden="1">"A33603"</definedName>
    <definedName name="FDD_193_9" hidden="1">"A33969"</definedName>
    <definedName name="FDD_194_0" hidden="1">"A30681"</definedName>
    <definedName name="FDD_194_1" hidden="1">"A31047"</definedName>
    <definedName name="FDD_194_10" hidden="1">"A34334"</definedName>
    <definedName name="FDD_194_11" hidden="1">"A34699"</definedName>
    <definedName name="FDD_194_12" hidden="1">"A35064"</definedName>
    <definedName name="FDD_194_13" hidden="1">"A35430"</definedName>
    <definedName name="FDD_194_14" hidden="1">"A35795"</definedName>
    <definedName name="FDD_194_2" hidden="1">"A31412"</definedName>
    <definedName name="FDD_194_3" hidden="1">"A31777"</definedName>
    <definedName name="FDD_194_4" hidden="1">"A32142"</definedName>
    <definedName name="FDD_194_5" hidden="1">"A32508"</definedName>
    <definedName name="FDD_194_6" hidden="1">"A32873"</definedName>
    <definedName name="FDD_194_7" hidden="1">"A33238"</definedName>
    <definedName name="FDD_194_8" hidden="1">"A33603"</definedName>
    <definedName name="FDD_194_9" hidden="1">"A33969"</definedName>
    <definedName name="FDD_195_0" hidden="1">"A30681"</definedName>
    <definedName name="FDD_195_1" hidden="1">"A31047"</definedName>
    <definedName name="FDD_195_10" hidden="1">"A34334"</definedName>
    <definedName name="FDD_195_11" hidden="1">"A34699"</definedName>
    <definedName name="FDD_195_12" hidden="1">"A35064"</definedName>
    <definedName name="FDD_195_13" hidden="1">"A35430"</definedName>
    <definedName name="FDD_195_14" hidden="1">"A35795"</definedName>
    <definedName name="FDD_195_2" hidden="1">"A31412"</definedName>
    <definedName name="FDD_195_3" hidden="1">"A31777"</definedName>
    <definedName name="FDD_195_4" hidden="1">"A32142"</definedName>
    <definedName name="FDD_195_5" hidden="1">"A32508"</definedName>
    <definedName name="FDD_195_6" hidden="1">"A32873"</definedName>
    <definedName name="FDD_195_7" hidden="1">"A33238"</definedName>
    <definedName name="FDD_195_8" hidden="1">"A33603"</definedName>
    <definedName name="FDD_195_9" hidden="1">"A33969"</definedName>
    <definedName name="FDD_196_0" hidden="1">"E36160"</definedName>
    <definedName name="FDD_196_1" hidden="1">"E36525"</definedName>
    <definedName name="FDD_196_2" hidden="1">"E36891"</definedName>
    <definedName name="FDD_197_0" hidden="1">"A30681"</definedName>
    <definedName name="FDD_197_1" hidden="1">"A31047"</definedName>
    <definedName name="FDD_197_10" hidden="1">"A34334"</definedName>
    <definedName name="FDD_197_11" hidden="1">"A34699"</definedName>
    <definedName name="FDD_197_12" hidden="1">"A35064"</definedName>
    <definedName name="FDD_197_13" hidden="1">"A35430"</definedName>
    <definedName name="FDD_197_14" hidden="1">"A35795"</definedName>
    <definedName name="FDD_197_2" hidden="1">"A31412"</definedName>
    <definedName name="FDD_197_3" hidden="1">"A31777"</definedName>
    <definedName name="FDD_197_4" hidden="1">"A32142"</definedName>
    <definedName name="FDD_197_5" hidden="1">"A32508"</definedName>
    <definedName name="FDD_197_6" hidden="1">"A32873"</definedName>
    <definedName name="FDD_197_7" hidden="1">"A33238"</definedName>
    <definedName name="FDD_197_8" hidden="1">"A33603"</definedName>
    <definedName name="FDD_197_9" hidden="1">"A33969"</definedName>
    <definedName name="FDD_198_0" hidden="1">"A30681"</definedName>
    <definedName name="FDD_198_1" hidden="1">"A31047"</definedName>
    <definedName name="FDD_198_10" hidden="1">"U34334"</definedName>
    <definedName name="FDD_198_11" hidden="1">"U34699"</definedName>
    <definedName name="FDD_198_12" hidden="1">"U35064"</definedName>
    <definedName name="FDD_198_13" hidden="1">"U35430"</definedName>
    <definedName name="FDD_198_14" hidden="1">"U35795"</definedName>
    <definedName name="FDD_198_2" hidden="1">"A31412"</definedName>
    <definedName name="FDD_198_3" hidden="1">"U31777"</definedName>
    <definedName name="FDD_198_4" hidden="1">"U32142"</definedName>
    <definedName name="FDD_198_5" hidden="1">"U32508"</definedName>
    <definedName name="FDD_198_6" hidden="1">"U32873"</definedName>
    <definedName name="FDD_198_7" hidden="1">"U33238"</definedName>
    <definedName name="FDD_198_8" hidden="1">"U33603"</definedName>
    <definedName name="FDD_198_9" hidden="1">"U33969"</definedName>
    <definedName name="FDD_199_0" hidden="1">"E36160"</definedName>
    <definedName name="FDD_199_1" hidden="1">"E36525"</definedName>
    <definedName name="FDD_199_2" hidden="1">"E36891"</definedName>
    <definedName name="FDD_2_0" hidden="1">"A25569"</definedName>
    <definedName name="FDD_20_0" hidden="1">"A25569"</definedName>
    <definedName name="FDD_200_0" hidden="1">"E36160"</definedName>
    <definedName name="FDD_200_1" hidden="1">"E36525"</definedName>
    <definedName name="FDD_200_2" hidden="1">"E36891"</definedName>
    <definedName name="FDD_201_0" hidden="1">"A30681"</definedName>
    <definedName name="FDD_201_1" hidden="1">"A31047"</definedName>
    <definedName name="FDD_201_10" hidden="1">"A34334"</definedName>
    <definedName name="FDD_201_11" hidden="1">"A34699"</definedName>
    <definedName name="FDD_201_12" hidden="1">"A35064"</definedName>
    <definedName name="FDD_201_13" hidden="1">"A35430"</definedName>
    <definedName name="FDD_201_14" hidden="1">"A35795"</definedName>
    <definedName name="FDD_201_2" hidden="1">"A31412"</definedName>
    <definedName name="FDD_201_3" hidden="1">"A31777"</definedName>
    <definedName name="FDD_201_4" hidden="1">"A32142"</definedName>
    <definedName name="FDD_201_5" hidden="1">"A32508"</definedName>
    <definedName name="FDD_201_6" hidden="1">"A32873"</definedName>
    <definedName name="FDD_201_7" hidden="1">"A33238"</definedName>
    <definedName name="FDD_201_8" hidden="1">"A33603"</definedName>
    <definedName name="FDD_201_9" hidden="1">"A33969"</definedName>
    <definedName name="FDD_202_0" hidden="1">"A30681"</definedName>
    <definedName name="FDD_202_1" hidden="1">"A31047"</definedName>
    <definedName name="FDD_202_10" hidden="1">"A34334"</definedName>
    <definedName name="FDD_202_11" hidden="1">"A34699"</definedName>
    <definedName name="FDD_202_12" hidden="1">"A35064"</definedName>
    <definedName name="FDD_202_13" hidden="1">"A35430"</definedName>
    <definedName name="FDD_202_14" hidden="1">"A35795"</definedName>
    <definedName name="FDD_202_2" hidden="1">"A31412"</definedName>
    <definedName name="FDD_202_3" hidden="1">"A31777"</definedName>
    <definedName name="FDD_202_4" hidden="1">"A32142"</definedName>
    <definedName name="FDD_202_5" hidden="1">"A32508"</definedName>
    <definedName name="FDD_202_6" hidden="1">"A32873"</definedName>
    <definedName name="FDD_202_7" hidden="1">"A33238"</definedName>
    <definedName name="FDD_202_8" hidden="1">"A33603"</definedName>
    <definedName name="FDD_202_9" hidden="1">"A33969"</definedName>
    <definedName name="FDD_203_0" hidden="1">"E36160"</definedName>
    <definedName name="FDD_203_1" hidden="1">"E36525"</definedName>
    <definedName name="FDD_203_2" hidden="1">"E36891"</definedName>
    <definedName name="FDD_204_0" hidden="1">"A25569"</definedName>
    <definedName name="FDD_205_0" hidden="1">"A25569"</definedName>
    <definedName name="FDD_206_0" hidden="1">"A25569"</definedName>
    <definedName name="FDD_207_0" hidden="1">"A25569"</definedName>
    <definedName name="FDD_208_0" hidden="1">"E36160"</definedName>
    <definedName name="FDD_208_1" hidden="1">"E36525"</definedName>
    <definedName name="FDD_208_2" hidden="1">"E36891"</definedName>
    <definedName name="FDD_209_0" hidden="1">"A25569"</definedName>
    <definedName name="FDD_21_0" hidden="1">"A25569"</definedName>
    <definedName name="FDD_210_0" hidden="1">"A25569"</definedName>
    <definedName name="FDD_211_0" hidden="1">"A25569"</definedName>
    <definedName name="FDD_212_0" hidden="1">"A25569"</definedName>
    <definedName name="FDD_213_0" hidden="1">"E36160"</definedName>
    <definedName name="FDD_213_1" hidden="1">"E36525"</definedName>
    <definedName name="FDD_213_2" hidden="1">"E36891"</definedName>
    <definedName name="FDD_214_0" hidden="1">"A25569"</definedName>
    <definedName name="FDD_215_0" hidden="1">"A25569"</definedName>
    <definedName name="FDD_216_0" hidden="1">"A25569"</definedName>
    <definedName name="FDD_217_0" hidden="1">"A25569"</definedName>
    <definedName name="FDD_218_0" hidden="1">"E36160"</definedName>
    <definedName name="FDD_218_1" hidden="1">"E36525"</definedName>
    <definedName name="FDD_218_2" hidden="1">"E36891"</definedName>
    <definedName name="FDD_219_0" hidden="1">"U25569"</definedName>
    <definedName name="FDD_22_0" hidden="1">"A25569"</definedName>
    <definedName name="FDD_220_0" hidden="1">"U25569"</definedName>
    <definedName name="FDD_221_0" hidden="1">"U25569"</definedName>
    <definedName name="FDD_222_0" hidden="1">"U25569"</definedName>
    <definedName name="FDD_223_0" hidden="1">"E36160"</definedName>
    <definedName name="FDD_223_1" hidden="1">"E36525"</definedName>
    <definedName name="FDD_223_2" hidden="1">"E36891"</definedName>
    <definedName name="FDD_224_0" hidden="1">"A25569"</definedName>
    <definedName name="FDD_225_0" hidden="1">"A25569"</definedName>
    <definedName name="FDD_226_0" hidden="1">"A25569"</definedName>
    <definedName name="FDD_227_0" hidden="1">"A25569"</definedName>
    <definedName name="FDD_228_0" hidden="1">"E36160"</definedName>
    <definedName name="FDD_228_1" hidden="1">"E36525"</definedName>
    <definedName name="FDD_228_2" hidden="1">"E36891"</definedName>
    <definedName name="FDD_229_0" hidden="1">"A25569"</definedName>
    <definedName name="FDD_23_0" hidden="1">"A25569"</definedName>
    <definedName name="FDD_230_0" hidden="1">"A25569"</definedName>
    <definedName name="FDD_231_0" hidden="1">"A25569"</definedName>
    <definedName name="FDD_232_0" hidden="1">"A25569"</definedName>
    <definedName name="FDD_233_0" hidden="1">"A25569"</definedName>
    <definedName name="FDD_234_0" hidden="1">"A25569"</definedName>
    <definedName name="FDD_235_0" hidden="1">"A25569"</definedName>
    <definedName name="FDD_236_0" hidden="1">"A25569"</definedName>
    <definedName name="FDD_237_0" hidden="1">"A25569"</definedName>
    <definedName name="FDD_238_0" hidden="1">"A30681"</definedName>
    <definedName name="FDD_238_1" hidden="1">"A31047"</definedName>
    <definedName name="FDD_238_10" hidden="1">"A34334"</definedName>
    <definedName name="FDD_238_11" hidden="1">"A34699"</definedName>
    <definedName name="FDD_238_12" hidden="1">"A35064"</definedName>
    <definedName name="FDD_238_13" hidden="1">"A35430"</definedName>
    <definedName name="FDD_238_14" hidden="1">"A35795"</definedName>
    <definedName name="FDD_238_2" hidden="1">"A31412"</definedName>
    <definedName name="FDD_238_3" hidden="1">"A31777"</definedName>
    <definedName name="FDD_238_4" hidden="1">"A32142"</definedName>
    <definedName name="FDD_238_5" hidden="1">"A32508"</definedName>
    <definedName name="FDD_238_6" hidden="1">"A32873"</definedName>
    <definedName name="FDD_238_7" hidden="1">"A33238"</definedName>
    <definedName name="FDD_238_8" hidden="1">"A33603"</definedName>
    <definedName name="FDD_238_9" hidden="1">"A33969"</definedName>
    <definedName name="FDD_24_0" hidden="1">"A25569"</definedName>
    <definedName name="FDD_243_0" hidden="1">"E36160"</definedName>
    <definedName name="FDD_243_1" hidden="1">"E36525"</definedName>
    <definedName name="FDD_243_2" hidden="1">"E36891"</definedName>
    <definedName name="FDD_244_0" hidden="1">"A25569"</definedName>
    <definedName name="FDD_245_0" hidden="1">"A25569"</definedName>
    <definedName name="FDD_246_0" hidden="1">"A25569"</definedName>
    <definedName name="FDD_247_0" hidden="1">"A25569"</definedName>
    <definedName name="FDD_248_0" hidden="1">"E36160"</definedName>
    <definedName name="FDD_248_1" hidden="1">"E36525"</definedName>
    <definedName name="FDD_248_2" hidden="1">"E36891"</definedName>
    <definedName name="FDD_249_0" hidden="1">"A25569"</definedName>
    <definedName name="FDD_25_0" hidden="1">"A25569"</definedName>
    <definedName name="FDD_250_0" hidden="1">"A25569"</definedName>
    <definedName name="FDD_251_0" hidden="1">"A25569"</definedName>
    <definedName name="FDD_252_0" hidden="1">"A25569"</definedName>
    <definedName name="FDD_253_0" hidden="1">"E36160"</definedName>
    <definedName name="FDD_253_1" hidden="1">"E36525"</definedName>
    <definedName name="FDD_253_2" hidden="1">"E36891"</definedName>
    <definedName name="FDD_254_0" hidden="1">"E36160"</definedName>
    <definedName name="FDD_254_1" hidden="1">"E36525"</definedName>
    <definedName name="FDD_254_2" hidden="1">"E36891"</definedName>
    <definedName name="FDD_255_0" hidden="1">"E36160"</definedName>
    <definedName name="FDD_255_1" hidden="1">"E36525"</definedName>
    <definedName name="FDD_255_2" hidden="1">"E36891"</definedName>
    <definedName name="FDD_256_0" hidden="1">"U36160"</definedName>
    <definedName name="FDD_256_1" hidden="1">"U36525"</definedName>
    <definedName name="FDD_256_2" hidden="1">"U36891"</definedName>
    <definedName name="FDD_257_0" hidden="1">"E36160"</definedName>
    <definedName name="FDD_257_1" hidden="1">"E36525"</definedName>
    <definedName name="FDD_257_2" hidden="1">"E36891"</definedName>
    <definedName name="FDD_258_0" hidden="1">"E36160"</definedName>
    <definedName name="FDD_258_1" hidden="1">"E36525"</definedName>
    <definedName name="FDD_258_2" hidden="1">"E36891"</definedName>
    <definedName name="FDD_259_0" hidden="1">"E36160"</definedName>
    <definedName name="FDD_259_1" hidden="1">"E36525"</definedName>
    <definedName name="FDD_259_2" hidden="1">"E36891"</definedName>
    <definedName name="FDD_26_0" hidden="1">"A25569"</definedName>
    <definedName name="FDD_260_0" hidden="1">"E36160"</definedName>
    <definedName name="FDD_260_1" hidden="1">"E36525"</definedName>
    <definedName name="FDD_260_2" hidden="1">"E36891"</definedName>
    <definedName name="FDD_261_0" hidden="1">"E36160"</definedName>
    <definedName name="FDD_261_1" hidden="1">"E36525"</definedName>
    <definedName name="FDD_261_2" hidden="1">"E36891"</definedName>
    <definedName name="FDD_264_0" hidden="1">"E36160"</definedName>
    <definedName name="FDD_264_1" hidden="1">"E36525"</definedName>
    <definedName name="FDD_264_2" hidden="1">"E36891"</definedName>
    <definedName name="FDD_265_0" hidden="1">"A25569"</definedName>
    <definedName name="FDD_266_0" hidden="1">"A25569"</definedName>
    <definedName name="FDD_267_0" hidden="1">"A25569"</definedName>
    <definedName name="FDD_268_0" hidden="1">"A25569"</definedName>
    <definedName name="FDD_269_0" hidden="1">"E36160"</definedName>
    <definedName name="FDD_269_1" hidden="1">"E36525"</definedName>
    <definedName name="FDD_269_2" hidden="1">"E36891"</definedName>
    <definedName name="FDD_27_0" hidden="1">"A25569"</definedName>
    <definedName name="FDD_270_0" hidden="1">"A25569"</definedName>
    <definedName name="FDD_271_0" hidden="1">"A25569"</definedName>
    <definedName name="FDD_272_0" hidden="1">"A25569"</definedName>
    <definedName name="FDD_273_0" hidden="1">"A25569"</definedName>
    <definedName name="FDD_274_0" hidden="1">"E36160"</definedName>
    <definedName name="FDD_274_1" hidden="1">"E36525"</definedName>
    <definedName name="FDD_274_2" hidden="1">"E36891"</definedName>
    <definedName name="FDD_275_0" hidden="1">"A25569"</definedName>
    <definedName name="FDD_276_0" hidden="1">"A25569"</definedName>
    <definedName name="FDD_277_0" hidden="1">"A25569"</definedName>
    <definedName name="FDD_278_0" hidden="1">"A25569"</definedName>
    <definedName name="FDD_279_0" hidden="1">"E36160"</definedName>
    <definedName name="FDD_279_1" hidden="1">"E36525"</definedName>
    <definedName name="FDD_279_2" hidden="1">"E36891"</definedName>
    <definedName name="FDD_28_0" hidden="1">"A25569"</definedName>
    <definedName name="FDD_280_0" hidden="1">"E36160"</definedName>
    <definedName name="FDD_280_1" hidden="1">"E36525"</definedName>
    <definedName name="FDD_280_2" hidden="1">"E36891"</definedName>
    <definedName name="FDD_281_0" hidden="1">"E36160"</definedName>
    <definedName name="FDD_281_1" hidden="1">"E36525"</definedName>
    <definedName name="FDD_281_2" hidden="1">"E36891"</definedName>
    <definedName name="FDD_282_0" hidden="1">"E36160"</definedName>
    <definedName name="FDD_282_1" hidden="1">"E36525"</definedName>
    <definedName name="FDD_282_2" hidden="1">"E36891"</definedName>
    <definedName name="FDD_283_0" hidden="1">"E36160"</definedName>
    <definedName name="FDD_283_1" hidden="1">"E36525"</definedName>
    <definedName name="FDD_283_2" hidden="1">"E36891"</definedName>
    <definedName name="FDD_284_0" hidden="1">"A30681"</definedName>
    <definedName name="FDD_284_1" hidden="1">"A31047"</definedName>
    <definedName name="FDD_284_10" hidden="1">"A34334"</definedName>
    <definedName name="FDD_284_11" hidden="1">"A34699"</definedName>
    <definedName name="FDD_284_12" hidden="1">"A35064"</definedName>
    <definedName name="FDD_284_13" hidden="1">"A35430"</definedName>
    <definedName name="FDD_284_14" hidden="1">"A35795"</definedName>
    <definedName name="FDD_284_2" hidden="1">"A31412"</definedName>
    <definedName name="FDD_284_3" hidden="1">"A31777"</definedName>
    <definedName name="FDD_284_4" hidden="1">"A32142"</definedName>
    <definedName name="FDD_284_5" hidden="1">"A32508"</definedName>
    <definedName name="FDD_284_6" hidden="1">"A32873"</definedName>
    <definedName name="FDD_284_7" hidden="1">"A33238"</definedName>
    <definedName name="FDD_284_8" hidden="1">"A33603"</definedName>
    <definedName name="FDD_284_9" hidden="1">"A33969"</definedName>
    <definedName name="FDD_285_0" hidden="1">"A35795"</definedName>
    <definedName name="FDD_285_1" hidden="1">"E36160"</definedName>
    <definedName name="FDD_285_10" hidden="1">"E39447"</definedName>
    <definedName name="FDD_285_11" hidden="1">"E39813"</definedName>
    <definedName name="FDD_285_12" hidden="1">"E40178"</definedName>
    <definedName name="FDD_285_13" hidden="1">"E40543"</definedName>
    <definedName name="FDD_285_14" hidden="1">"E40908"</definedName>
    <definedName name="FDD_285_15" hidden="1">"E41274"</definedName>
    <definedName name="FDD_285_16" hidden="1">"E41639"</definedName>
    <definedName name="FDD_285_17" hidden="1">"E42004"</definedName>
    <definedName name="FDD_285_18" hidden="1">"E42369"</definedName>
    <definedName name="FDD_285_19" hidden="1">"E42735"</definedName>
    <definedName name="FDD_285_2" hidden="1">"E36525"</definedName>
    <definedName name="FDD_285_20" hidden="1">"E43100"</definedName>
    <definedName name="FDD_285_21" hidden="1">"E43465"</definedName>
    <definedName name="FDD_285_22" hidden="1">"E43830"</definedName>
    <definedName name="FDD_285_23" hidden="1">"E44196"</definedName>
    <definedName name="FDD_285_24" hidden="1">"E44561"</definedName>
    <definedName name="FDD_285_25" hidden="1">"E44926"</definedName>
    <definedName name="FDD_285_3" hidden="1">"E36891"</definedName>
    <definedName name="FDD_285_4" hidden="1">"E37256"</definedName>
    <definedName name="FDD_285_5" hidden="1">"E37621"</definedName>
    <definedName name="FDD_285_6" hidden="1">"E37986"</definedName>
    <definedName name="FDD_285_7" hidden="1">"E38352"</definedName>
    <definedName name="FDD_285_8" hidden="1">"E38717"</definedName>
    <definedName name="FDD_285_9" hidden="1">"E39082"</definedName>
    <definedName name="FDD_286_0" hidden="1">"E36160"</definedName>
    <definedName name="FDD_286_1" hidden="1">"E36525"</definedName>
    <definedName name="FDD_286_10" hidden="1">"E39813"</definedName>
    <definedName name="FDD_286_11" hidden="1">"E40178"</definedName>
    <definedName name="FDD_286_12" hidden="1">"E40543"</definedName>
    <definedName name="FDD_286_13" hidden="1">"E40908"</definedName>
    <definedName name="FDD_286_14" hidden="1">"E41274"</definedName>
    <definedName name="FDD_286_15" hidden="1">"E41639"</definedName>
    <definedName name="FDD_286_16" hidden="1">"E42004"</definedName>
    <definedName name="FDD_286_17" hidden="1">"E42369"</definedName>
    <definedName name="FDD_286_18" hidden="1">"E42735"</definedName>
    <definedName name="FDD_286_19" hidden="1">"E43100"</definedName>
    <definedName name="FDD_286_2" hidden="1">"E36891"</definedName>
    <definedName name="FDD_286_20" hidden="1">"E43465"</definedName>
    <definedName name="FDD_286_21" hidden="1">"E43830"</definedName>
    <definedName name="FDD_286_22" hidden="1">"E44196"</definedName>
    <definedName name="FDD_286_23" hidden="1">"E44561"</definedName>
    <definedName name="FDD_286_24" hidden="1">"E44926"</definedName>
    <definedName name="FDD_286_3" hidden="1">"E37256"</definedName>
    <definedName name="FDD_286_4" hidden="1">"E37621"</definedName>
    <definedName name="FDD_286_5" hidden="1">"E37986"</definedName>
    <definedName name="FDD_286_6" hidden="1">"E38352"</definedName>
    <definedName name="FDD_286_7" hidden="1">"E38717"</definedName>
    <definedName name="FDD_286_8" hidden="1">"E39082"</definedName>
    <definedName name="FDD_286_9" hidden="1">"E39447"</definedName>
    <definedName name="FDD_287_0" hidden="1">"A25569"</definedName>
    <definedName name="FDD_288_0" hidden="1">"A25569"</definedName>
    <definedName name="FDD_289_0" hidden="1">"A36890"</definedName>
    <definedName name="FDD_29_0" hidden="1">"A25569"</definedName>
    <definedName name="FDD_290_0" hidden="1">"A36890"</definedName>
    <definedName name="FDD_291_0" hidden="1">"A25569"</definedName>
    <definedName name="FDD_295_0" hidden="1">"U25569"</definedName>
    <definedName name="FDD_296_0" hidden="1">"A25569"</definedName>
    <definedName name="FDD_297_0" hidden="1">"A25569"</definedName>
    <definedName name="FDD_298_0" hidden="1">"A25569"</definedName>
    <definedName name="FDD_299_0" hidden="1">"A25569"</definedName>
    <definedName name="FDD_3_0" hidden="1">"A25569"</definedName>
    <definedName name="FDD_30_0" hidden="1">"A25569"</definedName>
    <definedName name="FDD_300_0" hidden="1">"U25569"</definedName>
    <definedName name="FDD_301_0" hidden="1">"U35795"</definedName>
    <definedName name="FDD_301_1" hidden="1">"U36160"</definedName>
    <definedName name="FDD_301_2" hidden="1">"U36525"</definedName>
    <definedName name="FDD_302_0" hidden="1">"U35795"</definedName>
    <definedName name="FDD_302_1" hidden="1">"U36160"</definedName>
    <definedName name="FDD_302_2" hidden="1">"U36525"</definedName>
    <definedName name="FDD_303_0" hidden="1">"U35795"</definedName>
    <definedName name="FDD_303_1" hidden="1">"U36160"</definedName>
    <definedName name="FDD_303_2" hidden="1">"U36525"</definedName>
    <definedName name="FDD_304_0" hidden="1">"U35795"</definedName>
    <definedName name="FDD_304_1" hidden="1">"U36160"</definedName>
    <definedName name="FDD_304_2" hidden="1">"U36525"</definedName>
    <definedName name="FDD_305_0" hidden="1">"A30681"</definedName>
    <definedName name="FDD_305_1" hidden="1">"A31047"</definedName>
    <definedName name="FDD_305_10" hidden="1">"U34334"</definedName>
    <definedName name="FDD_305_11" hidden="1">"U34699"</definedName>
    <definedName name="FDD_305_12" hidden="1">"U35064"</definedName>
    <definedName name="FDD_305_13" hidden="1">"U35430"</definedName>
    <definedName name="FDD_305_14" hidden="1">"U35795"</definedName>
    <definedName name="FDD_305_2" hidden="1">"A31412"</definedName>
    <definedName name="FDD_305_3" hidden="1">"U31777"</definedName>
    <definedName name="FDD_305_4" hidden="1">"U32142"</definedName>
    <definedName name="FDD_305_5" hidden="1">"U32508"</definedName>
    <definedName name="FDD_305_6" hidden="1">"U32873"</definedName>
    <definedName name="FDD_305_7" hidden="1">"U33238"</definedName>
    <definedName name="FDD_305_8" hidden="1">"U33603"</definedName>
    <definedName name="FDD_305_9" hidden="1">"U33969"</definedName>
    <definedName name="FDD_306_0" hidden="1">"U35795"</definedName>
    <definedName name="FDD_306_1" hidden="1">"E36160"</definedName>
    <definedName name="FDD_306_2" hidden="1">"U36525"</definedName>
    <definedName name="FDD_307_0" hidden="1">"A35795"</definedName>
    <definedName name="FDD_307_1" hidden="1">"U36160"</definedName>
    <definedName name="FDD_307_2" hidden="1">"U36525"</definedName>
    <definedName name="FDD_31_0" hidden="1">"A25569"</definedName>
    <definedName name="FDD_32_0" hidden="1">"A25569"</definedName>
    <definedName name="FDD_33_0" hidden="1">"A25569"</definedName>
    <definedName name="FDD_34_0" hidden="1">"A25569"</definedName>
    <definedName name="FDD_35_0" hidden="1">"A25569"</definedName>
    <definedName name="FDD_36_0" hidden="1">"A25569"</definedName>
    <definedName name="FDD_37_0" hidden="1">"A25569"</definedName>
    <definedName name="FDD_38_0" hidden="1">"A25569"</definedName>
    <definedName name="FDD_39_0" hidden="1">"A25569"</definedName>
    <definedName name="FDD_4_0" hidden="1">"A25569"</definedName>
    <definedName name="FDD_40_0" hidden="1">"A25569"</definedName>
    <definedName name="FDD_41_0" hidden="1">"U25569"</definedName>
    <definedName name="FDD_42_0" hidden="1">"U25569"</definedName>
    <definedName name="FDD_43_0" hidden="1">"A25569"</definedName>
    <definedName name="FDD_44_0" hidden="1">"A30681"</definedName>
    <definedName name="FDD_44_1" hidden="1">"A31047"</definedName>
    <definedName name="FDD_44_10" hidden="1">"A34334"</definedName>
    <definedName name="FDD_44_11" hidden="1">"A34699"</definedName>
    <definedName name="FDD_44_12" hidden="1">"A35064"</definedName>
    <definedName name="FDD_44_13" hidden="1">"A35430"</definedName>
    <definedName name="FDD_44_14" hidden="1">"A35795"</definedName>
    <definedName name="FDD_44_2" hidden="1">"A31412"</definedName>
    <definedName name="FDD_44_3" hidden="1">"A31777"</definedName>
    <definedName name="FDD_44_4" hidden="1">"A32142"</definedName>
    <definedName name="FDD_44_5" hidden="1">"A32508"</definedName>
    <definedName name="FDD_44_6" hidden="1">"A32873"</definedName>
    <definedName name="FDD_44_7" hidden="1">"A33238"</definedName>
    <definedName name="FDD_44_8" hidden="1">"A33603"</definedName>
    <definedName name="FDD_44_9" hidden="1">"A33969"</definedName>
    <definedName name="FDD_45_0" hidden="1">"A30681"</definedName>
    <definedName name="FDD_45_1" hidden="1">"A31047"</definedName>
    <definedName name="FDD_45_10" hidden="1">"A34334"</definedName>
    <definedName name="FDD_45_11" hidden="1">"A34699"</definedName>
    <definedName name="FDD_45_12" hidden="1">"A35064"</definedName>
    <definedName name="FDD_45_13" hidden="1">"A35430"</definedName>
    <definedName name="FDD_45_14" hidden="1">"A35795"</definedName>
    <definedName name="FDD_45_2" hidden="1">"A31412"</definedName>
    <definedName name="FDD_45_3" hidden="1">"A31777"</definedName>
    <definedName name="FDD_45_4" hidden="1">"A32142"</definedName>
    <definedName name="FDD_45_5" hidden="1">"A32508"</definedName>
    <definedName name="FDD_45_6" hidden="1">"A32873"</definedName>
    <definedName name="FDD_45_7" hidden="1">"A33238"</definedName>
    <definedName name="FDD_45_8" hidden="1">"A33603"</definedName>
    <definedName name="FDD_45_9" hidden="1">"A33969"</definedName>
    <definedName name="FDD_46_0" hidden="1">"A30681"</definedName>
    <definedName name="FDD_46_1" hidden="1">"A31047"</definedName>
    <definedName name="FDD_46_10" hidden="1">"A34334"</definedName>
    <definedName name="FDD_46_11" hidden="1">"A34699"</definedName>
    <definedName name="FDD_46_12" hidden="1">"A35064"</definedName>
    <definedName name="FDD_46_13" hidden="1">"A35430"</definedName>
    <definedName name="FDD_46_14" hidden="1">"A35795"</definedName>
    <definedName name="FDD_46_2" hidden="1">"A31412"</definedName>
    <definedName name="FDD_46_3" hidden="1">"A31777"</definedName>
    <definedName name="FDD_46_4" hidden="1">"A32142"</definedName>
    <definedName name="FDD_46_5" hidden="1">"A32508"</definedName>
    <definedName name="FDD_46_6" hidden="1">"A32873"</definedName>
    <definedName name="FDD_46_7" hidden="1">"A33238"</definedName>
    <definedName name="FDD_46_8" hidden="1">"A33603"</definedName>
    <definedName name="FDD_46_9" hidden="1">"A33969"</definedName>
    <definedName name="FDD_47_0" hidden="1">"A30681"</definedName>
    <definedName name="FDD_47_1" hidden="1">"A31047"</definedName>
    <definedName name="FDD_47_10" hidden="1">"A34334"</definedName>
    <definedName name="FDD_47_11" hidden="1">"A34699"</definedName>
    <definedName name="FDD_47_12" hidden="1">"A35064"</definedName>
    <definedName name="FDD_47_13" hidden="1">"A35430"</definedName>
    <definedName name="FDD_47_14" hidden="1">"A35795"</definedName>
    <definedName name="FDD_47_2" hidden="1">"A31412"</definedName>
    <definedName name="FDD_47_3" hidden="1">"A31777"</definedName>
    <definedName name="FDD_47_4" hidden="1">"A32142"</definedName>
    <definedName name="FDD_47_5" hidden="1">"A32508"</definedName>
    <definedName name="FDD_47_6" hidden="1">"A32873"</definedName>
    <definedName name="FDD_47_7" hidden="1">"A33238"</definedName>
    <definedName name="FDD_47_8" hidden="1">"A33603"</definedName>
    <definedName name="FDD_47_9" hidden="1">"A33969"</definedName>
    <definedName name="FDD_48_0" hidden="1">"A30681"</definedName>
    <definedName name="FDD_48_1" hidden="1">"A31047"</definedName>
    <definedName name="FDD_48_10" hidden="1">"A34334"</definedName>
    <definedName name="FDD_48_11" hidden="1">"A34699"</definedName>
    <definedName name="FDD_48_12" hidden="1">"A35064"</definedName>
    <definedName name="FDD_48_13" hidden="1">"A35430"</definedName>
    <definedName name="FDD_48_14" hidden="1">"A35795"</definedName>
    <definedName name="FDD_48_2" hidden="1">"A31412"</definedName>
    <definedName name="FDD_48_3" hidden="1">"A31777"</definedName>
    <definedName name="FDD_48_4" hidden="1">"A32142"</definedName>
    <definedName name="FDD_48_5" hidden="1">"A32508"</definedName>
    <definedName name="FDD_48_6" hidden="1">"A32873"</definedName>
    <definedName name="FDD_48_7" hidden="1">"A33238"</definedName>
    <definedName name="FDD_48_8" hidden="1">"A33603"</definedName>
    <definedName name="FDD_48_9" hidden="1">"A33969"</definedName>
    <definedName name="FDD_49_0" hidden="1">"A30681"</definedName>
    <definedName name="FDD_49_1" hidden="1">"A31047"</definedName>
    <definedName name="FDD_49_10" hidden="1">"A34334"</definedName>
    <definedName name="FDD_49_11" hidden="1">"A34699"</definedName>
    <definedName name="FDD_49_12" hidden="1">"A35064"</definedName>
    <definedName name="FDD_49_13" hidden="1">"A35430"</definedName>
    <definedName name="FDD_49_14" hidden="1">"A35795"</definedName>
    <definedName name="FDD_49_2" hidden="1">"A31412"</definedName>
    <definedName name="FDD_49_3" hidden="1">"A31777"</definedName>
    <definedName name="FDD_49_4" hidden="1">"A32142"</definedName>
    <definedName name="FDD_49_5" hidden="1">"A32508"</definedName>
    <definedName name="FDD_49_6" hidden="1">"A32873"</definedName>
    <definedName name="FDD_49_7" hidden="1">"A33238"</definedName>
    <definedName name="FDD_49_8" hidden="1">"A33603"</definedName>
    <definedName name="FDD_49_9" hidden="1">"A33969"</definedName>
    <definedName name="FDD_5_0" hidden="1">"A25569"</definedName>
    <definedName name="FDD_50_0" hidden="1">"A30681"</definedName>
    <definedName name="FDD_50_1" hidden="1">"A31047"</definedName>
    <definedName name="FDD_50_10" hidden="1">"A34334"</definedName>
    <definedName name="FDD_50_11" hidden="1">"A34699"</definedName>
    <definedName name="FDD_50_12" hidden="1">"A35064"</definedName>
    <definedName name="FDD_50_13" hidden="1">"A35430"</definedName>
    <definedName name="FDD_50_14" hidden="1">"A35795"</definedName>
    <definedName name="FDD_50_2" hidden="1">"A31412"</definedName>
    <definedName name="FDD_50_3" hidden="1">"A31777"</definedName>
    <definedName name="FDD_50_4" hidden="1">"A32142"</definedName>
    <definedName name="FDD_50_5" hidden="1">"A32508"</definedName>
    <definedName name="FDD_50_6" hidden="1">"A32873"</definedName>
    <definedName name="FDD_50_7" hidden="1">"A33238"</definedName>
    <definedName name="FDD_50_8" hidden="1">"A33603"</definedName>
    <definedName name="FDD_50_9" hidden="1">"A33969"</definedName>
    <definedName name="FDD_51_0" hidden="1">"A30681"</definedName>
    <definedName name="FDD_51_1" hidden="1">"A31047"</definedName>
    <definedName name="FDD_51_10" hidden="1">"A34334"</definedName>
    <definedName name="FDD_51_11" hidden="1">"A34699"</definedName>
    <definedName name="FDD_51_12" hidden="1">"A35064"</definedName>
    <definedName name="FDD_51_13" hidden="1">"A35430"</definedName>
    <definedName name="FDD_51_14" hidden="1">"A35795"</definedName>
    <definedName name="FDD_51_2" hidden="1">"A31412"</definedName>
    <definedName name="FDD_51_3" hidden="1">"A31777"</definedName>
    <definedName name="FDD_51_4" hidden="1">"A32142"</definedName>
    <definedName name="FDD_51_5" hidden="1">"A32508"</definedName>
    <definedName name="FDD_51_6" hidden="1">"A32873"</definedName>
    <definedName name="FDD_51_7" hidden="1">"A33238"</definedName>
    <definedName name="FDD_51_8" hidden="1">"A33603"</definedName>
    <definedName name="FDD_51_9" hidden="1">"A33969"</definedName>
    <definedName name="FDD_52_0" hidden="1">"A30681"</definedName>
    <definedName name="FDD_52_1" hidden="1">"A31047"</definedName>
    <definedName name="FDD_52_10" hidden="1">"A34334"</definedName>
    <definedName name="FDD_52_11" hidden="1">"A34699"</definedName>
    <definedName name="FDD_52_12" hidden="1">"A35064"</definedName>
    <definedName name="FDD_52_13" hidden="1">"A35430"</definedName>
    <definedName name="FDD_52_14" hidden="1">"A35795"</definedName>
    <definedName name="FDD_52_2" hidden="1">"A31412"</definedName>
    <definedName name="FDD_52_3" hidden="1">"A31777"</definedName>
    <definedName name="FDD_52_4" hidden="1">"A32142"</definedName>
    <definedName name="FDD_52_5" hidden="1">"A32508"</definedName>
    <definedName name="FDD_52_6" hidden="1">"A32873"</definedName>
    <definedName name="FDD_52_7" hidden="1">"A33238"</definedName>
    <definedName name="FDD_52_8" hidden="1">"A33603"</definedName>
    <definedName name="FDD_52_9" hidden="1">"A33969"</definedName>
    <definedName name="FDD_53_0" hidden="1">"U30681"</definedName>
    <definedName name="FDD_53_1" hidden="1">"A31047"</definedName>
    <definedName name="FDD_53_10" hidden="1">"A34334"</definedName>
    <definedName name="FDD_53_11" hidden="1">"A34699"</definedName>
    <definedName name="FDD_53_12" hidden="1">"A35064"</definedName>
    <definedName name="FDD_53_13" hidden="1">"A35430"</definedName>
    <definedName name="FDD_53_14" hidden="1">"A35795"</definedName>
    <definedName name="FDD_53_2" hidden="1">"A31412"</definedName>
    <definedName name="FDD_53_3" hidden="1">"A31777"</definedName>
    <definedName name="FDD_53_4" hidden="1">"A32142"</definedName>
    <definedName name="FDD_53_5" hidden="1">"A32508"</definedName>
    <definedName name="FDD_53_6" hidden="1">"A32873"</definedName>
    <definedName name="FDD_53_7" hidden="1">"A33238"</definedName>
    <definedName name="FDD_53_8" hidden="1">"A33603"</definedName>
    <definedName name="FDD_53_9" hidden="1">"A33969"</definedName>
    <definedName name="FDD_54_0" hidden="1">"A30681"</definedName>
    <definedName name="FDD_54_1" hidden="1">"A31047"</definedName>
    <definedName name="FDD_54_10" hidden="1">"A34334"</definedName>
    <definedName name="FDD_54_11" hidden="1">"A34699"</definedName>
    <definedName name="FDD_54_12" hidden="1">"A35064"</definedName>
    <definedName name="FDD_54_13" hidden="1">"A35430"</definedName>
    <definedName name="FDD_54_14" hidden="1">"A35795"</definedName>
    <definedName name="FDD_54_2" hidden="1">"A31412"</definedName>
    <definedName name="FDD_54_3" hidden="1">"A31777"</definedName>
    <definedName name="FDD_54_4" hidden="1">"A32142"</definedName>
    <definedName name="FDD_54_5" hidden="1">"A32508"</definedName>
    <definedName name="FDD_54_6" hidden="1">"A32873"</definedName>
    <definedName name="FDD_54_7" hidden="1">"A33238"</definedName>
    <definedName name="FDD_54_8" hidden="1">"A33603"</definedName>
    <definedName name="FDD_54_9" hidden="1">"A33969"</definedName>
    <definedName name="FDD_55_0" hidden="1">"A30681"</definedName>
    <definedName name="FDD_55_1" hidden="1">"A31047"</definedName>
    <definedName name="FDD_55_10" hidden="1">"A34334"</definedName>
    <definedName name="FDD_55_11" hidden="1">"A34699"</definedName>
    <definedName name="FDD_55_12" hidden="1">"A35064"</definedName>
    <definedName name="FDD_55_13" hidden="1">"A35430"</definedName>
    <definedName name="FDD_55_14" hidden="1">"A35795"</definedName>
    <definedName name="FDD_55_2" hidden="1">"A31412"</definedName>
    <definedName name="FDD_55_3" hidden="1">"A31777"</definedName>
    <definedName name="FDD_55_4" hidden="1">"A32142"</definedName>
    <definedName name="FDD_55_5" hidden="1">"A32508"</definedName>
    <definedName name="FDD_55_6" hidden="1">"A32873"</definedName>
    <definedName name="FDD_55_7" hidden="1">"A33238"</definedName>
    <definedName name="FDD_55_8" hidden="1">"A33603"</definedName>
    <definedName name="FDD_55_9" hidden="1">"A33969"</definedName>
    <definedName name="FDD_56_0" hidden="1">"A30681"</definedName>
    <definedName name="FDD_56_1" hidden="1">"A31047"</definedName>
    <definedName name="FDD_56_10" hidden="1">"A34334"</definedName>
    <definedName name="FDD_56_11" hidden="1">"A34699"</definedName>
    <definedName name="FDD_56_12" hidden="1">"A35064"</definedName>
    <definedName name="FDD_56_13" hidden="1">"A35430"</definedName>
    <definedName name="FDD_56_14" hidden="1">"A35795"</definedName>
    <definedName name="FDD_56_2" hidden="1">"A31412"</definedName>
    <definedName name="FDD_56_3" hidden="1">"A31777"</definedName>
    <definedName name="FDD_56_4" hidden="1">"A32142"</definedName>
    <definedName name="FDD_56_5" hidden="1">"A32508"</definedName>
    <definedName name="FDD_56_6" hidden="1">"A32873"</definedName>
    <definedName name="FDD_56_7" hidden="1">"A33238"</definedName>
    <definedName name="FDD_56_8" hidden="1">"A33603"</definedName>
    <definedName name="FDD_56_9" hidden="1">"A33969"</definedName>
    <definedName name="FDD_57_0" hidden="1">"A30681"</definedName>
    <definedName name="FDD_57_1" hidden="1">"A31047"</definedName>
    <definedName name="FDD_57_10" hidden="1">"A34334"</definedName>
    <definedName name="FDD_57_11" hidden="1">"A34699"</definedName>
    <definedName name="FDD_57_12" hidden="1">"A35064"</definedName>
    <definedName name="FDD_57_13" hidden="1">"A35430"</definedName>
    <definedName name="FDD_57_14" hidden="1">"A35795"</definedName>
    <definedName name="FDD_57_2" hidden="1">"A31412"</definedName>
    <definedName name="FDD_57_3" hidden="1">"A31777"</definedName>
    <definedName name="FDD_57_4" hidden="1">"A32142"</definedName>
    <definedName name="FDD_57_5" hidden="1">"A32508"</definedName>
    <definedName name="FDD_57_6" hidden="1">"A32873"</definedName>
    <definedName name="FDD_57_7" hidden="1">"A33238"</definedName>
    <definedName name="FDD_57_8" hidden="1">"A33603"</definedName>
    <definedName name="FDD_57_9" hidden="1">"A33969"</definedName>
    <definedName name="FDD_58_0" hidden="1">"A30681"</definedName>
    <definedName name="FDD_58_1" hidden="1">"A31047"</definedName>
    <definedName name="FDD_58_10" hidden="1">"A34334"</definedName>
    <definedName name="FDD_58_11" hidden="1">"A34699"</definedName>
    <definedName name="FDD_58_12" hidden="1">"A35064"</definedName>
    <definedName name="FDD_58_13" hidden="1">"A35430"</definedName>
    <definedName name="FDD_58_14" hidden="1">"A35795"</definedName>
    <definedName name="FDD_58_2" hidden="1">"A31412"</definedName>
    <definedName name="FDD_58_3" hidden="1">"A31777"</definedName>
    <definedName name="FDD_58_4" hidden="1">"A32142"</definedName>
    <definedName name="FDD_58_5" hidden="1">"A32508"</definedName>
    <definedName name="FDD_58_6" hidden="1">"A32873"</definedName>
    <definedName name="FDD_58_7" hidden="1">"A33238"</definedName>
    <definedName name="FDD_58_8" hidden="1">"A33603"</definedName>
    <definedName name="FDD_58_9" hidden="1">"A33969"</definedName>
    <definedName name="FDD_59_0" hidden="1">"A30681"</definedName>
    <definedName name="FDD_59_1" hidden="1">"A31047"</definedName>
    <definedName name="FDD_59_10" hidden="1">"A34334"</definedName>
    <definedName name="FDD_59_11" hidden="1">"A34699"</definedName>
    <definedName name="FDD_59_12" hidden="1">"A35064"</definedName>
    <definedName name="FDD_59_13" hidden="1">"A35430"</definedName>
    <definedName name="FDD_59_14" hidden="1">"A35795"</definedName>
    <definedName name="FDD_59_2" hidden="1">"A31412"</definedName>
    <definedName name="FDD_59_3" hidden="1">"A31777"</definedName>
    <definedName name="FDD_59_4" hidden="1">"A32142"</definedName>
    <definedName name="FDD_59_5" hidden="1">"A32508"</definedName>
    <definedName name="FDD_59_6" hidden="1">"A32873"</definedName>
    <definedName name="FDD_59_7" hidden="1">"A33238"</definedName>
    <definedName name="FDD_59_8" hidden="1">"A33603"</definedName>
    <definedName name="FDD_59_9" hidden="1">"A33969"</definedName>
    <definedName name="FDD_6_0" hidden="1">"A25569"</definedName>
    <definedName name="FDD_60_0" hidden="1">"A30681"</definedName>
    <definedName name="FDD_60_1" hidden="1">"A31047"</definedName>
    <definedName name="FDD_60_10" hidden="1">"A34334"</definedName>
    <definedName name="FDD_60_11" hidden="1">"A34699"</definedName>
    <definedName name="FDD_60_12" hidden="1">"A35064"</definedName>
    <definedName name="FDD_60_13" hidden="1">"A35430"</definedName>
    <definedName name="FDD_60_14" hidden="1">"A35795"</definedName>
    <definedName name="FDD_60_2" hidden="1">"A31412"</definedName>
    <definedName name="FDD_60_3" hidden="1">"A31777"</definedName>
    <definedName name="FDD_60_4" hidden="1">"A32142"</definedName>
    <definedName name="FDD_60_5" hidden="1">"A32508"</definedName>
    <definedName name="FDD_60_6" hidden="1">"A32873"</definedName>
    <definedName name="FDD_60_7" hidden="1">"A33238"</definedName>
    <definedName name="FDD_60_8" hidden="1">"A33603"</definedName>
    <definedName name="FDD_60_9" hidden="1">"A33969"</definedName>
    <definedName name="FDD_61_0" hidden="1">"A30681"</definedName>
    <definedName name="FDD_61_1" hidden="1">"A31047"</definedName>
    <definedName name="FDD_61_10" hidden="1">"A34334"</definedName>
    <definedName name="FDD_61_11" hidden="1">"A34699"</definedName>
    <definedName name="FDD_61_12" hidden="1">"A35064"</definedName>
    <definedName name="FDD_61_13" hidden="1">"A35430"</definedName>
    <definedName name="FDD_61_14" hidden="1">"A35795"</definedName>
    <definedName name="FDD_61_2" hidden="1">"A31412"</definedName>
    <definedName name="FDD_61_3" hidden="1">"A31777"</definedName>
    <definedName name="FDD_61_4" hidden="1">"A32142"</definedName>
    <definedName name="FDD_61_5" hidden="1">"A32508"</definedName>
    <definedName name="FDD_61_6" hidden="1">"A32873"</definedName>
    <definedName name="FDD_61_7" hidden="1">"A33238"</definedName>
    <definedName name="FDD_61_8" hidden="1">"A33603"</definedName>
    <definedName name="FDD_61_9" hidden="1">"A33969"</definedName>
    <definedName name="FDD_62_0" hidden="1">"A30681"</definedName>
    <definedName name="FDD_62_1" hidden="1">"A31047"</definedName>
    <definedName name="FDD_62_10" hidden="1">"A34334"</definedName>
    <definedName name="FDD_62_11" hidden="1">"A34699"</definedName>
    <definedName name="FDD_62_12" hidden="1">"A35064"</definedName>
    <definedName name="FDD_62_13" hidden="1">"A35430"</definedName>
    <definedName name="FDD_62_14" hidden="1">"A35795"</definedName>
    <definedName name="FDD_62_2" hidden="1">"A31412"</definedName>
    <definedName name="FDD_62_3" hidden="1">"A31777"</definedName>
    <definedName name="FDD_62_4" hidden="1">"A32142"</definedName>
    <definedName name="FDD_62_5" hidden="1">"A32508"</definedName>
    <definedName name="FDD_62_6" hidden="1">"A32873"</definedName>
    <definedName name="FDD_62_7" hidden="1">"A33238"</definedName>
    <definedName name="FDD_62_8" hidden="1">"A33603"</definedName>
    <definedName name="FDD_62_9" hidden="1">"A33969"</definedName>
    <definedName name="FDD_63_0" hidden="1">"A30681"</definedName>
    <definedName name="FDD_63_1" hidden="1">"A31047"</definedName>
    <definedName name="FDD_63_10" hidden="1">"A34334"</definedName>
    <definedName name="FDD_63_11" hidden="1">"A34699"</definedName>
    <definedName name="FDD_63_12" hidden="1">"A35064"</definedName>
    <definedName name="FDD_63_13" hidden="1">"A35430"</definedName>
    <definedName name="FDD_63_14" hidden="1">"A35795"</definedName>
    <definedName name="FDD_63_2" hidden="1">"A31412"</definedName>
    <definedName name="FDD_63_3" hidden="1">"A31777"</definedName>
    <definedName name="FDD_63_4" hidden="1">"A32142"</definedName>
    <definedName name="FDD_63_5" hidden="1">"A32508"</definedName>
    <definedName name="FDD_63_6" hidden="1">"A32873"</definedName>
    <definedName name="FDD_63_7" hidden="1">"A33238"</definedName>
    <definedName name="FDD_63_8" hidden="1">"A33603"</definedName>
    <definedName name="FDD_63_9" hidden="1">"A33969"</definedName>
    <definedName name="FDD_64_0" hidden="1">"A30681"</definedName>
    <definedName name="FDD_64_1" hidden="1">"A31047"</definedName>
    <definedName name="FDD_64_10" hidden="1">"A34334"</definedName>
    <definedName name="FDD_64_11" hidden="1">"A34699"</definedName>
    <definedName name="FDD_64_12" hidden="1">"A35064"</definedName>
    <definedName name="FDD_64_13" hidden="1">"A35430"</definedName>
    <definedName name="FDD_64_14" hidden="1">"A35795"</definedName>
    <definedName name="FDD_64_2" hidden="1">"A31412"</definedName>
    <definedName name="FDD_64_3" hidden="1">"A31777"</definedName>
    <definedName name="FDD_64_4" hidden="1">"A32142"</definedName>
    <definedName name="FDD_64_5" hidden="1">"A32508"</definedName>
    <definedName name="FDD_64_6" hidden="1">"A32873"</definedName>
    <definedName name="FDD_64_7" hidden="1">"A33238"</definedName>
    <definedName name="FDD_64_8" hidden="1">"A33603"</definedName>
    <definedName name="FDD_64_9" hidden="1">"A33969"</definedName>
    <definedName name="FDD_65_0" hidden="1">"A30681"</definedName>
    <definedName name="FDD_65_1" hidden="1">"A31047"</definedName>
    <definedName name="FDD_65_10" hidden="1">"A34334"</definedName>
    <definedName name="FDD_65_11" hidden="1">"A34699"</definedName>
    <definedName name="FDD_65_12" hidden="1">"A35064"</definedName>
    <definedName name="FDD_65_13" hidden="1">"A35430"</definedName>
    <definedName name="FDD_65_14" hidden="1">"A35795"</definedName>
    <definedName name="FDD_65_2" hidden="1">"A31412"</definedName>
    <definedName name="FDD_65_3" hidden="1">"A31777"</definedName>
    <definedName name="FDD_65_4" hidden="1">"A32142"</definedName>
    <definedName name="FDD_65_5" hidden="1">"A32508"</definedName>
    <definedName name="FDD_65_6" hidden="1">"A32873"</definedName>
    <definedName name="FDD_65_7" hidden="1">"A33238"</definedName>
    <definedName name="FDD_65_8" hidden="1">"A33603"</definedName>
    <definedName name="FDD_65_9" hidden="1">"A33969"</definedName>
    <definedName name="FDD_66_0" hidden="1">"A30681"</definedName>
    <definedName name="FDD_66_1" hidden="1">"A31047"</definedName>
    <definedName name="FDD_66_10" hidden="1">"A34334"</definedName>
    <definedName name="FDD_66_11" hidden="1">"A34699"</definedName>
    <definedName name="FDD_66_12" hidden="1">"A35064"</definedName>
    <definedName name="FDD_66_13" hidden="1">"A35430"</definedName>
    <definedName name="FDD_66_14" hidden="1">"A35795"</definedName>
    <definedName name="FDD_66_2" hidden="1">"A31412"</definedName>
    <definedName name="FDD_66_3" hidden="1">"A31777"</definedName>
    <definedName name="FDD_66_4" hidden="1">"A32142"</definedName>
    <definedName name="FDD_66_5" hidden="1">"A32508"</definedName>
    <definedName name="FDD_66_6" hidden="1">"A32873"</definedName>
    <definedName name="FDD_66_7" hidden="1">"A33238"</definedName>
    <definedName name="FDD_66_8" hidden="1">"A33603"</definedName>
    <definedName name="FDD_66_9" hidden="1">"A33969"</definedName>
    <definedName name="FDD_67_0" hidden="1">"A30681"</definedName>
    <definedName name="FDD_67_1" hidden="1">"A31047"</definedName>
    <definedName name="FDD_67_10" hidden="1">"A34334"</definedName>
    <definedName name="FDD_67_11" hidden="1">"A34699"</definedName>
    <definedName name="FDD_67_12" hidden="1">"A35064"</definedName>
    <definedName name="FDD_67_13" hidden="1">"A35430"</definedName>
    <definedName name="FDD_67_14" hidden="1">"A35795"</definedName>
    <definedName name="FDD_67_2" hidden="1">"A31412"</definedName>
    <definedName name="FDD_67_3" hidden="1">"A31777"</definedName>
    <definedName name="FDD_67_4" hidden="1">"A32142"</definedName>
    <definedName name="FDD_67_5" hidden="1">"A32508"</definedName>
    <definedName name="FDD_67_6" hidden="1">"A32873"</definedName>
    <definedName name="FDD_67_7" hidden="1">"A33238"</definedName>
    <definedName name="FDD_67_8" hidden="1">"A33603"</definedName>
    <definedName name="FDD_67_9" hidden="1">"A33969"</definedName>
    <definedName name="FDD_68_0" hidden="1">"A30681"</definedName>
    <definedName name="FDD_68_1" hidden="1">"A31047"</definedName>
    <definedName name="FDD_68_10" hidden="1">"A34334"</definedName>
    <definedName name="FDD_68_11" hidden="1">"A34699"</definedName>
    <definedName name="FDD_68_12" hidden="1">"A35064"</definedName>
    <definedName name="FDD_68_13" hidden="1">"A35430"</definedName>
    <definedName name="FDD_68_14" hidden="1">"A35795"</definedName>
    <definedName name="FDD_68_2" hidden="1">"A31412"</definedName>
    <definedName name="FDD_68_3" hidden="1">"A31777"</definedName>
    <definedName name="FDD_68_4" hidden="1">"A32142"</definedName>
    <definedName name="FDD_68_5" hidden="1">"A32508"</definedName>
    <definedName name="FDD_68_6" hidden="1">"A32873"</definedName>
    <definedName name="FDD_68_7" hidden="1">"A33238"</definedName>
    <definedName name="FDD_68_8" hidden="1">"A33603"</definedName>
    <definedName name="FDD_68_9" hidden="1">"A33969"</definedName>
    <definedName name="FDD_69_0" hidden="1">"U30681"</definedName>
    <definedName name="FDD_69_1" hidden="1">"A31047"</definedName>
    <definedName name="FDD_69_10" hidden="1">"A34334"</definedName>
    <definedName name="FDD_69_11" hidden="1">"A34699"</definedName>
    <definedName name="FDD_69_12" hidden="1">"A35064"</definedName>
    <definedName name="FDD_69_13" hidden="1">"A35430"</definedName>
    <definedName name="FDD_69_14" hidden="1">"A35795"</definedName>
    <definedName name="FDD_69_2" hidden="1">"A31412"</definedName>
    <definedName name="FDD_69_3" hidden="1">"A31777"</definedName>
    <definedName name="FDD_69_4" hidden="1">"A32142"</definedName>
    <definedName name="FDD_69_5" hidden="1">"A32508"</definedName>
    <definedName name="FDD_69_6" hidden="1">"A32873"</definedName>
    <definedName name="FDD_69_7" hidden="1">"A33238"</definedName>
    <definedName name="FDD_69_8" hidden="1">"A33603"</definedName>
    <definedName name="FDD_69_9" hidden="1">"A33969"</definedName>
    <definedName name="FDD_7_0" hidden="1">"A25569"</definedName>
    <definedName name="FDD_70_0" hidden="1">"A30681"</definedName>
    <definedName name="FDD_70_1" hidden="1">"A31047"</definedName>
    <definedName name="FDD_70_10" hidden="1">"A34334"</definedName>
    <definedName name="FDD_70_11" hidden="1">"A34699"</definedName>
    <definedName name="FDD_70_12" hidden="1">"A35064"</definedName>
    <definedName name="FDD_70_13" hidden="1">"A35430"</definedName>
    <definedName name="FDD_70_14" hidden="1">"A35795"</definedName>
    <definedName name="FDD_70_2" hidden="1">"A31412"</definedName>
    <definedName name="FDD_70_3" hidden="1">"A31777"</definedName>
    <definedName name="FDD_70_4" hidden="1">"A32142"</definedName>
    <definedName name="FDD_70_5" hidden="1">"A32508"</definedName>
    <definedName name="FDD_70_6" hidden="1">"A32873"</definedName>
    <definedName name="FDD_70_7" hidden="1">"A33238"</definedName>
    <definedName name="FDD_70_8" hidden="1">"A33603"</definedName>
    <definedName name="FDD_70_9" hidden="1">"A33969"</definedName>
    <definedName name="FDD_71_0" hidden="1">"A30681"</definedName>
    <definedName name="FDD_71_1" hidden="1">"A31047"</definedName>
    <definedName name="FDD_71_10" hidden="1">"A34334"</definedName>
    <definedName name="FDD_71_11" hidden="1">"A34699"</definedName>
    <definedName name="FDD_71_12" hidden="1">"A35064"</definedName>
    <definedName name="FDD_71_13" hidden="1">"A35430"</definedName>
    <definedName name="FDD_71_14" hidden="1">"A35795"</definedName>
    <definedName name="FDD_71_2" hidden="1">"A31412"</definedName>
    <definedName name="FDD_71_3" hidden="1">"A31777"</definedName>
    <definedName name="FDD_71_4" hidden="1">"A32142"</definedName>
    <definedName name="FDD_71_5" hidden="1">"A32508"</definedName>
    <definedName name="FDD_71_6" hidden="1">"A32873"</definedName>
    <definedName name="FDD_71_7" hidden="1">"A33238"</definedName>
    <definedName name="FDD_71_8" hidden="1">"A33603"</definedName>
    <definedName name="FDD_71_9" hidden="1">"A33969"</definedName>
    <definedName name="FDD_72_0" hidden="1">"A30681"</definedName>
    <definedName name="FDD_72_1" hidden="1">"A31047"</definedName>
    <definedName name="FDD_72_10" hidden="1">"A34334"</definedName>
    <definedName name="FDD_72_11" hidden="1">"A34699"</definedName>
    <definedName name="FDD_72_12" hidden="1">"A35064"</definedName>
    <definedName name="FDD_72_13" hidden="1">"A35430"</definedName>
    <definedName name="FDD_72_14" hidden="1">"A35795"</definedName>
    <definedName name="FDD_72_2" hidden="1">"A31412"</definedName>
    <definedName name="FDD_72_3" hidden="1">"A31777"</definedName>
    <definedName name="FDD_72_4" hidden="1">"A32142"</definedName>
    <definedName name="FDD_72_5" hidden="1">"A32508"</definedName>
    <definedName name="FDD_72_6" hidden="1">"A32873"</definedName>
    <definedName name="FDD_72_7" hidden="1">"A33238"</definedName>
    <definedName name="FDD_72_8" hidden="1">"A33603"</definedName>
    <definedName name="FDD_72_9" hidden="1">"A33969"</definedName>
    <definedName name="FDD_73_0" hidden="1">"A30681"</definedName>
    <definedName name="FDD_73_1" hidden="1">"A31047"</definedName>
    <definedName name="FDD_73_10" hidden="1">"A34334"</definedName>
    <definedName name="FDD_73_11" hidden="1">"A34699"</definedName>
    <definedName name="FDD_73_12" hidden="1">"A35064"</definedName>
    <definedName name="FDD_73_13" hidden="1">"A35430"</definedName>
    <definedName name="FDD_73_14" hidden="1">"A35795"</definedName>
    <definedName name="FDD_73_2" hidden="1">"A31412"</definedName>
    <definedName name="FDD_73_3" hidden="1">"A31777"</definedName>
    <definedName name="FDD_73_4" hidden="1">"A32142"</definedName>
    <definedName name="FDD_73_5" hidden="1">"A32508"</definedName>
    <definedName name="FDD_73_6" hidden="1">"A32873"</definedName>
    <definedName name="FDD_73_7" hidden="1">"A33238"</definedName>
    <definedName name="FDD_73_8" hidden="1">"A33603"</definedName>
    <definedName name="FDD_73_9" hidden="1">"A33969"</definedName>
    <definedName name="FDD_74_0" hidden="1">"A30681"</definedName>
    <definedName name="FDD_74_1" hidden="1">"A31047"</definedName>
    <definedName name="FDD_74_10" hidden="1">"A34334"</definedName>
    <definedName name="FDD_74_11" hidden="1">"A34699"</definedName>
    <definedName name="FDD_74_12" hidden="1">"A35064"</definedName>
    <definedName name="FDD_74_13" hidden="1">"A35430"</definedName>
    <definedName name="FDD_74_14" hidden="1">"A35795"</definedName>
    <definedName name="FDD_74_2" hidden="1">"A31412"</definedName>
    <definedName name="FDD_74_3" hidden="1">"A31777"</definedName>
    <definedName name="FDD_74_4" hidden="1">"A32142"</definedName>
    <definedName name="FDD_74_5" hidden="1">"A32508"</definedName>
    <definedName name="FDD_74_6" hidden="1">"A32873"</definedName>
    <definedName name="FDD_74_7" hidden="1">"A33238"</definedName>
    <definedName name="FDD_74_8" hidden="1">"A33603"</definedName>
    <definedName name="FDD_74_9" hidden="1">"A33969"</definedName>
    <definedName name="FDD_75_0" hidden="1">"A30681"</definedName>
    <definedName name="FDD_75_1" hidden="1">"A31047"</definedName>
    <definedName name="FDD_75_10" hidden="1">"A34334"</definedName>
    <definedName name="FDD_75_11" hidden="1">"A34699"</definedName>
    <definedName name="FDD_75_12" hidden="1">"A35064"</definedName>
    <definedName name="FDD_75_13" hidden="1">"A35430"</definedName>
    <definedName name="FDD_75_14" hidden="1">"A35795"</definedName>
    <definedName name="FDD_75_2" hidden="1">"A31412"</definedName>
    <definedName name="FDD_75_3" hidden="1">"A31777"</definedName>
    <definedName name="FDD_75_4" hidden="1">"A32142"</definedName>
    <definedName name="FDD_75_5" hidden="1">"A32508"</definedName>
    <definedName name="FDD_75_6" hidden="1">"A32873"</definedName>
    <definedName name="FDD_75_7" hidden="1">"A33238"</definedName>
    <definedName name="FDD_75_8" hidden="1">"A33603"</definedName>
    <definedName name="FDD_75_9" hidden="1">"A33969"</definedName>
    <definedName name="FDD_76_0" hidden="1">"A30681"</definedName>
    <definedName name="FDD_76_1" hidden="1">"A31047"</definedName>
    <definedName name="FDD_76_10" hidden="1">"A34334"</definedName>
    <definedName name="FDD_76_11" hidden="1">"A34699"</definedName>
    <definedName name="FDD_76_12" hidden="1">"A35064"</definedName>
    <definedName name="FDD_76_13" hidden="1">"A35430"</definedName>
    <definedName name="FDD_76_14" hidden="1">"A35795"</definedName>
    <definedName name="FDD_76_2" hidden="1">"A31412"</definedName>
    <definedName name="FDD_76_3" hidden="1">"A31777"</definedName>
    <definedName name="FDD_76_4" hidden="1">"A32142"</definedName>
    <definedName name="FDD_76_5" hidden="1">"A32508"</definedName>
    <definedName name="FDD_76_6" hidden="1">"A32873"</definedName>
    <definedName name="FDD_76_7" hidden="1">"A33238"</definedName>
    <definedName name="FDD_76_8" hidden="1">"A33603"</definedName>
    <definedName name="FDD_76_9" hidden="1">"A33969"</definedName>
    <definedName name="FDD_77_0" hidden="1">"A30681"</definedName>
    <definedName name="FDD_77_1" hidden="1">"A31047"</definedName>
    <definedName name="FDD_77_10" hidden="1">"A34334"</definedName>
    <definedName name="FDD_77_11" hidden="1">"A34699"</definedName>
    <definedName name="FDD_77_12" hidden="1">"A35064"</definedName>
    <definedName name="FDD_77_13" hidden="1">"A35430"</definedName>
    <definedName name="FDD_77_14" hidden="1">"A35795"</definedName>
    <definedName name="FDD_77_2" hidden="1">"A31412"</definedName>
    <definedName name="FDD_77_3" hidden="1">"A31777"</definedName>
    <definedName name="FDD_77_4" hidden="1">"A32142"</definedName>
    <definedName name="FDD_77_5" hidden="1">"A32508"</definedName>
    <definedName name="FDD_77_6" hidden="1">"A32873"</definedName>
    <definedName name="FDD_77_7" hidden="1">"A33238"</definedName>
    <definedName name="FDD_77_8" hidden="1">"A33603"</definedName>
    <definedName name="FDD_77_9" hidden="1">"A33969"</definedName>
    <definedName name="FDD_78_0" hidden="1">"A30681"</definedName>
    <definedName name="FDD_78_1" hidden="1">"A31047"</definedName>
    <definedName name="FDD_78_10" hidden="1">"A34334"</definedName>
    <definedName name="FDD_78_11" hidden="1">"A34699"</definedName>
    <definedName name="FDD_78_12" hidden="1">"A35064"</definedName>
    <definedName name="FDD_78_13" hidden="1">"A35430"</definedName>
    <definedName name="FDD_78_14" hidden="1">"A35795"</definedName>
    <definedName name="FDD_78_2" hidden="1">"A31412"</definedName>
    <definedName name="FDD_78_3" hidden="1">"A31777"</definedName>
    <definedName name="FDD_78_4" hidden="1">"A32142"</definedName>
    <definedName name="FDD_78_5" hidden="1">"A32508"</definedName>
    <definedName name="FDD_78_6" hidden="1">"A32873"</definedName>
    <definedName name="FDD_78_7" hidden="1">"A33238"</definedName>
    <definedName name="FDD_78_8" hidden="1">"A33603"</definedName>
    <definedName name="FDD_78_9" hidden="1">"A33969"</definedName>
    <definedName name="FDD_79_0" hidden="1">"A30681"</definedName>
    <definedName name="FDD_79_1" hidden="1">"A31047"</definedName>
    <definedName name="FDD_79_10" hidden="1">"A34334"</definedName>
    <definedName name="FDD_79_11" hidden="1">"A34699"</definedName>
    <definedName name="FDD_79_12" hidden="1">"A35064"</definedName>
    <definedName name="FDD_79_13" hidden="1">"A35430"</definedName>
    <definedName name="FDD_79_14" hidden="1">"A35795"</definedName>
    <definedName name="FDD_79_2" hidden="1">"A31412"</definedName>
    <definedName name="FDD_79_3" hidden="1">"A31777"</definedName>
    <definedName name="FDD_79_4" hidden="1">"A32142"</definedName>
    <definedName name="FDD_79_5" hidden="1">"A32508"</definedName>
    <definedName name="FDD_79_6" hidden="1">"A32873"</definedName>
    <definedName name="FDD_79_7" hidden="1">"A33238"</definedName>
    <definedName name="FDD_79_8" hidden="1">"A33603"</definedName>
    <definedName name="FDD_79_9" hidden="1">"A33969"</definedName>
    <definedName name="FDD_8_0" hidden="1">"A25569"</definedName>
    <definedName name="FDD_80_0" hidden="1">"A30681"</definedName>
    <definedName name="FDD_80_1" hidden="1">"A31047"</definedName>
    <definedName name="FDD_80_10" hidden="1">"A34334"</definedName>
    <definedName name="FDD_80_11" hidden="1">"A34699"</definedName>
    <definedName name="FDD_80_12" hidden="1">"A35064"</definedName>
    <definedName name="FDD_80_13" hidden="1">"A35430"</definedName>
    <definedName name="FDD_80_14" hidden="1">"A35795"</definedName>
    <definedName name="FDD_80_2" hidden="1">"A31412"</definedName>
    <definedName name="FDD_80_3" hidden="1">"A31777"</definedName>
    <definedName name="FDD_80_4" hidden="1">"A32142"</definedName>
    <definedName name="FDD_80_5" hidden="1">"A32508"</definedName>
    <definedName name="FDD_80_6" hidden="1">"A32873"</definedName>
    <definedName name="FDD_80_7" hidden="1">"A33238"</definedName>
    <definedName name="FDD_80_8" hidden="1">"A33603"</definedName>
    <definedName name="FDD_80_9" hidden="1">"A33969"</definedName>
    <definedName name="FDD_81_0" hidden="1">"A30681"</definedName>
    <definedName name="FDD_81_1" hidden="1">"A31047"</definedName>
    <definedName name="FDD_81_10" hidden="1">"A34334"</definedName>
    <definedName name="FDD_81_11" hidden="1">"A34699"</definedName>
    <definedName name="FDD_81_12" hidden="1">"A35064"</definedName>
    <definedName name="FDD_81_13" hidden="1">"A35430"</definedName>
    <definedName name="FDD_81_14" hidden="1">"A35795"</definedName>
    <definedName name="FDD_81_2" hidden="1">"A31412"</definedName>
    <definedName name="FDD_81_3" hidden="1">"A31777"</definedName>
    <definedName name="FDD_81_4" hidden="1">"A32142"</definedName>
    <definedName name="FDD_81_5" hidden="1">"A32508"</definedName>
    <definedName name="FDD_81_6" hidden="1">"A32873"</definedName>
    <definedName name="FDD_81_7" hidden="1">"A33238"</definedName>
    <definedName name="FDD_81_8" hidden="1">"A33603"</definedName>
    <definedName name="FDD_81_9" hidden="1">"A33969"</definedName>
    <definedName name="FDD_82_0" hidden="1">"A30681"</definedName>
    <definedName name="FDD_82_1" hidden="1">"A31047"</definedName>
    <definedName name="FDD_82_10" hidden="1">"A34334"</definedName>
    <definedName name="FDD_82_11" hidden="1">"A34699"</definedName>
    <definedName name="FDD_82_12" hidden="1">"A35064"</definedName>
    <definedName name="FDD_82_13" hidden="1">"A35430"</definedName>
    <definedName name="FDD_82_14" hidden="1">"A35795"</definedName>
    <definedName name="FDD_82_2" hidden="1">"A31412"</definedName>
    <definedName name="FDD_82_3" hidden="1">"A31777"</definedName>
    <definedName name="FDD_82_4" hidden="1">"A32142"</definedName>
    <definedName name="FDD_82_5" hidden="1">"A32508"</definedName>
    <definedName name="FDD_82_6" hidden="1">"A32873"</definedName>
    <definedName name="FDD_82_7" hidden="1">"A33238"</definedName>
    <definedName name="FDD_82_8" hidden="1">"A33603"</definedName>
    <definedName name="FDD_82_9" hidden="1">"A33969"</definedName>
    <definedName name="FDD_83_0" hidden="1">"A30681"</definedName>
    <definedName name="FDD_83_1" hidden="1">"A31047"</definedName>
    <definedName name="FDD_83_10" hidden="1">"A34334"</definedName>
    <definedName name="FDD_83_11" hidden="1">"A34699"</definedName>
    <definedName name="FDD_83_12" hidden="1">"A35064"</definedName>
    <definedName name="FDD_83_13" hidden="1">"A35430"</definedName>
    <definedName name="FDD_83_14" hidden="1">"A35795"</definedName>
    <definedName name="FDD_83_2" hidden="1">"A31412"</definedName>
    <definedName name="FDD_83_3" hidden="1">"A31777"</definedName>
    <definedName name="FDD_83_4" hidden="1">"A32142"</definedName>
    <definedName name="FDD_83_5" hidden="1">"A32508"</definedName>
    <definedName name="FDD_83_6" hidden="1">"A32873"</definedName>
    <definedName name="FDD_83_7" hidden="1">"A33238"</definedName>
    <definedName name="FDD_83_8" hidden="1">"A33603"</definedName>
    <definedName name="FDD_83_9" hidden="1">"A33969"</definedName>
    <definedName name="FDD_84_0" hidden="1">"A30681"</definedName>
    <definedName name="FDD_84_1" hidden="1">"A31047"</definedName>
    <definedName name="FDD_84_10" hidden="1">"A34334"</definedName>
    <definedName name="FDD_84_11" hidden="1">"A34699"</definedName>
    <definedName name="FDD_84_12" hidden="1">"A35064"</definedName>
    <definedName name="FDD_84_13" hidden="1">"A35430"</definedName>
    <definedName name="FDD_84_14" hidden="1">"A35795"</definedName>
    <definedName name="FDD_84_2" hidden="1">"A31412"</definedName>
    <definedName name="FDD_84_3" hidden="1">"A31777"</definedName>
    <definedName name="FDD_84_4" hidden="1">"A32142"</definedName>
    <definedName name="FDD_84_5" hidden="1">"A32508"</definedName>
    <definedName name="FDD_84_6" hidden="1">"A32873"</definedName>
    <definedName name="FDD_84_7" hidden="1">"A33238"</definedName>
    <definedName name="FDD_84_8" hidden="1">"A33603"</definedName>
    <definedName name="FDD_84_9" hidden="1">"A33969"</definedName>
    <definedName name="FDD_85_0" hidden="1">"A30681"</definedName>
    <definedName name="FDD_85_1" hidden="1">"A31047"</definedName>
    <definedName name="FDD_85_10" hidden="1">"A34334"</definedName>
    <definedName name="FDD_85_11" hidden="1">"A34699"</definedName>
    <definedName name="FDD_85_12" hidden="1">"A35064"</definedName>
    <definedName name="FDD_85_13" hidden="1">"A35430"</definedName>
    <definedName name="FDD_85_14" hidden="1">"A35795"</definedName>
    <definedName name="FDD_85_2" hidden="1">"A31412"</definedName>
    <definedName name="FDD_85_3" hidden="1">"A31777"</definedName>
    <definedName name="FDD_85_4" hidden="1">"A32142"</definedName>
    <definedName name="FDD_85_5" hidden="1">"A32508"</definedName>
    <definedName name="FDD_85_6" hidden="1">"A32873"</definedName>
    <definedName name="FDD_85_7" hidden="1">"A33238"</definedName>
    <definedName name="FDD_85_8" hidden="1">"A33603"</definedName>
    <definedName name="FDD_85_9" hidden="1">"A33969"</definedName>
    <definedName name="FDD_86_0" hidden="1">"A30681"</definedName>
    <definedName name="FDD_86_1" hidden="1">"A31047"</definedName>
    <definedName name="FDD_86_10" hidden="1">"A34334"</definedName>
    <definedName name="FDD_86_11" hidden="1">"A34699"</definedName>
    <definedName name="FDD_86_12" hidden="1">"A35064"</definedName>
    <definedName name="FDD_86_13" hidden="1">"A35430"</definedName>
    <definedName name="FDD_86_14" hidden="1">"A35795"</definedName>
    <definedName name="FDD_86_2" hidden="1">"A31412"</definedName>
    <definedName name="FDD_86_3" hidden="1">"A31777"</definedName>
    <definedName name="FDD_86_4" hidden="1">"A32142"</definedName>
    <definedName name="FDD_86_5" hidden="1">"A32508"</definedName>
    <definedName name="FDD_86_6" hidden="1">"A32873"</definedName>
    <definedName name="FDD_86_7" hidden="1">"A33238"</definedName>
    <definedName name="FDD_86_8" hidden="1">"A33603"</definedName>
    <definedName name="FDD_86_9" hidden="1">"A33969"</definedName>
    <definedName name="FDD_87_0" hidden="1">"A30681"</definedName>
    <definedName name="FDD_87_1" hidden="1">"A31047"</definedName>
    <definedName name="FDD_87_10" hidden="1">"A34334"</definedName>
    <definedName name="FDD_87_11" hidden="1">"A34699"</definedName>
    <definedName name="FDD_87_12" hidden="1">"A35064"</definedName>
    <definedName name="FDD_87_13" hidden="1">"A35430"</definedName>
    <definedName name="FDD_87_14" hidden="1">"A35795"</definedName>
    <definedName name="FDD_87_2" hidden="1">"A31412"</definedName>
    <definedName name="FDD_87_3" hidden="1">"A31777"</definedName>
    <definedName name="FDD_87_4" hidden="1">"A32142"</definedName>
    <definedName name="FDD_87_5" hidden="1">"A32508"</definedName>
    <definedName name="FDD_87_6" hidden="1">"A32873"</definedName>
    <definedName name="FDD_87_7" hidden="1">"A33238"</definedName>
    <definedName name="FDD_87_8" hidden="1">"A33603"</definedName>
    <definedName name="FDD_87_9" hidden="1">"A33969"</definedName>
    <definedName name="FDD_88_0" hidden="1">"A30681"</definedName>
    <definedName name="FDD_88_1" hidden="1">"A31047"</definedName>
    <definedName name="FDD_88_10" hidden="1">"A34334"</definedName>
    <definedName name="FDD_88_11" hidden="1">"A34699"</definedName>
    <definedName name="FDD_88_12" hidden="1">"A35064"</definedName>
    <definedName name="FDD_88_13" hidden="1">"A35430"</definedName>
    <definedName name="FDD_88_14" hidden="1">"A35795"</definedName>
    <definedName name="FDD_88_2" hidden="1">"A31412"</definedName>
    <definedName name="FDD_88_3" hidden="1">"A31777"</definedName>
    <definedName name="FDD_88_4" hidden="1">"A32142"</definedName>
    <definedName name="FDD_88_5" hidden="1">"A32508"</definedName>
    <definedName name="FDD_88_6" hidden="1">"A32873"</definedName>
    <definedName name="FDD_88_7" hidden="1">"A33238"</definedName>
    <definedName name="FDD_88_8" hidden="1">"A33603"</definedName>
    <definedName name="FDD_88_9" hidden="1">"A33969"</definedName>
    <definedName name="FDD_89_0" hidden="1">"A30681"</definedName>
    <definedName name="FDD_89_1" hidden="1">"A31047"</definedName>
    <definedName name="FDD_89_10" hidden="1">"A34334"</definedName>
    <definedName name="FDD_89_11" hidden="1">"A34699"</definedName>
    <definedName name="FDD_89_12" hidden="1">"A35064"</definedName>
    <definedName name="FDD_89_13" hidden="1">"A35430"</definedName>
    <definedName name="FDD_89_14" hidden="1">"A35795"</definedName>
    <definedName name="FDD_89_2" hidden="1">"A31412"</definedName>
    <definedName name="FDD_89_3" hidden="1">"A31777"</definedName>
    <definedName name="FDD_89_4" hidden="1">"A32142"</definedName>
    <definedName name="FDD_89_5" hidden="1">"A32508"</definedName>
    <definedName name="FDD_89_6" hidden="1">"A32873"</definedName>
    <definedName name="FDD_89_7" hidden="1">"A33238"</definedName>
    <definedName name="FDD_89_8" hidden="1">"A33603"</definedName>
    <definedName name="FDD_89_9" hidden="1">"A33969"</definedName>
    <definedName name="FDD_9_0" hidden="1">"A25569"</definedName>
    <definedName name="FDD_90_0" hidden="1">"A30681"</definedName>
    <definedName name="FDD_90_1" hidden="1">"A31047"</definedName>
    <definedName name="FDD_90_10" hidden="1">"A34334"</definedName>
    <definedName name="FDD_90_11" hidden="1">"A34699"</definedName>
    <definedName name="FDD_90_12" hidden="1">"A35064"</definedName>
    <definedName name="FDD_90_13" hidden="1">"A35430"</definedName>
    <definedName name="FDD_90_14" hidden="1">"A35795"</definedName>
    <definedName name="FDD_90_2" hidden="1">"A31412"</definedName>
    <definedName name="FDD_90_3" hidden="1">"A31777"</definedName>
    <definedName name="FDD_90_4" hidden="1">"A32142"</definedName>
    <definedName name="FDD_90_5" hidden="1">"A32508"</definedName>
    <definedName name="FDD_90_6" hidden="1">"A32873"</definedName>
    <definedName name="FDD_90_7" hidden="1">"A33238"</definedName>
    <definedName name="FDD_90_8" hidden="1">"A33603"</definedName>
    <definedName name="FDD_90_9" hidden="1">"A33969"</definedName>
    <definedName name="FDD_91_0" hidden="1">"A30681"</definedName>
    <definedName name="FDD_91_1" hidden="1">"A31047"</definedName>
    <definedName name="FDD_91_10" hidden="1">"A34334"</definedName>
    <definedName name="FDD_91_11" hidden="1">"A34699"</definedName>
    <definedName name="FDD_91_12" hidden="1">"A35064"</definedName>
    <definedName name="FDD_91_13" hidden="1">"A35430"</definedName>
    <definedName name="FDD_91_14" hidden="1">"A35795"</definedName>
    <definedName name="FDD_91_2" hidden="1">"A31412"</definedName>
    <definedName name="FDD_91_3" hidden="1">"A31777"</definedName>
    <definedName name="FDD_91_4" hidden="1">"A32142"</definedName>
    <definedName name="FDD_91_5" hidden="1">"A32508"</definedName>
    <definedName name="FDD_91_6" hidden="1">"A32873"</definedName>
    <definedName name="FDD_91_7" hidden="1">"A33238"</definedName>
    <definedName name="FDD_91_8" hidden="1">"A33603"</definedName>
    <definedName name="FDD_91_9" hidden="1">"A33969"</definedName>
    <definedName name="FDD_92_0" hidden="1">"A30681"</definedName>
    <definedName name="FDD_92_1" hidden="1">"A31047"</definedName>
    <definedName name="FDD_92_10" hidden="1">"A34334"</definedName>
    <definedName name="FDD_92_11" hidden="1">"A34699"</definedName>
    <definedName name="FDD_92_12" hidden="1">"A35064"</definedName>
    <definedName name="FDD_92_13" hidden="1">"A35430"</definedName>
    <definedName name="FDD_92_14" hidden="1">"A35795"</definedName>
    <definedName name="FDD_92_2" hidden="1">"A31412"</definedName>
    <definedName name="FDD_92_3" hidden="1">"A31777"</definedName>
    <definedName name="FDD_92_4" hidden="1">"A32142"</definedName>
    <definedName name="FDD_92_5" hidden="1">"A32508"</definedName>
    <definedName name="FDD_92_6" hidden="1">"A32873"</definedName>
    <definedName name="FDD_92_7" hidden="1">"A33238"</definedName>
    <definedName name="FDD_92_8" hidden="1">"A33603"</definedName>
    <definedName name="FDD_92_9" hidden="1">"A33969"</definedName>
    <definedName name="FDD_93_0" hidden="1">"A30681"</definedName>
    <definedName name="FDD_93_1" hidden="1">"A31047"</definedName>
    <definedName name="FDD_93_10" hidden="1">"A34334"</definedName>
    <definedName name="FDD_93_11" hidden="1">"A34699"</definedName>
    <definedName name="FDD_93_12" hidden="1">"A35064"</definedName>
    <definedName name="FDD_93_13" hidden="1">"A35430"</definedName>
    <definedName name="FDD_93_14" hidden="1">"A35795"</definedName>
    <definedName name="FDD_93_2" hidden="1">"A31412"</definedName>
    <definedName name="FDD_93_3" hidden="1">"A31777"</definedName>
    <definedName name="FDD_93_4" hidden="1">"A32142"</definedName>
    <definedName name="FDD_93_5" hidden="1">"A32508"</definedName>
    <definedName name="FDD_93_6" hidden="1">"A32873"</definedName>
    <definedName name="FDD_93_7" hidden="1">"A33238"</definedName>
    <definedName name="FDD_93_8" hidden="1">"A33603"</definedName>
    <definedName name="FDD_93_9" hidden="1">"A33969"</definedName>
    <definedName name="FDD_94_0" hidden="1">"A30681"</definedName>
    <definedName name="FDD_94_1" hidden="1">"A31047"</definedName>
    <definedName name="FDD_94_10" hidden="1">"A34334"</definedName>
    <definedName name="FDD_94_11" hidden="1">"A34699"</definedName>
    <definedName name="FDD_94_12" hidden="1">"A35064"</definedName>
    <definedName name="FDD_94_13" hidden="1">"A35430"</definedName>
    <definedName name="FDD_94_14" hidden="1">"A35795"</definedName>
    <definedName name="FDD_94_2" hidden="1">"A31412"</definedName>
    <definedName name="FDD_94_3" hidden="1">"A31777"</definedName>
    <definedName name="FDD_94_4" hidden="1">"A32142"</definedName>
    <definedName name="FDD_94_5" hidden="1">"A32508"</definedName>
    <definedName name="FDD_94_6" hidden="1">"A32873"</definedName>
    <definedName name="FDD_94_7" hidden="1">"A33238"</definedName>
    <definedName name="FDD_94_8" hidden="1">"A33603"</definedName>
    <definedName name="FDD_94_9" hidden="1">"A33969"</definedName>
    <definedName name="FDD_95_0" hidden="1">"A30681"</definedName>
    <definedName name="FDD_95_1" hidden="1">"A31047"</definedName>
    <definedName name="FDD_95_10" hidden="1">"A34334"</definedName>
    <definedName name="FDD_95_11" hidden="1">"A34699"</definedName>
    <definedName name="FDD_95_12" hidden="1">"A35064"</definedName>
    <definedName name="FDD_95_13" hidden="1">"A35430"</definedName>
    <definedName name="FDD_95_14" hidden="1">"A35795"</definedName>
    <definedName name="FDD_95_2" hidden="1">"A31412"</definedName>
    <definedName name="FDD_95_3" hidden="1">"A31777"</definedName>
    <definedName name="FDD_95_4" hidden="1">"A32142"</definedName>
    <definedName name="FDD_95_5" hidden="1">"A32508"</definedName>
    <definedName name="FDD_95_6" hidden="1">"A32873"</definedName>
    <definedName name="FDD_95_7" hidden="1">"A33238"</definedName>
    <definedName name="FDD_95_8" hidden="1">"A33603"</definedName>
    <definedName name="FDD_95_9" hidden="1">"A33969"</definedName>
    <definedName name="FDD_96_0" hidden="1">"U30681"</definedName>
    <definedName name="FDD_96_1" hidden="1">"A31047"</definedName>
    <definedName name="FDD_96_10" hidden="1">"A34334"</definedName>
    <definedName name="FDD_96_11" hidden="1">"A34699"</definedName>
    <definedName name="FDD_96_12" hidden="1">"A35064"</definedName>
    <definedName name="FDD_96_13" hidden="1">"A35430"</definedName>
    <definedName name="FDD_96_14" hidden="1">"A35795"</definedName>
    <definedName name="FDD_96_2" hidden="1">"A31412"</definedName>
    <definedName name="FDD_96_3" hidden="1">"A31777"</definedName>
    <definedName name="FDD_96_4" hidden="1">"A32142"</definedName>
    <definedName name="FDD_96_5" hidden="1">"A32508"</definedName>
    <definedName name="FDD_96_6" hidden="1">"A32873"</definedName>
    <definedName name="FDD_96_7" hidden="1">"A33238"</definedName>
    <definedName name="FDD_96_8" hidden="1">"A33603"</definedName>
    <definedName name="FDD_96_9" hidden="1">"A33969"</definedName>
    <definedName name="FDD_97_0" hidden="1">"U30681"</definedName>
    <definedName name="FDD_97_1" hidden="1">"A31047"</definedName>
    <definedName name="FDD_97_10" hidden="1">"A34334"</definedName>
    <definedName name="FDD_97_11" hidden="1">"A34699"</definedName>
    <definedName name="FDD_97_12" hidden="1">"A35064"</definedName>
    <definedName name="FDD_97_13" hidden="1">"A35430"</definedName>
    <definedName name="FDD_97_14" hidden="1">"A35795"</definedName>
    <definedName name="FDD_97_2" hidden="1">"A31412"</definedName>
    <definedName name="FDD_97_3" hidden="1">"A31777"</definedName>
    <definedName name="FDD_97_4" hidden="1">"A32142"</definedName>
    <definedName name="FDD_97_5" hidden="1">"A32508"</definedName>
    <definedName name="FDD_97_6" hidden="1">"A32873"</definedName>
    <definedName name="FDD_97_7" hidden="1">"A33238"</definedName>
    <definedName name="FDD_97_8" hidden="1">"A33603"</definedName>
    <definedName name="FDD_97_9" hidden="1">"A33969"</definedName>
    <definedName name="FDD_98_0" hidden="1">"U30681"</definedName>
    <definedName name="FDD_98_1" hidden="1">"A31047"</definedName>
    <definedName name="FDD_98_10" hidden="1">"A34334"</definedName>
    <definedName name="FDD_98_11" hidden="1">"A34699"</definedName>
    <definedName name="FDD_98_12" hidden="1">"A35064"</definedName>
    <definedName name="FDD_98_13" hidden="1">"A35430"</definedName>
    <definedName name="FDD_98_14" hidden="1">"A35795"</definedName>
    <definedName name="FDD_98_2" hidden="1">"A31412"</definedName>
    <definedName name="FDD_98_3" hidden="1">"A31777"</definedName>
    <definedName name="FDD_98_4" hidden="1">"A32142"</definedName>
    <definedName name="FDD_98_5" hidden="1">"A32508"</definedName>
    <definedName name="FDD_98_6" hidden="1">"A32873"</definedName>
    <definedName name="FDD_98_7" hidden="1">"A33238"</definedName>
    <definedName name="FDD_98_8" hidden="1">"A33603"</definedName>
    <definedName name="FDD_98_9" hidden="1">"A33969"</definedName>
    <definedName name="FDD_99_0" hidden="1">"U30681"</definedName>
    <definedName name="FDD_99_1" hidden="1">"A31047"</definedName>
    <definedName name="FDD_99_10" hidden="1">"A34334"</definedName>
    <definedName name="FDD_99_11" hidden="1">"A34699"</definedName>
    <definedName name="FDD_99_12" hidden="1">"A35064"</definedName>
    <definedName name="FDD_99_13" hidden="1">"A35430"</definedName>
    <definedName name="FDD_99_14" hidden="1">"A35795"</definedName>
    <definedName name="FDD_99_2" hidden="1">"A31412"</definedName>
    <definedName name="FDD_99_3" hidden="1">"A31777"</definedName>
    <definedName name="FDD_99_4" hidden="1">"A32142"</definedName>
    <definedName name="FDD_99_5" hidden="1">"A32508"</definedName>
    <definedName name="FDD_99_6" hidden="1">"A32873"</definedName>
    <definedName name="FDD_99_7" hidden="1">"A33238"</definedName>
    <definedName name="FDD_99_8" hidden="1">"A33603"</definedName>
    <definedName name="FDD_99_9" hidden="1">"A33969"</definedName>
    <definedName name="FDDFV" hidden="1">#REF!</definedName>
    <definedName name="ＦＤＧＤＳＪ" hidden="1">{#N/A,#N/A,TRUE,"TMRSAMPLE";#N/A,#N/A,TRUE,"OPS";#N/A,#N/A,TRUE,"TMR"}</definedName>
    <definedName name="ＦＤＧＤＳＪ_1" hidden="1">{#N/A,#N/A,TRUE,"TMRSAMPLE";#N/A,#N/A,TRUE,"OPS";#N/A,#N/A,TRUE,"TMR"}</definedName>
    <definedName name="FDGHREHK" hidden="1">{#N/A,#N/A,TRUE,"TMRSAMPLE";#N/A,#N/A,TRUE,"OPS";#N/A,#N/A,TRUE,"TMR"}</definedName>
    <definedName name="FDGHREHK_1" hidden="1">{#N/A,#N/A,TRUE,"TMRSAMPLE";#N/A,#N/A,TRUE,"OPS";#N/A,#N/A,TRUE,"TMR"}</definedName>
    <definedName name="ＦＤＨＨＨＧ" hidden="1">{#N/A,#N/A,TRUE,"TMRSAMPLE";#N/A,#N/A,TRUE,"OPS";#N/A,#N/A,TRUE,"TMR"}</definedName>
    <definedName name="ＦＤＨＨＨＧ_1" hidden="1">{#N/A,#N/A,TRUE,"TMRSAMPLE";#N/A,#N/A,TRUE,"OPS";#N/A,#N/A,TRUE,"TMR"}</definedName>
    <definedName name="fdsaf" hidden="1">{#N/A,#N/A,TRUE,"Cover sheet";#N/A,#N/A,TRUE,"INPUTS";#N/A,#N/A,TRUE,"OUTPUTS";#N/A,#N/A,TRUE,"VALUATION"}</definedName>
    <definedName name="ＦＤＳＦだＧＨＨ" hidden="1">{#N/A,#N/A,TRUE,"TMRSAMPLE";#N/A,#N/A,TRUE,"OPS";#N/A,#N/A,TRUE,"TMR"}</definedName>
    <definedName name="ＦＤＳＦだＧＨＨ_1" hidden="1">{#N/A,#N/A,TRUE,"TMRSAMPLE";#N/A,#N/A,TRUE,"OPS";#N/A,#N/A,TRUE,"TMR"}</definedName>
    <definedName name="ＦＤＳＬＫＨＧＦＬＫ" hidden="1">{#N/A,#N/A,TRUE,"TMRSAMPLE";#N/A,#N/A,TRUE,"OPS";#N/A,#N/A,TRUE,"TMR"}</definedName>
    <definedName name="ＦＤＳＬＫＨＧＦＬＫ_1" hidden="1">{#N/A,#N/A,TRUE,"TMRSAMPLE";#N/A,#N/A,TRUE,"OPS";#N/A,#N/A,TRUE,"TMR"}</definedName>
    <definedName name="ＦＤさＧＦん" hidden="1">{#N/A,#N/A,TRUE,"TMRSAMPLE";#N/A,#N/A,TRUE,"OPS";#N/A,#N/A,TRUE,"TMR"}</definedName>
    <definedName name="ＦＤさＧＦん_1" hidden="1">{#N/A,#N/A,TRUE,"TMRSAMPLE";#N/A,#N/A,TRUE,"OPS";#N/A,#N/A,TRUE,"TMR"}</definedName>
    <definedName name="feret" hidden="1">{#N/A,#N/A,FALSE,"FREE"}</definedName>
    <definedName name="fert" hidden="1">{"Graphic",#N/A,TRUE,"Graphic"}</definedName>
    <definedName name="fert_1" hidden="1">{"Graphic",#N/A,TRUE,"Graphic"}</definedName>
    <definedName name="few" hidden="1">{#N/A,#N/A,FALSE,"PMTABB";#N/A,#N/A,FALSE,"PMTABB"}</definedName>
    <definedName name="fewt" hidden="1">{#N/A,#N/A,FALSE,"EW"}</definedName>
    <definedName name="ff" hidden="1">{"adj95mult",#N/A,FALSE,"COMPCO";"adj95est",#N/A,FALSE,"COMPCO"}</definedName>
    <definedName name="ff_1" hidden="1">{"adj95mult",#N/A,FALSE,"COMPCO";"adj95est",#N/A,FALSE,"COMPCO"}</definedName>
    <definedName name="ffefe" hidden="1">{"adj95mult",#N/A,FALSE,"COMPCO";"adj95est",#N/A,FALSE,"COMPCO"}</definedName>
    <definedName name="ffefe_1" hidden="1">{"adj95mult",#N/A,FALSE,"COMPCO";"adj95est",#N/A,FALSE,"COMPCO"}</definedName>
    <definedName name="ＦＦＬＫＨＧＦＬ" hidden="1">{#N/A,#N/A,TRUE,"TMRSAMPLE";#N/A,#N/A,TRUE,"OPS";#N/A,#N/A,TRUE,"TMR"}</definedName>
    <definedName name="ＦＦＬＫＨＧＦＬ_1" hidden="1">{#N/A,#N/A,TRUE,"TMRSAMPLE";#N/A,#N/A,TRUE,"OPS";#N/A,#N/A,TRUE,"TMR"}</definedName>
    <definedName name="fgdgdgd" hidden="1">#REF!</definedName>
    <definedName name="fgdsfdsf" hidden="1">[29]GROUPING!$F$440:$F$1029</definedName>
    <definedName name="FGHFDH"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fghfghr" hidden="1">{#N/A,#N/A,FALSE,"PGW"}</definedName>
    <definedName name="FGHFH" hidden="1">{#N/A,#N/A,FALSE,"PGW"}</definedName>
    <definedName name="fhg" hidden="1">{#N/A,#N/A,TRUE,"TMRSAMPLE";#N/A,#N/A,TRUE,"OPS";#N/A,#N/A,TRUE,"TMR"}</definedName>
    <definedName name="fhg_1" hidden="1">{#N/A,#N/A,TRUE,"TMRSAMPLE";#N/A,#N/A,TRUE,"OPS";#N/A,#N/A,TRUE,"TMR"}</definedName>
    <definedName name="fhhhh" hidden="1">{#N/A,#N/A,FALSE,"str_title";#N/A,#N/A,FALSE,"SUM";#N/A,#N/A,FALSE,"Scope";#N/A,#N/A,FALSE,"PIE-Jn";#N/A,#N/A,FALSE,"PIE-Jn_Hz";#N/A,#N/A,FALSE,"Liq_Plan";#N/A,#N/A,FALSE,"S_Curve";#N/A,#N/A,FALSE,"Liq_Prof";#N/A,#N/A,FALSE,"Man_Pwr";#N/A,#N/A,FALSE,"Man_Prof"}</definedName>
    <definedName name="FHJFJF"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fill" hidden="1">'[30]Sheet3 (2)'!$A$60:$A$76</definedName>
    <definedName name="fixed" hidden="1">#REF!</definedName>
    <definedName name="fjdalöfjdsalköfdjsalö" hidden="1">{#N/A,#N/A,TRUE,"Cover sheet";#N/A,#N/A,TRUE,"INPUTS";#N/A,#N/A,TRUE,"OUTPUTS";#N/A,#N/A,TRUE,"VALUATION"}</definedName>
    <definedName name="fjhgfd" hidden="1">{"'Sheet1'!$A$4386:$N$4591"}</definedName>
    <definedName name="ＦＫＨＧふぁ" hidden="1">{#N/A,#N/A,TRUE,"TMRSAMPLE";#N/A,#N/A,TRUE,"OPS";#N/A,#N/A,TRUE,"TMR"}</definedName>
    <definedName name="ＦＫＨＧふぁ_1" hidden="1">{#N/A,#N/A,TRUE,"TMRSAMPLE";#N/A,#N/A,TRUE,"OPS";#N/A,#N/A,TRUE,"TMR"}</definedName>
    <definedName name="FKJCK" hidden="1">{"'August 2000'!$A$1:$J$101"}</definedName>
    <definedName name="FKJHFJ" hidden="1">{"'Sheet1'!$L$16"}</definedName>
    <definedName name="ＦＬＫＪＧ" hidden="1">{#N/A,#N/A,TRUE,"TMRSAMPLE";#N/A,#N/A,TRUE,"OPS";#N/A,#N/A,TRUE,"TMR"}</definedName>
    <definedName name="ＦＬＫＪＧ_1" hidden="1">{#N/A,#N/A,TRUE,"TMRSAMPLE";#N/A,#N/A,TRUE,"OPS";#N/A,#N/A,TRUE,"TMR"}</definedName>
    <definedName name="FNFNF" hidden="1">{#N/A,#N/A,FALSE,"PMTABB";#N/A,#N/A,FALSE,"PMTABB"}</definedName>
    <definedName name="fo.xls" hidden="1">#REF!</definedName>
    <definedName name="Foreign" hidden="1">{#N/A,#N/A,FALSE,"PMTABB";#N/A,#N/A,FALSE,"PMTABB"}</definedName>
    <definedName name="form3cd" hidden="1">{#N/A,#N/A,FALSE,"Feuil";#N/A,#N/A,FALSE,"Feuil (2)";#N/A,#N/A,FALSE,"Feuil (3)";#N/A,#N/A,FALSE,"Feuil (4)";#N/A,#N/A,FALSE,"Feuil (5)";#N/A,#N/A,FALSE,"Feuil (6)";#N/A,#N/A,FALSE,"Feuil (7)";#N/A,#N/A,FALSE,"Feuil (8)";#N/A,#N/A,FALSE,"Feuil (9)";#N/A,#N/A,FALSE,"Feuil (10)";#N/A,#N/A,FALSE,"Feuil (11)";#N/A,#N/A,FALSE,"Feuil (12)";#N/A,#N/A,FALSE,"Feuil (13)";#N/A,#N/A,FALSE,"Feuil (14)";#N/A,#N/A,FALSE,"Feuil (15)";#N/A,#N/A,FALSE,"Feuil (16)"}</definedName>
    <definedName name="fsdfdfqewewer" hidden="1">{"qchm_dcf",#N/A,FALSE,"QCHMDCF2";"qchm_terminal",#N/A,FALSE,"QCHMDCF2"}</definedName>
    <definedName name="fsdfdfqewewer_1" hidden="1">{"qchm_dcf",#N/A,FALSE,"QCHMDCF2";"qchm_terminal",#N/A,FALSE,"QCHMDCF2"}</definedName>
    <definedName name="FSDFDS" hidden="1">{#N/A,#N/A,FALSE,"PMTABB";#N/A,#N/A,FALSE,"PMTABB"}</definedName>
    <definedName name="fsdfsdf" hidden="1">#REF!</definedName>
    <definedName name="ftr" hidden="1">{"Graphic",#N/A,TRUE,"Graphic"}</definedName>
    <definedName name="ftr_1" hidden="1">{"Graphic",#N/A,TRUE,"Graphic"}</definedName>
    <definedName name="ftss" hidden="1">{"FTS",#N/A,FALSE,"E"}</definedName>
    <definedName name="funds" hidden="1">{"'Sheet1'!$A$4386:$N$4591"}</definedName>
    <definedName name="fwef" hidden="1">{#N/A,#N/A,FALSE,"OSBL"}</definedName>
    <definedName name="ＦさＬＫＧＬＫＪ" hidden="1">{#N/A,#N/A,TRUE,"TMRSAMPLE";#N/A,#N/A,TRUE,"OPS";#N/A,#N/A,TRUE,"TMR"}</definedName>
    <definedName name="ＦさＬＫＧＬＫＪ_1" hidden="1">{#N/A,#N/A,TRUE,"TMRSAMPLE";#N/A,#N/A,TRUE,"OPS";#N/A,#N/A,TRUE,"TMR"}</definedName>
    <definedName name="g" hidden="1">{#N/A,#N/A,FALSE,"$0 equity - 0% costs";#N/A,#N/A,FALSE,"$0 equity - 5% costs";#N/A,#N/A,FALSE,"$0 equity - 10% costs"}</definedName>
    <definedName name="Gacl" hidden="1">{#N/A,#N/A,FALSE,"8"}</definedName>
    <definedName name="ge" hidden="1">{#N/A,#N/A,FALSE,"EW"}</definedName>
    <definedName name="gf"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_1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_1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_1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_1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_1_2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_1_2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_1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_1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_1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_1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_1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_1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_2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_2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_2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_2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_2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_2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_2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_2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_2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_2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_2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_2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_3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_3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_3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_3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_3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_3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_3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_3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_3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_3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_3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_3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_4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_4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_4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_4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_4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_4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_4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_4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_5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_5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_5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_5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_5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_5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_5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1_5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2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2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2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2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2_1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2_1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2_1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2_1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2_1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2_1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2_1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2_1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2_1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2_1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2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2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2_2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2_2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2_2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2_2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2_2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2_2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2_2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2_2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2_2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2_2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2_2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2_2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2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2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2_3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2_3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2_3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2_3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2_3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2_3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2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2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2_4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2_4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2_4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2_4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2_4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2_4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2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2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2_5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2_5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2_5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2_5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2_5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2_5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3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3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3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3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3_1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3_1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3_1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3_1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3_1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3_1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3_1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3_1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3_1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3_1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3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3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3_2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3_2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3_2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3_2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3_2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3_2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3_2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3_2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3_2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3_2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3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3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3_3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3_3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3_3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3_3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3_3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3_3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3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3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3_4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3_4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3_4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3_4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3_4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3_4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3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3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3_5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3_5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3_5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3_5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3_5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3_5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4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4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4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4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4_1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4_1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4_1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4_1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4_1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4_1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4_1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4_1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4_1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4_1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4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4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4_2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4_2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4_2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4_2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4_2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4_2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4_2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4_2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4_2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4_2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4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4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4_3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4_3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4_3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4_3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4_3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4_3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4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4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4_4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4_4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4_4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4_4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4_4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4_4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4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4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4_5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4_5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4_5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4_5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4_5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4_5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5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5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5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5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5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5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5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5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5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5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5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_5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gff"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gfg" hidden="1">{"mult96",#N/A,FALSE,"PETCOMP";"est96",#N/A,FALSE,"PETCOMP";"mult95",#N/A,FALSE,"PETCOMP";"est95",#N/A,FALSE,"PETCOMP";"multltm",#N/A,FALSE,"PETCOMP";"resultltm",#N/A,FALSE,"PETCOMP"}</definedName>
    <definedName name="gfg_1" hidden="1">{"mult96",#N/A,FALSE,"PETCOMP";"est96",#N/A,FALSE,"PETCOMP";"mult95",#N/A,FALSE,"PETCOMP";"est95",#N/A,FALSE,"PETCOMP";"multltm",#N/A,FALSE,"PETCOMP";"resultltm",#N/A,FALSE,"PETCOMP"}</definedName>
    <definedName name="gfh" hidden="1">{#N/A,#N/A,FALSE,"PMTABB";#N/A,#N/A,FALSE,"PMTABB"}</definedName>
    <definedName name="GFNFGJH" hidden="1">{#N/A,#N/A,FALSE,"TOWNSHIP"}</definedName>
    <definedName name="gg" hidden="1">{#N/A,#N/A,TRUE,"TMRSAMPLE";#N/A,#N/A,TRUE,"OPS";#N/A,#N/A,TRUE,"TMR"}</definedName>
    <definedName name="gg_1" hidden="1">{#N/A,#N/A,TRUE,"TMRSAMPLE";#N/A,#N/A,TRUE,"OPS";#N/A,#N/A,TRUE,"TMR"}</definedName>
    <definedName name="gg_2" hidden="1">{"adj95mult",#N/A,FALSE,"COMPCO";"adj95est",#N/A,FALSE,"COMPCO"}</definedName>
    <definedName name="GGF" hidden="1">{#N/A,#N/A,FALSE,"SUMMARY";#N/A,#N/A,FALSE,"SUMMARY"}</definedName>
    <definedName name="ggg" hidden="1">{#N/A,#N/A,TRUE,"TMRSAMPLE";#N/A,#N/A,TRUE,"OPS";#N/A,#N/A,TRUE,"TMR"}</definedName>
    <definedName name="ggg_1" hidden="1">{#N/A,#N/A,TRUE,"TMRSAMPLE";#N/A,#N/A,TRUE,"OPS";#N/A,#N/A,TRUE,"TMR"}</definedName>
    <definedName name="GGGGGG" hidden="1">{"'I-1 and I-2'!$A$1:$G$190"}</definedName>
    <definedName name="ggh" hidden="1">{"Graphic",#N/A,TRUE,"Graphic"}</definedName>
    <definedName name="ggh_1" hidden="1">{"Graphic",#N/A,TRUE,"Graphic"}</definedName>
    <definedName name="ggr" hidden="1">{"Graphic",#N/A,TRUE,"Graphic"}</definedName>
    <definedName name="ggr_1" hidden="1">{"Graphic",#N/A,TRUE,"Graphic"}</definedName>
    <definedName name="gh" hidden="1">{#N/A,#N/A,FALSE,"Index";#N/A,#N/A,FALSE,"IncStmt";#N/A,#N/A,FALSE,"Ratios";#N/A,#N/A,FALSE,"CashFlows";#N/A,#N/A,FALSE,"Ins1";#N/A,#N/A,FALSE,"Ins2";#N/A,#N/A,FALSE,"SelfFund";#N/A,#N/A,FALSE,"SGA";#N/A,#N/A,FALSE,"Recon";#N/A,#N/A,FALSE,"Earnings";#N/A,#N/A,FALSE,"Earnings (2)";#N/A,#N/A,FALSE,"Stock";#N/A,#N/A,FALSE,"Stock (2)";#N/A,#N/A,FALSE,"PeerRatios";#N/A,#N/A,FALSE,"PeerRanks"}</definedName>
    <definedName name="ghadr" hidden="1">{#N/A,#N/A,TRUE,"PR-QTY-LYE";#N/A,#N/A,TRUE,"PR-COST-LYE";#N/A,#N/A,TRUE,"PR-QTY-FLK";#N/A,#N/A,TRUE,"PR-COST-FLK"}</definedName>
    <definedName name="ghftdrtd" hidden="1">{"'August 2000'!$A$1:$J$101"}</definedName>
    <definedName name="ＧＨＧＪＧＦＪ" hidden="1">{#N/A,#N/A,TRUE,"TMRSAMPLE";#N/A,#N/A,TRUE,"OPS";#N/A,#N/A,TRUE,"TMR"}</definedName>
    <definedName name="ＧＨＧＪＧＦＪ_1" hidden="1">{#N/A,#N/A,TRUE,"TMRSAMPLE";#N/A,#N/A,TRUE,"OPS";#N/A,#N/A,TRUE,"TMR"}</definedName>
    <definedName name="GHGJHGH" hidden="1">#REF!</definedName>
    <definedName name="ghhg" hidden="1">{#N/A,#N/A,FALSE,"Index";#N/A,#N/A,FALSE,"IncStmt";#N/A,#N/A,FALSE,"Ratios";#N/A,#N/A,FALSE,"CashFlows";#N/A,#N/A,FALSE,"Ins1";#N/A,#N/A,FALSE,"Ins2";#N/A,#N/A,FALSE,"SelfFund";#N/A,#N/A,FALSE,"SGA";#N/A,#N/A,FALSE,"Recon";#N/A,#N/A,FALSE,"Earnings";#N/A,#N/A,FALSE,"Earnings (2)";#N/A,#N/A,FALSE,"Stock";#N/A,#N/A,FALSE,"Stock (2)";#N/A,#N/A,FALSE,"PeerRatios";#N/A,#N/A,FALSE,"PeerRanks"}</definedName>
    <definedName name="ＧＨＪ" hidden="1">{#N/A,#N/A,TRUE,"TMRSAMPLE";#N/A,#N/A,TRUE,"OPS";#N/A,#N/A,TRUE,"TMR"}</definedName>
    <definedName name="ＧＨＪ_1" hidden="1">{#N/A,#N/A,TRUE,"TMRSAMPLE";#N/A,#N/A,TRUE,"OPS";#N/A,#N/A,TRUE,"TMR"}</definedName>
    <definedName name="GHJTI" hidden="1">{#N/A,#N/A,FALSE,"FREE"}</definedName>
    <definedName name="gk0901int" hidden="1">{#N/A,#N/A,FALSE,"PMTABB";#N/A,#N/A,FALSE,"PMTABB"}</definedName>
    <definedName name="gqarefg" hidden="1">{#N/A,#N/A,FALSE,"PMTABB";#N/A,#N/A,FALSE,"PMTABB"}</definedName>
    <definedName name="gr" hidden="1">{#N/A,#N/A,FALSE,"SUMMARY";#N/A,#N/A,FALSE,"SUMMARY"}</definedName>
    <definedName name="graphs" hidden="1">{#N/A,#N/A,TRUE,"TMRSAMPLE";#N/A,#N/A,TRUE,"OPS";#N/A,#N/A,TRUE,"TMR"}</definedName>
    <definedName name="graphs_1" hidden="1">{#N/A,#N/A,TRUE,"TMRSAMPLE";#N/A,#N/A,TRUE,"OPS";#N/A,#N/A,TRUE,"TMR"}</definedName>
    <definedName name="gregergege"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GROUPING" hidden="1">#REF!</definedName>
    <definedName name="ＧＲさ" hidden="1">{#N/A,#N/A,TRUE,"TMRSAMPLE";#N/A,#N/A,TRUE,"OPS";#N/A,#N/A,TRUE,"TMR"}</definedName>
    <definedName name="ＧＲさ_1" hidden="1">{#N/A,#N/A,TRUE,"TMRSAMPLE";#N/A,#N/A,TRUE,"OPS";#N/A,#N/A,TRUE,"TMR"}</definedName>
    <definedName name="gsfds"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gsfds_1"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gtbrtbrr" hidden="1">{#N/A,#N/A,FALSE,"Index";#N/A,#N/A,FALSE,"IncStmt";#N/A,#N/A,FALSE,"Ratios";#N/A,#N/A,FALSE,"CashFlows";#N/A,#N/A,FALSE,"Ins1";#N/A,#N/A,FALSE,"Ins2";#N/A,#N/A,FALSE,"SelfFund";#N/A,#N/A,FALSE,"SGA";#N/A,#N/A,FALSE,"Recon";#N/A,#N/A,FALSE,"Earnings";#N/A,#N/A,FALSE,"Earnings (2)";#N/A,#N/A,FALSE,"Stock";#N/A,#N/A,FALSE,"Stock (2)";#N/A,#N/A,FALSE,"PeerRatios";#N/A,#N/A,FALSE,"PeerRanks"}</definedName>
    <definedName name="gwergwr" hidden="1">{#N/A,#N/A,FALSE,"ISBL"}</definedName>
    <definedName name="GX" hidden="1">{#N/A,#N/A,TRUE,"TMRSAMPLE";#N/A,#N/A,TRUE,"OPS";#N/A,#N/A,TRUE,"TMR"}</definedName>
    <definedName name="GX_1" hidden="1">{#N/A,#N/A,TRUE,"TMRSAMPLE";#N/A,#N/A,TRUE,"OPS";#N/A,#N/A,TRUE,"TMR"}</definedName>
    <definedName name="h" hidden="1">{#N/A,#N/A,FALSE,"$100 equity - 0% costs";#N/A,#N/A,FALSE,"$100 equity - 5% costs";#N/A,#N/A,FALSE,"$50 equity - 0% costs";#N/A,#N/A,FALSE,"$100 equity - 10% costs";#N/A,#N/A,FALSE,"$50 equity - 5% costs";#N/A,#N/A,FALSE,"$50 equity - 10% costs";#N/A,#N/A,FALSE,"$150 equity - 0% costs";#N/A,#N/A,FALSE,"$150 equity - 5% costs";#N/A,#N/A,FALSE,"$150 equity - 10% costs";#N/A,#N/A,FALSE,"Summary";#N/A,#N/A,FALSE,"$0 equity - 0% costs";#N/A,#N/A,FALSE,"$0 equity - 5% costs";#N/A,#N/A,FALSE,"$0 equity - 10% costs"}</definedName>
    <definedName name="hap" hidden="1">{#N/A,#N/A,FALSE,"COVER1.XLS ";#N/A,#N/A,FALSE,"RACT1.XLS";#N/A,#N/A,FALSE,"RACT2.XLS";#N/A,#N/A,FALSE,"ECCMP";#N/A,#N/A,FALSE,"WELDER.XLS"}</definedName>
    <definedName name="HCV.WEEKLY" hidden="1">{#N/A,#N/A,FALSE,"SUMMARY REPORT"}</definedName>
    <definedName name="ＨＤＦＨＴＪＴＲ" hidden="1">{#N/A,#N/A,TRUE,"TMRSAMPLE";#N/A,#N/A,TRUE,"OPS";#N/A,#N/A,TRUE,"TMR"}</definedName>
    <definedName name="ＨＤＦＨＴＪＴＲ_1" hidden="1">{#N/A,#N/A,TRUE,"TMRSAMPLE";#N/A,#N/A,TRUE,"OPS";#N/A,#N/A,TRUE,"TMR"}</definedName>
    <definedName name="hdgxhg" hidden="1">'[31]Balance sheet'!#REF!</definedName>
    <definedName name="ＨＤＳＨＤＳＨＨＦＤＳ" hidden="1">{#N/A,#N/A,TRUE,"TMRSAMPLE";#N/A,#N/A,TRUE,"OPS";#N/A,#N/A,TRUE,"TMR"}</definedName>
    <definedName name="ＨＤＳＨＤＳＨＨＦＤＳ_1" hidden="1">{#N/A,#N/A,TRUE,"TMRSAMPLE";#N/A,#N/A,TRUE,"OPS";#N/A,#N/A,TRUE,"TMR"}</definedName>
    <definedName name="ＨＤＳＨＨＨＤＳ" hidden="1">{#N/A,#N/A,TRUE,"TMRSAMPLE";#N/A,#N/A,TRUE,"OPS";#N/A,#N/A,TRUE,"TMR"}</definedName>
    <definedName name="ＨＤＳＨＨＨＤＳ_1" hidden="1">{#N/A,#N/A,TRUE,"TMRSAMPLE";#N/A,#N/A,TRUE,"OPS";#N/A,#N/A,TRUE,"TMR"}</definedName>
    <definedName name="ＨＤＳＨＳＨＳＨＤＳ" hidden="1">{#N/A,#N/A,TRUE,"TMRSAMPLE";#N/A,#N/A,TRUE,"OPS";#N/A,#N/A,TRUE,"TMR"}</definedName>
    <definedName name="ＨＤＳＨＳＨＳＨＤＳ_1" hidden="1">{#N/A,#N/A,TRUE,"TMRSAMPLE";#N/A,#N/A,TRUE,"OPS";#N/A,#N/A,TRUE,"TMR"}</definedName>
    <definedName name="Header1" localSheetId="25" hidden="1">IF(COUNTA(#REF!)=0,0,INDEX(#REF!,MATCH(ROW(#REF!),#REF!,TRUE)))+1</definedName>
    <definedName name="Header1" hidden="1">IF(COUNTA(#REF!)=0,0,INDEX(#REF!,MATCH(ROW(#REF!),#REF!,TRUE)))+1</definedName>
    <definedName name="Header2" localSheetId="25" hidden="1">CMA!Header1-1 &amp; "." &amp; MAX(1,COUNTA(INDEX(#REF!,MATCH(CMA!Header1-1,#REF!,FALSE)):#REF!))</definedName>
    <definedName name="Header2" hidden="1">[32]!Header1-1 &amp; "." &amp; MAX(1,COUNTA(INDEX(#REF!,MATCH([32]!Header1-1,#REF!,FALSE)):#REF!))</definedName>
    <definedName name="Hemas" hidden="1">{"'August 2000'!$A$1:$J$101"}</definedName>
    <definedName name="herher"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HFGJM" hidden="1">{#N/A,#N/A,FALSE,"PGW"}</definedName>
    <definedName name="HFUJYT" hidden="1">{#N/A,#N/A,FALSE,"PMTABB";#N/A,#N/A,FALSE,"PMTABB"}</definedName>
    <definedName name="ＨＧＤＳＨＨＨＳＧ" hidden="1">{#N/A,#N/A,TRUE,"TMRSAMPLE";#N/A,#N/A,TRUE,"OPS";#N/A,#N/A,TRUE,"TMR"}</definedName>
    <definedName name="ＨＧＤＳＨＨＨＳＧ_1" hidden="1">{#N/A,#N/A,TRUE,"TMRSAMPLE";#N/A,#N/A,TRUE,"OPS";#N/A,#N/A,TRUE,"TMR"}</definedName>
    <definedName name="hghfdg\" hidden="1">{"'August 2000'!$A$1:$J$101"}</definedName>
    <definedName name="HGMYGJ" hidden="1">{#N/A,#N/A,FALSE,"OSBL"}</definedName>
    <definedName name="hgwr" hidden="1">{#N/A,#N/A,FALSE,"PGW"}</definedName>
    <definedName name="hhh"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hhhhh" hidden="1">{#N/A,#N/A,FALSE,"Index";#N/A,#N/A,FALSE,"IncStmt";#N/A,#N/A,FALSE,"Ratios";#N/A,#N/A,FALSE,"CashFlows";#N/A,#N/A,FALSE,"Ins1";#N/A,#N/A,FALSE,"Ins2";#N/A,#N/A,FALSE,"SelfFund";#N/A,#N/A,FALSE,"SGA";#N/A,#N/A,FALSE,"Recon";#N/A,#N/A,FALSE,"Earnings";#N/A,#N/A,FALSE,"Earnings (2)";#N/A,#N/A,FALSE,"Stock";#N/A,#N/A,FALSE,"Stock (2)";#N/A,#N/A,FALSE,"PeerRatios";#N/A,#N/A,FALSE,"PeerRanks"}</definedName>
    <definedName name="hhtjgj" hidden="1">{"'Sheet1'!$L$16"}</definedName>
    <definedName name="HiddenRows" hidden="1">#REF!</definedName>
    <definedName name="HJDKS" hidden="1">{#N/A,#N/A,TRUE,"TMRSAMPLE";#N/A,#N/A,TRUE,"OPS";#N/A,#N/A,TRUE,"TMR"}</definedName>
    <definedName name="HJDKS_1" hidden="1">{#N/A,#N/A,TRUE,"TMRSAMPLE";#N/A,#N/A,TRUE,"OPS";#N/A,#N/A,TRUE,"TMR"}</definedName>
    <definedName name="hjflj" hidden="1">#REF!</definedName>
    <definedName name="HJJHJG" hidden="1">#REF!</definedName>
    <definedName name="hjkfh_control" hidden="1">{"'August 2000'!$A$1:$J$101"}</definedName>
    <definedName name="HJUY" hidden="1">{#N/A,#N/A,TRUE,"TMRSAMPLE";#N/A,#N/A,TRUE,"OPS";#N/A,#N/A,TRUE,"TMR"}</definedName>
    <definedName name="HJUY_1" hidden="1">{#N/A,#N/A,TRUE,"TMRSAMPLE";#N/A,#N/A,TRUE,"OPS";#N/A,#N/A,TRUE,"TMR"}</definedName>
    <definedName name="HKA" hidden="1">'[33]#REF'!$A$10:$A$57</definedName>
    <definedName name="hl" hidden="1">'[34]COST SHEET'!#REF!</definedName>
    <definedName name="hn.ConvertZero1" hidden="1">[35]LTM!$G$461:$J$461,[35]LTM!$G$463:$J$464,[35]LTM!$G$468:$J$469,[35]LTM!$G$473:$J$475,[35]LTM!$G$480:$J$480,[35]LTM!$G$484:$J$485,[35]LTM!$G$490:$J$490,[35]LTM!$G$514:$J$518,[35]LTM!$G$525:$J$526,[35]LTM!$G$532:$J$537</definedName>
    <definedName name="hn.ConvertZero2" hidden="1">[35]LTM!$G$560:$J$560,[35]LTM!$H$590:$J$591,[35]LTM!$H$614:$J$614,[35]LTM!$H$635:$J$636,[35]LTM!$G$676:$J$680,[35]LTM!$G$686:$J$686,[35]LTM!$G$688:$J$694,[35]LTM!$G$681:$J$682</definedName>
    <definedName name="hn.ConvertZero3" hidden="1">[35]LTM!$G$699:$J$706,[35]LTM!$G$710:$J$714,[35]LTM!$G$717:$J$734,[35]LTM!$G$738:$J$738,[35]LTM!$G$745:$J$751</definedName>
    <definedName name="hn.ConvertZero4" hidden="1">[35]LTM!$G$840:$J$840,[35]LTM!$H$1266:$J$1266,[35]LTM!$G$1267:$J$1267,[35]LTM!$G$1454:$J$1461,[35]LTM!$J$1462,[35]LTM!$J$1463,[35]LTM!$G$1468:$J$1469,[35]LTM!$L$1469:$N$1469</definedName>
    <definedName name="hn.ConvertZeroUnhide1" hidden="1">[35]LTM!$G$1469:$J$1469,[35]LTM!$L$1469:$N$1469,[35]LTM!$H$1266:$J$1266</definedName>
    <definedName name="hn.Delete015" hidden="1">'[35]CREDIT STATS'!$B$9:$K$11,'[35]CREDIT STATS'!$O$11:$X$14,'[35]CREDIT STATS'!$B$25:$K$30,'[35]CREDIT STATS'!$O$25:$X$26</definedName>
    <definedName name="hn.DZ_MultByFXRates" hidden="1">[35]DropZone!$B$2:$I$118,[35]DropZone!$B$120:$I$132,[35]DropZone!$B$134:$I$136,[35]DropZone!$B$138:$I$146</definedName>
    <definedName name="hn.ExtDb" hidden="1">FALSE</definedName>
    <definedName name="hn.LTM_MultByFXRates" hidden="1">[35]LTM!$G$461:$N$477,[35]LTM!$G$480:$N$539,[35]LTM!$G$548:$N$667,[35]LTM!$G$676:$N$1266,[35]LTM!$G$1454:$N$1461,[35]LTM!$G$1463:$N$1465,[35]LTM!$G$1468:$N$1469</definedName>
    <definedName name="hn.ModelType" hidden="1">"DEAL"</definedName>
    <definedName name="hn.ModelVersion" hidden="1">1</definedName>
    <definedName name="hn.MultbyFXRates" hidden="1">[35]LTM!$G$461:$N$477,[35]LTM!$G$480:$N$539,[35]LTM!$G$548:$N$667,[35]LTM!$G$676:$N$1266,[35]LTM!$G$1454:$N$1461,[35]LTM!$G$1463:$N$1465,[35]LTM!$G$1468:$N$1469</definedName>
    <definedName name="hn.MultByFXRates1" hidden="1">[35]LTM!$G$461:$G$477,[35]LTM!$G$480:$G$539,[35]LTM!$G$548:$G$562,[35]LTM!$G$676:$G$840,[35]LTM!$G$1454:$G$1469</definedName>
    <definedName name="hn.MultByFXRates2" hidden="1">[35]LTM!$H$461:$H$477,[35]LTM!$H$480:$H$539,[35]LTM!$H$548:$H$667,[35]LTM!$H$676:$H$1266,[35]LTM!$H$1454:$H$1469</definedName>
    <definedName name="hn.MultByFXRates3" hidden="1">[35]LTM!$I$461:$I$477,[35]LTM!$I$480:$I$539,[35]LTM!$I$548:$I$667,[35]LTM!$I$676:$I$1266,[35]LTM!$I$1454:$I$1469</definedName>
    <definedName name="hn.MultbyFxrates4" hidden="1">[35]LTM!$J$461:$J$477,[35]LTM!$J$480:$J$539,[35]LTM!$J$548:$J$668,[35]LTM!$J$676:$J$1266,[35]LTM!$J$1454:$J$1461,[35]LTM!$J$1463:$J$1465,[35]LTM!$J$1468</definedName>
    <definedName name="hn.multbyfxrates5" hidden="1">[35]LTM!$L$461:$L$477,[35]LTM!$L$480:$L$539,[35]LTM!$L$548:$L$562,[35]LTM!$L$676:$L$840,[35]LTM!$L$1454:$L$1469</definedName>
    <definedName name="hn.multbyfxrates6" hidden="1">[35]LTM!$M$461:$M$477,[35]LTM!$M$480:$M$539,[35]LTM!$M$548:$M$668,[35]LTM!$M$676:$M$1266,[35]LTM!$M$1454:$M$1469</definedName>
    <definedName name="hn.multbyfxrates7" hidden="1">[35]LTM!$N$461:$N$477,[35]LTM!$N$480:$N$539,[35]LTM!$N$548:$N$667,[35]LTM!$N$676:$N$1266,[35]LTM!$N$1454:$N$1469</definedName>
    <definedName name="hn.MultByFXRatesBot1" hidden="1">[35]LTM!$G$676:$G$682,[35]LTM!$G$686,[35]LTM!$G$688:$G$694,[35]LTM!$G$699:$G$706,[35]LTM!$G$710:$G$714,[35]LTM!$G$717:$G$734,[35]LTM!$G$738,[35]LTM!$G$738,[35]LTM!$G$745:$G$751,[35]LTM!$G$840,[35]LTM!$G$1454:$G$1461,[35]LTM!$G$1468:$G$1469</definedName>
    <definedName name="hn.MultByFXRatesBot2" hidden="1">[35]LTM!$H$676:$H$682,[35]LTM!$H$686,[35]LTM!$H$688:$H$694,[35]LTM!$H$699:$H$706,[35]LTM!$H$710:$H$714,[35]LTM!$H$717:$H$734,[35]LTM!$H$738,[35]LTM!$H$745:$H$751,[35]LTM!$H$840,[35]LTM!$H$1266,[35]LTM!$H$1454:$H$1461,[35]LTM!$H$1468:$H$1469</definedName>
    <definedName name="hn.MultByFXRatesBot3" hidden="1">[35]LTM!$I$676:$I$682,[35]LTM!$I$686,[35]LTM!$I$688:$I$694,[35]LTM!$I$699:$I$706,[35]LTM!$I$710:$I$714,[35]LTM!$I$717:$I$734,[35]LTM!$I$738,[35]LTM!$I$745:$I$751,[35]LTM!$I$840,[35]LTM!$I$1266,[35]LTM!$I$1454:$I$1461,[35]LTM!$I$1468:$I$1469</definedName>
    <definedName name="hn.MultByFXRatesBot4" hidden="1">[35]LTM!$J$676:$J$682,[35]LTM!$J$686,[35]LTM!$J$688:$J$694,[35]LTM!$J$699:$J$706,[35]LTM!$J$710:$J$714,[35]LTM!$J$717:$J$734,[35]LTM!$J$738,[35]LTM!$J$745:$J$751,[35]LTM!$J$840,[35]LTM!$J$1266,[35]LTM!$J$1454:$J$1461,[35]LTM!$J$1463:$J$1465,[35]LTM!$J$1468</definedName>
    <definedName name="hn.MultByFXRatesBot5" hidden="1">[35]LTM!$L$676:$L$682,[35]LTM!$L$686,[35]LTM!$L$688:$L$694,[35]LTM!$L$699:$L$706,[35]LTM!$L$710:$L$714,[35]LTM!$L$717:$L$734,[35]LTM!$L$738,[35]LTM!$L$745:$L$751,[35]LTM!$L$837:$L$838,[35]LTM!$L$1454:$L$1458,[35]LTM!$L$1468:$L$1469</definedName>
    <definedName name="hn.MultByFXRatesBot6" hidden="1">[35]LTM!$M$676:$M$682,[35]LTM!$M$686,[35]LTM!$M$688:$M$694,[35]LTM!$M$699:$M$706,[35]LTM!$M$710:$M$714,[35]LTM!$M$717:$M$734,[35]LTM!$M$738,[35]LTM!$M$745:$M$751,[35]LTM!$M$837:$M$838,[35]LTM!$M$1454:$M$1458,[35]LTM!$M$1468:$M$1469</definedName>
    <definedName name="hn.MultByFXRatesBot7" hidden="1">[35]LTM!$N$676:$N$682,[35]LTM!$N$686,[35]LTM!$N$688:$N$694,[35]LTM!$N$699:$N$706,[35]LTM!$N$710:$N$714,[35]LTM!$N$717:$N$734,[35]LTM!$N$738,[35]LTM!$N$745:$N$751,[35]LTM!$N$837:$N$838,[35]LTM!$N$1454:$N$1458,[35]LTM!$N$1468:$N$1469</definedName>
    <definedName name="hn.MultByFXRatesTop1" hidden="1">[35]LTM!$G$461,[35]LTM!$G$463:$G$464,[35]LTM!$G$468:$G$469,[35]LTM!$G$473:$G$475,[35]LTM!$G$480,[35]LTM!$G$484:$G$485,[35]LTM!$G$490:$G$509,[35]LTM!$G$512,[35]LTM!$G$514:$G$518,[35]LTM!$G$525:$G$526,[35]LTM!$G$532:$G$537,[35]LTM!$G$560</definedName>
    <definedName name="hn.MultByFXRatesTop2" hidden="1">[35]LTM!$H$461,[35]LTM!$H$463:$H$464,[35]LTM!$H$468:$H$469,[35]LTM!$H$473:$H$475,[35]LTM!$H$480,[35]LTM!$H$484:$H$485,[35]LTM!$H$490:$H$509,[35]LTM!$H$512,[35]LTM!$H$514:$H$518,[35]LTM!$H$525:$H$526,[35]LTM!$H$532:$H$537,[35]LTM!$H$560,[35]LTM!$H$590:$H$591,[35]LTM!$H$614:$H$631,[35]LTM!$H$635:$H$636</definedName>
    <definedName name="hn.MultByFXRatesTop3" hidden="1">[35]LTM!$I$461,[35]LTM!$I$463:$I$464,[35]LTM!$I$468:$I$469,[35]LTM!$I$473:$I$475,[35]LTM!$I$480,[35]LTM!$I$484:$I$485,[35]LTM!$I$490:$I$509,[35]LTM!$I$512,[35]LTM!$I$514:$I$518,[35]LTM!$I$525:$I$526,[35]LTM!$I$532:$I$537,[35]LTM!$I$560,[35]LTM!$I$590:$I$591,[35]LTM!$I$614:$I$631,[35]LTM!$I$635:$I$636</definedName>
    <definedName name="hn.MultByFXRatesTop4" hidden="1">[35]LTM!$J$461,[35]LTM!$J$463:$J$464,[35]LTM!$J$468:$J$469,[35]LTM!$J$473:$J$475,[35]LTM!$J$480,[35]LTM!$J$484:$J$485,[35]LTM!$J$490:$J$509,[35]LTM!$J$512,[35]LTM!$J$514:$J$518,[35]LTM!$J$525:$J$526,[35]LTM!$J$532:$J$537,[35]LTM!$J$560,[35]LTM!$J$590:$J$591,[35]LTM!$J$614:$J$631,[35]LTM!$J$635:$J$636</definedName>
    <definedName name="hn.MultByFXRatesTop5" hidden="1">[35]LTM!$L$461,[35]LTM!$L$463:$L$464,[35]LTM!$L$468:$L$469,[35]LTM!$L$473:$L$475,[35]LTM!$L$480,[35]LTM!$L$484:$L$485,[35]LTM!$L$490:$L$509,[35]LTM!$L$512,[35]LTM!$L$514:$L$518,[35]LTM!$L$525:$L$526,[35]LTM!$L$532:$L$537,[35]LTM!$L$560</definedName>
    <definedName name="hn.MultByFXRatesTop6" hidden="1">[35]LTM!$M$461,[35]LTM!$M$463:$M$464,[35]LTM!$M$468:$M$469,[35]LTM!$M$473:$M$475,[35]LTM!$M$480,[35]LTM!$M$484:$M$485,[35]LTM!$M$490:$M$509,[35]LTM!$M$512,[35]LTM!$M$514:$M$518,[35]LTM!$M$525:$M$526,[35]LTM!$M$532:$M$537,[35]LTM!$M$560,[35]LTM!$M$590:$M$591,[35]LTM!$M$614:$M$631,[35]LTM!$M$635:$M$636</definedName>
    <definedName name="hn.MultByFXRatesTop7" hidden="1">[35]LTM!$N$461,[35]LTM!$N$463:$N$464,[35]LTM!$N$468:$N$469,[35]LTM!$N$473:$N$475,[35]LTM!$N$480,[35]LTM!$N$484:$N$485,[35]LTM!$N$490:$N$509,[35]LTM!$N$512,[35]LTM!$N$514:$N$518,[35]LTM!$N$525:$N$526,[35]LTM!$N$532:$N$537,[35]LTM!$N$560,[35]LTM!$N$590:$N$591,[35]LTM!$N$614:$N$631,[35]LTM!$N$635:$N$636</definedName>
    <definedName name="hn.NoUpload" hidden="1">0</definedName>
    <definedName name="hn.YearLabel" hidden="1">#REF!</definedName>
    <definedName name="HOPIP" hidden="1">{#N/A,#N/A,FALSE,"PMTABB";#N/A,#N/A,FALSE,"PMTABB"}</definedName>
    <definedName name="HP" hidden="1">{"'BUILDINGS'!$B$3:$D$46","'DSR97'!$C$4:$I$20","'DSR97'!$C$16"}</definedName>
    <definedName name="HRD" hidden="1">[36]bb!#REF!</definedName>
    <definedName name="hre" hidden="1">{#N/A,#N/A,FALSE,"TOWNSHIP"}</definedName>
    <definedName name="hsm" hidden="1">{"FTS",#N/A,FALSE,"E"}</definedName>
    <definedName name="ＨＳじぇうＲＹＮ" hidden="1">{#N/A,#N/A,TRUE,"TMRSAMPLE";#N/A,#N/A,TRUE,"OPS";#N/A,#N/A,TRUE,"TMR"}</definedName>
    <definedName name="ＨＳじぇうＲＹＮ_1" hidden="1">{#N/A,#N/A,TRUE,"TMRSAMPLE";#N/A,#N/A,TRUE,"OPS";#N/A,#N/A,TRUE,"TMR"}</definedName>
    <definedName name="ＨＴＨＴＨＴＨＴ" hidden="1">{#N/A,#N/A,TRUE,"TMRSAMPLE";#N/A,#N/A,TRUE,"OPS";#N/A,#N/A,TRUE,"TMR"}</definedName>
    <definedName name="ＨＴＨＴＨＴＨＴ_1" hidden="1">{#N/A,#N/A,TRUE,"TMRSAMPLE";#N/A,#N/A,TRUE,"OPS";#N/A,#N/A,TRUE,"TMR"}</definedName>
    <definedName name="ＨＴＨＴＨＴＨＴＲ" hidden="1">{#N/A,#N/A,TRUE,"TMRSAMPLE";#N/A,#N/A,TRUE,"OPS";#N/A,#N/A,TRUE,"TMR"}</definedName>
    <definedName name="ＨＴＨＴＨＴＨＴＲ_1" hidden="1">{#N/A,#N/A,TRUE,"TMRSAMPLE";#N/A,#N/A,TRUE,"OPS";#N/A,#N/A,TRUE,"TMR"}</definedName>
    <definedName name="ＨＴＨＴＨＴＲＨＴＲ" hidden="1">{#N/A,#N/A,TRUE,"TMRSAMPLE";#N/A,#N/A,TRUE,"OPS";#N/A,#N/A,TRUE,"TMR"}</definedName>
    <definedName name="ＨＴＨＴＨＴＲＨＴＲ_1" hidden="1">{#N/A,#N/A,TRUE,"TMRSAMPLE";#N/A,#N/A,TRUE,"OPS";#N/A,#N/A,TRUE,"TMR"}</definedName>
    <definedName name="HTML_CodePage" hidden="1">1252</definedName>
    <definedName name="HTML_Control" localSheetId="16" hidden="1">{"'Sheet1'!$A$4386:$N$4591"}</definedName>
    <definedName name="HTML_Control" hidden="1">{"'August 2000'!$A$1:$J$101"}</definedName>
    <definedName name="HTML_Control_1" hidden="1">{"'August 2000'!$A$1:$J$101"}</definedName>
    <definedName name="HTML_Control_1_1" hidden="1">{"'August 2000'!$A$1:$J$101"}</definedName>
    <definedName name="HTML_Control_2" hidden="1">{"'August 2000'!$A$1:$J$101"}</definedName>
    <definedName name="HTML_Control_2_1" hidden="1">{"'August 2000'!$A$1:$J$101"}</definedName>
    <definedName name="HTML_Control_3" hidden="1">{"'August 2000'!$A$1:$J$101"}</definedName>
    <definedName name="HTML_control1" hidden="1">{"'August 2000'!$A$1:$J$101"}</definedName>
    <definedName name="HTML_control1_1" hidden="1">{"'August 2000'!$A$1:$J$101"}</definedName>
    <definedName name="HTML_control1_1_1" hidden="1">{"'August 2000'!$A$1:$J$101"}</definedName>
    <definedName name="HTML_control1_2" hidden="1">{"'August 2000'!$A$1:$J$101"}</definedName>
    <definedName name="HTML_control1_2_1" hidden="1">{"'August 2000'!$A$1:$J$101"}</definedName>
    <definedName name="HTML_control1_3" hidden="1">{"'August 2000'!$A$1:$J$101"}</definedName>
    <definedName name="HTML_control2" localSheetId="16" hidden="1">{"'Sheet1'!$A$4386:$N$4591"}</definedName>
    <definedName name="HTML_Control2" hidden="1">{"'Sheet1'!$A$1:$H$15"}</definedName>
    <definedName name="HTML_Control2_1" hidden="1">{"'Sheet1'!$A$1:$H$15"}</definedName>
    <definedName name="HTML_Description" hidden="1">""</definedName>
    <definedName name="HTML_Email" localSheetId="16" hidden="1">""</definedName>
    <definedName name="HTML_Email" hidden="1">"neerajk@ranbaxy.co.in"</definedName>
    <definedName name="HTML_Email_1" hidden="1">"neerajk@ranbaxy.co.in"</definedName>
    <definedName name="HTML_Header" localSheetId="16" hidden="1">"Sheet1"</definedName>
    <definedName name="HTML_Header" hidden="1">"September 2000"</definedName>
    <definedName name="HTML_Header_1" hidden="1">"September 2000"</definedName>
    <definedName name="HTML_LastUpdate" localSheetId="16" hidden="1">"7/1/03"</definedName>
    <definedName name="HTML_LastUpdate" hidden="1">"10/3/00"</definedName>
    <definedName name="HTML_LastUpdate_1" hidden="1">"10/3/00"</definedName>
    <definedName name="HTML_LineAfter" hidden="1">FALSE</definedName>
    <definedName name="HTML_LineBefore" hidden="1">FALSE</definedName>
    <definedName name="HTML_Name" localSheetId="16" hidden="1">"m.p.raval"</definedName>
    <definedName name="HTML_Name" hidden="1">"Neeraj Kukreti"</definedName>
    <definedName name="HTML_Name_1" hidden="1">"Neeraj Kukreti"</definedName>
    <definedName name="HTML_OBDlg2" hidden="1">TRUE</definedName>
    <definedName name="HTML_OBDlg3" hidden="1">TRUE</definedName>
    <definedName name="HTML_OBDlg4" hidden="1">TRUE</definedName>
    <definedName name="HTML_OS" hidden="1">0</definedName>
    <definedName name="HTML_PathFile" localSheetId="16" hidden="1">"A:\MyHTML.htm"</definedName>
    <definedName name="HTML_PathFile" hidden="1">"C:\WINDOWS\Desktop\cash_flash.htm"</definedName>
    <definedName name="HTML_PathFile_1" hidden="1">"C:\WINDOWS\Desktop\cash_flash.htm"</definedName>
    <definedName name="HTML_PathFileMac" hidden="1">"Macintosh HD:HomePageStuff:New_Home_Page:datafile:ctryprem.html"</definedName>
    <definedName name="HTML_PathTemplate" hidden="1">"C:\infac\pricewth\Aug99\Page06e.htm"</definedName>
    <definedName name="HTML_Title" localSheetId="16" hidden="1">"SGSDaily Progress Report Piyaj toDharoi Pipeline"</definedName>
    <definedName name="HTML_Title" hidden="1">"cf_SEP2000"</definedName>
    <definedName name="HTML_Title_1" hidden="1">"cf_SEP2000"</definedName>
    <definedName name="HTML1_1" hidden="1">"'[cabvisdr.xls]G1 OA plan'!$A$6:$G$22"</definedName>
    <definedName name="HTML1_10" hidden="1">""</definedName>
    <definedName name="HTML1_11" hidden="1">1</definedName>
    <definedName name="HTML1_12" hidden="1">"C:\jb3\MyHTML.htm"</definedName>
    <definedName name="HTML1_2" hidden="1">1</definedName>
    <definedName name="HTML1_3" hidden="1">"cabvisdr"</definedName>
    <definedName name="HTML1_4" hidden="1">"G1 OA plan"</definedName>
    <definedName name="HTML1_5" hidden="1">""</definedName>
    <definedName name="HTML1_6" hidden="1">1</definedName>
    <definedName name="HTML1_7" hidden="1">-4146</definedName>
    <definedName name="HTML1_8" hidden="1">"12/01/99"</definedName>
    <definedName name="HTML1_9" hidden="1">"John Brogan"</definedName>
    <definedName name="HTML1_Control" hidden="1">{"'PS-SOTM'!$A$1","'PS-SOTM'!$A$2:$M$30","'PS-SOTM'!$A$31:$A$38"}</definedName>
    <definedName name="HTMLCount" hidden="1">1</definedName>
    <definedName name="ＨＴＲＨＴＲＨＴＲ" hidden="1">{#N/A,#N/A,TRUE,"TMRSAMPLE";#N/A,#N/A,TRUE,"OPS";#N/A,#N/A,TRUE,"TMR"}</definedName>
    <definedName name="ＨＴＲＨＴＲＨＴＲ_1" hidden="1">{#N/A,#N/A,TRUE,"TMRSAMPLE";#N/A,#N/A,TRUE,"OPS";#N/A,#N/A,TRUE,"TMR"}</definedName>
    <definedName name="ＨＴＲＨＴＲＨＴＲＨＴＲ" hidden="1">{#N/A,#N/A,TRUE,"TMRSAMPLE";#N/A,#N/A,TRUE,"OPS";#N/A,#N/A,TRUE,"TMR"}</definedName>
    <definedName name="ＨＴＲＨＴＲＨＴＲＨＴＲ_1" hidden="1">{#N/A,#N/A,TRUE,"TMRSAMPLE";#N/A,#N/A,TRUE,"OPS";#N/A,#N/A,TRUE,"TMR"}</definedName>
    <definedName name="huy" hidden="1">{"'Sheet1'!$L$16"}</definedName>
    <definedName name="hw" hidden="1">{#N/A,#N/A,FALSE,"SUMMARY";#N/A,#N/A,FALSE,"SUMMARY"}</definedName>
    <definedName name="IAM" hidden="1">{"'Sheet1'!$A$4386:$N$4591"}</definedName>
    <definedName name="IDReference" hidden="1">"A1"</definedName>
    <definedName name="IHGRHJA" hidden="1">{#N/A,#N/A,TRUE,"TMRSAMPLE";#N/A,#N/A,TRUE,"OPS";#N/A,#N/A,TRUE,"TMR"}</definedName>
    <definedName name="IHGRHJA_1" hidden="1">{#N/A,#N/A,TRUE,"TMRSAMPLE";#N/A,#N/A,TRUE,"OPS";#N/A,#N/A,TRUE,"TMR"}</definedName>
    <definedName name="II_control" hidden="1">{"'August 2000'!$A$1:$J$101"}</definedName>
    <definedName name="IID" hidden="1">{"qchm_dcf",#N/A,FALSE,"QCHMDCF2";"qchm_terminal",#N/A,FALSE,"QCHMDCF2"}</definedName>
    <definedName name="IID_1" hidden="1">{"qchm_dcf",#N/A,FALSE,"QCHMDCF2";"qchm_terminal",#N/A,FALSE,"QCHMDCF2"}</definedName>
    <definedName name="IIGI" hidden="1">{"mult96",#N/A,FALSE,"PETCOMP";"est96",#N/A,FALSE,"PETCOMP";"mult95",#N/A,FALSE,"PETCOMP";"est95",#N/A,FALSE,"PETCOMP";"multltm",#N/A,FALSE,"PETCOMP";"resultltm",#N/A,FALSE,"PETCOMP"}</definedName>
    <definedName name="IIGI_1" hidden="1">{"mult96",#N/A,FALSE,"PETCOMP";"est96",#N/A,FALSE,"PETCOMP";"mult95",#N/A,FALSE,"PETCOMP";"est95",#N/A,FALSE,"PETCOMP";"multltm",#N/A,FALSE,"PETCOMP";"resultltm",#N/A,FALSE,"PETCOMP"}</definedName>
    <definedName name="III_control" hidden="1">{"'August 2000'!$A$1:$J$101"}</definedName>
    <definedName name="IIIIF" hidden="1">{#N/A,#N/A,TRUE,"TITLE";#N/A,#N/A,TRUE,"MKT Cellular Subs";#N/A,#N/A,TRUE,"Cellular sub ";#N/A,#N/A,TRUE,"P&amp;L - Cell";#N/A,#N/A,TRUE,"Rev &amp; Usage assump - Cell";#N/A,#N/A,TRUE,"Cost -  Cellular";"cellular",#N/A,TRUE,"Capex "}</definedName>
    <definedName name="IIIIF_1" hidden="1">{#N/A,#N/A,TRUE,"TITLE";#N/A,#N/A,TRUE,"MKT Cellular Subs";#N/A,#N/A,TRUE,"Cellular sub ";#N/A,#N/A,TRUE,"P&amp;L - Cell";#N/A,#N/A,TRUE,"Rev &amp; Usage assump - Cell";#N/A,#N/A,TRUE,"Cost -  Cellular";"cellular",#N/A,TRUE,"Capex "}</definedName>
    <definedName name="Im_control" hidden="1">{"'August 2000'!$A$1:$J$101"}</definedName>
    <definedName name="IOUII" hidden="1">#REF!</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COUNT_CHANGE" hidden="1">"c1449"</definedName>
    <definedName name="IQ_ACCOUNTING_STANDARD" hidden="1">"c4539"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HELD_FDIC" hidden="1">"c6305"</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INDUSTRY_REC" hidden="1">"c4455"</definedName>
    <definedName name="IQ_AVG_INDUSTRY_REC_NO" hidden="1">"c4454"</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"c1346"</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GUIDANCE" hidden="1">"c4141"</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EST" hidden="1">"c5624"</definedName>
    <definedName name="IQ_BV_HIGH_EST" hidden="1">"c5626"</definedName>
    <definedName name="IQ_BV_LOW_EST" hidden="1">"c5627"</definedName>
    <definedName name="IQ_BV_MEDIAN_EST" hidden="1">"c5625"</definedName>
    <definedName name="IQ_BV_NUM_EST" hidden="1">"c5628"</definedName>
    <definedName name="IQ_BV_OVER_SHARES" hidden="1">"c1349"</definedName>
    <definedName name="IQ_BV_SHARE" hidden="1">"c100"</definedName>
    <definedName name="IQ_BV_SHARE_ACT_OR_EST" hidden="1">"c3587"</definedName>
    <definedName name="IQ_BV_SHARE_ACT_OR_EST_REUT" hidden="1">"c5477"</definedName>
    <definedName name="IQ_BV_SHARE_EST" hidden="1">"c3541"</definedName>
    <definedName name="IQ_BV_SHARE_EST_REUT" hidden="1">"c5439"</definedName>
    <definedName name="IQ_BV_SHARE_HIGH_EST" hidden="1">"c3542"</definedName>
    <definedName name="IQ_BV_SHARE_HIGH_EST_REUT" hidden="1">"c5441"</definedName>
    <definedName name="IQ_BV_SHARE_LOW_EST" hidden="1">"c3543"</definedName>
    <definedName name="IQ_BV_SHARE_LOW_EST_REUT" hidden="1">"c5442"</definedName>
    <definedName name="IQ_BV_SHARE_MEDIAN_EST" hidden="1">"c3544"</definedName>
    <definedName name="IQ_BV_SHARE_MEDIAN_EST_REUT" hidden="1">"c5440"</definedName>
    <definedName name="IQ_BV_SHARE_NUM_EST" hidden="1">"c3539"</definedName>
    <definedName name="IQ_BV_SHARE_NUM_EST_REUT" hidden="1">"c5443"</definedName>
    <definedName name="IQ_BV_SHARE_STDDEV_EST" hidden="1">"c3540"</definedName>
    <definedName name="IQ_BV_SHARE_STDDEV_EST_REUT" hidden="1">"c5444"</definedName>
    <definedName name="IQ_BV_STDDEV_EST" hidden="1">"c5629"</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_REUT" hidden="1">"c6800"</definedName>
    <definedName name="IQ_CAL_Y" hidden="1">"c102"</definedName>
    <definedName name="IQ_CAL_Y_EST_REUT" hidden="1">"c6801"</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ACT_OR_EST" hidden="1">"c3584"</definedName>
    <definedName name="IQ_CAPEX_ACT_OR_EST_REUT" hidden="1">"c5474"</definedName>
    <definedName name="IQ_CAPEX_BNK" hidden="1">"c110"</definedName>
    <definedName name="IQ_CAPEX_BR" hidden="1">"c111"</definedName>
    <definedName name="IQ_CAPEX_EST" hidden="1">"c3523"</definedName>
    <definedName name="IQ_CAPEX_EST_REUT" hidden="1">"c3969"</definedName>
    <definedName name="IQ_CAPEX_FIN" hidden="1">"c112"</definedName>
    <definedName name="IQ_CAPEX_GUIDANCE" hidden="1">"c4150"</definedName>
    <definedName name="IQ_CAPEX_HIGH_EST" hidden="1">"c3524"</definedName>
    <definedName name="IQ_CAPEX_HIGH_EST_REUT" hidden="1">"c3971"</definedName>
    <definedName name="IQ_CAPEX_HIGH_GUIDANCE" hidden="1">"c4180"</definedName>
    <definedName name="IQ_CAPEX_INS" hidden="1">"c113"</definedName>
    <definedName name="IQ_CAPEX_LOW_EST" hidden="1">"c3525"</definedName>
    <definedName name="IQ_CAPEX_LOW_EST_REUT" hidden="1">"c3972"</definedName>
    <definedName name="IQ_CAPEX_LOW_GUIDANCE" hidden="1">"c4220"</definedName>
    <definedName name="IQ_CAPEX_MEDIAN_EST" hidden="1">"c3526"</definedName>
    <definedName name="IQ_CAPEX_MEDIAN_EST_REUT" hidden="1">"c3970"</definedName>
    <definedName name="IQ_CAPEX_NUM_EST" hidden="1">"c3521"</definedName>
    <definedName name="IQ_CAPEX_NUM_EST_REUT" hidden="1">"c3973"</definedName>
    <definedName name="IQ_CAPEX_STDDEV_EST" hidden="1">"c3522"</definedName>
    <definedName name="IQ_CAPEX_STDDEV_EST_REUT" hidden="1">"c3974"</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IVIDENDS_NET_INCOME_FDIC" hidden="1">"c6738"</definedName>
    <definedName name="IQ_CASH_DUE_BANKS" hidden="1">"c1351"</definedName>
    <definedName name="IQ_CASH_EPS_ACT_OR_EST" hidden="1">"c5638"</definedName>
    <definedName name="IQ_CASH_EPS_EST" hidden="1">"c5631"</definedName>
    <definedName name="IQ_CASH_EPS_HIGH_EST" hidden="1">"c5633"</definedName>
    <definedName name="IQ_CASH_EPS_LOW_EST" hidden="1">"c5634"</definedName>
    <definedName name="IQ_CASH_EPS_MEDIAN_EST" hidden="1">"c5632"</definedName>
    <definedName name="IQ_CASH_EPS_NUM_EST" hidden="1">"c5635"</definedName>
    <definedName name="IQ_CASH_EPS_STDDEV_EST" hidden="1">"c5636"</definedName>
    <definedName name="IQ_CASH_EQUIV" hidden="1">"c118"</definedName>
    <definedName name="IQ_CASH_FINAN" hidden="1">"c119"</definedName>
    <definedName name="IQ_CASH_FLOW_ACT_OR_EST" hidden="1">"c4154"</definedName>
    <definedName name="IQ_CASH_FLOW_EST" hidden="1">"c4153"</definedName>
    <definedName name="IQ_CASH_FLOW_GUIDANCE" hidden="1">"c4155"</definedName>
    <definedName name="IQ_CASH_FLOW_HIGH_EST" hidden="1">"c4156"</definedName>
    <definedName name="IQ_CASH_FLOW_HIGH_GUIDANCE" hidden="1">"c4201"</definedName>
    <definedName name="IQ_CASH_FLOW_LOW_EST" hidden="1">"c4157"</definedName>
    <definedName name="IQ_CASH_FLOW_LOW_GUIDANCE" hidden="1">"c4241"</definedName>
    <definedName name="IQ_CASH_FLOW_MEDIAN_EST" hidden="1">"c4158"</definedName>
    <definedName name="IQ_CASH_FLOW_NUM_EST" hidden="1">"c4159"</definedName>
    <definedName name="IQ_CASH_FLOW_STDDEV_EST" hidden="1">"c4160"</definedName>
    <definedName name="IQ_CASH_IN_PROCESS_FDIC" hidden="1">"c6386"</definedName>
    <definedName name="IQ_CASH_INTEREST" hidden="1">"c120"</definedName>
    <definedName name="IQ_CASH_INVEST" hidden="1">"c121"</definedName>
    <definedName name="IQ_CASH_OPER" hidden="1">"c122"</definedName>
    <definedName name="IQ_CASH_OPER_ACT_OR_EST" hidden="1">"c4164"</definedName>
    <definedName name="IQ_CASH_OPER_EST" hidden="1">"c4163"</definedName>
    <definedName name="IQ_CASH_OPER_GUIDANCE" hidden="1">"c4165"</definedName>
    <definedName name="IQ_CASH_OPER_HIGH_EST" hidden="1">"c4166"</definedName>
    <definedName name="IQ_CASH_OPER_HIGH_GUIDANCE" hidden="1">"c4185"</definedName>
    <definedName name="IQ_CASH_OPER_LOW_EST" hidden="1">"c4244"</definedName>
    <definedName name="IQ_CASH_OPER_LOW_GUIDANCE" hidden="1">"c4225"</definedName>
    <definedName name="IQ_CASH_OPER_MEDIAN_EST" hidden="1">"c4245"</definedName>
    <definedName name="IQ_CASH_OPER_NUM_EST" hidden="1">"c4246"</definedName>
    <definedName name="IQ_CASH_OPER_STDDEV_EST" hidden="1">"c4247"</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GUIDANCE" hidden="1">"c4250"</definedName>
    <definedName name="IQ_CASH_ST_INVEST_HIGH_EST" hidden="1">"c4251"</definedName>
    <definedName name="IQ_CASH_ST_INVEST_HIGH_GUIDANCE" hidden="1">"c4195"</definedName>
    <definedName name="IQ_CASH_ST_INVEST_LOW_EST" hidden="1">"c4252"</definedName>
    <definedName name="IQ_CASH_ST_INVEST_LOW_GUIDANCE" hidden="1">"c4235"</definedName>
    <definedName name="IQ_CASH_ST_INVEST_MEDIAN_EST" hidden="1">"c4253"</definedName>
    <definedName name="IQ_CASH_ST_INVEST_NUM_EST" hidden="1">"c4254"</definedName>
    <definedName name="IQ_CASH_ST_INVEST_STDDEV_EST" hidden="1">"c4255"</definedName>
    <definedName name="IQ_CASH_TAXES" hidden="1">"c125"</definedName>
    <definedName name="IQ_CCE_FDIC" hidden="1">"c6296"</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ACT_OR_EST_REUT" hidden="1">"c5463"</definedName>
    <definedName name="IQ_CFPS_EST" hidden="1">"c1667"</definedName>
    <definedName name="IQ_CFPS_EST_REUT" hidden="1">"c3844"</definedName>
    <definedName name="IQ_CFPS_GUIDANCE" hidden="1">"c4256"</definedName>
    <definedName name="IQ_CFPS_HIGH_EST" hidden="1">"c1669"</definedName>
    <definedName name="IQ_CFPS_HIGH_EST_REUT" hidden="1">"c3846"</definedName>
    <definedName name="IQ_CFPS_HIGH_GUIDANCE" hidden="1">"c4167"</definedName>
    <definedName name="IQ_CFPS_LOW_EST" hidden="1">"c1670"</definedName>
    <definedName name="IQ_CFPS_LOW_EST_REUT" hidden="1">"c3847"</definedName>
    <definedName name="IQ_CFPS_LOW_GUIDANCE" hidden="1">"c4207"</definedName>
    <definedName name="IQ_CFPS_MEDIAN_EST" hidden="1">"c1668"</definedName>
    <definedName name="IQ_CFPS_MEDIAN_EST_REUT" hidden="1">"c3845"</definedName>
    <definedName name="IQ_CFPS_NUM_EST" hidden="1">"c1671"</definedName>
    <definedName name="IQ_CFPS_NUM_EST_REUT" hidden="1">"c3848"</definedName>
    <definedName name="IQ_CFPS_STDDEV_EST" hidden="1">"c1672"</definedName>
    <definedName name="IQ_CFPS_STDDEV_EST_REUT" hidden="1">"c3849"</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LOANS" hidden="1">"c223"</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BORROWING" hidden="1">"c2936"</definedName>
    <definedName name="IQ_COST_BORROWINGS" hidden="1">"c225"</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FF_LASTCLOSE_TARGET_PRICE_REUT" hidden="1">"c5436"</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GUIDANCE" hidden="1">"c4270"</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EST" hidden="1">"c4277"</definedName>
    <definedName name="IQ_DISTRIBUTABLE_CASH_GUIDANCE" hidden="1">"c4279"</definedName>
    <definedName name="IQ_DISTRIBUTABLE_CASH_HIGH_EST" hidden="1">"c4280"</definedName>
    <definedName name="IQ_DISTRIBUTABLE_CASH_HIGH_GUIDANCE" hidden="1">"c4198"</definedName>
    <definedName name="IQ_DISTRIBUTABLE_CASH_LOW_EST" hidden="1">"c4281"</definedName>
    <definedName name="IQ_DISTRIBUTABLE_CASH_LOW_GUIDANCE" hidden="1">"c4238"</definedName>
    <definedName name="IQ_DISTRIBUTABLE_CASH_MEDIAN_EST" hidden="1">"c4282"</definedName>
    <definedName name="IQ_DISTRIBUTABLE_CASH_NUM_EST" hidden="1">"c4283"</definedName>
    <definedName name="IQ_DISTRIBUTABLE_CASH_PAYOUT" hidden="1">"c3005"</definedName>
    <definedName name="IQ_DISTRIBUTABLE_CASH_SHARE" hidden="1">"c3003"</definedName>
    <definedName name="IQ_DISTRIBUTABLE_CASH_SHARE_ACT_OR_EST" hidden="1">"c4286"</definedName>
    <definedName name="IQ_DISTRIBUTABLE_CASH_SHARE_EST" hidden="1">"c4285"</definedName>
    <definedName name="IQ_DISTRIBUTABLE_CASH_SHARE_GUIDANCE" hidden="1">"c4287"</definedName>
    <definedName name="IQ_DISTRIBUTABLE_CASH_SHARE_HIGH_EST" hidden="1">"c4288"</definedName>
    <definedName name="IQ_DISTRIBUTABLE_CASH_SHARE_HIGH_GUIDANCE" hidden="1">"c4199"</definedName>
    <definedName name="IQ_DISTRIBUTABLE_CASH_SHARE_LOW_EST" hidden="1">"c4289"</definedName>
    <definedName name="IQ_DISTRIBUTABLE_CASH_SHARE_LOW_GUIDANCE" hidden="1">"c4239"</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TDDEV_EST" hidden="1">"c4294"</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ACT_OR_EST_REUT" hidden="1">"c5464"</definedName>
    <definedName name="IQ_DPS_EST" hidden="1">"c1674"</definedName>
    <definedName name="IQ_DPS_EST_BOTTOM_UP" hidden="1">"c5493"</definedName>
    <definedName name="IQ_DPS_EST_BOTTOM_UP_REUT" hidden="1">"c5501"</definedName>
    <definedName name="IQ_DPS_EST_REUT" hidden="1">"c3851"</definedName>
    <definedName name="IQ_DPS_GUIDANCE" hidden="1">"c4302"</definedName>
    <definedName name="IQ_DPS_HIGH_EST" hidden="1">"c1676"</definedName>
    <definedName name="IQ_DPS_HIGH_EST_REUT" hidden="1">"c3853"</definedName>
    <definedName name="IQ_DPS_HIGH_GUIDANCE" hidden="1">"c4168"</definedName>
    <definedName name="IQ_DPS_LOW_EST" hidden="1">"c1677"</definedName>
    <definedName name="IQ_DPS_LOW_EST_REUT" hidden="1">"c3854"</definedName>
    <definedName name="IQ_DPS_LOW_GUIDANCE" hidden="1">"c4208"</definedName>
    <definedName name="IQ_DPS_MEDIAN_EST" hidden="1">"c1675"</definedName>
    <definedName name="IQ_DPS_MEDIAN_EST_REUT" hidden="1">"c3852"</definedName>
    <definedName name="IQ_DPS_NUM_EST" hidden="1">"c1678"</definedName>
    <definedName name="IQ_DPS_NUM_EST_REUT" hidden="1">"c3855"</definedName>
    <definedName name="IQ_DPS_STDDEV_EST" hidden="1">"c1679"</definedName>
    <definedName name="IQ_DPS_STDDEV_EST_REUT" hidden="1">"c3856"</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ARNINGS_COVERAGE_NET_CHARGE_OFFS_FDIC" hidden="1">"c6735"</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ACT_OR_EST_REUT" hidden="1">"c5465"</definedName>
    <definedName name="IQ_EBIT_EQ_INC" hidden="1">"c3498"</definedName>
    <definedName name="IQ_EBIT_EQ_INC_EXCL_SBC" hidden="1">"c3502"</definedName>
    <definedName name="IQ_EBIT_EST" hidden="1">"c1681"</definedName>
    <definedName name="IQ_EBIT_EST_REUT" hidden="1">"c5333"</definedName>
    <definedName name="IQ_EBIT_EXCL_SBC" hidden="1">"c3082"</definedName>
    <definedName name="IQ_EBIT_GUIDANCE" hidden="1">"c4303"</definedName>
    <definedName name="IQ_EBIT_GW_ACT_OR_EST" hidden="1">"c4306"</definedName>
    <definedName name="IQ_EBIT_GW_EST" hidden="1">"c4305"</definedName>
    <definedName name="IQ_EBIT_GW_GUIDANCE" hidden="1">"c4307"</definedName>
    <definedName name="IQ_EBIT_GW_HIGH_EST" hidden="1">"c4308"</definedName>
    <definedName name="IQ_EBIT_GW_HIGH_GUIDANCE" hidden="1">"c4171"</definedName>
    <definedName name="IQ_EBIT_GW_LOW_EST" hidden="1">"c4309"</definedName>
    <definedName name="IQ_EBIT_GW_LOW_GUIDANCE" hidden="1">"c4211"</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REUT" hidden="1">"c5335"</definedName>
    <definedName name="IQ_EBIT_HIGH_GUIDANCE" hidden="1">"c4172"</definedName>
    <definedName name="IQ_EBIT_INT" hidden="1">"c360"</definedName>
    <definedName name="IQ_EBIT_LOW_EST" hidden="1">"c1684"</definedName>
    <definedName name="IQ_EBIT_LOW_EST_REUT" hidden="1">"c5336"</definedName>
    <definedName name="IQ_EBIT_LOW_GUIDANCE" hidden="1">"c4212"</definedName>
    <definedName name="IQ_EBIT_MARGIN" hidden="1">"c359"</definedName>
    <definedName name="IQ_EBIT_MEDIAN_EST" hidden="1">"c1682"</definedName>
    <definedName name="IQ_EBIT_MEDIAN_EST_REUT" hidden="1">"c5334"</definedName>
    <definedName name="IQ_EBIT_NUM_EST" hidden="1">"c1685"</definedName>
    <definedName name="IQ_EBIT_NUM_EST_REUT" hidden="1">"c5337"</definedName>
    <definedName name="IQ_EBIT_OVER_IE" hidden="1">"c1369"</definedName>
    <definedName name="IQ_EBIT_SBC_ACT_OR_EST" hidden="1">"c4316"</definedName>
    <definedName name="IQ_EBIT_SBC_EST" hidden="1">"c4315"</definedName>
    <definedName name="IQ_EBIT_SBC_GUIDANCE" hidden="1">"c4317"</definedName>
    <definedName name="IQ_EBIT_SBC_GW_ACT_OR_EST" hidden="1">"c4320"</definedName>
    <definedName name="IQ_EBIT_SBC_GW_EST" hidden="1">"c4319"</definedName>
    <definedName name="IQ_EBIT_SBC_GW_GUIDANCE" hidden="1">"c4321"</definedName>
    <definedName name="IQ_EBIT_SBC_GW_HIGH_EST" hidden="1">"c4322"</definedName>
    <definedName name="IQ_EBIT_SBC_GW_HIGH_GUIDANCE" hidden="1">"c4193"</definedName>
    <definedName name="IQ_EBIT_SBC_GW_LOW_EST" hidden="1">"c4323"</definedName>
    <definedName name="IQ_EBIT_SBC_GW_LOW_GUIDANCE" hidden="1">"c4233"</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HIGH_GUIDANCE" hidden="1">"c4192"</definedName>
    <definedName name="IQ_EBIT_SBC_LOW_EST" hidden="1">"c4329"</definedName>
    <definedName name="IQ_EBIT_SBC_LOW_GUIDANCE" hidden="1">"c4232"</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REUT" hidden="1">"c5338"</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ACT_OR_EST_REUT" hidden="1">"c5462"</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GUIDANCE" hidden="1">"c4334"</definedName>
    <definedName name="IQ_EBITDA_HIGH_EST" hidden="1">"c370"</definedName>
    <definedName name="IQ_EBITDA_HIGH_EST_REUT" hidden="1">"c3642"</definedName>
    <definedName name="IQ_EBITDA_HIGH_GUIDANCE" hidden="1">"c4170"</definedName>
    <definedName name="IQ_EBITDA_INT" hidden="1">"c373"</definedName>
    <definedName name="IQ_EBITDA_LOW_EST" hidden="1">"c371"</definedName>
    <definedName name="IQ_EBITDA_LOW_EST_REUT" hidden="1">"c3643"</definedName>
    <definedName name="IQ_EBITDA_LOW_GUIDANCE" hidden="1">"c4210"</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BC_EST" hidden="1">"c4336"</definedName>
    <definedName name="IQ_EBITDA_SBC_GUIDANCE" hidden="1">"c4338"</definedName>
    <definedName name="IQ_EBITDA_SBC_HIGH_EST" hidden="1">"c4339"</definedName>
    <definedName name="IQ_EBITDA_SBC_HIGH_GUIDANCE" hidden="1">"c4194"</definedName>
    <definedName name="IQ_EBITDA_SBC_LOW_EST" hidden="1">"c4340"</definedName>
    <definedName name="IQ_EBITDA_SBC_LOW_GUIDANCE" hidden="1">"c4234"</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GAAP_GUIDANCE" hidden="1">"c4345"</definedName>
    <definedName name="IQ_EBT_GAAP_HIGH_GUIDANCE" hidden="1">"c4174"</definedName>
    <definedName name="IQ_EBT_GAAP_LOW_GUIDANCE" hidden="1">"c4214"</definedName>
    <definedName name="IQ_EBT_GUIDANCE" hidden="1">"c4346"</definedName>
    <definedName name="IQ_EBT_GW_GUIDANCE" hidden="1">"c4347"</definedName>
    <definedName name="IQ_EBT_GW_HIGH_GUIDANCE" hidden="1">"c4175"</definedName>
    <definedName name="IQ_EBT_GW_LOW_GUIDANCE" hidden="1">"c4215"</definedName>
    <definedName name="IQ_EBT_HIGH_GUIDANCE" hidden="1">"c4173"</definedName>
    <definedName name="IQ_EBT_INCL_MARGIN" hidden="1">"c387"</definedName>
    <definedName name="IQ_EBT_INS" hidden="1">"c388"</definedName>
    <definedName name="IQ_EBT_LOW_GUIDANCE" hidden="1">"c4213"</definedName>
    <definedName name="IQ_EBT_REIT" hidden="1">"c389"</definedName>
    <definedName name="IQ_EBT_SBC_ACT_OR_EST" hidden="1">"c4350"</definedName>
    <definedName name="IQ_EBT_SBC_EST" hidden="1">"c4349"</definedName>
    <definedName name="IQ_EBT_SBC_GUIDANCE" hidden="1">"c4351"</definedName>
    <definedName name="IQ_EBT_SBC_GW_ACT_OR_EST" hidden="1">"c4354"</definedName>
    <definedName name="IQ_EBT_SBC_GW_EST" hidden="1">"c4353"</definedName>
    <definedName name="IQ_EBT_SBC_GW_GUIDANCE" hidden="1">"c4355"</definedName>
    <definedName name="IQ_EBT_SBC_GW_HIGH_EST" hidden="1">"c4356"</definedName>
    <definedName name="IQ_EBT_SBC_GW_HIGH_GUIDANCE" hidden="1">"c4191"</definedName>
    <definedName name="IQ_EBT_SBC_GW_LOW_EST" hidden="1">"c4357"</definedName>
    <definedName name="IQ_EBT_SBC_GW_LOW_GUIDANCE" hidden="1">"c4231"</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HIGH_GUIDANCE" hidden="1">"c4190"</definedName>
    <definedName name="IQ_EBT_SBC_LOW_EST" hidden="1">"c4363"</definedName>
    <definedName name="IQ_EBT_SBC_LOW_GUIDANCE" hidden="1">"c4230"</definedName>
    <definedName name="IQ_EBT_SBC_MEDIAN_EST" hidden="1">"c4364"</definedName>
    <definedName name="IQ_EBT_SBC_NUM_EST" hidden="1">"c4365"</definedName>
    <definedName name="IQ_EBT_SBC_STDDEV_EST" hidden="1">"c4366"</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ACT_OR_EST_REUT" hidden="1">"c5460"</definedName>
    <definedName name="IQ_EPS_EST" hidden="1">"c399"</definedName>
    <definedName name="IQ_EPS_EST_BOTTOM_UP" hidden="1">"c5489"</definedName>
    <definedName name="IQ_EPS_EST_BOTTOM_UP_REUT" hidden="1">"c5497"</definedName>
    <definedName name="IQ_EPS_EST_REUT" hidden="1">"c5453"</definedName>
    <definedName name="IQ_EPS_EXCL_GUIDANCE" hidden="1">"c4368"</definedName>
    <definedName name="IQ_EPS_EXCL_HIGH_GUIDANCE" hidden="1">"c4369"</definedName>
    <definedName name="IQ_EPS_EXCL_LOW_GUIDANCE" hidden="1">"c4204"</definedName>
    <definedName name="IQ_EPS_GAAP_GUIDANCE" hidden="1">"c4370"</definedName>
    <definedName name="IQ_EPS_GAAP_HIGH_GUIDANCE" hidden="1">"c4371"</definedName>
    <definedName name="IQ_EPS_GAAP_LOW_GUIDANCE" hidden="1">"c4205"</definedName>
    <definedName name="IQ_EPS_GW_ACT_OR_EST" hidden="1">"c2223"</definedName>
    <definedName name="IQ_EPS_GW_ACT_OR_EST_REUT" hidden="1">"c5469"</definedName>
    <definedName name="IQ_EPS_GW_EST" hidden="1">"c1737"</definedName>
    <definedName name="IQ_EPS_GW_EST_BOTTOM_UP" hidden="1">"c5491"</definedName>
    <definedName name="IQ_EPS_GW_EST_BOTTOM_UP_REUT" hidden="1">"c5499"</definedName>
    <definedName name="IQ_EPS_GW_EST_REUT" hidden="1">"c5389"</definedName>
    <definedName name="IQ_EPS_GW_GUIDANCE" hidden="1">"c4372"</definedName>
    <definedName name="IQ_EPS_GW_HIGH_EST" hidden="1">"c1739"</definedName>
    <definedName name="IQ_EPS_GW_HIGH_EST_REUT" hidden="1">"c5391"</definedName>
    <definedName name="IQ_EPS_GW_HIGH_GUIDANCE" hidden="1">"c4373"</definedName>
    <definedName name="IQ_EPS_GW_LOW_EST" hidden="1">"c1740"</definedName>
    <definedName name="IQ_EPS_GW_LOW_EST_REUT" hidden="1">"c5392"</definedName>
    <definedName name="IQ_EPS_GW_LOW_GUIDANCE" hidden="1">"c4206"</definedName>
    <definedName name="IQ_EPS_GW_MEDIAN_EST" hidden="1">"c1738"</definedName>
    <definedName name="IQ_EPS_GW_MEDIAN_EST_REUT" hidden="1">"c5390"</definedName>
    <definedName name="IQ_EPS_GW_NUM_EST" hidden="1">"c1741"</definedName>
    <definedName name="IQ_EPS_GW_NUM_EST_REUT" hidden="1">"c5393"</definedName>
    <definedName name="IQ_EPS_GW_STDDEV_EST" hidden="1">"c1742"</definedName>
    <definedName name="IQ_EPS_GW_STDDEV_EST_REUT" hidden="1">"c5394"</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ORM_EST" hidden="1">"c2226"</definedName>
    <definedName name="IQ_EPS_NORM_EST_BOTTOM_UP" hidden="1">"c5490"</definedName>
    <definedName name="IQ_EPS_NORM_EST_BOTTOM_UP_REUT" hidden="1">"c5498"</definedName>
    <definedName name="IQ_EPS_NORM_EST_REUT" hidden="1">"c5326"</definedName>
    <definedName name="IQ_EPS_NORM_HIGH_EST" hidden="1">"c2228"</definedName>
    <definedName name="IQ_EPS_NORM_HIGH_EST_REUT" hidden="1">"c5328"</definedName>
    <definedName name="IQ_EPS_NORM_LOW_EST" hidden="1">"c2229"</definedName>
    <definedName name="IQ_EPS_NORM_LOW_EST_REUT" hidden="1">"c5329"</definedName>
    <definedName name="IQ_EPS_NORM_MEDIAN_EST" hidden="1">"c2227"</definedName>
    <definedName name="IQ_EPS_NORM_MEDIAN_EST_REUT" hidden="1">"c5327"</definedName>
    <definedName name="IQ_EPS_NORM_NUM_EST" hidden="1">"c2230"</definedName>
    <definedName name="IQ_EPS_NORM_NUM_EST_REUT" hidden="1">"c5330"</definedName>
    <definedName name="IQ_EPS_NORM_STDDEV_EST" hidden="1">"c2231"</definedName>
    <definedName name="IQ_EPS_NORM_STDDEV_EST_REUT" hidden="1">"c5331"</definedName>
    <definedName name="IQ_EPS_NUM_EST" hidden="1">"c402"</definedName>
    <definedName name="IQ_EPS_NUM_EST_REUT" hidden="1">"c5451"</definedName>
    <definedName name="IQ_EPS_REPORT_ACT_OR_EST" hidden="1">"c2224"</definedName>
    <definedName name="IQ_EPS_REPORT_ACT_OR_EST_REUT" hidden="1">"c5470"</definedName>
    <definedName name="IQ_EPS_REPORTED_EST" hidden="1">"c1744"</definedName>
    <definedName name="IQ_EPS_REPORTED_EST_BOTTOM_UP" hidden="1">"c5492"</definedName>
    <definedName name="IQ_EPS_REPORTED_EST_BOTTOM_UP_REUT" hidden="1">"c5500"</definedName>
    <definedName name="IQ_EPS_REPORTED_EST_REUT" hidden="1">"c5396"</definedName>
    <definedName name="IQ_EPS_REPORTED_HIGH_EST" hidden="1">"c1746"</definedName>
    <definedName name="IQ_EPS_REPORTED_HIGH_EST_REUT" hidden="1">"c5398"</definedName>
    <definedName name="IQ_EPS_REPORTED_LOW_EST" hidden="1">"c1747"</definedName>
    <definedName name="IQ_EPS_REPORTED_LOW_EST_REUT" hidden="1">"c5399"</definedName>
    <definedName name="IQ_EPS_REPORTED_MEDIAN_EST" hidden="1">"c1745"</definedName>
    <definedName name="IQ_EPS_REPORTED_MEDIAN_EST_REUT" hidden="1">"c5397"</definedName>
    <definedName name="IQ_EPS_REPORTED_NUM_EST" hidden="1">"c1748"</definedName>
    <definedName name="IQ_EPS_REPORTED_NUM_EST_REUT" hidden="1">"c5400"</definedName>
    <definedName name="IQ_EPS_REPORTED_STDDEV_EST" hidden="1">"c1749"</definedName>
    <definedName name="IQ_EPS_REPORTED_STDDEV_EST_REUT" hidden="1">"c5401"</definedName>
    <definedName name="IQ_EPS_SBC_ACT_OR_EST" hidden="1">"c4376"</definedName>
    <definedName name="IQ_EPS_SBC_EST" hidden="1">"c4375"</definedName>
    <definedName name="IQ_EPS_SBC_GUIDANCE" hidden="1">"c4377"</definedName>
    <definedName name="IQ_EPS_SBC_GW_ACT_OR_EST" hidden="1">"c4380"</definedName>
    <definedName name="IQ_EPS_SBC_GW_EST" hidden="1">"c4379"</definedName>
    <definedName name="IQ_EPS_SBC_GW_GUIDANCE" hidden="1">"c4381"</definedName>
    <definedName name="IQ_EPS_SBC_GW_HIGH_EST" hidden="1">"c4382"</definedName>
    <definedName name="IQ_EPS_SBC_GW_HIGH_GUIDANCE" hidden="1">"c4189"</definedName>
    <definedName name="IQ_EPS_SBC_GW_LOW_EST" hidden="1">"c4383"</definedName>
    <definedName name="IQ_EPS_SBC_GW_LOW_GUIDANCE" hidden="1">"c4229"</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HIGH_GUIDANCE" hidden="1">"c4188"</definedName>
    <definedName name="IQ_EPS_SBC_LOW_EST" hidden="1">"c4389"</definedName>
    <definedName name="IQ_EPS_SBC_LOW_GUIDANCE" hidden="1">"c4228"</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REUT" hidden="1">"c5452"</definedName>
    <definedName name="IQ_EQUITY_AFFIL" hidden="1">"c1451"</definedName>
    <definedName name="IQ_EQUITY_CAPITAL_ASSETS_FDIC" hidden="1">"c6744"</definedName>
    <definedName name="IQ_EQUITY_FDIC" hidden="1">"c6353"</definedName>
    <definedName name="IQ_EQUITY_METHOD" hidden="1">"c404"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BV" hidden="1">"c5630"</definedName>
    <definedName name="IQ_EST_ACT_BV_SHARE" hidden="1">"c3549"</definedName>
    <definedName name="IQ_EST_ACT_BV_SHARE_REUT" hidden="1">"c5445"</definedName>
    <definedName name="IQ_EST_ACT_CAPEX" hidden="1">"c3546"</definedName>
    <definedName name="IQ_EST_ACT_CAPEX_REUT" hidden="1">"c3975"</definedName>
    <definedName name="IQ_EST_ACT_CASH_EPS" hidden="1">"c5637"</definedName>
    <definedName name="IQ_EST_ACT_CASH_FLOW" hidden="1">"c4394"</definedName>
    <definedName name="IQ_EST_ACT_CASH_OPER" hidden="1">"c4395"</definedName>
    <definedName name="IQ_EST_ACT_CFPS" hidden="1">"c1673"</definedName>
    <definedName name="IQ_EST_ACT_CFPS_REUT" hidden="1">"c3850"</definedName>
    <definedName name="IQ_EST_ACT_DISTRIBUTABLE_CASH" hidden="1">"c4396"</definedName>
    <definedName name="IQ_EST_ACT_DISTRIBUTABLE_CASH_SHARE" hidden="1">"c4397"</definedName>
    <definedName name="IQ_EST_ACT_DPS" hidden="1">"c1680"</definedName>
    <definedName name="IQ_EST_ACT_DPS_REUT" hidden="1">"c3857"</definedName>
    <definedName name="IQ_EST_ACT_EBIT" hidden="1">"c1687"</definedName>
    <definedName name="IQ_EST_ACT_EBIT_GW" hidden="1">"c4398"</definedName>
    <definedName name="IQ_EST_ACT_EBIT_REUT" hidden="1">"c5339"</definedName>
    <definedName name="IQ_EST_ACT_EBIT_SBC" hidden="1">"c4399"</definedName>
    <definedName name="IQ_EST_ACT_EBIT_SBC_GW" hidden="1">"c4400"</definedName>
    <definedName name="IQ_EST_ACT_EBITDA" hidden="1">"c1664"</definedName>
    <definedName name="IQ_EST_ACT_EBITDA_REUT" hidden="1">"c3836"</definedName>
    <definedName name="IQ_EST_ACT_EBITDA_SBC" hidden="1">"c4401"</definedName>
    <definedName name="IQ_EST_ACT_EBT_SBC" hidden="1">"c4402"</definedName>
    <definedName name="IQ_EST_ACT_EBT_SBC_GW" hidden="1">"c4403"</definedName>
    <definedName name="IQ_EST_ACT_EPS" hidden="1">"c1648"</definedName>
    <definedName name="IQ_EST_ACT_EPS_GW" hidden="1">"c1743"</definedName>
    <definedName name="IQ_EST_ACT_EPS_GW_REUT" hidden="1">"c5395"</definedName>
    <definedName name="IQ_EST_ACT_EPS_NORM" hidden="1">"c2232"</definedName>
    <definedName name="IQ_EST_ACT_EPS_NORM_REUT" hidden="1">"c5332"</definedName>
    <definedName name="IQ_EST_ACT_EPS_REPORTED" hidden="1">"c1750"</definedName>
    <definedName name="IQ_EST_ACT_EPS_REPORTED_REUT" hidden="1">"c5402"</definedName>
    <definedName name="IQ_EST_ACT_EPS_REUT" hidden="1">"c5457"</definedName>
    <definedName name="IQ_EST_ACT_EPS_SBC" hidden="1">"c4404"</definedName>
    <definedName name="IQ_EST_ACT_EPS_SBC_GW" hidden="1">"c4405"</definedName>
    <definedName name="IQ_EST_ACT_FFO" hidden="1">"c1666"</definedName>
    <definedName name="IQ_EST_ACT_FFO_ADJ" hidden="1">"c4406"</definedName>
    <definedName name="IQ_EST_ACT_FFO_REUT" hidden="1">"c3843"</definedName>
    <definedName name="IQ_EST_ACT_FFO_SHARE" hidden="1">"c4407"</definedName>
    <definedName name="IQ_EST_ACT_GROSS_MARGIN" hidden="1">"c5553"</definedName>
    <definedName name="IQ_EST_ACT_MAINT_CAPEX" hidden="1">"c4408"</definedName>
    <definedName name="IQ_EST_ACT_NAV" hidden="1">"c1757"</definedName>
    <definedName name="IQ_EST_ACT_NAV_SHARE" hidden="1">"c5608"</definedName>
    <definedName name="IQ_EST_ACT_NAV_SHARE_REUT" hidden="1">"c5616"</definedName>
    <definedName name="IQ_EST_ACT_NET_DEBT" hidden="1">"c3545"</definedName>
    <definedName name="IQ_EST_ACT_NET_DEBT_REUT" hidden="1">"c5446"</definedName>
    <definedName name="IQ_EST_ACT_NI" hidden="1">"c1722"</definedName>
    <definedName name="IQ_EST_ACT_NI_GW" hidden="1">"c1729"</definedName>
    <definedName name="IQ_EST_ACT_NI_GW_REUT" hidden="1">"c5381"</definedName>
    <definedName name="IQ_EST_ACT_NI_REPORTED" hidden="1">"c1736"</definedName>
    <definedName name="IQ_EST_ACT_NI_REPORTED_REUT" hidden="1">"c5388"</definedName>
    <definedName name="IQ_EST_ACT_NI_REUT" hidden="1">"c5374"</definedName>
    <definedName name="IQ_EST_ACT_NI_SBC" hidden="1">"c4409"</definedName>
    <definedName name="IQ_EST_ACT_NI_SBC_GW" hidden="1">"c4410"</definedName>
    <definedName name="IQ_EST_ACT_OPER_INC" hidden="1">"c1694"</definedName>
    <definedName name="IQ_EST_ACT_OPER_INC_REUT" hidden="1">"c5346"</definedName>
    <definedName name="IQ_EST_ACT_PRETAX_GW_INC" hidden="1">"c1708"</definedName>
    <definedName name="IQ_EST_ACT_PRETAX_GW_INC_REUT" hidden="1">"c5360"</definedName>
    <definedName name="IQ_EST_ACT_PRETAX_INC" hidden="1">"c1701"</definedName>
    <definedName name="IQ_EST_ACT_PRETAX_INC_REUT" hidden="1">"c5353"</definedName>
    <definedName name="IQ_EST_ACT_PRETAX_REPORT_INC" hidden="1">"c1715"</definedName>
    <definedName name="IQ_EST_ACT_PRETAX_REPORT_INC_REUT" hidden="1">"c5367"</definedName>
    <definedName name="IQ_EST_ACT_RECURRING_PROFIT" hidden="1">"c4411"</definedName>
    <definedName name="IQ_EST_ACT_RECURRING_PROFIT_SHARE" hidden="1">"c4412"</definedName>
    <definedName name="IQ_EST_ACT_RETURN_ASSETS" hidden="1">"c3547"</definedName>
    <definedName name="IQ_EST_ACT_RETURN_ASSETS_REUT" hidden="1">"c3996"</definedName>
    <definedName name="IQ_EST_ACT_RETURN_EQUITY" hidden="1">"c3548"</definedName>
    <definedName name="IQ_EST_ACT_RETURN_EQUITY_REUT" hidden="1">"c3989"</definedName>
    <definedName name="IQ_EST_ACT_REV" hidden="1">"c2113"</definedName>
    <definedName name="IQ_EST_ACT_REV_REUT" hidden="1">"c3835"</definedName>
    <definedName name="IQ_EST_BV_SHARE_DIFF" hidden="1">"c4147"</definedName>
    <definedName name="IQ_EST_BV_SHARE_SURPRISE_PERCENT" hidden="1">"c4148"</definedName>
    <definedName name="IQ_EST_CAPEX_DIFF" hidden="1">"c4149"</definedName>
    <definedName name="IQ_EST_CAPEX_GROWTH_1YR" hidden="1">"c3588"</definedName>
    <definedName name="IQ_EST_CAPEX_GROWTH_1YR_REUT" hidden="1">"c5447"</definedName>
    <definedName name="IQ_EST_CAPEX_GROWTH_2YR" hidden="1">"c3589"</definedName>
    <definedName name="IQ_EST_CAPEX_GROWTH_2YR_REUT" hidden="1">"c5448"</definedName>
    <definedName name="IQ_EST_CAPEX_GROWTH_Q_1YR" hidden="1">"c3590"</definedName>
    <definedName name="IQ_EST_CAPEX_GROWTH_Q_1YR_REUT" hidden="1">"c5449"</definedName>
    <definedName name="IQ_EST_CAPEX_SEQ_GROWTH_Q" hidden="1">"c3591"</definedName>
    <definedName name="IQ_EST_CAPEX_SEQ_GROWTH_Q_REUT" hidden="1">"c5450"</definedName>
    <definedName name="IQ_EST_CAPEX_SURPRISE_PERCENT" hidden="1">"c4151"</definedName>
    <definedName name="IQ_EST_CASH_FLOW_DIFF" hidden="1">"c4152"</definedName>
    <definedName name="IQ_EST_CASH_FLOW_SURPRISE_PERCENT" hidden="1">"c4161"</definedName>
    <definedName name="IQ_EST_CASH_OPER_DIFF" hidden="1">"c4162"</definedName>
    <definedName name="IQ_EST_CASH_OPER_SURPRISE_PERCENT" hidden="1">"c4248"</definedName>
    <definedName name="IQ_EST_CFPS_DIFF" hidden="1">"c1871"</definedName>
    <definedName name="IQ_EST_CFPS_DIFF_REUT" hidden="1">"c3892"</definedName>
    <definedName name="IQ_EST_CFPS_GROWTH_1YR" hidden="1">"c1774"</definedName>
    <definedName name="IQ_EST_CFPS_GROWTH_1YR_REUT" hidden="1">"c3878"</definedName>
    <definedName name="IQ_EST_CFPS_GROWTH_2YR" hidden="1">"c1775"</definedName>
    <definedName name="IQ_EST_CFPS_GROWTH_2YR_REUT" hidden="1">"c3879"</definedName>
    <definedName name="IQ_EST_CFPS_GROWTH_Q_1YR" hidden="1">"c1776"</definedName>
    <definedName name="IQ_EST_CFPS_GROWTH_Q_1YR_REUT" hidden="1">"c3880"</definedName>
    <definedName name="IQ_EST_CFPS_SEQ_GROWTH_Q" hidden="1">"c1777"</definedName>
    <definedName name="IQ_EST_CFPS_SEQ_GROWTH_Q_REUT" hidden="1">"c3881"</definedName>
    <definedName name="IQ_EST_CFPS_SURPRISE_PERCENT" hidden="1">"c1872"</definedName>
    <definedName name="IQ_EST_CFPS_SURPRISE_PERCENT_REUT" hidden="1">"c3893"</definedName>
    <definedName name="IQ_EST_CURRENCY" hidden="1">"c2140"</definedName>
    <definedName name="IQ_EST_CURRENCY_REUT" hidden="1">"c5437"</definedName>
    <definedName name="IQ_EST_DATE" hidden="1">"c1634"</definedName>
    <definedName name="IQ_EST_DATE_REUT" hidden="1">"c5438"</definedName>
    <definedName name="IQ_EST_DISTRIBUTABLE_CASH_DIFF" hidden="1">"c4276"</definedName>
    <definedName name="IQ_EST_DISTRIBUTABLE_CASH_GROWTH_1YR" hidden="1">"c4413"</definedName>
    <definedName name="IQ_EST_DISTRIBUTABLE_CASH_GROWTH_2YR" hidden="1">"c4414"</definedName>
    <definedName name="IQ_EST_DISTRIBUTABLE_CASH_GROWTH_Q_1YR" hidden="1">"c4415"</definedName>
    <definedName name="IQ_EST_DISTRIBUTABLE_CASH_SEQ_GROWTH_Q" hidden="1">"c4416"</definedName>
    <definedName name="IQ_EST_DISTRIBUTABLE_CASH_SHARE_DIFF" hidden="1">"c4284"</definedName>
    <definedName name="IQ_EST_DISTRIBUTABLE_CASH_SHARE_GROWTH_1YR" hidden="1">"c4417"</definedName>
    <definedName name="IQ_EST_DISTRIBUTABLE_CASH_SHARE_GROWTH_2YR" hidden="1">"c4418"</definedName>
    <definedName name="IQ_EST_DISTRIBUTABLE_CASH_SHARE_GROWTH_Q_1YR" hidden="1">"c4419"</definedName>
    <definedName name="IQ_EST_DISTRIBUTABLE_CASH_SHARE_SEQ_GROWTH_Q" hidden="1">"c4420"</definedName>
    <definedName name="IQ_EST_DISTRIBUTABLE_CASH_SHARE_SURPRISE_PERCENT" hidden="1">"c4293"</definedName>
    <definedName name="IQ_EST_DISTRIBUTABLE_CASH_SURPRISE_PERCENT" hidden="1">"c4295"</definedName>
    <definedName name="IQ_EST_DPS_DIFF" hidden="1">"c1873"</definedName>
    <definedName name="IQ_EST_DPS_DIFF_REUT" hidden="1">"c3894"</definedName>
    <definedName name="IQ_EST_DPS_GROWTH_1YR" hidden="1">"c1778"</definedName>
    <definedName name="IQ_EST_DPS_GROWTH_1YR_REUT" hidden="1">"c3882"</definedName>
    <definedName name="IQ_EST_DPS_GROWTH_2YR" hidden="1">"c1779"</definedName>
    <definedName name="IQ_EST_DPS_GROWTH_2YR_REUT" hidden="1">"c3883"</definedName>
    <definedName name="IQ_EST_DPS_GROWTH_Q_1YR" hidden="1">"c1780"</definedName>
    <definedName name="IQ_EST_DPS_GROWTH_Q_1YR_REUT" hidden="1">"c3884"</definedName>
    <definedName name="IQ_EST_DPS_SEQ_GROWTH_Q" hidden="1">"c1781"</definedName>
    <definedName name="IQ_EST_DPS_SEQ_GROWTH_Q_REUT" hidden="1">"c3885"</definedName>
    <definedName name="IQ_EST_DPS_SURPRISE_PERCENT" hidden="1">"c1874"</definedName>
    <definedName name="IQ_EST_DPS_SURPRISE_PERCENT_REUT" hidden="1">"c3895"</definedName>
    <definedName name="IQ_EST_EBIT_DIFF" hidden="1">"c1875"</definedName>
    <definedName name="IQ_EST_EBIT_DIFF_REUT" hidden="1">"c5413"</definedName>
    <definedName name="IQ_EST_EBIT_GW_DIFF" hidden="1">"c4304"</definedName>
    <definedName name="IQ_EST_EBIT_GW_SURPRISE_PERCENT" hidden="1">"c4313"</definedName>
    <definedName name="IQ_EST_EBIT_SBC_DIFF" hidden="1">"c4314"</definedName>
    <definedName name="IQ_EST_EBIT_SBC_GW_DIFF" hidden="1">"c4318"</definedName>
    <definedName name="IQ_EST_EBIT_SBC_GW_SURPRISE_PERCENT" hidden="1">"c4327"</definedName>
    <definedName name="IQ_EST_EBIT_SBC_SURPRISE_PERCENT" hidden="1">"c4333"</definedName>
    <definedName name="IQ_EST_EBIT_SURPRISE_PERCENT" hidden="1">"c1876"</definedName>
    <definedName name="IQ_EST_EBIT_SURPRISE_PERCENT_REUT" hidden="1">"c5414"</definedName>
    <definedName name="IQ_EST_EBITDA_DIFF" hidden="1">"c1867"</definedName>
    <definedName name="IQ_EST_EBITDA_DIFF_REUT" hidden="1">"c3888"</definedName>
    <definedName name="IQ_EST_EBITDA_GROWTH_1YR" hidden="1">"c1766"</definedName>
    <definedName name="IQ_EST_EBITDA_GROWTH_1YR_REUT" hidden="1">"c3864"</definedName>
    <definedName name="IQ_EST_EBITDA_GROWTH_2YR" hidden="1">"c1767"</definedName>
    <definedName name="IQ_EST_EBITDA_GROWTH_2YR_REUT" hidden="1">"c3865"</definedName>
    <definedName name="IQ_EST_EBITDA_GROWTH_Q_1YR" hidden="1">"c1768"</definedName>
    <definedName name="IQ_EST_EBITDA_GROWTH_Q_1YR_REUT" hidden="1">"c3866"</definedName>
    <definedName name="IQ_EST_EBITDA_SBC_DIFF" hidden="1">"c4335"</definedName>
    <definedName name="IQ_EST_EBITDA_SBC_SURPRISE_PERCENT" hidden="1">"c4344"</definedName>
    <definedName name="IQ_EST_EBITDA_SEQ_GROWTH_Q" hidden="1">"c1769"</definedName>
    <definedName name="IQ_EST_EBITDA_SEQ_GROWTH_Q_REUT" hidden="1">"c3867"</definedName>
    <definedName name="IQ_EST_EBITDA_SURPRISE_PERCENT" hidden="1">"c1868"</definedName>
    <definedName name="IQ_EST_EBITDA_SURPRISE_PERCENT_REUT" hidden="1">"c3889"</definedName>
    <definedName name="IQ_EST_EBT_SBC_DIFF" hidden="1">"c4348"</definedName>
    <definedName name="IQ_EST_EBT_SBC_GW_DIFF" hidden="1">"c4352"</definedName>
    <definedName name="IQ_EST_EBT_SBC_GW_SURPRISE_PERCENT" hidden="1">"c4361"</definedName>
    <definedName name="IQ_EST_EBT_SBC_SURPRISE_PERCENT" hidden="1">"c4367"</definedName>
    <definedName name="IQ_EST_EPS_DIFF" hidden="1">"c1864"</definedName>
    <definedName name="IQ_EST_EPS_DIFF_REUT" hidden="1">"c5458"</definedName>
    <definedName name="IQ_EST_EPS_GROWTH_1YR" hidden="1">"c1636"</definedName>
    <definedName name="IQ_EST_EPS_GROWTH_1YR_REUT" hidden="1">"c3646"</definedName>
    <definedName name="IQ_EST_EPS_GROWTH_2YR" hidden="1">"c1637"</definedName>
    <definedName name="IQ_EST_EPS_GROWTH_2YR_REUT" hidden="1">"c3858"</definedName>
    <definedName name="IQ_EST_EPS_GROWTH_5YR" hidden="1">"c1655"</definedName>
    <definedName name="IQ_EST_EPS_GROWTH_5YR_BOTTOM_UP" hidden="1">"c5487"</definedName>
    <definedName name="IQ_EST_EPS_GROWTH_5YR_BOTTOM_UP_REUT" hidden="1">"c5495"</definedName>
    <definedName name="IQ_EST_EPS_GROWTH_5YR_HIGH" hidden="1">"c1657"</definedName>
    <definedName name="IQ_EST_EPS_GROWTH_5YR_HIGH_REUT" hidden="1">"c5322"</definedName>
    <definedName name="IQ_EST_EPS_GROWTH_5YR_LOW" hidden="1">"c1658"</definedName>
    <definedName name="IQ_EST_EPS_GROWTH_5YR_LOW_REUT" hidden="1">"c5323"</definedName>
    <definedName name="IQ_EST_EPS_GROWTH_5YR_MEDIAN" hidden="1">"c1656"</definedName>
    <definedName name="IQ_EST_EPS_GROWTH_5YR_MEDIAN_REUT" hidden="1">"c5321"</definedName>
    <definedName name="IQ_EST_EPS_GROWTH_5YR_NUM" hidden="1">"c1659"</definedName>
    <definedName name="IQ_EST_EPS_GROWTH_5YR_NUM_REUT" hidden="1">"c5324"</definedName>
    <definedName name="IQ_EST_EPS_GROWTH_5YR_REUT" hidden="1">"c3633"</definedName>
    <definedName name="IQ_EST_EPS_GROWTH_5YR_STDDEV" hidden="1">"c1660"</definedName>
    <definedName name="IQ_EST_EPS_GROWTH_5YR_STDDEV_REUT" hidden="1">"c5325"</definedName>
    <definedName name="IQ_EST_EPS_GROWTH_Q_1YR" hidden="1">"c1641"</definedName>
    <definedName name="IQ_EST_EPS_GROWTH_Q_1YR_REUT" hidden="1">"c5410"</definedName>
    <definedName name="IQ_EST_EPS_GW_DIFF" hidden="1">"c1891"</definedName>
    <definedName name="IQ_EST_EPS_GW_DIFF_REUT" hidden="1">"c5429"</definedName>
    <definedName name="IQ_EST_EPS_GW_SURPRISE_PERCENT" hidden="1">"c1892"</definedName>
    <definedName name="IQ_EST_EPS_GW_SURPRISE_PERCENT_REUT" hidden="1">"c5430"</definedName>
    <definedName name="IQ_EST_EPS_NORM_DIFF" hidden="1">"c2247"</definedName>
    <definedName name="IQ_EST_EPS_NORM_DIFF_REUT" hidden="1">"c5411"</definedName>
    <definedName name="IQ_EST_EPS_NORM_SURPRISE_PERCENT" hidden="1">"c2248"</definedName>
    <definedName name="IQ_EST_EPS_NORM_SURPRISE_PERCENT_REUT" hidden="1">"c5412"</definedName>
    <definedName name="IQ_EST_EPS_REPORT_DIFF" hidden="1">"c1893"</definedName>
    <definedName name="IQ_EST_EPS_REPORT_DIFF_REUT" hidden="1">"c5431"</definedName>
    <definedName name="IQ_EST_EPS_REPORT_SURPRISE_PERCENT" hidden="1">"c1894"</definedName>
    <definedName name="IQ_EST_EPS_REPORT_SURPRISE_PERCENT_REUT" hidden="1">"c5432"</definedName>
    <definedName name="IQ_EST_EPS_SBC_DIFF" hidden="1">"c4374"</definedName>
    <definedName name="IQ_EST_EPS_SBC_GW_DIFF" hidden="1">"c4378"</definedName>
    <definedName name="IQ_EST_EPS_SBC_GW_SURPRISE_PERCENT" hidden="1">"c4387"</definedName>
    <definedName name="IQ_EST_EPS_SBC_SURPRISE_PERCENT" hidden="1">"c4393"</definedName>
    <definedName name="IQ_EST_EPS_SEQ_GROWTH_Q" hidden="1">"c1764"</definedName>
    <definedName name="IQ_EST_EPS_SEQ_GROWTH_Q_REUT" hidden="1">"c3859"</definedName>
    <definedName name="IQ_EST_EPS_SURPRISE" hidden="1">"c1635"</definedName>
    <definedName name="IQ_EST_EPS_SURPRISE_PERCENT" hidden="1">"c1635"</definedName>
    <definedName name="IQ_EST_EPS_SURPRISE_PERCENT_REUT" hidden="1">"c5459"</definedName>
    <definedName name="IQ_EST_FFO_ADJ_DIFF" hidden="1">"c4433"</definedName>
    <definedName name="IQ_EST_FFO_ADJ_GROWTH_1YR" hidden="1">"c4421"</definedName>
    <definedName name="IQ_EST_FFO_ADJ_GROWTH_2YR" hidden="1">"c4422"</definedName>
    <definedName name="IQ_EST_FFO_ADJ_GROWTH_Q_1YR" hidden="1">"c4423"</definedName>
    <definedName name="IQ_EST_FFO_ADJ_SEQ_GROWTH_Q" hidden="1">"c4424"</definedName>
    <definedName name="IQ_EST_FFO_ADJ_SURPRISE_PERCENT" hidden="1">"c4442"</definedName>
    <definedName name="IQ_EST_FFO_DIFF" hidden="1">"c1869"</definedName>
    <definedName name="IQ_EST_FFO_DIFF_REUT" hidden="1">"c3890"</definedName>
    <definedName name="IQ_EST_FFO_GROWTH_1YR" hidden="1">"c1770"</definedName>
    <definedName name="IQ_EST_FFO_GROWTH_1YR_REUT" hidden="1">"c3874"</definedName>
    <definedName name="IQ_EST_FFO_GROWTH_2YR" hidden="1">"c1771"</definedName>
    <definedName name="IQ_EST_FFO_GROWTH_2YR_REUT" hidden="1">"c3875"</definedName>
    <definedName name="IQ_EST_FFO_GROWTH_Q_1YR" hidden="1">"c1772"</definedName>
    <definedName name="IQ_EST_FFO_GROWTH_Q_1YR_REUT" hidden="1">"c3876"</definedName>
    <definedName name="IQ_EST_FFO_SEQ_GROWTH_Q" hidden="1">"c1773"</definedName>
    <definedName name="IQ_EST_FFO_SEQ_GROWTH_Q_REUT" hidden="1">"c3877"</definedName>
    <definedName name="IQ_EST_FFO_SHARE_DIFF" hidden="1">"c4444"</definedName>
    <definedName name="IQ_EST_FFO_SHARE_GROWTH_1YR" hidden="1">"c4425"</definedName>
    <definedName name="IQ_EST_FFO_SHARE_GROWTH_2YR" hidden="1">"c4426"</definedName>
    <definedName name="IQ_EST_FFO_SHARE_GROWTH_Q_1YR" hidden="1">"c4427"</definedName>
    <definedName name="IQ_EST_FFO_SHARE_SEQ_GROWTH_Q" hidden="1">"c4428"</definedName>
    <definedName name="IQ_EST_FFO_SHARE_SURPRISE_PERCENT" hidden="1">"c4453"</definedName>
    <definedName name="IQ_EST_FFO_SURPRISE_PERCENT" hidden="1">"c1870"</definedName>
    <definedName name="IQ_EST_FFO_SURPRISE_PERCENT_REUT" hidden="1">"c3891"</definedName>
    <definedName name="IQ_EST_FOOTNOTE" hidden="1">"c4540"</definedName>
    <definedName name="IQ_EST_FOOTNOTE_REUT" hidden="1">"c5478"</definedName>
    <definedName name="IQ_EST_MAINT_CAPEX_DIFF" hidden="1">"c4456"</definedName>
    <definedName name="IQ_EST_MAINT_CAPEX_GROWTH_1YR" hidden="1">"c4429"</definedName>
    <definedName name="IQ_EST_MAINT_CAPEX_GROWTH_2YR" hidden="1">"c4430"</definedName>
    <definedName name="IQ_EST_MAINT_CAPEX_GROWTH_Q_1YR" hidden="1">"c4431"</definedName>
    <definedName name="IQ_EST_MAINT_CAPEX_SEQ_GROWTH_Q" hidden="1">"c4432"</definedName>
    <definedName name="IQ_EST_MAINT_CAPEX_SURPRISE_PERCENT" hidden="1">"c4465"</definedName>
    <definedName name="IQ_EST_NAV_DIFF" hidden="1">"c1895"</definedName>
    <definedName name="IQ_EST_NAV_SURPRISE_PERCENT" hidden="1">"c1896"</definedName>
    <definedName name="IQ_EST_NET_DEBT_DIFF" hidden="1">"c4466"</definedName>
    <definedName name="IQ_EST_NET_DEBT_SURPRISE_PERCENT" hidden="1">"c4468"</definedName>
    <definedName name="IQ_EST_NI_DIFF" hidden="1">"c1885"</definedName>
    <definedName name="IQ_EST_NI_DIFF_REUT" hidden="1">"c5423"</definedName>
    <definedName name="IQ_EST_NI_GW_DIFF" hidden="1">"c1887"</definedName>
    <definedName name="IQ_EST_NI_GW_DIFF_REUT" hidden="1">"c5425"</definedName>
    <definedName name="IQ_EST_NI_GW_SURPRISE_PERCENT" hidden="1">"c1888"</definedName>
    <definedName name="IQ_EST_NI_GW_SURPRISE_PERCENT_REUT" hidden="1">"c5426"</definedName>
    <definedName name="IQ_EST_NI_REPORT_DIFF" hidden="1">"c1889"</definedName>
    <definedName name="IQ_EST_NI_REPORT_DIFF_REUT" hidden="1">"c5427"</definedName>
    <definedName name="IQ_EST_NI_REPORT_SURPRISE_PERCENT" hidden="1">"c1890"</definedName>
    <definedName name="IQ_EST_NI_REPORT_SURPRISE_PERCENT_REUT" hidden="1">"c5428"</definedName>
    <definedName name="IQ_EST_NI_SBC_DIFF" hidden="1">"c4472"</definedName>
    <definedName name="IQ_EST_NI_SBC_GW_DIFF" hidden="1">"c4476"</definedName>
    <definedName name="IQ_EST_NI_SBC_GW_SURPRISE_PERCENT" hidden="1">"c4485"</definedName>
    <definedName name="IQ_EST_NI_SBC_SURPRISE_PERCENT" hidden="1">"c4491"</definedName>
    <definedName name="IQ_EST_NI_SURPRISE_PERCENT" hidden="1">"c1886"</definedName>
    <definedName name="IQ_EST_NI_SURPRISE_PERCENT_REUT" hidden="1">"c5424"</definedName>
    <definedName name="IQ_EST_NUM_BUY" hidden="1">"c1759"</definedName>
    <definedName name="IQ_EST_NUM_BUY_REUT" hidden="1">"c3869"</definedName>
    <definedName name="IQ_EST_NUM_HOLD" hidden="1">"c1761"</definedName>
    <definedName name="IQ_EST_NUM_HOLD_REUT" hidden="1">"c3871"</definedName>
    <definedName name="IQ_EST_NUM_NO_OPINION" hidden="1">"c1758"</definedName>
    <definedName name="IQ_EST_NUM_NO_OPINION_REUT" hidden="1">"c3868"</definedName>
    <definedName name="IQ_EST_NUM_OUTPERFORM" hidden="1">"c1760"</definedName>
    <definedName name="IQ_EST_NUM_OUTPERFORM_REUT" hidden="1">"c3870"</definedName>
    <definedName name="IQ_EST_NUM_SELL" hidden="1">"c1763"</definedName>
    <definedName name="IQ_EST_NUM_SELL_REUT" hidden="1">"c3873"</definedName>
    <definedName name="IQ_EST_NUM_UNDERPERFORM" hidden="1">"c1762"</definedName>
    <definedName name="IQ_EST_NUM_UNDERPERFORM_REUT" hidden="1">"c3872"</definedName>
    <definedName name="IQ_EST_OPER_INC_DIFF" hidden="1">"c1877"</definedName>
    <definedName name="IQ_EST_OPER_INC_DIFF_REUT" hidden="1">"c5415"</definedName>
    <definedName name="IQ_EST_OPER_INC_SURPRISE_PERCENT" hidden="1">"c1878"</definedName>
    <definedName name="IQ_EST_OPER_INC_SURPRISE_PERCENT_REUT" hidden="1">"c5416"</definedName>
    <definedName name="IQ_EST_PRE_TAX_DIFF" hidden="1">"c1879"</definedName>
    <definedName name="IQ_EST_PRE_TAX_DIFF_REUT" hidden="1">"c5417"</definedName>
    <definedName name="IQ_EST_PRE_TAX_GW_DIFF" hidden="1">"c1881"</definedName>
    <definedName name="IQ_EST_PRE_TAX_GW_DIFF_REUT" hidden="1">"c5419"</definedName>
    <definedName name="IQ_EST_PRE_TAX_GW_SURPRISE_PERCENT" hidden="1">"c1882"</definedName>
    <definedName name="IQ_EST_PRE_TAX_GW_SURPRISE_PERCENT_REUT" hidden="1">"c5420"</definedName>
    <definedName name="IQ_EST_PRE_TAX_REPORT_DIFF" hidden="1">"c1883"</definedName>
    <definedName name="IQ_EST_PRE_TAX_REPORT_DIFF_REUT" hidden="1">"c5421"</definedName>
    <definedName name="IQ_EST_PRE_TAX_REPORT_SURPRISE_PERCENT" hidden="1">"c1884"</definedName>
    <definedName name="IQ_EST_PRE_TAX_REPORT_SURPRISE_PERCENT_REUT" hidden="1">"c5422"</definedName>
    <definedName name="IQ_EST_PRE_TAX_SURPRISE_PERCENT" hidden="1">"c1880"</definedName>
    <definedName name="IQ_EST_PRE_TAX_SURPRISE_PERCENT_REUT" hidden="1">"c5418"</definedName>
    <definedName name="IQ_EST_RECURRING_PROFIT_SHARE_DIFF" hidden="1">"c4505"</definedName>
    <definedName name="IQ_EST_RECURRING_PROFIT_SHARE_SURPRISE_PERCENT" hidden="1">"c4515"</definedName>
    <definedName name="IQ_EST_REV_DIFF" hidden="1">"c1865"</definedName>
    <definedName name="IQ_EST_REV_DIFF_REUT" hidden="1">"c3886"</definedName>
    <definedName name="IQ_EST_REV_GROWTH_1YR" hidden="1">"c1638"</definedName>
    <definedName name="IQ_EST_REV_GROWTH_1YR_REUT" hidden="1">"c3860"</definedName>
    <definedName name="IQ_EST_REV_GROWTH_2YR" hidden="1">"c1639"</definedName>
    <definedName name="IQ_EST_REV_GROWTH_2YR_REUT" hidden="1">"c3861"</definedName>
    <definedName name="IQ_EST_REV_GROWTH_Q_1YR" hidden="1">"c1640"</definedName>
    <definedName name="IQ_EST_REV_GROWTH_Q_1YR_REUT" hidden="1">"c3862"</definedName>
    <definedName name="IQ_EST_REV_SEQ_GROWTH_Q" hidden="1">"c1765"</definedName>
    <definedName name="IQ_EST_REV_SEQ_GROWTH_Q_REUT" hidden="1">"c3863"</definedName>
    <definedName name="IQ_EST_REV_SURPRISE_PERCENT" hidden="1">"c1866"</definedName>
    <definedName name="IQ_EST_REV_SURPRISE_PERCENT_REUT" hidden="1">"c3887"</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_CODE_" localSheetId="16" hidden="1">"test"</definedName>
    <definedName name="IQ_EXPENSE_CODE_" hidden="1">"assign"</definedName>
    <definedName name="IQ_EXPLORE_DRILL" hidden="1">"c409"</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FUNDS_PURCHASED_FDIC" hidden="1">"c6343"</definedName>
    <definedName name="IQ_FED_FUNDS_SOLD_FDIC" hidden="1">"c6307"</definedName>
    <definedName name="IQ_FEDFUNDS_SOLD" hidden="1">"c2256"</definedName>
    <definedName name="IQ_FFO" hidden="1">"c1574"</definedName>
    <definedName name="IQ_FFO_ACT_OR_EST" hidden="1">"c2216"</definedName>
    <definedName name="IQ_FFO_ADJ_ACT_OR_EST" hidden="1">"c4435"</definedName>
    <definedName name="IQ_FFO_ADJ_EST" hidden="1">"c4434"</definedName>
    <definedName name="IQ_FFO_ADJ_GUIDANCE" hidden="1">"c4436"</definedName>
    <definedName name="IQ_FFO_ADJ_HIGH_EST" hidden="1">"c4437"</definedName>
    <definedName name="IQ_FFO_ADJ_HIGH_GUIDANCE" hidden="1">"c4202"</definedName>
    <definedName name="IQ_FFO_ADJ_LOW_EST" hidden="1">"c4438"</definedName>
    <definedName name="IQ_FFO_ADJ_LOW_GUIDANCE" hidden="1">"c4242"</definedName>
    <definedName name="IQ_FFO_ADJ_MEDIAN_EST" hidden="1">"c4439"</definedName>
    <definedName name="IQ_FFO_ADJ_NUM_EST" hidden="1">"c4440"</definedName>
    <definedName name="IQ_FFO_ADJ_STDDEV_EST" hidden="1">"c4441"</definedName>
    <definedName name="IQ_FFO_EST" hidden="1">"c418"</definedName>
    <definedName name="IQ_FFO_EST_REUT" hidden="1">"c3837"</definedName>
    <definedName name="IQ_FFO_GUIDANCE" hidden="1">"c4443"</definedName>
    <definedName name="IQ_FFO_HIGH_EST" hidden="1">"c419"</definedName>
    <definedName name="IQ_FFO_HIGH_EST_REUT" hidden="1">"c3839"</definedName>
    <definedName name="IQ_FFO_HIGH_GUIDANCE" hidden="1">"c4184"</definedName>
    <definedName name="IQ_FFO_LOW_EST" hidden="1">"c420"</definedName>
    <definedName name="IQ_FFO_LOW_EST_REUT" hidden="1">"c3840"</definedName>
    <definedName name="IQ_FFO_LOW_GUIDANCE" hidden="1">"c4224"</definedName>
    <definedName name="IQ_FFO_MEDIAN_EST" hidden="1">"c1665"</definedName>
    <definedName name="IQ_FFO_MEDIAN_EST_REUT" hidden="1">"c3838"</definedName>
    <definedName name="IQ_FFO_NUM_EST" hidden="1">"c421"</definedName>
    <definedName name="IQ_FFO_NUM_EST_REUT" hidden="1">"c3841"</definedName>
    <definedName name="IQ_FFO_PAYOUT_RATIO" hidden="1">"c3492"</definedName>
    <definedName name="IQ_FFO_SHARE_ACT_OR_EST" hidden="1">"c4446"</definedName>
    <definedName name="IQ_FFO_SHARE_EST" hidden="1">"c4445"</definedName>
    <definedName name="IQ_FFO_SHARE_GUIDANCE" hidden="1">"c4447"</definedName>
    <definedName name="IQ_FFO_SHARE_HIGH_EST" hidden="1">"c4448"</definedName>
    <definedName name="IQ_FFO_SHARE_HIGH_GUIDANCE" hidden="1">"c4203"</definedName>
    <definedName name="IQ_FFO_SHARE_LOW_EST" hidden="1">"c4449"</definedName>
    <definedName name="IQ_FFO_SHARE_LOW_GUIDANCE" hidden="1">"c4243"</definedName>
    <definedName name="IQ_FFO_SHARE_MEDIAN_EST" hidden="1">"c4450"</definedName>
    <definedName name="IQ_FFO_SHARE_NUM_EST" hidden="1">"c4451"</definedName>
    <definedName name="IQ_FFO_SHARE_STDDEV_EST" hidden="1">"c4452"</definedName>
    <definedName name="IQ_FFO_STDDEV_EST" hidden="1">"c422"</definedName>
    <definedName name="IQ_FFO_STDDEV_EST_REUT" hidden="1">"c3842"</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NOTES_PAY_TOTAL" hidden="1">"c5522"</definedName>
    <definedName name="IQ_FIN_DIV_REV" hidden="1">"c437"</definedName>
    <definedName name="IQ_FIN_DIV_ST_DEBT_TOTAL" hidden="1">"c5527"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_REUT" hidden="1">"c6798"</definedName>
    <definedName name="IQ_FISCAL_Y" hidden="1">"c441"</definedName>
    <definedName name="IQ_FISCAL_Y_EST_REUT" hidden="1">"c6799"</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MARGIN_ACT_OR_EST" hidden="1">"c5554"</definedName>
    <definedName name="IQ_GROSS_MARGIN_EST" hidden="1">"c5547"</definedName>
    <definedName name="IQ_GROSS_MARGIN_HIGH_EST" hidden="1">"c5549"</definedName>
    <definedName name="IQ_GROSS_MARGIN_LOW_EST" hidden="1">"c5550"</definedName>
    <definedName name="IQ_GROSS_MARGIN_MEDIAN_EST" hidden="1">"c5548"</definedName>
    <definedName name="IQ_GROSS_MARGIN_NUM_EST" hidden="1">"c5551"</definedName>
    <definedName name="IQ_GROSS_MARGIN_STDDEV_EST" hidden="1">"c5552"</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ELD_MATURITY_FDIC" hidden="1">"c6408"</definedName>
    <definedName name="IQ_HIGH_TARGET_PRICE" hidden="1">"c1651"</definedName>
    <definedName name="IQ_HIGH_TARGET_PRICE_REUT" hidden="1">"c5317"</definedName>
    <definedName name="IQ_HIGHPRICE" hidden="1">"c545"</definedName>
    <definedName name="IQ_HOME_EQUITY_LOC_NET_CHARGE_OFFS_FDIC" hidden="1">"c6644"</definedName>
    <definedName name="IQ_HOME_EQUITY_LOC_TOTAL_CHARGE_OFFS_FDIC" hidden="1">"c6606"</definedName>
    <definedName name="IQ_HOME_EQUITY_LOC_TOTAL_RECOVERIES_FDIC" hidden="1">"c6625"</definedName>
    <definedName name="IQ_HOMEOWNERS_WRITTEN" hidden="1">"c546"</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AIR_OIL" hidden="1">"c547"</definedName>
    <definedName name="IQ_IMPAIRMENT_GW" hidden="1">"c548"</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IT" hidden="1">"c597"</definedName>
    <definedName name="IQ_INT_INC_SECURITIES_FDIC" hidden="1">"c6559"</definedName>
    <definedName name="IQ_INT_INC_TOTAL" hidden="1">"c598"</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CAPEX" hidden="1">"c2947"</definedName>
    <definedName name="IQ_MAINT_CAPEX_ACT_OR_EST" hidden="1">"c4458"</definedName>
    <definedName name="IQ_MAINT_CAPEX_EST" hidden="1">"c4457"</definedName>
    <definedName name="IQ_MAINT_CAPEX_GUIDANCE" hidden="1">"c4459"</definedName>
    <definedName name="IQ_MAINT_CAPEX_HIGH_EST" hidden="1">"c4460"</definedName>
    <definedName name="IQ_MAINT_CAPEX_HIGH_GUIDANCE" hidden="1">"c4197"</definedName>
    <definedName name="IQ_MAINT_CAPEX_LOW_EST" hidden="1">"c4461"</definedName>
    <definedName name="IQ_MAINT_CAPEX_LOW_GUIDANCE" hidden="1">"c4237"</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RATIO" hidden="1">"c2783"</definedName>
    <definedName name="IQ_MC_STATUTORY_SURPLUS" hidden="1">"c2772"</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TD" hidden="1">800000</definedName>
    <definedName name="IQ_MULTIFAMILY_RESIDENTIAL_LOANS_FDIC" hidden="1">"c6311"</definedName>
    <definedName name="IQ_NAMES_REVISION_DATE_" localSheetId="16" hidden="1">43175.8071643518</definedName>
    <definedName name="IQ_NAMES_REVISION_DATE_" hidden="1">"06/28/2018 09:11:25"</definedName>
    <definedName name="IQ_NAMES_REVISION_DATE__1" hidden="1">41344.6248148148</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HARE_ACT_OR_EST" hidden="1">"c5615"</definedName>
    <definedName name="IQ_NAV_SHARE_ACT_OR_EST_REUT" hidden="1">"c5623"</definedName>
    <definedName name="IQ_NAV_SHARE_EST" hidden="1">"c5609"</definedName>
    <definedName name="IQ_NAV_SHARE_EST_REUT" hidden="1">"c5617"</definedName>
    <definedName name="IQ_NAV_SHARE_HIGH_EST" hidden="1">"c5612"</definedName>
    <definedName name="IQ_NAV_SHARE_HIGH_EST_REUT" hidden="1">"c5620"</definedName>
    <definedName name="IQ_NAV_SHARE_LOW_EST" hidden="1">"c5613"</definedName>
    <definedName name="IQ_NAV_SHARE_LOW_EST_REUT" hidden="1">"c5621"</definedName>
    <definedName name="IQ_NAV_SHARE_MEDIAN_EST" hidden="1">"c5610"</definedName>
    <definedName name="IQ_NAV_SHARE_MEDIAN_EST_REUT" hidden="1">"c5618"</definedName>
    <definedName name="IQ_NAV_SHARE_NUM_EST" hidden="1">"c5614"</definedName>
    <definedName name="IQ_NAV_SHARE_NUM_EST_REUT" hidden="1">"c5622"</definedName>
    <definedName name="IQ_NAV_SHARE_STDDEV_EST" hidden="1">"c5611"</definedName>
    <definedName name="IQ_NAV_SHARE_STDDEV_EST_REUT" hidden="1">"c5619"</definedName>
    <definedName name="IQ_NAV_STDDEV_EST" hidden="1">"c1756"</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REUT" hidden="1">"c5473"</definedName>
    <definedName name="IQ_NET_DEBT_EBITDA" hidden="1">"c750"</definedName>
    <definedName name="IQ_NET_DEBT_EBITDA_CAPEX" hidden="1">"c2949"</definedName>
    <definedName name="IQ_NET_DEBT_EST" hidden="1">"c3517"</definedName>
    <definedName name="IQ_NET_DEBT_EST_REUT" hidden="1">"c3976"</definedName>
    <definedName name="IQ_NET_DEBT_GUIDANCE" hidden="1">"c4467"</definedName>
    <definedName name="IQ_NET_DEBT_HIGH_EST" hidden="1">"c3518"</definedName>
    <definedName name="IQ_NET_DEBT_HIGH_EST_REUT" hidden="1">"c3978"</definedName>
    <definedName name="IQ_NET_DEBT_HIGH_GUIDANCE" hidden="1">"c4181"</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DEBT_LOW_EST" hidden="1">"c3519"</definedName>
    <definedName name="IQ_NET_DEBT_LOW_EST_REUT" hidden="1">"c3979"</definedName>
    <definedName name="IQ_NET_DEBT_LOW_GUIDANCE" hidden="1">"c4221"</definedName>
    <definedName name="IQ_NET_DEBT_MEDIAN_EST" hidden="1">"c3520"</definedName>
    <definedName name="IQ_NET_DEBT_MEDIAN_EST_REUT" hidden="1">"c3977"</definedName>
    <definedName name="IQ_NET_DEBT_NUM_EST" hidden="1">"c3515"</definedName>
    <definedName name="IQ_NET_DEBT_NUM_EST_REUT" hidden="1">"c3980"</definedName>
    <definedName name="IQ_NET_DEBT_STDDEV_EST" hidden="1">"c3516"</definedName>
    <definedName name="IQ_NET_DEBT_STDDEV_EST_REUT" hidden="1">"c3981"</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NK_FDIC" hidden="1">"c6570"</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CT_OR_EST_REUT" hidden="1">"c5468"</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EST_REUT" hidden="1">"c5368"</definedName>
    <definedName name="IQ_NI_GAAP_GUIDANCE" hidden="1">"c4470"</definedName>
    <definedName name="IQ_NI_GAAP_HIGH_GUIDANCE" hidden="1">"c4177"</definedName>
    <definedName name="IQ_NI_GAAP_LOW_GUIDANCE" hidden="1">"c4217"</definedName>
    <definedName name="IQ_NI_GUIDANCE" hidden="1">"c4469"</definedName>
    <definedName name="IQ_NI_GW_EST" hidden="1">"c1723"</definedName>
    <definedName name="IQ_NI_GW_EST_REUT" hidden="1">"c5375"</definedName>
    <definedName name="IQ_NI_GW_GUIDANCE" hidden="1">"c4471"</definedName>
    <definedName name="IQ_NI_GW_HIGH_EST" hidden="1">"c1725"</definedName>
    <definedName name="IQ_NI_GW_HIGH_EST_REUT" hidden="1">"c5377"</definedName>
    <definedName name="IQ_NI_GW_HIGH_GUIDANCE" hidden="1">"c4178"</definedName>
    <definedName name="IQ_NI_GW_LOW_EST" hidden="1">"c1726"</definedName>
    <definedName name="IQ_NI_GW_LOW_EST_REUT" hidden="1">"c5378"</definedName>
    <definedName name="IQ_NI_GW_LOW_GUIDANCE" hidden="1">"c4218"</definedName>
    <definedName name="IQ_NI_GW_MEDIAN_EST" hidden="1">"c1724"</definedName>
    <definedName name="IQ_NI_GW_MEDIAN_EST_REUT" hidden="1">"c5376"</definedName>
    <definedName name="IQ_NI_GW_NUM_EST" hidden="1">"c1727"</definedName>
    <definedName name="IQ_NI_GW_NUM_EST_REUT" hidden="1">"c5379"</definedName>
    <definedName name="IQ_NI_GW_STDDEV_EST" hidden="1">"c1728"</definedName>
    <definedName name="IQ_NI_GW_STDDEV_EST_REUT" hidden="1">"c5380"</definedName>
    <definedName name="IQ_NI_HIGH_EST" hidden="1">"c1718"</definedName>
    <definedName name="IQ_NI_HIGH_EST_REUT" hidden="1">"c5370"</definedName>
    <definedName name="IQ_NI_HIGH_GUIDANCE" hidden="1">"c4176"</definedName>
    <definedName name="IQ_NI_LOW_EST" hidden="1">"c1719"</definedName>
    <definedName name="IQ_NI_LOW_EST_REUT" hidden="1">"c5371"</definedName>
    <definedName name="IQ_NI_LOW_GUIDANCE" hidden="1">"c4216"</definedName>
    <definedName name="IQ_NI_MARGIN" hidden="1">"c794"</definedName>
    <definedName name="IQ_NI_MEDIAN_EST" hidden="1">"c1717"</definedName>
    <definedName name="IQ_NI_MEDIAN_EST_REUT" hidden="1">"c5369"</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NUM_EST_REUT" hidden="1">"c5372"</definedName>
    <definedName name="IQ_NI_REPORTED_EST" hidden="1">"c1730"</definedName>
    <definedName name="IQ_NI_REPORTED_EST_REUT" hidden="1">"c5382"</definedName>
    <definedName name="IQ_NI_REPORTED_HIGH_EST" hidden="1">"c1732"</definedName>
    <definedName name="IQ_NI_REPORTED_HIGH_EST_REUT" hidden="1">"c5384"</definedName>
    <definedName name="IQ_NI_REPORTED_LOW_EST" hidden="1">"c1733"</definedName>
    <definedName name="IQ_NI_REPORTED_LOW_EST_REUT" hidden="1">"c5385"</definedName>
    <definedName name="IQ_NI_REPORTED_MEDIAN_EST" hidden="1">"c1731"</definedName>
    <definedName name="IQ_NI_REPORTED_MEDIAN_EST_REUT" hidden="1">"c5383"</definedName>
    <definedName name="IQ_NI_REPORTED_NUM_EST" hidden="1">"c1734"</definedName>
    <definedName name="IQ_NI_REPORTED_NUM_EST_REUT" hidden="1">"c5386"</definedName>
    <definedName name="IQ_NI_REPORTED_STDDEV_EST" hidden="1">"c1735"</definedName>
    <definedName name="IQ_NI_REPORTED_STDDEV_EST_REUT" hidden="1">"c5387"</definedName>
    <definedName name="IQ_NI_SBC_ACT_OR_EST" hidden="1">"c4474"</definedName>
    <definedName name="IQ_NI_SBC_EST" hidden="1">"c4473"</definedName>
    <definedName name="IQ_NI_SBC_GUIDANCE" hidden="1">"c4475"</definedName>
    <definedName name="IQ_NI_SBC_GW_ACT_OR_EST" hidden="1">"c4478"</definedName>
    <definedName name="IQ_NI_SBC_GW_EST" hidden="1">"c4477"</definedName>
    <definedName name="IQ_NI_SBC_GW_GUIDANCE" hidden="1">"c4479"</definedName>
    <definedName name="IQ_NI_SBC_GW_HIGH_EST" hidden="1">"c4480"</definedName>
    <definedName name="IQ_NI_SBC_GW_HIGH_GUIDANCE" hidden="1">"c4187"</definedName>
    <definedName name="IQ_NI_SBC_GW_LOW_EST" hidden="1">"c4481"</definedName>
    <definedName name="IQ_NI_SBC_GW_LOW_GUIDANCE" hidden="1">"c4227"</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HIGH_GUIDANCE" hidden="1">"c4186"</definedName>
    <definedName name="IQ_NI_SBC_LOW_EST" hidden="1">"c4487"</definedName>
    <definedName name="IQ_NI_SBC_LOW_GUIDANCE" hidden="1">"c4226"</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REUT" hidden="1">"c5373"</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EXP_FDIC" hidden="1">"c6579"</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NUTIL_REV" hidden="1">"c2089"</definedName>
    <definedName name="IQ_NORM_EPS_ACT_OR_EST" hidden="1">"c2249"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ACT_OR_EST" hidden="1">"c2220"</definedName>
    <definedName name="IQ_OPER_INC_ACT_OR_EST_REUT" hidden="1">"c5466"</definedName>
    <definedName name="IQ_OPER_INC_BR" hidden="1">"c850"</definedName>
    <definedName name="IQ_OPER_INC_EST" hidden="1">"c1688"</definedName>
    <definedName name="IQ_OPER_INC_EST_REUT" hidden="1">"c5340"</definedName>
    <definedName name="IQ_OPER_INC_FIN" hidden="1">"c851"</definedName>
    <definedName name="IQ_OPER_INC_HIGH_EST" hidden="1">"c1690"</definedName>
    <definedName name="IQ_OPER_INC_HIGH_EST_REUT" hidden="1">"c5342"</definedName>
    <definedName name="IQ_OPER_INC_INS" hidden="1">"c852"</definedName>
    <definedName name="IQ_OPER_INC_LOW_EST" hidden="1">"c1691"</definedName>
    <definedName name="IQ_OPER_INC_LOW_EST_REUT" hidden="1">"c5343"</definedName>
    <definedName name="IQ_OPER_INC_MARGIN" hidden="1">"c1448"</definedName>
    <definedName name="IQ_OPER_INC_MEDIAN_EST" hidden="1">"c1689"</definedName>
    <definedName name="IQ_OPER_INC_MEDIAN_EST_REUT" hidden="1">"c5341"</definedName>
    <definedName name="IQ_OPER_INC_NUM_EST" hidden="1">"c1692"</definedName>
    <definedName name="IQ_OPER_INC_NUM_EST_REUT" hidden="1">"c5344"</definedName>
    <definedName name="IQ_OPER_INC_REIT" hidden="1">"c853"</definedName>
    <definedName name="IQ_OPER_INC_STDDEV_EST" hidden="1">"c1693"</definedName>
    <definedName name="IQ_OPER_INC_STDDEV_EST_REUT" hidden="1">"c5345"</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MORT" hidden="1">"c5563"</definedName>
    <definedName name="IQ_OTHER_AMORT_BR" hidden="1">"c5566"</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AVINGS_DEPOSITS_FDIC" hidden="1">"c6554"</definedName>
    <definedName name="IQ_OTHER_STRIKE_PRICE_GRANTED" hidden="1">"c2692"</definedName>
    <definedName name="IQ_OTHER_TRANSACTIONS_FDIC" hidden="1">"c6504"</definedName>
    <definedName name="IQ_OTHER_UNDRAWN" hidden="1">"c2522"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REUT" hidden="1">"c3959"</definedName>
    <definedName name="IQ_PERCENT_CHANGE_EST_5YR_GROWTH_RATE_18MONTHS" hidden="1">"c1853"</definedName>
    <definedName name="IQ_PERCENT_CHANGE_EST_5YR_GROWTH_RATE_18MONTHS_REUT" hidden="1">"c3960"</definedName>
    <definedName name="IQ_PERCENT_CHANGE_EST_5YR_GROWTH_RATE_3MONTHS" hidden="1">"c1849"</definedName>
    <definedName name="IQ_PERCENT_CHANGE_EST_5YR_GROWTH_RATE_3MONTHS_REUT" hidden="1">"c3956"</definedName>
    <definedName name="IQ_PERCENT_CHANGE_EST_5YR_GROWTH_RATE_6MONTHS" hidden="1">"c1850"</definedName>
    <definedName name="IQ_PERCENT_CHANGE_EST_5YR_GROWTH_RATE_6MONTHS_REUT" hidden="1">"c3957"</definedName>
    <definedName name="IQ_PERCENT_CHANGE_EST_5YR_GROWTH_RATE_9MONTHS" hidden="1">"c1851"</definedName>
    <definedName name="IQ_PERCENT_CHANGE_EST_5YR_GROWTH_RATE_9MONTHS_REUT" hidden="1">"c3958"</definedName>
    <definedName name="IQ_PERCENT_CHANGE_EST_5YR_GROWTH_RATE_DAY" hidden="1">"c1846"</definedName>
    <definedName name="IQ_PERCENT_CHANGE_EST_5YR_GROWTH_RATE_DAY_REUT" hidden="1">"c3954"</definedName>
    <definedName name="IQ_PERCENT_CHANGE_EST_5YR_GROWTH_RATE_MONTH" hidden="1">"c1848"</definedName>
    <definedName name="IQ_PERCENT_CHANGE_EST_5YR_GROWTH_RATE_MONTH_REUT" hidden="1">"c3955"</definedName>
    <definedName name="IQ_PERCENT_CHANGE_EST_5YR_GROWTH_RATE_WEEK" hidden="1">"c1847"</definedName>
    <definedName name="IQ_PERCENT_CHANGE_EST_5YR_GROWTH_RATE_WEEK_REUT" hidden="1">"c5435"</definedName>
    <definedName name="IQ_PERCENT_CHANGE_EST_CFPS_12MONTHS" hidden="1">"c1812"</definedName>
    <definedName name="IQ_PERCENT_CHANGE_EST_CFPS_12MONTHS_REUT" hidden="1">"c3924"</definedName>
    <definedName name="IQ_PERCENT_CHANGE_EST_CFPS_18MONTHS" hidden="1">"c1813"</definedName>
    <definedName name="IQ_PERCENT_CHANGE_EST_CFPS_18MONTHS_REUT" hidden="1">"c3925"</definedName>
    <definedName name="IQ_PERCENT_CHANGE_EST_CFPS_3MONTHS" hidden="1">"c1809"</definedName>
    <definedName name="IQ_PERCENT_CHANGE_EST_CFPS_3MONTHS_REUT" hidden="1">"c3921"</definedName>
    <definedName name="IQ_PERCENT_CHANGE_EST_CFPS_6MONTHS" hidden="1">"c1810"</definedName>
    <definedName name="IQ_PERCENT_CHANGE_EST_CFPS_6MONTHS_REUT" hidden="1">"c3922"</definedName>
    <definedName name="IQ_PERCENT_CHANGE_EST_CFPS_9MONTHS" hidden="1">"c1811"</definedName>
    <definedName name="IQ_PERCENT_CHANGE_EST_CFPS_9MONTHS_REUT" hidden="1">"c3923"</definedName>
    <definedName name="IQ_PERCENT_CHANGE_EST_CFPS_DAY" hidden="1">"c1806"</definedName>
    <definedName name="IQ_PERCENT_CHANGE_EST_CFPS_DAY_REUT" hidden="1">"c3919"</definedName>
    <definedName name="IQ_PERCENT_CHANGE_EST_CFPS_MONTH" hidden="1">"c1808"</definedName>
    <definedName name="IQ_PERCENT_CHANGE_EST_CFPS_MONTH_REUT" hidden="1">"c3920"</definedName>
    <definedName name="IQ_PERCENT_CHANGE_EST_CFPS_WEEK" hidden="1">"c1807"</definedName>
    <definedName name="IQ_PERCENT_CHANGE_EST_CFPS_WEEK_REUT" hidden="1">"c3962"</definedName>
    <definedName name="IQ_PERCENT_CHANGE_EST_DPS_12MONTHS" hidden="1">"c1820"</definedName>
    <definedName name="IQ_PERCENT_CHANGE_EST_DPS_12MONTHS_REUT" hidden="1">"c3931"</definedName>
    <definedName name="IQ_PERCENT_CHANGE_EST_DPS_18MONTHS" hidden="1">"c1821"</definedName>
    <definedName name="IQ_PERCENT_CHANGE_EST_DPS_18MONTHS_REUT" hidden="1">"c3932"</definedName>
    <definedName name="IQ_PERCENT_CHANGE_EST_DPS_3MONTHS" hidden="1">"c1817"</definedName>
    <definedName name="IQ_PERCENT_CHANGE_EST_DPS_3MONTHS_REUT" hidden="1">"c3928"</definedName>
    <definedName name="IQ_PERCENT_CHANGE_EST_DPS_6MONTHS" hidden="1">"c1818"</definedName>
    <definedName name="IQ_PERCENT_CHANGE_EST_DPS_6MONTHS_REUT" hidden="1">"c3929"</definedName>
    <definedName name="IQ_PERCENT_CHANGE_EST_DPS_9MONTHS" hidden="1">"c1819"</definedName>
    <definedName name="IQ_PERCENT_CHANGE_EST_DPS_9MONTHS_REUT" hidden="1">"c3930"</definedName>
    <definedName name="IQ_PERCENT_CHANGE_EST_DPS_DAY" hidden="1">"c1814"</definedName>
    <definedName name="IQ_PERCENT_CHANGE_EST_DPS_DAY_REUT" hidden="1">"c3926"</definedName>
    <definedName name="IQ_PERCENT_CHANGE_EST_DPS_MONTH" hidden="1">"c1816"</definedName>
    <definedName name="IQ_PERCENT_CHANGE_EST_DPS_MONTH_REUT" hidden="1">"c3927"</definedName>
    <definedName name="IQ_PERCENT_CHANGE_EST_DPS_WEEK" hidden="1">"c1815"</definedName>
    <definedName name="IQ_PERCENT_CHANGE_EST_DPS_WEEK_REUT" hidden="1">"c3963"</definedName>
    <definedName name="IQ_PERCENT_CHANGE_EST_EBITDA_12MONTHS" hidden="1">"c1804"</definedName>
    <definedName name="IQ_PERCENT_CHANGE_EST_EBITDA_12MONTHS_REUT" hidden="1">"c3917"</definedName>
    <definedName name="IQ_PERCENT_CHANGE_EST_EBITDA_18MONTHS" hidden="1">"c1805"</definedName>
    <definedName name="IQ_PERCENT_CHANGE_EST_EBITDA_18MONTHS_REUT" hidden="1">"c3918"</definedName>
    <definedName name="IQ_PERCENT_CHANGE_EST_EBITDA_3MONTHS" hidden="1">"c1801"</definedName>
    <definedName name="IQ_PERCENT_CHANGE_EST_EBITDA_3MONTHS_REUT" hidden="1">"c3914"</definedName>
    <definedName name="IQ_PERCENT_CHANGE_EST_EBITDA_6MONTHS" hidden="1">"c1802"</definedName>
    <definedName name="IQ_PERCENT_CHANGE_EST_EBITDA_6MONTHS_REUT" hidden="1">"c3915"</definedName>
    <definedName name="IQ_PERCENT_CHANGE_EST_EBITDA_9MONTHS" hidden="1">"c1803"</definedName>
    <definedName name="IQ_PERCENT_CHANGE_EST_EBITDA_9MONTHS_REUT" hidden="1">"c3916"</definedName>
    <definedName name="IQ_PERCENT_CHANGE_EST_EBITDA_DAY" hidden="1">"c1798"</definedName>
    <definedName name="IQ_PERCENT_CHANGE_EST_EBITDA_DAY_REUT" hidden="1">"c3912"</definedName>
    <definedName name="IQ_PERCENT_CHANGE_EST_EBITDA_MONTH" hidden="1">"c1800"</definedName>
    <definedName name="IQ_PERCENT_CHANGE_EST_EBITDA_MONTH_REUT" hidden="1">"c3913"</definedName>
    <definedName name="IQ_PERCENT_CHANGE_EST_EBITDA_WEEK" hidden="1">"c1799"</definedName>
    <definedName name="IQ_PERCENT_CHANGE_EST_EBITDA_WEEK_REUT" hidden="1">"c3961"</definedName>
    <definedName name="IQ_PERCENT_CHANGE_EST_EPS_12MONTHS" hidden="1">"c1788"</definedName>
    <definedName name="IQ_PERCENT_CHANGE_EST_EPS_12MONTHS_REUT" hidden="1">"c3902"</definedName>
    <definedName name="IQ_PERCENT_CHANGE_EST_EPS_18MONTHS" hidden="1">"c1789"</definedName>
    <definedName name="IQ_PERCENT_CHANGE_EST_EPS_18MONTHS_REUT" hidden="1">"c3903"</definedName>
    <definedName name="IQ_PERCENT_CHANGE_EST_EPS_3MONTHS" hidden="1">"c1785"</definedName>
    <definedName name="IQ_PERCENT_CHANGE_EST_EPS_3MONTHS_REUT" hidden="1">"c3899"</definedName>
    <definedName name="IQ_PERCENT_CHANGE_EST_EPS_6MONTHS" hidden="1">"c1786"</definedName>
    <definedName name="IQ_PERCENT_CHANGE_EST_EPS_6MONTHS_REUT" hidden="1">"c3900"</definedName>
    <definedName name="IQ_PERCENT_CHANGE_EST_EPS_9MONTHS" hidden="1">"c1787"</definedName>
    <definedName name="IQ_PERCENT_CHANGE_EST_EPS_9MONTHS_REUT" hidden="1">"c3901"</definedName>
    <definedName name="IQ_PERCENT_CHANGE_EST_EPS_DAY" hidden="1">"c1782"</definedName>
    <definedName name="IQ_PERCENT_CHANGE_EST_EPS_DAY_REUT" hidden="1">"c3896"</definedName>
    <definedName name="IQ_PERCENT_CHANGE_EST_EPS_MONTH" hidden="1">"c1784"</definedName>
    <definedName name="IQ_PERCENT_CHANGE_EST_EPS_MONTH_REUT" hidden="1">"c3898"</definedName>
    <definedName name="IQ_PERCENT_CHANGE_EST_EPS_WEEK" hidden="1">"c1783"</definedName>
    <definedName name="IQ_PERCENT_CHANGE_EST_EPS_WEEK_REUT" hidden="1">"c3897"</definedName>
    <definedName name="IQ_PERCENT_CHANGE_EST_FFO_12MONTHS" hidden="1">"c1828"</definedName>
    <definedName name="IQ_PERCENT_CHANGE_EST_FFO_12MONTHS_REUT" hidden="1">"c3938"</definedName>
    <definedName name="IQ_PERCENT_CHANGE_EST_FFO_18MONTHS" hidden="1">"c1829"</definedName>
    <definedName name="IQ_PERCENT_CHANGE_EST_FFO_18MONTHS_REUT" hidden="1">"c3939"</definedName>
    <definedName name="IQ_PERCENT_CHANGE_EST_FFO_3MONTHS" hidden="1">"c1825"</definedName>
    <definedName name="IQ_PERCENT_CHANGE_EST_FFO_3MONTHS_REUT" hidden="1">"c3935"</definedName>
    <definedName name="IQ_PERCENT_CHANGE_EST_FFO_6MONTHS" hidden="1">"c1826"</definedName>
    <definedName name="IQ_PERCENT_CHANGE_EST_FFO_6MONTHS_REUT" hidden="1">"c3936"</definedName>
    <definedName name="IQ_PERCENT_CHANGE_EST_FFO_9MONTHS" hidden="1">"c1827"</definedName>
    <definedName name="IQ_PERCENT_CHANGE_EST_FFO_9MONTHS_REUT" hidden="1">"c3937"</definedName>
    <definedName name="IQ_PERCENT_CHANGE_EST_FFO_DAY" hidden="1">"c1822"</definedName>
    <definedName name="IQ_PERCENT_CHANGE_EST_FFO_DAY_REUT" hidden="1">"c3933"</definedName>
    <definedName name="IQ_PERCENT_CHANGE_EST_FFO_MONTH" hidden="1">"c1824"</definedName>
    <definedName name="IQ_PERCENT_CHANGE_EST_FFO_MONTH_REUT" hidden="1">"c3934"</definedName>
    <definedName name="IQ_PERCENT_CHANGE_EST_FFO_WEEK" hidden="1">"c1823"</definedName>
    <definedName name="IQ_PERCENT_CHANGE_EST_FFO_WEEK_REUT" hidden="1">"c3964"</definedName>
    <definedName name="IQ_PERCENT_CHANGE_EST_PRICE_TARGET_12MONTHS" hidden="1">"c1844"</definedName>
    <definedName name="IQ_PERCENT_CHANGE_EST_PRICE_TARGET_12MONTHS_REUT" hidden="1">"c3952"</definedName>
    <definedName name="IQ_PERCENT_CHANGE_EST_PRICE_TARGET_18MONTHS" hidden="1">"c1845"</definedName>
    <definedName name="IQ_PERCENT_CHANGE_EST_PRICE_TARGET_18MONTHS_REUT" hidden="1">"c3953"</definedName>
    <definedName name="IQ_PERCENT_CHANGE_EST_PRICE_TARGET_3MONTHS" hidden="1">"c1841"</definedName>
    <definedName name="IQ_PERCENT_CHANGE_EST_PRICE_TARGET_3MONTHS_REUT" hidden="1">"c3949"</definedName>
    <definedName name="IQ_PERCENT_CHANGE_EST_PRICE_TARGET_6MONTHS" hidden="1">"c1842"</definedName>
    <definedName name="IQ_PERCENT_CHANGE_EST_PRICE_TARGET_6MONTHS_REUT" hidden="1">"c3950"</definedName>
    <definedName name="IQ_PERCENT_CHANGE_EST_PRICE_TARGET_9MONTHS" hidden="1">"c1843"</definedName>
    <definedName name="IQ_PERCENT_CHANGE_EST_PRICE_TARGET_9MONTHS_REUT" hidden="1">"c3951"</definedName>
    <definedName name="IQ_PERCENT_CHANGE_EST_PRICE_TARGET_DAY" hidden="1">"c1838"</definedName>
    <definedName name="IQ_PERCENT_CHANGE_EST_PRICE_TARGET_DAY_REUT" hidden="1">"c3947"</definedName>
    <definedName name="IQ_PERCENT_CHANGE_EST_PRICE_TARGET_MONTH" hidden="1">"c1840"</definedName>
    <definedName name="IQ_PERCENT_CHANGE_EST_PRICE_TARGET_MONTH_REUT" hidden="1">"c3948"</definedName>
    <definedName name="IQ_PERCENT_CHANGE_EST_PRICE_TARGET_WEEK" hidden="1">"c1839"</definedName>
    <definedName name="IQ_PERCENT_CHANGE_EST_PRICE_TARGET_WEEK_REUT" hidden="1">"c3967"</definedName>
    <definedName name="IQ_PERCENT_CHANGE_EST_RECO_12MONTHS" hidden="1">"c1836"</definedName>
    <definedName name="IQ_PERCENT_CHANGE_EST_RECO_12MONTHS_REUT" hidden="1">"c3945"</definedName>
    <definedName name="IQ_PERCENT_CHANGE_EST_RECO_18MONTHS" hidden="1">"c1837"</definedName>
    <definedName name="IQ_PERCENT_CHANGE_EST_RECO_18MONTHS_REUT" hidden="1">"c3946"</definedName>
    <definedName name="IQ_PERCENT_CHANGE_EST_RECO_3MONTHS" hidden="1">"c1833"</definedName>
    <definedName name="IQ_PERCENT_CHANGE_EST_RECO_3MONTHS_REUT" hidden="1">"c3942"</definedName>
    <definedName name="IQ_PERCENT_CHANGE_EST_RECO_6MONTHS" hidden="1">"c1834"</definedName>
    <definedName name="IQ_PERCENT_CHANGE_EST_RECO_6MONTHS_REUT" hidden="1">"c3943"</definedName>
    <definedName name="IQ_PERCENT_CHANGE_EST_RECO_9MONTHS" hidden="1">"c1835"</definedName>
    <definedName name="IQ_PERCENT_CHANGE_EST_RECO_9MONTHS_REUT" hidden="1">"c3944"</definedName>
    <definedName name="IQ_PERCENT_CHANGE_EST_RECO_DAY" hidden="1">"c1830"</definedName>
    <definedName name="IQ_PERCENT_CHANGE_EST_RECO_DAY_REUT" hidden="1">"c3940"</definedName>
    <definedName name="IQ_PERCENT_CHANGE_EST_RECO_MONTH" hidden="1">"c1832"</definedName>
    <definedName name="IQ_PERCENT_CHANGE_EST_RECO_MONTH_REUT" hidden="1">"c3941"</definedName>
    <definedName name="IQ_PERCENT_CHANGE_EST_RECO_WEEK" hidden="1">"c1831"</definedName>
    <definedName name="IQ_PERCENT_CHANGE_EST_RECO_WEEK_REUT" hidden="1">"c3965"</definedName>
    <definedName name="IQ_PERCENT_CHANGE_EST_REV_12MONTHS" hidden="1">"c1796"</definedName>
    <definedName name="IQ_PERCENT_CHANGE_EST_REV_12MONTHS_REUT" hidden="1">"c3910"</definedName>
    <definedName name="IQ_PERCENT_CHANGE_EST_REV_18MONTHS" hidden="1">"c1797"</definedName>
    <definedName name="IQ_PERCENT_CHANGE_EST_REV_18MONTHS_REUT" hidden="1">"c3911"</definedName>
    <definedName name="IQ_PERCENT_CHANGE_EST_REV_3MONTHS" hidden="1">"c1793"</definedName>
    <definedName name="IQ_PERCENT_CHANGE_EST_REV_3MONTHS_REUT" hidden="1">"c3907"</definedName>
    <definedName name="IQ_PERCENT_CHANGE_EST_REV_6MONTHS" hidden="1">"c1794"</definedName>
    <definedName name="IQ_PERCENT_CHANGE_EST_REV_6MONTHS_REUT" hidden="1">"c3908"</definedName>
    <definedName name="IQ_PERCENT_CHANGE_EST_REV_9MONTHS" hidden="1">"c1795"</definedName>
    <definedName name="IQ_PERCENT_CHANGE_EST_REV_9MONTHS_REUT" hidden="1">"c3909"</definedName>
    <definedName name="IQ_PERCENT_CHANGE_EST_REV_DAY" hidden="1">"c1790"</definedName>
    <definedName name="IQ_PERCENT_CHANGE_EST_REV_DAY_REUT" hidden="1">"c3904"</definedName>
    <definedName name="IQ_PERCENT_CHANGE_EST_REV_MONTH" hidden="1">"c1792"</definedName>
    <definedName name="IQ_PERCENT_CHANGE_EST_REV_MONTH_REUT" hidden="1">"c3906"</definedName>
    <definedName name="IQ_PERCENT_CHANGE_EST_REV_WEEK" hidden="1">"c1791"</definedName>
    <definedName name="IQ_PERCENT_CHANGE_EST_REV_WEEK_REUT" hidden="1">"c3905"</definedName>
    <definedName name="IQ_PERCENT_INSURED_FDIC" hidden="1">"c6374"</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EDGED_SECURITIES_FDIC" hidden="1">"c6401"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OTENTIAL_UPSIDE_REUT" hidden="1">"c3968"</definedName>
    <definedName name="IQ_PRE_OPEN_COST" hidden="1">"c1040"</definedName>
    <definedName name="IQ_PRE_TAX_ACT_OR_EST" hidden="1">"c2221"</definedName>
    <definedName name="IQ_PRE_TAX_ACT_OR_EST_REUT" hidden="1">"c5467"</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EST_REUT" hidden="1">"c5354"</definedName>
    <definedName name="IQ_PRETAX_GW_INC_HIGH_EST" hidden="1">"c1704"</definedName>
    <definedName name="IQ_PRETAX_GW_INC_HIGH_EST_REUT" hidden="1">"c5356"</definedName>
    <definedName name="IQ_PRETAX_GW_INC_LOW_EST" hidden="1">"c1705"</definedName>
    <definedName name="IQ_PRETAX_GW_INC_LOW_EST_REUT" hidden="1">"c5357"</definedName>
    <definedName name="IQ_PRETAX_GW_INC_MEDIAN_EST" hidden="1">"c1703"</definedName>
    <definedName name="IQ_PRETAX_GW_INC_MEDIAN_EST_REUT" hidden="1">"c5355"</definedName>
    <definedName name="IQ_PRETAX_GW_INC_NUM_EST" hidden="1">"c1706"</definedName>
    <definedName name="IQ_PRETAX_GW_INC_NUM_EST_REUT" hidden="1">"c5358"</definedName>
    <definedName name="IQ_PRETAX_GW_INC_STDDEV_EST" hidden="1">"c1707"</definedName>
    <definedName name="IQ_PRETAX_GW_INC_STDDEV_EST_REUT" hidden="1">"c5359"</definedName>
    <definedName name="IQ_PRETAX_INC_EST" hidden="1">"c1695"</definedName>
    <definedName name="IQ_PRETAX_INC_EST_REUT" hidden="1">"c5347"</definedName>
    <definedName name="IQ_PRETAX_INC_HIGH_EST" hidden="1">"c1697"</definedName>
    <definedName name="IQ_PRETAX_INC_HIGH_EST_REUT" hidden="1">"c5349"</definedName>
    <definedName name="IQ_PRETAX_INC_LOW_EST" hidden="1">"c1698"</definedName>
    <definedName name="IQ_PRETAX_INC_LOW_EST_REUT" hidden="1">"c5350"</definedName>
    <definedName name="IQ_PRETAX_INC_MEDIAN_EST" hidden="1">"c1696"</definedName>
    <definedName name="IQ_PRETAX_INC_MEDIAN_EST_REUT" hidden="1">"c5348"</definedName>
    <definedName name="IQ_PRETAX_INC_NUM_EST" hidden="1">"c1699"</definedName>
    <definedName name="IQ_PRETAX_INC_NUM_EST_REUT" hidden="1">"c5351"</definedName>
    <definedName name="IQ_PRETAX_INC_STDDEV_EST" hidden="1">"c1700"</definedName>
    <definedName name="IQ_PRETAX_INC_STDDEV_EST_REUT" hidden="1">"c5352"</definedName>
    <definedName name="IQ_PRETAX_REPORT_INC_EST" hidden="1">"c1709"</definedName>
    <definedName name="IQ_PRETAX_REPORT_INC_EST_REUT" hidden="1">"c5361"</definedName>
    <definedName name="IQ_PRETAX_REPORT_INC_HIGH_EST" hidden="1">"c1711"</definedName>
    <definedName name="IQ_PRETAX_REPORT_INC_HIGH_EST_REUT" hidden="1">"c5363"</definedName>
    <definedName name="IQ_PRETAX_REPORT_INC_LOW_EST" hidden="1">"c1712"</definedName>
    <definedName name="IQ_PRETAX_REPORT_INC_LOW_EST_REUT" hidden="1">"c5364"</definedName>
    <definedName name="IQ_PRETAX_REPORT_INC_MEDIAN_EST" hidden="1">"c1710"</definedName>
    <definedName name="IQ_PRETAX_REPORT_INC_MEDIAN_EST_REUT" hidden="1">"c5362"</definedName>
    <definedName name="IQ_PRETAX_REPORT_INC_NUM_EST" hidden="1">"c1713"</definedName>
    <definedName name="IQ_PRETAX_REPORT_INC_NUM_EST_REUT" hidden="1">"c5365"</definedName>
    <definedName name="IQ_PRETAX_REPORT_INC_STDDEV_EST" hidden="1">"c1714"</definedName>
    <definedName name="IQ_PRETAX_REPORT_INC_STDDEV_EST_REUT" hidden="1">"c5366"</definedName>
    <definedName name="IQ_PRETAX_RETURN_ASSETS_FDIC" hidden="1">"c6731"</definedName>
    <definedName name="IQ_PRICE_CFPS_FWD" hidden="1">"c2237"</definedName>
    <definedName name="IQ_PRICE_CFPS_FWD_REUT" hidden="1">"c4053"</definedName>
    <definedName name="IQ_PRICE_OVER_BVPS" hidden="1">"c1412"</definedName>
    <definedName name="IQ_PRICE_OVER_LTM_EPS" hidden="1">"c1413"</definedName>
    <definedName name="IQ_PRICE_TARGET" hidden="1">"c82"</definedName>
    <definedName name="IQ_PRICE_TARGET_BOTTOM_UP" hidden="1">"c5486"</definedName>
    <definedName name="IQ_PRICE_TARGET_BOTTOM_UP_REUT" hidden="1">"c5494"</definedName>
    <definedName name="IQ_PRICE_TARGET_REUT" hidden="1">"c3631"</definedName>
    <definedName name="IQ_PRICE_VOLATILITY_EST" hidden="1">"c4492"</definedName>
    <definedName name="IQ_PRICE_VOLATILITY_HIGH" hidden="1">"c4493"</definedName>
    <definedName name="IQ_PRICE_VOLATILITY_LOW" hidden="1">"c4494"</definedName>
    <definedName name="IQ_PRICE_VOLATILITY_MEDIAN" hidden="1">"c4495"</definedName>
    <definedName name="IQ_PRICE_VOLATILITY_NUM" hidden="1">"c4496"</definedName>
    <definedName name="IQ_PRICE_VOLATILITY_STDDEV" hidden="1">"c4497"</definedName>
    <definedName name="IQ_PRICEDATE" hidden="1">"c1069"</definedName>
    <definedName name="IQ_PRICING_DATE" hidden="1">"c1613"</definedName>
    <definedName name="IQ_PRIMARY_EPS_TYPE" hidden="1">"c4498"</definedName>
    <definedName name="IQ_PRIMARY_EPS_TYPE_REUT" hidden="1">"c5481"</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EST" hidden="1">"c4499"</definedName>
    <definedName name="IQ_RECURRING_PROFIT_GUIDANCE" hidden="1">"c4500"</definedName>
    <definedName name="IQ_RECURRING_PROFIT_HIGH_EST" hidden="1">"c4501"</definedName>
    <definedName name="IQ_RECURRING_PROFIT_HIGH_GUIDANCE" hidden="1">"c4179"</definedName>
    <definedName name="IQ_RECURRING_PROFIT_LOW_EST" hidden="1">"c4502"</definedName>
    <definedName name="IQ_RECURRING_PROFIT_LOW_GUIDANCE" hidden="1">"c4219"</definedName>
    <definedName name="IQ_RECURRING_PROFIT_MEDIAN_EST" hidden="1">"c4503"</definedName>
    <definedName name="IQ_RECURRING_PROFIT_NUM_EST" hidden="1">"c4504"</definedName>
    <definedName name="IQ_RECURRING_PROFIT_SHARE_ACT_OR_EST" hidden="1">"c4508"</definedName>
    <definedName name="IQ_RECURRING_PROFIT_SHARE_EST" hidden="1">"c4506"</definedName>
    <definedName name="IQ_RECURRING_PROFIT_SHARE_GUIDANCE" hidden="1">"c4509"</definedName>
    <definedName name="IQ_RECURRING_PROFIT_SHARE_HIGH_EST" hidden="1">"c4510"</definedName>
    <definedName name="IQ_RECURRING_PROFIT_SHARE_HIGH_GUIDANCE" hidden="1">"c4200"</definedName>
    <definedName name="IQ_RECURRING_PROFIT_SHARE_LOW_EST" hidden="1">"c4511"</definedName>
    <definedName name="IQ_RECURRING_PROFIT_SHARE_LOW_GUIDANCE" hidden="1">"c4240"</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ACT_OR_EST" hidden="1">"c3585"</definedName>
    <definedName name="IQ_RETURN_ASSETS_ACT_OR_EST_REUT" hidden="1">"c5475"</definedName>
    <definedName name="IQ_RETURN_ASSETS_BANK" hidden="1">"c1114"</definedName>
    <definedName name="IQ_RETURN_ASSETS_BROK" hidden="1">"c1115"</definedName>
    <definedName name="IQ_RETURN_ASSETS_EST" hidden="1">"c3529"</definedName>
    <definedName name="IQ_RETURN_ASSETS_EST_REUT" hidden="1">"c3990"</definedName>
    <definedName name="IQ_RETURN_ASSETS_FDIC" hidden="1">"c6730"</definedName>
    <definedName name="IQ_RETURN_ASSETS_FS" hidden="1">"c1116"</definedName>
    <definedName name="IQ_RETURN_ASSETS_GUIDANCE" hidden="1">"c4517"</definedName>
    <definedName name="IQ_RETURN_ASSETS_HIGH_EST" hidden="1">"c3530"</definedName>
    <definedName name="IQ_RETURN_ASSETS_HIGH_EST_REUT" hidden="1">"c3992"</definedName>
    <definedName name="IQ_RETURN_ASSETS_HIGH_GUIDANCE" hidden="1">"c4183"</definedName>
    <definedName name="IQ_RETURN_ASSETS_LOW_EST" hidden="1">"c3531"</definedName>
    <definedName name="IQ_RETURN_ASSETS_LOW_EST_REUT" hidden="1">"c3993"</definedName>
    <definedName name="IQ_RETURN_ASSETS_LOW_GUIDANCE" hidden="1">"c4223"</definedName>
    <definedName name="IQ_RETURN_ASSETS_MEDIAN_EST" hidden="1">"c3532"</definedName>
    <definedName name="IQ_RETURN_ASSETS_MEDIAN_EST_REUT" hidden="1">"c3991"</definedName>
    <definedName name="IQ_RETURN_ASSETS_NUM_EST" hidden="1">"c3527"</definedName>
    <definedName name="IQ_RETURN_ASSETS_NUM_EST_REUT" hidden="1">"c3994"</definedName>
    <definedName name="IQ_RETURN_ASSETS_STDDEV_EST" hidden="1">"c3528"</definedName>
    <definedName name="IQ_RETURN_ASSETS_STDDEV_EST_REUT" hidden="1">"c3995"</definedName>
    <definedName name="IQ_RETURN_CAPITAL" hidden="1">"c1117"</definedName>
    <definedName name="IQ_RETURN_EQUITY" hidden="1">"c1118"</definedName>
    <definedName name="IQ_RETURN_EQUITY_ACT_OR_EST" hidden="1">"c3586"</definedName>
    <definedName name="IQ_RETURN_EQUITY_ACT_OR_EST_REUT" hidden="1">"c5476"</definedName>
    <definedName name="IQ_RETURN_EQUITY_BANK" hidden="1">"c1119"</definedName>
    <definedName name="IQ_RETURN_EQUITY_BROK" hidden="1">"c1120"</definedName>
    <definedName name="IQ_RETURN_EQUITY_EST" hidden="1">"c3535"</definedName>
    <definedName name="IQ_RETURN_EQUITY_EST_REUT" hidden="1">"c3983"</definedName>
    <definedName name="IQ_RETURN_EQUITY_FDIC" hidden="1">"c6732"</definedName>
    <definedName name="IQ_RETURN_EQUITY_FS" hidden="1">"c1121"</definedName>
    <definedName name="IQ_RETURN_EQUITY_GUIDANCE" hidden="1">"c4518"</definedName>
    <definedName name="IQ_RETURN_EQUITY_HIGH_EST" hidden="1">"c3536"</definedName>
    <definedName name="IQ_RETURN_EQUITY_HIGH_EST_REUT" hidden="1">"c3985"</definedName>
    <definedName name="IQ_RETURN_EQUITY_HIGH_GUIDANCE" hidden="1">"c4182"</definedName>
    <definedName name="IQ_RETURN_EQUITY_LOW_EST" hidden="1">"c3537"</definedName>
    <definedName name="IQ_RETURN_EQUITY_LOW_EST_REUT" hidden="1">"c3986"</definedName>
    <definedName name="IQ_RETURN_EQUITY_LOW_GUIDANCE" hidden="1">"c4222"</definedName>
    <definedName name="IQ_RETURN_EQUITY_MEDIAN_EST" hidden="1">"c3538"</definedName>
    <definedName name="IQ_RETURN_EQUITY_MEDIAN_EST_REUT" hidden="1">"c3984"</definedName>
    <definedName name="IQ_RETURN_EQUITY_NUM_EST" hidden="1">"c3533"</definedName>
    <definedName name="IQ_RETURN_EQUITY_NUM_EST_REUT" hidden="1">"c3987"</definedName>
    <definedName name="IQ_RETURN_EQUITY_STDDEV_EST" hidden="1">"c3534"</definedName>
    <definedName name="IQ_RETURN_EQUITY_STDDEV_EST_REUT" hidden="1">"c3988"</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 hidden="1">"c2214"</definedName>
    <definedName name="IQ_REVENUE_ACT_OR_EST_REUT" hidden="1">"c5461"</definedName>
    <definedName name="IQ_REVENUE_EST" hidden="1">"c1126"</definedName>
    <definedName name="IQ_REVENUE_EST_BOTTOM_UP" hidden="1">"c5488"</definedName>
    <definedName name="IQ_REVENUE_EST_BOTTOM_UP_REUT" hidden="1">"c5496"</definedName>
    <definedName name="IQ_REVENUE_EST_REUT" hidden="1">"c3634"</definedName>
    <definedName name="IQ_REVENUE_GUIDANCE" hidden="1">"c4519"</definedName>
    <definedName name="IQ_REVENUE_HIGH_EST" hidden="1">"c1127"</definedName>
    <definedName name="IQ_REVENUE_HIGH_EST_REUT" hidden="1">"c3636"</definedName>
    <definedName name="IQ_REVENUE_HIGH_GUIDANCE" hidden="1">"c4169"</definedName>
    <definedName name="IQ_REVENUE_LOW_EST" hidden="1">"c1128"</definedName>
    <definedName name="IQ_REVENUE_LOW_EST_REUT" hidden="1">"c3637"</definedName>
    <definedName name="IQ_REVENUE_LOW_GUIDANCE" hidden="1">"c4209"</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39520.4343865741</definedName>
    <definedName name="IQ_REVOLVING_SECURED_1_4_NON_ACCRUAL_FFIEC" hidden="1">"c13314"</definedName>
    <definedName name="IQ_RISK_ADJ_BANK_ASSETS" hidden="1">"c2670"</definedName>
    <definedName name="IQ_RISK_WEIGHTED_ASSETS_FDIC" hidden="1">"c6370"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INCџ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REUT" hidden="1">"c4054"</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EST" hidden="1">"c4526"</definedName>
    <definedName name="IQ_TEV_HIGH_EST" hidden="1">"c4527"</definedName>
    <definedName name="IQ_TEV_LOW_EST" hidden="1">"c4528"</definedName>
    <definedName name="IQ_TEV_MEDIAN_EST" hidden="1">"c4529"</definedName>
    <definedName name="IQ_TEV_NUM_EST" hidden="1">"c4530"</definedName>
    <definedName name="IQ_TEV_STDDEV_EST" hidden="1">"c4531"</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SSETS_FDIC" hidden="1">"c6339"</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GUIDANCE" hidden="1">"c4533"</definedName>
    <definedName name="IQ_TOTAL_DEBT_HIGH_EST" hidden="1">"c4534"</definedName>
    <definedName name="IQ_TOTAL_DEBT_HIGH_GUIDANCE" hidden="1">"c4196"</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GUIDANCE" hidden="1">"c4236"</definedName>
    <definedName name="IQ_TOTAL_DEBT_MEDIAN_EST" hidden="1">"c4536"</definedName>
    <definedName name="IQ_TOTAL_DEBT_NUM_EST" hidden="1">"c4537"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BT_SECURITIES_FDIC" hidden="1">"c6410"</definedName>
    <definedName name="IQ_TOTAL_DEBT_STDDEV_EST" hidden="1">"c4538"</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_LEASES_NON_ACCRUAL_FFIEC" hidden="1">"c13757"</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COVERIES_FDIC" hidden="1">"c6622"</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RISK_BASED_CAPITAL_RATIO_FDIC" hidden="1">"c6747"</definedName>
    <definedName name="IQ_TOTAL_SECURITIES_FDIC" hidden="1">"c6306"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B_BOOKMARK_COUNT" hidden="1">0</definedName>
    <definedName name="IQB_BOOKMARK_LOCATION_0" hidden="1">#REF!</definedName>
    <definedName name="IQB_BOOKMARK_LOCATION_1" hidden="1">#REF!</definedName>
    <definedName name="IQB_CURRENT_BOOKMARK" hidden="1">1</definedName>
    <definedName name="IQRCoveredCompaniesB8" hidden="1">'[37]Covered Companies'!$B$9:$B$33</definedName>
    <definedName name="IQRCoveredCompaniesC8" hidden="1">'[37]Covered Companies'!$C$9:$C$33</definedName>
    <definedName name="IQRCoveredCompaniesD8" hidden="1">'[37]Covered Companies'!$D$9:$D$33</definedName>
    <definedName name="IQRCoveredCompaniesE8" hidden="1">'[37]Covered Companies'!$E$9:$E$33</definedName>
    <definedName name="IQRCoveringContributorsAE6" hidden="1">'[37]Covering Contributors'!$AE$7</definedName>
    <definedName name="IQRCoveringContributorsAF6" hidden="1">'[37]Covering Contributors'!$AF$7</definedName>
    <definedName name="IQRFinancialsCZ6" hidden="1">[37]Financials!$CZ$7:$CZ$121</definedName>
    <definedName name="IsColHidden" hidden="1">FALSE</definedName>
    <definedName name="IsLTMColHidden" hidden="1">FALSE</definedName>
    <definedName name="iuisuhfdfshlfsohfo" hidden="1">{"adj95mult",#N/A,FALSE,"COMPCO";"adj95est",#N/A,FALSE,"COMPCO"}</definedName>
    <definedName name="iuisuhfdfshlfsohfo_1" hidden="1">{"adj95mult",#N/A,FALSE,"COMPCO";"adj95est",#N/A,FALSE,"COMPCO"}</definedName>
    <definedName name="j" hidden="1">{#N/A,#N/A,FALSE,"$0 equity - 0% costs";#N/A,#N/A,FALSE,"$0 equity - 5% costs";#N/A,#N/A,FALSE,"$0 equity - 10% costs"}</definedName>
    <definedName name="jagdish"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Jai" hidden="1">{"'August 2000'!$A$1:$J$101"}</definedName>
    <definedName name="jaj"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JBHUWGUSH" hidden="1">{"'August 2000'!$A$1:$J$101"}</definedName>
    <definedName name="JDIEK" hidden="1">{#N/A,#N/A,TRUE,"TMRSAMPLE";#N/A,#N/A,TRUE,"OPS";#N/A,#N/A,TRUE,"TMR"}</definedName>
    <definedName name="JDIEK_1" hidden="1">{#N/A,#N/A,TRUE,"TMRSAMPLE";#N/A,#N/A,TRUE,"OPS";#N/A,#N/A,TRUE,"TMR"}</definedName>
    <definedName name="JDIKSNDJDSK" hidden="1">{#N/A,#N/A,TRUE,"TMRSAMPLE";#N/A,#N/A,TRUE,"OPS";#N/A,#N/A,TRUE,"TMR"}</definedName>
    <definedName name="JDIKSNDJDSK_1" hidden="1">{#N/A,#N/A,TRUE,"TMRSAMPLE";#N/A,#N/A,TRUE,"OPS";#N/A,#N/A,TRUE,"TMR"}</definedName>
    <definedName name="JDKS" hidden="1">{#N/A,#N/A,TRUE,"TMRSAMPLE";#N/A,#N/A,TRUE,"OPS";#N/A,#N/A,TRUE,"TMR"}</definedName>
    <definedName name="JDKS_1" hidden="1">{#N/A,#N/A,TRUE,"TMRSAMPLE";#N/A,#N/A,TRUE,"OPS";#N/A,#N/A,TRUE,"TMR"}</definedName>
    <definedName name="JDSHJ" hidden="1">{#N/A,#N/A,TRUE,"TMRSAMPLE";#N/A,#N/A,TRUE,"OPS";#N/A,#N/A,TRUE,"TMR"}</definedName>
    <definedName name="JDSHJ_1" hidden="1">{#N/A,#N/A,TRUE,"TMRSAMPLE";#N/A,#N/A,TRUE,"OPS";#N/A,#N/A,TRUE,"TMR"}</definedName>
    <definedName name="ＪＤＳけい" hidden="1">{#N/A,#N/A,TRUE,"TMRSAMPLE";#N/A,#N/A,TRUE,"OPS";#N/A,#N/A,TRUE,"TMR"}</definedName>
    <definedName name="ＪＤＳけい_1" hidden="1">{#N/A,#N/A,TRUE,"TMRSAMPLE";#N/A,#N/A,TRUE,"OPS";#N/A,#N/A,TRUE,"TMR"}</definedName>
    <definedName name="jfjfj_control" hidden="1">{"'August 2000'!$A$1:$J$101"}</definedName>
    <definedName name="jfjkd" hidden="1">#REF!</definedName>
    <definedName name="ＪＦＳＫＪＤＳ" hidden="1">{#N/A,#N/A,TRUE,"TMRSAMPLE";#N/A,#N/A,TRUE,"OPS";#N/A,#N/A,TRUE,"TMR"}</definedName>
    <definedName name="ＪＦＳＫＪＤＳ_1" hidden="1">{#N/A,#N/A,TRUE,"TMRSAMPLE";#N/A,#N/A,TRUE,"OPS";#N/A,#N/A,TRUE,"TMR"}</definedName>
    <definedName name="jh" hidden="1">#REF!</definedName>
    <definedName name="jhfjhdsfh" hidden="1">{"Output",#N/A,FALSE,"US_FL";"Output",#N/A,FALSE,"EUROPE_FL";"Output",#N/A,FALSE,"ASIA_FL"}</definedName>
    <definedName name="jhfjhdsfh_1" hidden="1">{"Output",#N/A,FALSE,"US_FL";"Output",#N/A,FALSE,"EUROPE_FL";"Output",#N/A,FALSE,"ASIA_FL"}</definedName>
    <definedName name="jhfjhfhjf" hidden="1">{#N/A,#N/A,FALSE,"PMTABB";#N/A,#N/A,FALSE,"PMTABB"}</definedName>
    <definedName name="JHGHGH" hidden="1">#REF!</definedName>
    <definedName name="jigar" hidden="1">#REF!</definedName>
    <definedName name="JIKNJJUUK" hidden="1">{#N/A,#N/A,TRUE,"TMRSAMPLE";#N/A,#N/A,TRUE,"OPS";#N/A,#N/A,TRUE,"TMR"}</definedName>
    <definedName name="JIKNJJUUK_1" hidden="1">{#N/A,#N/A,TRUE,"TMRSAMPLE";#N/A,#N/A,TRUE,"OPS";#N/A,#N/A,TRUE,"TMR"}</definedName>
    <definedName name="JIKS" hidden="1">{#N/A,#N/A,TRUE,"TMRSAMPLE";#N/A,#N/A,TRUE,"OPS";#N/A,#N/A,TRUE,"TMR"}</definedName>
    <definedName name="JIKS_1" hidden="1">{#N/A,#N/A,TRUE,"TMRSAMPLE";#N/A,#N/A,TRUE,"OPS";#N/A,#N/A,TRUE,"TMR"}</definedName>
    <definedName name="JIKSI" hidden="1">{#N/A,#N/A,TRUE,"TMRSAMPLE";#N/A,#N/A,TRUE,"OPS";#N/A,#N/A,TRUE,"TMR"}</definedName>
    <definedName name="JIKSI_1" hidden="1">{#N/A,#N/A,TRUE,"TMRSAMPLE";#N/A,#N/A,TRUE,"OPS";#N/A,#N/A,TRUE,"TMR"}</definedName>
    <definedName name="JIKSNDJI" hidden="1">{#N/A,#N/A,TRUE,"TMRSAMPLE";#N/A,#N/A,TRUE,"OPS";#N/A,#N/A,TRUE,"TMR"}</definedName>
    <definedName name="JIKSNDJI_1" hidden="1">{#N/A,#N/A,TRUE,"TMRSAMPLE";#N/A,#N/A,TRUE,"OPS";#N/A,#N/A,TRUE,"TMR"}</definedName>
    <definedName name="jit_gsm" hidden="1">#REF!</definedName>
    <definedName name="JJ_control" hidden="1">{"'August 2000'!$A$1:$J$101"}</definedName>
    <definedName name="jjh"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JKHJHJ" hidden="1">#REF!</definedName>
    <definedName name="JKIJ" hidden="1">{#N/A,#N/A,TRUE,"TMRSAMPLE";#N/A,#N/A,TRUE,"OPS";#N/A,#N/A,TRUE,"TMR"}</definedName>
    <definedName name="JKIJ_1" hidden="1">{#N/A,#N/A,TRUE,"TMRSAMPLE";#N/A,#N/A,TRUE,"OPS";#N/A,#N/A,TRUE,"TMR"}</definedName>
    <definedName name="JKIJYUHGH" hidden="1">{#N/A,#N/A,TRUE,"TMRSAMPLE";#N/A,#N/A,TRUE,"OPS";#N/A,#N/A,TRUE,"TMR"}</definedName>
    <definedName name="JKIJYUHGH_1" hidden="1">{#N/A,#N/A,TRUE,"TMRSAMPLE";#N/A,#N/A,TRUE,"OPS";#N/A,#N/A,TRUE,"TMR"}</definedName>
    <definedName name="jkj" hidden="1">{"mult96",#N/A,FALSE,"PETCOMP";"est96",#N/A,FALSE,"PETCOMP";"mult95",#N/A,FALSE,"PETCOMP";"est95",#N/A,FALSE,"PETCOMP";"multltm",#N/A,FALSE,"PETCOMP";"resultltm",#N/A,FALSE,"PETCOMP"}</definedName>
    <definedName name="jkj_1" hidden="1">{"mult96",#N/A,FALSE,"PETCOMP";"est96",#N/A,FALSE,"PETCOMP";"mult95",#N/A,FALSE,"PETCOMP";"est95",#N/A,FALSE,"PETCOMP";"multltm",#N/A,FALSE,"PETCOMP";"resultltm",#N/A,FALSE,"PETCOMP"}</definedName>
    <definedName name="JSIKDJEU" hidden="1">{#N/A,#N/A,TRUE,"TMRSAMPLE";#N/A,#N/A,TRUE,"OPS";#N/A,#N/A,TRUE,"TMR"}</definedName>
    <definedName name="JSIKDJEU_1" hidden="1">{#N/A,#N/A,TRUE,"TMRSAMPLE";#N/A,#N/A,TRUE,"OPS";#N/A,#N/A,TRUE,"TMR"}</definedName>
    <definedName name="ＪＳＫＤＪＤＬＫ" hidden="1">{#N/A,#N/A,TRUE,"TMRSAMPLE";#N/A,#N/A,TRUE,"OPS";#N/A,#N/A,TRUE,"TMR"}</definedName>
    <definedName name="ＪＳＫＤＪＤＬＫ_1" hidden="1">{#N/A,#N/A,TRUE,"TMRSAMPLE";#N/A,#N/A,TRUE,"OPS";#N/A,#N/A,TRUE,"TMR"}</definedName>
    <definedName name="JSKEI" hidden="1">{#N/A,#N/A,TRUE,"TMRSAMPLE";#N/A,#N/A,TRUE,"OPS";#N/A,#N/A,TRUE,"TMR"}</definedName>
    <definedName name="JSKEI_1" hidden="1">{#N/A,#N/A,TRUE,"TMRSAMPLE";#N/A,#N/A,TRUE,"OPS";#N/A,#N/A,TRUE,"TMR"}</definedName>
    <definedName name="JSKIE" hidden="1">{#N/A,#N/A,TRUE,"TMRSAMPLE";#N/A,#N/A,TRUE,"OPS";#N/A,#N/A,TRUE,"TMR"}</definedName>
    <definedName name="JSKIE_1" hidden="1">{#N/A,#N/A,TRUE,"TMRSAMPLE";#N/A,#N/A,TRUE,"OPS";#N/A,#N/A,TRUE,"TMR"}</definedName>
    <definedName name="JSKTUHFA" hidden="1">{#N/A,#N/A,TRUE,"TMRSAMPLE";#N/A,#N/A,TRUE,"OPS";#N/A,#N/A,TRUE,"TMR"}</definedName>
    <definedName name="JSKTUHFA_1" hidden="1">{#N/A,#N/A,TRUE,"TMRSAMPLE";#N/A,#N/A,TRUE,"OPS";#N/A,#N/A,TRUE,"TMR"}</definedName>
    <definedName name="ＪＳけいＪ" hidden="1">{#N/A,#N/A,TRUE,"TMRSAMPLE";#N/A,#N/A,TRUE,"OPS";#N/A,#N/A,TRUE,"TMR"}</definedName>
    <definedName name="ＪＳけいＪ_1" hidden="1">{#N/A,#N/A,TRUE,"TMRSAMPLE";#N/A,#N/A,TRUE,"OPS";#N/A,#N/A,TRUE,"TMR"}</definedName>
    <definedName name="ＪＳけう" hidden="1">{#N/A,#N/A,TRUE,"TMRSAMPLE";#N/A,#N/A,TRUE,"OPS";#N/A,#N/A,TRUE,"TMR"}</definedName>
    <definedName name="ＪＳけう_1" hidden="1">{#N/A,#N/A,TRUE,"TMRSAMPLE";#N/A,#N/A,TRUE,"OPS";#N/A,#N/A,TRUE,"TMR"}</definedName>
    <definedName name="JUEIR" hidden="1">{#N/A,#N/A,TRUE,"TMRSAMPLE";#N/A,#N/A,TRUE,"OPS";#N/A,#N/A,TRUE,"TMR"}</definedName>
    <definedName name="JUEIR_1" hidden="1">{#N/A,#N/A,TRUE,"TMRSAMPLE";#N/A,#N/A,TRUE,"OPS";#N/A,#N/A,TRUE,"TMR"}</definedName>
    <definedName name="JUIKO" hidden="1">{#N/A,#N/A,TRUE,"TMRSAMPLE";#N/A,#N/A,TRUE,"OPS";#N/A,#N/A,TRUE,"TMR"}</definedName>
    <definedName name="JUIKO_1" hidden="1">{#N/A,#N/A,TRUE,"TMRSAMPLE";#N/A,#N/A,TRUE,"OPS";#N/A,#N/A,TRUE,"TMR"}</definedName>
    <definedName name="JUKENDSI" hidden="1">{#N/A,#N/A,TRUE,"TMRSAMPLE";#N/A,#N/A,TRUE,"OPS";#N/A,#N/A,TRUE,"TMR"}</definedName>
    <definedName name="JUKENDSI_1" hidden="1">{#N/A,#N/A,TRUE,"TMRSAMPLE";#N/A,#N/A,TRUE,"OPS";#N/A,#N/A,TRUE,"TMR"}</definedName>
    <definedName name="JUKSI" hidden="1">{#N/A,#N/A,TRUE,"TMRSAMPLE";#N/A,#N/A,TRUE,"OPS";#N/A,#N/A,TRUE,"TMR"}</definedName>
    <definedName name="JUKSI_1" hidden="1">{#N/A,#N/A,TRUE,"TMRSAMPLE";#N/A,#N/A,TRUE,"OPS";#N/A,#N/A,TRUE,"TMR"}</definedName>
    <definedName name="June04" hidden="1">#REF!</definedName>
    <definedName name="ＪすえＫどＰ" hidden="1">{#N/A,#N/A,TRUE,"TMRSAMPLE";#N/A,#N/A,TRUE,"OPS";#N/A,#N/A,TRUE,"TMR"}</definedName>
    <definedName name="ＪすえＫどＰ_1" hidden="1">{#N/A,#N/A,TRUE,"TMRSAMPLE";#N/A,#N/A,TRUE,"OPS";#N/A,#N/A,TRUE,"TMR"}</definedName>
    <definedName name="ＪづれＫ" hidden="1">{#N/A,#N/A,TRUE,"TMRSAMPLE";#N/A,#N/A,TRUE,"OPS";#N/A,#N/A,TRUE,"TMR"}</definedName>
    <definedName name="ＪづれＫ_1" hidden="1">{#N/A,#N/A,TRUE,"TMRSAMPLE";#N/A,#N/A,TRUE,"OPS";#N/A,#N/A,TRUE,"TMR"}</definedName>
    <definedName name="kamal" hidden="1">{"bsrc",#N/A,FALSE,"BSPL-RS.";"plrc",#N/A,FALSE,"BSPL-RS.";"sccon",#N/A,FALSE,"SHARE CAPITAL";"rsrc",#N/A,FALSE,"RESERVE &amp; SURPLUS";"lfrc",#N/A,FALSE,"LOAN FUNDS";"farc",#N/A,FALSE,"FIXED ASSETS";"prc",#N/A,FALSE,"PRE-OPERATIVE ";"invest.cons",#N/A,FALSE,"INVESTMENT";"carc",#N/A,FALSE,"CURRENT ASSETS";"clrc",#N/A,FALSE,"CURRENT LIABLITIES";"oirc",#N/A,FALSE,"OTHER INCOME";"mcrc",#N/A,FALSE,"MATERIAL CONS.";"perc",#N/A,FALSE,"PERSONNEL";"sarc",#N/A,FALSE,"SALES &amp; ADMN.";"irc",#N/A,FALSE,"INTEREST";"conrs",#N/A,FALSE,"CASH FLOW"}</definedName>
    <definedName name="kamal_1" hidden="1">{"bsrc",#N/A,FALSE,"BSPL-RS.";"plrc",#N/A,FALSE,"BSPL-RS.";"sccon",#N/A,FALSE,"SHARE CAPITAL";"rsrc",#N/A,FALSE,"RESERVE &amp; SURPLUS";"lfrc",#N/A,FALSE,"LOAN FUNDS";"farc",#N/A,FALSE,"FIXED ASSETS";"prc",#N/A,FALSE,"PRE-OPERATIVE ";"invest.cons",#N/A,FALSE,"INVESTMENT";"carc",#N/A,FALSE,"CURRENT ASSETS";"clrc",#N/A,FALSE,"CURRENT LIABLITIES";"oirc",#N/A,FALSE,"OTHER INCOME";"mcrc",#N/A,FALSE,"MATERIAL CONS.";"perc",#N/A,FALSE,"PERSONNEL";"sarc",#N/A,FALSE,"SALES &amp; ADMN.";"irc",#N/A,FALSE,"INTEREST";"conrs",#N/A,FALSE,"CASH FLOW"}</definedName>
    <definedName name="kasdfjhd" hidden="1">{"'Typical Costs Estimates'!$C$158:$H$161"}</definedName>
    <definedName name="KDISKSUD" hidden="1">{#N/A,#N/A,TRUE,"TMRSAMPLE";#N/A,#N/A,TRUE,"OPS";#N/A,#N/A,TRUE,"TMR"}</definedName>
    <definedName name="KDISKSUD_1" hidden="1">{#N/A,#N/A,TRUE,"TMRSAMPLE";#N/A,#N/A,TRUE,"OPS";#N/A,#N/A,TRUE,"TMR"}</definedName>
    <definedName name="ＫＤＫＨＪＪがＬ" hidden="1">{#N/A,#N/A,TRUE,"TMRSAMPLE";#N/A,#N/A,TRUE,"OPS";#N/A,#N/A,TRUE,"TMR"}</definedName>
    <definedName name="ＫＤＫＨＪＪがＬ_1" hidden="1">{#N/A,#N/A,TRUE,"TMRSAMPLE";#N/A,#N/A,TRUE,"OPS";#N/A,#N/A,TRUE,"TMR"}</definedName>
    <definedName name="ＫＤＳＨ" hidden="1">{#N/A,#N/A,TRUE,"TMRSAMPLE";#N/A,#N/A,TRUE,"OPS";#N/A,#N/A,TRUE,"TMR"}</definedName>
    <definedName name="ＫＤＳＨ_1" hidden="1">{#N/A,#N/A,TRUE,"TMRSAMPLE";#N/A,#N/A,TRUE,"OPS";#N/A,#N/A,TRUE,"TMR"}</definedName>
    <definedName name="KDSIDJUJEN" hidden="1">{#N/A,#N/A,TRUE,"TMRSAMPLE";#N/A,#N/A,TRUE,"OPS";#N/A,#N/A,TRUE,"TMR"}</definedName>
    <definedName name="KDSIDJUJEN_1" hidden="1">{#N/A,#N/A,TRUE,"TMRSAMPLE";#N/A,#N/A,TRUE,"OPS";#N/A,#N/A,TRUE,"TMR"}</definedName>
    <definedName name="KDSIOEKDI" hidden="1">{#N/A,#N/A,TRUE,"TMRSAMPLE";#N/A,#N/A,TRUE,"OPS";#N/A,#N/A,TRUE,"TMR"}</definedName>
    <definedName name="KDSIOEKDI_1" hidden="1">{#N/A,#N/A,TRUE,"TMRSAMPLE";#N/A,#N/A,TRUE,"OPS";#N/A,#N/A,TRUE,"TMR"}</definedName>
    <definedName name="KEIRK" hidden="1">{#N/A,#N/A,TRUE,"TMRSAMPLE";#N/A,#N/A,TRUE,"OPS";#N/A,#N/A,TRUE,"TMR"}</definedName>
    <definedName name="KEIRK_1" hidden="1">{#N/A,#N/A,TRUE,"TMRSAMPLE";#N/A,#N/A,TRUE,"OPS";#N/A,#N/A,TRUE,"TMR"}</definedName>
    <definedName name="KEISHJ" hidden="1">{#N/A,#N/A,TRUE,"TMRSAMPLE";#N/A,#N/A,TRUE,"OPS";#N/A,#N/A,TRUE,"TMR"}</definedName>
    <definedName name="KEISHJ_1" hidden="1">{#N/A,#N/A,TRUE,"TMRSAMPLE";#N/A,#N/A,TRUE,"OPS";#N/A,#N/A,TRUE,"TMR"}</definedName>
    <definedName name="key" hidden="1">#REF!</definedName>
    <definedName name="ＫＨＤさＧＨＨＬＧさ" hidden="1">{#N/A,#N/A,TRUE,"TMRSAMPLE";#N/A,#N/A,TRUE,"OPS";#N/A,#N/A,TRUE,"TMR"}</definedName>
    <definedName name="ＫＨＤさＧＨＨＬＧさ_1" hidden="1">{#N/A,#N/A,TRUE,"TMRSAMPLE";#N/A,#N/A,TRUE,"OPS";#N/A,#N/A,TRUE,"TMR"}</definedName>
    <definedName name="ki" hidden="1">{#N/A,#N/A,TRUE,"Cover sheet";#N/A,#N/A,TRUE,"Summary";#N/A,#N/A,TRUE,"Key Assumptions";#N/A,#N/A,TRUE,"Profit &amp; Loss";#N/A,#N/A,TRUE,"Balance Sheet";#N/A,#N/A,TRUE,"Cashflow";#N/A,#N/A,TRUE,"IRR";#N/A,#N/A,TRUE,"Ratios";#N/A,#N/A,TRUE,"Debt analysis"}</definedName>
    <definedName name="KIEIEN" hidden="1">{#N/A,#N/A,TRUE,"TMRSAMPLE";#N/A,#N/A,TRUE,"OPS";#N/A,#N/A,TRUE,"TMR"}</definedName>
    <definedName name="KIEIEN_1" hidden="1">{#N/A,#N/A,TRUE,"TMRSAMPLE";#N/A,#N/A,TRUE,"OPS";#N/A,#N/A,TRUE,"TMR"}</definedName>
    <definedName name="KIJJKIJ" hidden="1">{#N/A,#N/A,TRUE,"TMRSAMPLE";#N/A,#N/A,TRUE,"OPS";#N/A,#N/A,TRUE,"TMR"}</definedName>
    <definedName name="KIJJKIJ_1" hidden="1">{#N/A,#N/A,TRUE,"TMRSAMPLE";#N/A,#N/A,TRUE,"OPS";#N/A,#N/A,TRUE,"TMR"}</definedName>
    <definedName name="KIJKIJ" hidden="1">{#N/A,#N/A,TRUE,"TMRSAMPLE";#N/A,#N/A,TRUE,"OPS";#N/A,#N/A,TRUE,"TMR"}</definedName>
    <definedName name="KIJKIJ_1" hidden="1">{#N/A,#N/A,TRUE,"TMRSAMPLE";#N/A,#N/A,TRUE,"OPS";#N/A,#N/A,TRUE,"TMR"}</definedName>
    <definedName name="KIJNHJU" hidden="1">{#N/A,#N/A,TRUE,"TMRSAMPLE";#N/A,#N/A,TRUE,"OPS";#N/A,#N/A,TRUE,"TMR"}</definedName>
    <definedName name="KIJNHJU_1" hidden="1">{#N/A,#N/A,TRUE,"TMRSAMPLE";#N/A,#N/A,TRUE,"OPS";#N/A,#N/A,TRUE,"TMR"}</definedName>
    <definedName name="KINJUHK" hidden="1">{#N/A,#N/A,TRUE,"TMRSAMPLE";#N/A,#N/A,TRUE,"OPS";#N/A,#N/A,TRUE,"TMR"}</definedName>
    <definedName name="KINJUHK_1" hidden="1">{#N/A,#N/A,TRUE,"TMRSAMPLE";#N/A,#N/A,TRUE,"OPS";#N/A,#N/A,TRUE,"TMR"}</definedName>
    <definedName name="KIRJFH" hidden="1">{#N/A,#N/A,TRUE,"TMRSAMPLE";#N/A,#N/A,TRUE,"OPS";#N/A,#N/A,TRUE,"TMR"}</definedName>
    <definedName name="KIRJFH_1" hidden="1">{#N/A,#N/A,TRUE,"TMRSAMPLE";#N/A,#N/A,TRUE,"OPS";#N/A,#N/A,TRUE,"TMR"}</definedName>
    <definedName name="KISJDHRU" hidden="1">{#N/A,#N/A,TRUE,"TMRSAMPLE";#N/A,#N/A,TRUE,"OPS";#N/A,#N/A,TRUE,"TMR"}</definedName>
    <definedName name="KISJDHRU_1" hidden="1">{#N/A,#N/A,TRUE,"TMRSAMPLE";#N/A,#N/A,TRUE,"OPS";#N/A,#N/A,TRUE,"TMR"}</definedName>
    <definedName name="KISKS" hidden="1">{#N/A,#N/A,TRUE,"TMRSAMPLE";#N/A,#N/A,TRUE,"OPS";#N/A,#N/A,TRUE,"TMR"}</definedName>
    <definedName name="KISKS_1" hidden="1">{#N/A,#N/A,TRUE,"TMRSAMPLE";#N/A,#N/A,TRUE,"OPS";#N/A,#N/A,TRUE,"TMR"}</definedName>
    <definedName name="KISKSJDU" hidden="1">{#N/A,#N/A,TRUE,"TMRSAMPLE";#N/A,#N/A,TRUE,"OPS";#N/A,#N/A,TRUE,"TMR"}</definedName>
    <definedName name="KISKSJDU_1" hidden="1">{#N/A,#N/A,TRUE,"TMRSAMPLE";#N/A,#N/A,TRUE,"OPS";#N/A,#N/A,TRUE,"TMR"}</definedName>
    <definedName name="KISKSUJR" hidden="1">{#N/A,#N/A,TRUE,"TMRSAMPLE";#N/A,#N/A,TRUE,"OPS";#N/A,#N/A,TRUE,"TMR"}</definedName>
    <definedName name="KISKSUJR_1" hidden="1">{#N/A,#N/A,TRUE,"TMRSAMPLE";#N/A,#N/A,TRUE,"OPS";#N/A,#N/A,TRUE,"TMR"}</definedName>
    <definedName name="KISMDJFDK" hidden="1">{#N/A,#N/A,TRUE,"TMRSAMPLE";#N/A,#N/A,TRUE,"OPS";#N/A,#N/A,TRUE,"TMR"}</definedName>
    <definedName name="KISMDJFDK_1" hidden="1">{#N/A,#N/A,TRUE,"TMRSAMPLE";#N/A,#N/A,TRUE,"OPS";#N/A,#N/A,TRUE,"TMR"}</definedName>
    <definedName name="KJDJDSKSI" hidden="1">{#N/A,#N/A,TRUE,"TMRSAMPLE";#N/A,#N/A,TRUE,"OPS";#N/A,#N/A,TRUE,"TMR"}</definedName>
    <definedName name="KJDJDSKSI_1" hidden="1">{#N/A,#N/A,TRUE,"TMRSAMPLE";#N/A,#N/A,TRUE,"OPS";#N/A,#N/A,TRUE,"TMR"}</definedName>
    <definedName name="KJIJ" hidden="1">{#N/A,#N/A,TRUE,"TMRSAMPLE";#N/A,#N/A,TRUE,"OPS";#N/A,#N/A,TRUE,"TMR"}</definedName>
    <definedName name="KJIJ_1" hidden="1">{#N/A,#N/A,TRUE,"TMRSAMPLE";#N/A,#N/A,TRUE,"OPS";#N/A,#N/A,TRUE,"TMR"}</definedName>
    <definedName name="kjksdjfjdhfd" hidden="1">{#N/A,#N/A,TRUE,"TITLE";#N/A,#N/A,TRUE,"MKT Cellular Subs";#N/A,#N/A,TRUE,"Cellular sub ";#N/A,#N/A,TRUE,"P&amp;L - Cell";#N/A,#N/A,TRUE,"Rev &amp; Usage assump - Cell";#N/A,#N/A,TRUE,"Cost -  Cellular";"cellular",#N/A,TRUE,"Capex "}</definedName>
    <definedName name="kjksdjfjdhfd_1" hidden="1">{#N/A,#N/A,TRUE,"TITLE";#N/A,#N/A,TRUE,"MKT Cellular Subs";#N/A,#N/A,TRUE,"Cellular sub ";#N/A,#N/A,TRUE,"P&amp;L - Cell";#N/A,#N/A,TRUE,"Rev &amp; Usage assump - Cell";#N/A,#N/A,TRUE,"Cost -  Cellular";"cellular",#N/A,TRUE,"Capex "}</definedName>
    <definedName name="KJUHK" hidden="1">{#N/A,#N/A,TRUE,"TMRSAMPLE";#N/A,#N/A,TRUE,"OPS";#N/A,#N/A,TRUE,"TMR"}</definedName>
    <definedName name="KJUHK_1" hidden="1">{#N/A,#N/A,TRUE,"TMRSAMPLE";#N/A,#N/A,TRUE,"OPS";#N/A,#N/A,TRUE,"TMR"}</definedName>
    <definedName name="kk" hidden="1">{"bsrc",#N/A,FALSE,"BSPL-RS.";"plrc",#N/A,FALSE,"BSPL-RS.";"sccon",#N/A,FALSE,"SHARE CAPITAL";"rsrc",#N/A,FALSE,"RESERVE &amp; SURPLUS";"lfrc",#N/A,FALSE,"LOAN FUNDS";"farc",#N/A,FALSE,"FIXED ASSETS";"prc",#N/A,FALSE,"PRE-OPERATIVE ";"invest.cons",#N/A,FALSE,"INVESTMENT";"carc",#N/A,FALSE,"CURRENT ASSETS";"clrc",#N/A,FALSE,"CURRENT LIABLITIES";"oirc",#N/A,FALSE,"OTHER INCOME";"mcrc",#N/A,FALSE,"MATERIAL CONS.";"perc",#N/A,FALSE,"PERSONNEL";"sarc",#N/A,FALSE,"SALES &amp; ADMN.";"irc",#N/A,FALSE,"INTEREST";"conrs",#N/A,FALSE,"CASH FLOW"}</definedName>
    <definedName name="kk_1" hidden="1">{"bsrc",#N/A,FALSE,"BSPL-RS.";"plrc",#N/A,FALSE,"BSPL-RS.";"sccon",#N/A,FALSE,"SHARE CAPITAL";"rsrc",#N/A,FALSE,"RESERVE &amp; SURPLUS";"lfrc",#N/A,FALSE,"LOAN FUNDS";"farc",#N/A,FALSE,"FIXED ASSETS";"prc",#N/A,FALSE,"PRE-OPERATIVE ";"invest.cons",#N/A,FALSE,"INVESTMENT";"carc",#N/A,FALSE,"CURRENT ASSETS";"clrc",#N/A,FALSE,"CURRENT LIABLITIES";"oirc",#N/A,FALSE,"OTHER INCOME";"mcrc",#N/A,FALSE,"MATERIAL CONS.";"perc",#N/A,FALSE,"PERSONNEL";"sarc",#N/A,FALSE,"SALES &amp; ADMN.";"irc",#N/A,FALSE,"INTEREST";"conrs",#N/A,FALSE,"CASH FLOW"}</definedName>
    <definedName name="kkkkkkk"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kkkkkkkkkkkkkkkkkk" hidden="1">{#N/A,#N/A,TRUE,"TMRSAMPLE";#N/A,#N/A,TRUE,"OPS";#N/A,#N/A,TRUE,"TMR"}</definedName>
    <definedName name="kkkkkkkkkkkkkkkkkk_1" hidden="1">{#N/A,#N/A,TRUE,"TMRSAMPLE";#N/A,#N/A,TRUE,"OPS";#N/A,#N/A,TRUE,"TMR"}</definedName>
    <definedName name="KL" hidden="1">{#N/A,#N/A,FALSE,"Status of Projects";#N/A,#N/A,FALSE,"CEA-TEC";#N/A,#N/A,FALSE,"U-Constr.";#N/A,#N/A,FALSE,"summary";#N/A,#N/A,FALSE,"PPP-3 yrs"}</definedName>
    <definedName name="KLJKJK" hidden="1">#REF!</definedName>
    <definedName name="KLKDSI" hidden="1">{#N/A,#N/A,TRUE,"TMRSAMPLE";#N/A,#N/A,TRUE,"OPS";#N/A,#N/A,TRUE,"TMR"}</definedName>
    <definedName name="KLKDSI_1" hidden="1">{#N/A,#N/A,TRUE,"TMRSAMPLE";#N/A,#N/A,TRUE,"OPS";#N/A,#N/A,TRUE,"TMR"}</definedName>
    <definedName name="KLKK" hidden="1">{#N/A,#N/A,FALSE,"OSBL"}</definedName>
    <definedName name="kllllllll" hidden="1">#REF!</definedName>
    <definedName name="KNKKNJKH" hidden="1">#REF!</definedName>
    <definedName name="kok" hidden="1">#REF!</definedName>
    <definedName name="kot"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KRL585.025" hidden="1">{#N/A,#N/A,FALSE,"QTY STAT";#N/A,#N/A,FALSE,"QTY STAT"}</definedName>
    <definedName name="KSIDJDMF" hidden="1">{#N/A,#N/A,TRUE,"TMRSAMPLE";#N/A,#N/A,TRUE,"OPS";#N/A,#N/A,TRUE,"TMR"}</definedName>
    <definedName name="KSIDJDMF_1" hidden="1">{#N/A,#N/A,TRUE,"TMRSAMPLE";#N/A,#N/A,TRUE,"OPS";#N/A,#N/A,TRUE,"TMR"}</definedName>
    <definedName name="KSIDJFMK" hidden="1">{#N/A,#N/A,TRUE,"TMRSAMPLE";#N/A,#N/A,TRUE,"OPS";#N/A,#N/A,TRUE,"TMR"}</definedName>
    <definedName name="KSIDJFMK_1" hidden="1">{#N/A,#N/A,TRUE,"TMRSAMPLE";#N/A,#N/A,TRUE,"OPS";#N/A,#N/A,TRUE,"TMR"}</definedName>
    <definedName name="ＫＳＪＦＤＨＦＤＮ" hidden="1">{#N/A,#N/A,TRUE,"TMRSAMPLE";#N/A,#N/A,TRUE,"OPS";#N/A,#N/A,TRUE,"TMR"}</definedName>
    <definedName name="ＫＳＪＦＤＨＦＤＮ_1" hidden="1">{#N/A,#N/A,TRUE,"TMRSAMPLE";#N/A,#N/A,TRUE,"OPS";#N/A,#N/A,TRUE,"TMR"}</definedName>
    <definedName name="KSJN" hidden="1">{#N/A,#N/A,TRUE,"TMRSAMPLE";#N/A,#N/A,TRUE,"OPS";#N/A,#N/A,TRUE,"TMR"}</definedName>
    <definedName name="KSJN_1" hidden="1">{#N/A,#N/A,TRUE,"TMRSAMPLE";#N/A,#N/A,TRUE,"OPS";#N/A,#N/A,TRUE,"TMR"}</definedName>
    <definedName name="ＫＳＪぢ" hidden="1">{#N/A,#N/A,TRUE,"TMRSAMPLE";#N/A,#N/A,TRUE,"OPS";#N/A,#N/A,TRUE,"TMR"}</definedName>
    <definedName name="ＫＳＪぢ_1" hidden="1">{#N/A,#N/A,TRUE,"TMRSAMPLE";#N/A,#N/A,TRUE,"OPS";#N/A,#N/A,TRUE,"TMR"}</definedName>
    <definedName name="kskk" hidden="1">{#N/A,#N/A,FALSE,"COVER.XLS";#N/A,#N/A,FALSE,"RACT1.XLS";#N/A,#N/A,FALSE,"RACT2.XLS";#N/A,#N/A,FALSE,"ECCMP";#N/A,#N/A,FALSE,"WELDER.XLS"}</definedName>
    <definedName name="ＫＳＬＳＬＫＤＫＦＪ" hidden="1">{#N/A,#N/A,TRUE,"TMRSAMPLE";#N/A,#N/A,TRUE,"OPS";#N/A,#N/A,TRUE,"TMR"}</definedName>
    <definedName name="ＫＳＬＳＬＫＤＫＦＪ_1" hidden="1">{#N/A,#N/A,TRUE,"TMRSAMPLE";#N/A,#N/A,TRUE,"OPS";#N/A,#N/A,TRUE,"TMR"}</definedName>
    <definedName name="kvs" hidden="1">{#N/A,#N/A,FALSE,"COVER1.XLS ";#N/A,#N/A,FALSE,"RACT1.XLS";#N/A,#N/A,FALSE,"RACT2.XLS";#N/A,#N/A,FALSE,"ECCMP";#N/A,#N/A,FALSE,"WELDER.XLS"}</definedName>
    <definedName name="ＫぉいＰ" hidden="1">{#N/A,#N/A,TRUE,"TMRSAMPLE";#N/A,#N/A,TRUE,"OPS";#N/A,#N/A,TRUE,"TMR"}</definedName>
    <definedName name="ＫぉいＰ_1" hidden="1">{#N/A,#N/A,TRUE,"TMRSAMPLE";#N/A,#N/A,TRUE,"OPS";#N/A,#N/A,TRUE,"TMR"}</definedName>
    <definedName name="laklskjkdjfdjshfjdshfqowqoiewiurweiu" hidden="1">{"qchm_dcf",#N/A,FALSE,"QCHMDCF2";"qchm_terminal",#N/A,FALSE,"QCHMDCF2"}</definedName>
    <definedName name="laklskjkdjfdjshfjdshfqowqoiewiurweiu_1" hidden="1">{"qchm_dcf",#N/A,FALSE,"QCHMDCF2";"qchm_terminal",#N/A,FALSE,"QCHMDCF2"}</definedName>
    <definedName name="lakwoiroitetieruturtruyturtyur" hidden="1">{TRUE,TRUE,-1.25,-15.5,456.75,279.75,FALSE,FALSE,TRUE,TRUE,0,1,18,1,199,6,3,4,TRUE,TRUE,3,TRUE,1,TRUE,100,"Swvu.cash.","ACwvu.cash.",1,FALSE,FALSE,0.511811023622047,0.511811023622047,0.511811023622047,0.511811023622047,1,"","",FALSE,FALSE,FALSE,FALSE,1,#N/A,1,1,#DIV/0!,FALSE,"Rwvu.cash.",#N/A,FALSE,FALSE}</definedName>
    <definedName name="lakwoiroitetieruturtruyturtyur_1" hidden="1">{TRUE,TRUE,-1.25,-15.5,456.75,279.75,FALSE,FALSE,TRUE,TRUE,0,1,18,1,199,6,3,4,TRUE,TRUE,3,TRUE,1,TRUE,100,"Swvu.cash.","ACwvu.cash.",1,FALSE,FALSE,0.511811023622047,0.511811023622047,0.511811023622047,0.511811023622047,1,"","",FALSE,FALSE,FALSE,FALSE,1,#N/A,1,1,#DIV/0!,FALSE,"Rwvu.cash.",#N/A,FALSE,FALSE}</definedName>
    <definedName name="lan" hidden="1">{#N/A,#N/A,TRUE,"BT M200 da 10x20"}</definedName>
    <definedName name="LBL" hidden="1">[38]SALES!#REF!</definedName>
    <definedName name="LDKEHUJ" hidden="1">{"'Sheet1'!$L$16"}</definedName>
    <definedName name="ＬＤさＪＦＪＬ" hidden="1">{#N/A,#N/A,TRUE,"TMRSAMPLE";#N/A,#N/A,TRUE,"OPS";#N/A,#N/A,TRUE,"TMR"}</definedName>
    <definedName name="ＬＤさＪＦＪＬ_1" hidden="1">{#N/A,#N/A,TRUE,"TMRSAMPLE";#N/A,#N/A,TRUE,"OPS";#N/A,#N/A,TRUE,"TMR"}</definedName>
    <definedName name="limcount" hidden="1">1</definedName>
    <definedName name="ListOffset" hidden="1">1</definedName>
    <definedName name="LJLJJ" hidden="1">{#N/A,#N/A,FALSE,"FREE"}</definedName>
    <definedName name="lk"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lkjhgfdsa" hidden="1">{"adj95mult",#N/A,FALSE,"COMPCO";"adj95est",#N/A,FALSE,"COMPCO"}</definedName>
    <definedName name="lkjhgfdsa_1" hidden="1">{"adj95mult",#N/A,FALSE,"COMPCO";"adj95est",#N/A,FALSE,"COMPCO"}</definedName>
    <definedName name="lkjkjhgffdd" hidden="1">{"adj95mult",#N/A,FALSE,"COMPCO";"adj95est",#N/A,FALSE,"COMPCO"}</definedName>
    <definedName name="lkjkjhgffdd_1" hidden="1">{"adj95mult",#N/A,FALSE,"COMPCO";"adj95est",#N/A,FALSE,"COMPCO"}</definedName>
    <definedName name="lkjkjhggffddssa" hidden="1">{"EVA",#N/A,FALSE,"EVA";"WACC",#N/A,FALSE,"WACC"}</definedName>
    <definedName name="lkjkjhggffddssa_1" hidden="1">{"EVA",#N/A,FALSE,"EVA";"WACC",#N/A,FALSE,"WACC"}</definedName>
    <definedName name="ＬＫＪＬＪＬＮ" hidden="1">{#N/A,#N/A,TRUE,"TMRSAMPLE";#N/A,#N/A,TRUE,"OPS";#N/A,#N/A,TRUE,"TMR"}</definedName>
    <definedName name="ＬＫＪＬＪＬＮ_1" hidden="1">{#N/A,#N/A,TRUE,"TMRSAMPLE";#N/A,#N/A,TRUE,"OPS";#N/A,#N/A,TRUE,"TMR"}</definedName>
    <definedName name="lkkjjhhhhggffddssasa" hidden="1">{"targetdcf",#N/A,FALSE,"Merger consequences";"TARGETASSU",#N/A,FALSE,"Merger consequences";"TERMINAL VALUE",#N/A,FALSE,"Merger consequences"}</definedName>
    <definedName name="lkkjjhhhhggffddssasa_1" hidden="1">{"targetdcf",#N/A,FALSE,"Merger consequences";"TARGETASSU",#N/A,FALSE,"Merger consequences";"TERMINAL VALUE",#N/A,FALSE,"Merger consequences"}</definedName>
    <definedName name="lkljjj" hidden="1">[3]損益分岐点!#REF!</definedName>
    <definedName name="lksdsdkjfjdfjdfghjfg" hidden="1">{"mult96",#N/A,FALSE,"PETCOMP";"est96",#N/A,FALSE,"PETCOMP";"mult95",#N/A,FALSE,"PETCOMP";"est95",#N/A,FALSE,"PETCOMP";"multltm",#N/A,FALSE,"PETCOMP";"resultltm",#N/A,FALSE,"PETCOMP"}</definedName>
    <definedName name="lksdsdkjfjdfjdfghjfg_1" hidden="1">{"mult96",#N/A,FALSE,"PETCOMP";"est96",#N/A,FALSE,"PETCOMP";"mult95",#N/A,FALSE,"PETCOMP";"est95",#N/A,FALSE,"PETCOMP";"multltm",#N/A,FALSE,"PETCOMP";"resultltm",#N/A,FALSE,"PETCOMP"}</definedName>
    <definedName name="ll" hidden="1">{#N/A,#N/A,TRUE,"Cover sheet";#N/A,#N/A,TRUE,"Summary";#N/A,#N/A,TRUE,"Key Assumptions";#N/A,#N/A,TRUE,"Profit &amp; Loss";#N/A,#N/A,TRUE,"Balance Sheet";#N/A,#N/A,TRUE,"Cashflow";#N/A,#N/A,TRUE,"IRR";#N/A,#N/A,TRUE,"Ratios";#N/A,#N/A,TRUE,"Debt analysis"}</definedName>
    <definedName name="LL_control" hidden="1">{"'August 2000'!$A$1:$J$101"}</definedName>
    <definedName name="lll"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LLLL" hidden="1">{"PLANT BREAKUP",#N/A,FALSE,"E"}</definedName>
    <definedName name="llllll" hidden="1">{#N/A,#N/A,TRUE,"TMRSAMPLE";#N/A,#N/A,TRUE,"OPS";#N/A,#N/A,TRUE,"TMR"}</definedName>
    <definedName name="llllll_1" hidden="1">{#N/A,#N/A,TRUE,"TMRSAMPLE";#N/A,#N/A,TRUE,"OPS";#N/A,#N/A,TRUE,"TMR"}</definedName>
    <definedName name="llllllllll" hidden="1">{#N/A,#N/A,TRUE,"TMRSAMPLE";#N/A,#N/A,TRUE,"OPS";#N/A,#N/A,TRUE,"TMR"}</definedName>
    <definedName name="llllllllll_1" hidden="1">{#N/A,#N/A,TRUE,"TMRSAMPLE";#N/A,#N/A,TRUE,"OPS";#N/A,#N/A,TRUE,"TMR"}</definedName>
    <definedName name="lskdlaskfsdjfkdsjfkjfdkfjkdf" hidden="1">{"rts",#N/A,TRUE,"TITLE";#N/A,#N/A,TRUE,"P&amp;L - RTS";#N/A,#N/A,TRUE,"RTS biz";#N/A,#N/A,TRUE,"Cost - RTS";"RTS",#N/A,TRUE,"Capex "}</definedName>
    <definedName name="lskdlaskfsdjfkdsjfkjfdkfjkdf_1" hidden="1">{"rts",#N/A,TRUE,"TITLE";#N/A,#N/A,TRUE,"P&amp;L - RTS";#N/A,#N/A,TRUE,"RTS biz";#N/A,#N/A,TRUE,"Cost - RTS";"RTS",#N/A,TRUE,"Capex "}</definedName>
    <definedName name="lskskdjfjdfjdghjdfj" hidden="1">{TRUE,TRUE,-1.25,-15.5,456.75,279.75,FALSE,FALSE,TRUE,TRUE,0,1,18,1,199,6,3,4,TRUE,TRUE,3,TRUE,1,TRUE,100,"Swvu.cash.","ACwvu.cash.",1,FALSE,FALSE,0.511811023622047,0.511811023622047,0.511811023622047,0.511811023622047,1,"","",FALSE,FALSE,FALSE,FALSE,1,#N/A,1,1,#DIV/0!,FALSE,"Rwvu.cash.",#N/A,FALSE,FALSE}</definedName>
    <definedName name="lskskdjfjdfjdghjdfj_1" hidden="1">{TRUE,TRUE,-1.25,-15.5,456.75,279.75,FALSE,FALSE,TRUE,TRUE,0,1,18,1,199,6,3,4,TRUE,TRUE,3,TRUE,1,TRUE,100,"Swvu.cash.","ACwvu.cash.",1,FALSE,FALSE,0.511811023622047,0.511811023622047,0.511811023622047,0.511811023622047,1,"","",FALSE,FALSE,FALSE,FALSE,1,#N/A,1,1,#DIV/0!,FALSE,"Rwvu.cash.",#N/A,FALSE,FALSE}</definedName>
    <definedName name="Ｌき" hidden="1">{#N/A,#N/A,TRUE,"TMRSAMPLE";#N/A,#N/A,TRUE,"OPS";#N/A,#N/A,TRUE,"TMR"}</definedName>
    <definedName name="Ｌき_1" hidden="1">{#N/A,#N/A,TRUE,"TMRSAMPLE";#N/A,#N/A,TRUE,"OPS";#N/A,#N/A,TRUE,"TMR"}</definedName>
    <definedName name="ＬさＦじょい" hidden="1">{#N/A,#N/A,TRUE,"TMRSAMPLE";#N/A,#N/A,TRUE,"OPS";#N/A,#N/A,TRUE,"TMR"}</definedName>
    <definedName name="ＬさＦじょい_1" hidden="1">{#N/A,#N/A,TRUE,"TMRSAMPLE";#N/A,#N/A,TRUE,"OPS";#N/A,#N/A,TRUE,"TMR"}</definedName>
    <definedName name="MasterCheck" hidden="1">#REF!</definedName>
    <definedName name="mb_inputLocation" hidden="1">#REF!</definedName>
    <definedName name="MBMBNBN" hidden="1">#REF!</definedName>
    <definedName name="MCBDB" hidden="1">{#N/A,#N/A,FALSE,"mpph1";#N/A,#N/A,FALSE,"mpmseb";#N/A,#N/A,FALSE,"mpph2"}</definedName>
    <definedName name="md"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mds"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MHGMGH" hidden="1">{#N/A,#N/A,FALSE,"ISBL"}</definedName>
    <definedName name="mhjj" hidden="1">{"'Bill No. 7'!$A$1:$G$32"}</definedName>
    <definedName name="misgroup" hidden="1">[29]GROUPING!$B$440:$B$1029</definedName>
    <definedName name="miuh"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mm" hidden="1">{"adj95mult",#N/A,FALSE,"COMPCO";"adj95est",#N/A,FALSE,"COMPCO"}</definedName>
    <definedName name="mm_1" hidden="1">{"adj95mult",#N/A,FALSE,"COMPCO";"adj95est",#N/A,FALSE,"COMPCO"}</definedName>
    <definedName name="mmm"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mmmm" hidden="1">{"'I-1 and I-2'!$A$1:$G$190"}</definedName>
    <definedName name="monthly" hidden="1">{#N/A,#N/A,FALSE,"Status of Projects";#N/A,#N/A,FALSE,"CEA-TEC";#N/A,#N/A,FALSE,"U-Constr.";#N/A,#N/A,FALSE,"summary";#N/A,#N/A,FALSE,"PPP-3 yrs"}</definedName>
    <definedName name="MS_HTML_Control" hidden="1">{"'Sheet1'!$A$1:$G$156","'Sheet1'!$C$7"}</definedName>
    <definedName name="MYUJTG" hidden="1">{#N/A,#N/A,FALSE,"EW"}</definedName>
    <definedName name="n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NAME" hidden="1">{"mult96",#N/A,FALSE,"PETCOMP";"est96",#N/A,FALSE,"PETCOMP";"mult95",#N/A,FALSE,"PETCOMP";"est95",#N/A,FALSE,"PETCOMP";"multltm",#N/A,FALSE,"PETCOMP";"resultltm",#N/A,FALSE,"PETCOMP"}</definedName>
    <definedName name="NAME_1" hidden="1">{"mult96",#N/A,FALSE,"PETCOMP";"est96",#N/A,FALSE,"PETCOMP";"mult95",#N/A,FALSE,"PETCOMP";"est95",#N/A,FALSE,"PETCOMP";"multltm",#N/A,FALSE,"PETCOMP";"resultltm",#N/A,FALSE,"PETCOMP"}</definedName>
    <definedName name="name1" hidden="1">#REF!,#REF!,#REF!,#REF!,#REF!,#REF!,#REF!,#REF!,#REF!,#REF!,#REF!,#REF!,#REF!,#REF!,#REF!,#REF!</definedName>
    <definedName name="name2" hidden="1">#REF!,#REF!,#REF!,#REF!,#REF!,#REF!,#REF!,#REF!,#REF!,#REF!,#REF!,#REF!,#REF!,#REF!,#REF!,#REF!</definedName>
    <definedName name="name3" hidden="1">#REF!,#REF!,#REF!,#REF!,#REF!,#REF!,#REF!,#REF!,#REF!,#REF!,#REF!,#REF!,#REF!,#REF!,#REF!,#REF!</definedName>
    <definedName name="name4" hidden="1">#REF!,#REF!</definedName>
    <definedName name="name5" hidden="1">#REF!,#REF!,#REF!,#REF!,#REF!,#REF!,#REF!,#REF!,#REF!,#REF!,#REF!,#REF!,#REF!,#REF!,#REF!,#REF!</definedName>
    <definedName name="name7" hidden="1">#REF!,#REF!,#REF!,#REF!,#REF!,#REF!,#REF!,#REF!,#REF!,#REF!,#REF!,#REF!,#REF!,#REF!,#REF!,#REF!</definedName>
    <definedName name="name8" hidden="1">#REF!,#REF!</definedName>
    <definedName name="name9" hidden="1">#REF!,#REF!,#REF!,#REF!,#REF!</definedName>
    <definedName name="nbvgh" hidden="1">{#N/A,#N/A,FALSE,"PMTABB";#N/A,#N/A,FALSE,"PMTABB"}</definedName>
    <definedName name="ndhsshg" hidden="1">{"'August 2000'!$A$1:$J$101"}</definedName>
    <definedName name="ndtv" hidden="1">{"Graphic",#N/A,TRUE,"Graphic"}</definedName>
    <definedName name="ndtv_1" hidden="1">{"Graphic",#N/A,TRUE,"Graphic"}</definedName>
    <definedName name="Ne"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ew" hidden="1">{"Graphic",#N/A,TRUE,"Graphic"}</definedName>
    <definedName name="new_1" hidden="1">{"Graphic",#N/A,TRUE,"Graphic"}</definedName>
    <definedName name="newformat" hidden="1">{"CASH FLOW",#N/A,FALSE,"A"}</definedName>
    <definedName name="NEWNA"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newname" hidden="1">{#N/A,#N/A,TRUE,"Cover sheet";#N/A,#N/A,TRUE,"INPUTS";#N/A,#N/A,TRUE,"OUTPUTS";#N/A,#N/A,TRUE,"VALUATION"}</definedName>
    <definedName name="NEWS"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NGFHFG" hidden="1">{#N/A,#N/A,FALSE,"PGW"}</definedName>
    <definedName name="nikhil" hidden="1">#REF!</definedName>
    <definedName name="nilesh" hidden="1">[7]CAUSTIC!#REF!</definedName>
    <definedName name="Nitin" hidden="1">'[39]Sheet3 (2)'!$A$60:$A$76</definedName>
    <definedName name="NKIJUJH" hidden="1">{#N/A,#N/A,TRUE,"TMRSAMPLE";#N/A,#N/A,TRUE,"OPS";#N/A,#N/A,TRUE,"TMR"}</definedName>
    <definedName name="NKIJUJH_1" hidden="1">{#N/A,#N/A,TRUE,"TMRSAMPLE";#N/A,#N/A,TRUE,"OPS";#N/A,#N/A,TRUE,"TMR"}</definedName>
    <definedName name="nnn" hidden="1">{"Graphic",#N/A,TRUE,"Graphic"}</definedName>
    <definedName name="nnn_1" hidden="1">{"Graphic",#N/A,TRUE,"Graphic"}</definedName>
    <definedName name="nnnn" hidden="1">#REF!</definedName>
    <definedName name="nnnnnnnnnn" hidden="1">{#N/A,#N/A,FALSE,"Status of Projects";#N/A,#N/A,FALSE,"CEA-TEC";#N/A,#N/A,FALSE,"U-Constr.";#N/A,#N/A,FALSE,"summary";#N/A,#N/A,FALSE,"PPP-3 yrs"}</definedName>
    <definedName name="nss" hidden="1">{#N/A,#N/A,FALSE,"consu_cover";#N/A,#N/A,FALSE,"consu_strategy";#N/A,#N/A,FALSE,"consu_flow";#N/A,#N/A,FALSE,"Summary_reqmt";#N/A,#N/A,FALSE,"field_ppg";#N/A,#N/A,FALSE,"ppg_shop";#N/A,#N/A,FALSE,"strl";#N/A,#N/A,FALSE,"tankages";#N/A,#N/A,FALSE,"gases"}</definedName>
    <definedName name="ny" hidden="1">{"targetdcf",#N/A,FALSE,"Merger consequences";"TARGETASSU",#N/A,FALSE,"Merger consequences";"TERMINAL VALUE",#N/A,FALSE,"Merger consequences"}</definedName>
    <definedName name="ny_1" hidden="1">{"targetdcf",#N/A,FALSE,"Merger consequences";"TARGETASSU",#N/A,FALSE,"Merger consequences";"TERMINAL VALUE",#N/A,FALSE,"Merger consequences"}</definedName>
    <definedName name="o" hidden="1">{#N/A,#N/A,FALSE,"New Depr Sch-150% DB";#N/A,#N/A,FALSE,"Cash Flows RLP";#N/A,#N/A,FALSE,"IRR";#N/A,#N/A,FALSE,"Proforma IS";#N/A,#N/A,FALSE,"Assumptions"}</definedName>
    <definedName name="o_1" hidden="1">{#N/A,#N/A,FALSE,"New Depr Sch-150% DB";#N/A,#N/A,FALSE,"Cash Flows RLP";#N/A,#N/A,FALSE,"IRR";#N/A,#N/A,FALSE,"Proforma IS";#N/A,#N/A,FALSE,"Assumptions"}</definedName>
    <definedName name="OILKULY" hidden="1">{#N/A,#N/A,FALSE,"PMTABB";#N/A,#N/A,FALSE,"PMTABB"}</definedName>
    <definedName name="oisdhfosfdo" hidden="1">{"Graphic",#N/A,TRUE,"Graphic"}</definedName>
    <definedName name="oisdhfosfdo_1" hidden="1">{"Graphic",#N/A,TRUE,"Graphic"}</definedName>
    <definedName name="oiuj"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oki"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old" hidden="1">{"'Sheet1'!$B$1:$B$2"}</definedName>
    <definedName name="olk"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one" hidden="1">{"adj95mult",#N/A,FALSE,"COMPCO";"adj95est",#N/A,FALSE,"COMPCO"}</definedName>
    <definedName name="one_1" hidden="1">{"adj95mult",#N/A,FALSE,"COMPCO";"adj95est",#N/A,FALSE,"COMPCO"}</definedName>
    <definedName name="onsolidate" hidden="1">{#N/A,#N/A,FALSE,"Budget at a Glance";#N/A,#N/A,FALSE,"Receipts";#N/A,#N/A,FALSE,"Expenditure";#N/A,#N/A,FALSE,"Impact";#N/A,#N/A,FALSE,"Non-Durables";#N/A,#N/A,FALSE,"Durables";#N/A,#N/A,FALSE,"Cement";#N/A,#N/A,FALSE,"Power Cables";#N/A,#N/A,FALSE,"NFM";#N/A,#N/A,FALSE,"Auto";#N/A,#N/A,FALSE,"Auto1";#N/A,#N/A,FALSE,"Chemicals";#N/A,#N/A,FALSE,"Steel duty";#N/A,#N/A,FALSE,"Petrochemicals";#N/A,#N/A,FALSE,"Paper";#N/A,#N/A,FALSE,"Fibres";#N/A,#N/A,FALSE,"Tyre";#N/A,#N/A,FALSE,"Tyre1";#N/A,#N/A,FALSE,"Cotton (prices &amp; Duty)";#N/A,#N/A,FALSE,"Telecom Equipment";#N/A,#N/A,FALSE,"Cigarettes"}</definedName>
    <definedName name="ooo" hidden="1">{"Graphic",#N/A,TRUE,"Graphic"}</definedName>
    <definedName name="ooo_1" hidden="1">{"Graphic",#N/A,TRUE,"Graphic"}</definedName>
    <definedName name="oooo" hidden="1">{#N/A,#N/A,TRUE,"Cover sheet";#N/A,#N/A,TRUE,"Summary";#N/A,#N/A,TRUE,"Key Assumptions";#N/A,#N/A,TRUE,"Profit &amp; Loss";#N/A,#N/A,TRUE,"Balance Sheet";#N/A,#N/A,TRUE,"Cashflow";#N/A,#N/A,TRUE,"IRR";#N/A,#N/A,TRUE,"Ratios";#N/A,#N/A,TRUE,"Debt analysis"}</definedName>
    <definedName name="oooooo" hidden="1">{#N/A,#N/A,TRUE,"TMRSAMPLE";#N/A,#N/A,TRUE,"OPS";#N/A,#N/A,TRUE,"TMR"}</definedName>
    <definedName name="oooooo_1" hidden="1">{#N/A,#N/A,TRUE,"TMRSAMPLE";#N/A,#N/A,TRUE,"OPS";#N/A,#N/A,TRUE,"TMR"}</definedName>
    <definedName name="oooooooooooo" hidden="1">{#N/A,#N/A,TRUE,"Cover sheet";#N/A,#N/A,TRUE,"Summary";#N/A,#N/A,TRUE,"Key Assumptions";#N/A,#N/A,TRUE,"Profit &amp; Loss";#N/A,#N/A,TRUE,"Balance Sheet";#N/A,#N/A,TRUE,"Cashflow";#N/A,#N/A,TRUE,"IRR";#N/A,#N/A,TRUE,"Ratios";#N/A,#N/A,TRUE,"Debt analysis"}</definedName>
    <definedName name="opyt" hidden="1">#REF!</definedName>
    <definedName name="OrderTable" hidden="1">#REF!</definedName>
    <definedName name="Others" hidden="1">{#N/A,#N/A,FALSE,"COVER1.XLS ";#N/A,#N/A,FALSE,"RACT1.XLS";#N/A,#N/A,FALSE,"RACT2.XLS";#N/A,#N/A,FALSE,"ECCMP";#N/A,#N/A,FALSE,"WELDER.XLS"}</definedName>
    <definedName name="p" hidden="1">#REF!</definedName>
    <definedName name="p.DCF" hidden="1">#REF!</definedName>
    <definedName name="p.DCF_Titles" hidden="1">#REF!</definedName>
    <definedName name="pakhak" hidden="1">{#N/A,#N/A,FALSE,"PMTABB";#N/A,#N/A,FALSE,"PMTABB"}</definedName>
    <definedName name="Pal_Workbook_GUID" hidden="1">"7UHF6YPQAAAPESC8TKW7DGBX"</definedName>
    <definedName name="pallav" hidden="1">{#N/A,#N/A,FALSE,"PMTABB";#N/A,#N/A,FALSE,"PMTABB"}</definedName>
    <definedName name="parse" hidden="1">#REF!</definedName>
    <definedName name="PCC" hidden="1">{"'Bill No. 7'!$A$1:$G$32"}</definedName>
    <definedName name="PEDESTAL2" hidden="1">#REF!</definedName>
    <definedName name="pitch" hidden="1">{#N/A,#N/A,TRUE,"Cover sheet";#N/A,#N/A,TRUE,"INPUTS";#N/A,#N/A,TRUE,"OUTPUTS";#N/A,#N/A,TRUE,"VALUATION"}</definedName>
    <definedName name="pkg" hidden="1">{#N/A,#N/A,TRUE,"9&amp;10";#N/A,#N/A,TRUE,"11&amp;12";#N/A,#N/A,TRUE,"13to18";#N/A,#N/A,TRUE,"19A";#N/A,#N/A,TRUE,"19B20&amp;21";#N/A,#N/A,TRUE,"22&amp;23";#N/A,#N/A,TRUE,"24";#N/A,#N/A,TRUE,"25&amp;26";#N/A,#N/A,TRUE,"27";#N/A,#N/A,TRUE,"28"}</definedName>
    <definedName name="pliu"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plmnj"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pmc" hidden="1">{#N/A,#N/A,FALSE,"PMTABB";#N/A,#N/A,FALSE,"PMTABB"}</definedName>
    <definedName name="pmcf" hidden="1">{#N/A,#N/A,FALSE,"PMTABB";#N/A,#N/A,FALSE,"PMTABB"}</definedName>
    <definedName name="poiuuyte" hidden="1">{"DCF","UPSIDE CASE",FALSE,"Sheet1";"DCF","BASE CASE",FALSE,"Sheet1";"DCF","DOWNSIDE CASE",FALSE,"Sheet1"}</definedName>
    <definedName name="poiuuyte_1" hidden="1">{"DCF","UPSIDE CASE",FALSE,"Sheet1";"DCF","BASE CASE",FALSE,"Sheet1";"DCF","DOWNSIDE CASE",FALSE,"Sheet1"}</definedName>
    <definedName name="PONL" hidden="1">{#N/A,#N/A,TRUE,"Cover sheet";#N/A,#N/A,TRUE,"INPUTS";#N/A,#N/A,TRUE,"OUTPUTS";#N/A,#N/A,TRUE,"VALUATION"}</definedName>
    <definedName name="post" hidden="1">#REF!</definedName>
    <definedName name="ppp" hidden="1">{"DCF","UPSIDE CASE",FALSE,"Sheet1";"DCF","BASE CASE",FALSE,"Sheet1";"DCF","DOWNSIDE CASE",FALSE,"Sheet1"}</definedName>
    <definedName name="ppp_1" hidden="1">{"DCF","UPSIDE CASE",FALSE,"Sheet1";"DCF","BASE CASE",FALSE,"Sheet1";"DCF","DOWNSIDE CASE",FALSE,"Sheet1"}</definedName>
    <definedName name="pppoip" hidden="1">{#N/A,#N/A,TRUE,"TMRSAMPLE";#N/A,#N/A,TRUE,"OPS";#N/A,#N/A,TRUE,"TMR"}</definedName>
    <definedName name="pppoip_1" hidden="1">{#N/A,#N/A,TRUE,"TMRSAMPLE";#N/A,#N/A,TRUE,"OPS";#N/A,#N/A,TRUE,"TMR"}</definedName>
    <definedName name="PPPP" hidden="1">{#N/A,#N/A,FALSE,"ISBL"}</definedName>
    <definedName name="pratap" hidden="1">{"'Sheet1'!$A$4386:$N$4591"}</definedName>
    <definedName name="prepay" hidden="1">{#N/A,#N/A,FALSE,"PMTABB";#N/A,#N/A,FALSE,"PMTABB"}</definedName>
    <definedName name="Pres" hidden="1">{#N/A,#N/A,TRUE,"Cover sheet";#N/A,#N/A,TRUE,"Summary";#N/A,#N/A,TRUE,"Key Assumptions";#N/A,#N/A,TRUE,"Profit &amp; Loss";#N/A,#N/A,TRUE,"Balance Sheet";#N/A,#N/A,TRUE,"Cashflow";#N/A,#N/A,TRUE,"IRR";#N/A,#N/A,TRUE,"Ratios";#N/A,#N/A,TRUE,"Debt analysis"}</definedName>
    <definedName name="PRESA" hidden="1">{#N/A,#N/A,TRUE,"Cover sheet";#N/A,#N/A,TRUE,"Summary";#N/A,#N/A,TRUE,"Key Assumptions";#N/A,#N/A,TRUE,"Profit &amp; Loss";#N/A,#N/A,TRUE,"Balance Sheet";#N/A,#N/A,TRUE,"Cashflow";#N/A,#N/A,TRUE,"IRR";#N/A,#N/A,TRUE,"Ratios";#N/A,#N/A,TRUE,"Debt analysis"}</definedName>
    <definedName name="Present" hidden="1">{#N/A,#N/A,TRUE,"Cover sheet";#N/A,#N/A,TRUE,"Summary";#N/A,#N/A,TRUE,"Key Assumptions";#N/A,#N/A,TRUE,"Profit &amp; Loss";#N/A,#N/A,TRUE,"Balance Sheet";#N/A,#N/A,TRUE,"Cashflow";#N/A,#N/A,TRUE,"IRR";#N/A,#N/A,TRUE,"Ratios";#N/A,#N/A,TRUE,"Debt analysis"}</definedName>
    <definedName name="_xlnm.Print_Area" localSheetId="0">'Key Financial and CF Seg Wise'!$A$1:$N$113</definedName>
    <definedName name="_xlnm.Print_Area" localSheetId="5">'P&amp;L'!$B$5:$I$47</definedName>
    <definedName name="_xlnm.Print_Area" localSheetId="12">'Working - Corporate'!$A$1:$S$231</definedName>
    <definedName name="process" hidden="1">{#N/A,#N/A,FALSE,"PMTABB";#N/A,#N/A,FALSE,"PMTABB"}</definedName>
    <definedName name="ProdForm" hidden="1">#REF!</definedName>
    <definedName name="Product" hidden="1">#REF!</definedName>
    <definedName name="Profit_Revenue" hidden="1">{"adj95mult",#N/A,FALSE,"COMPCO";"adj95est",#N/A,FALSE,"COMPCO"}</definedName>
    <definedName name="Profit_Revenue_1" hidden="1">{"adj95mult",#N/A,FALSE,"COMPCO";"adj95est",#N/A,FALSE,"COMPCO"}</definedName>
    <definedName name="ProgN" hidden="1">#REF!</definedName>
    <definedName name="prolinks_09d1cedda2664695a2ce4c32013ca750" hidden="1">#REF!</definedName>
    <definedName name="prolinks_0f4ee2c4a92241679464dd17ae79b775" hidden="1">'[40]Group financial statements'!$D$33:$L$44</definedName>
    <definedName name="prolinks_2ec803daa7d149228400a3e8e917770c" hidden="1">#REF!</definedName>
    <definedName name="prolinks_45f2073a6f6d4f4c9da4bfa8e3cb6a8a" hidden="1">#REF!</definedName>
    <definedName name="prolinks_472d582928014f07a5319097938fe05b" hidden="1">#REF!</definedName>
    <definedName name="prolinks_86a056b2815149cf85aaed9bf9e807c0" hidden="1">#REF!</definedName>
    <definedName name="prolinks_af5aca043d674d569493a5d18a35fe01" hidden="1">#REF!</definedName>
    <definedName name="prolinks_b1824d6d39334deb86481603a0db40a3" hidden="1">#REF!</definedName>
    <definedName name="prolinks_d86295881d6e4357bc604b51b80d6300" hidden="1">#REF!</definedName>
    <definedName name="prolinks_f38e60b89e3b40da81853e5659945d89" hidden="1">#REF!</definedName>
    <definedName name="ptich" hidden="1">{#N/A,#N/A,TRUE,"Cover sheet";#N/A,#N/A,TRUE,"INPUTS";#N/A,#N/A,TRUE,"OUTPUTS";#N/A,#N/A,TRUE,"VALUATION"}</definedName>
    <definedName name="PUB_UserID" hidden="1">"MAYERX"</definedName>
    <definedName name="PUMPHOUSE" hidden="1">{"CASH FLOW",#N/A,FALSE,"A"}</definedName>
    <definedName name="PXCDC" hidden="1">#REF!</definedName>
    <definedName name="q_1" hidden="1">{#N/A,#N/A,TRUE,"TMRSAMPLE";#N/A,#N/A,TRUE,"OPS";#N/A,#N/A,TRUE,"TMR"}</definedName>
    <definedName name="qa"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qaaa" hidden="1">{#N/A,#N/A,FALSE,"PMTABB";#N/A,#N/A,FALSE,"PMTABB"}</definedName>
    <definedName name="qap" hidden="1">{"'Typical Costs Estimates'!$C$158:$H$161"}</definedName>
    <definedName name="qas" hidden="1">{"VCS",#N/A,FALSE,"TARA-09";"VCS",#N/A,FALSE,"TARA-10";"VCS",#N/A,FALSE,"TARA-11"}</definedName>
    <definedName name="qc"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qgfqerg" hidden="1">{#N/A,#N/A,FALSE,"PMTABB";#N/A,#N/A,FALSE,"PMTABB"}</definedName>
    <definedName name="qq" hidden="1">{#N/A,#N/A,TRUE,"4";#N/A,#N/A,TRUE,"5";#N/A,#N/A,TRUE,"6&amp;7"}</definedName>
    <definedName name="qqfxlCalcReset" hidden="1">FALSE</definedName>
    <definedName name="qqfxlCalculateOnOpen" hidden="1">FALSE</definedName>
    <definedName name="qqfxlFullBoth" hidden="1">TRUE</definedName>
    <definedName name="qqfxlManualBoth" hidden="1">TRUE</definedName>
    <definedName name="qqfxlSheetsBoth" hidden="1">TRUE</definedName>
    <definedName name="QQQQ" hidden="1">{#N/A,#N/A,FALSE,"EW"}</definedName>
    <definedName name="qt" hidden="1">{"'Sheet1'!$L$16"}</definedName>
    <definedName name="qw" hidden="1">[3]損益分岐点!#REF!</definedName>
    <definedName name="QWE_1" hidden="1">{#N/A,#N/A,TRUE,"TMRSAMPLE";#N/A,#N/A,TRUE,"OPS";#N/A,#N/A,TRUE,"TMR"}</definedName>
    <definedName name="qwef" hidden="1">{#N/A,#N/A,FALSE,"EW"}</definedName>
    <definedName name="QWER" hidden="1">{#N/A,#N/A,FALSE,"SUMMARY";#N/A,#N/A,FALSE,"SUMMARY"}</definedName>
    <definedName name="qwert" hidden="1">{"rcc",#N/A,FALSE,"TARA-09";"rcc",#N/A,FALSE,"TARA-10";"rcc",#N/A,FALSE,"TARA-11"}</definedName>
    <definedName name="qwnmxvnxnv" hidden="1">{"EVA",#N/A,FALSE,"EVA";"WACC",#N/A,FALSE,"WACC"}</definedName>
    <definedName name="qwnmxvnxnv_1" hidden="1">{"EVA",#N/A,FALSE,"EVA";"WACC",#N/A,FALSE,"WACC"}</definedName>
    <definedName name="r.CashFlow" hidden="1">#REF!</definedName>
    <definedName name="r.Leverage" hidden="1">#REF!</definedName>
    <definedName name="r.Liquidity" hidden="1">#REF!</definedName>
    <definedName name="r.Market" hidden="1">#REF!</definedName>
    <definedName name="r.Profitability" hidden="1">#REF!</definedName>
    <definedName name="r.Summary" hidden="1">#REF!</definedName>
    <definedName name="raaa" hidden="1">{"'Sheet1'!$A$4386:$N$4591"}</definedName>
    <definedName name="RAHUL" hidden="1">#REF!</definedName>
    <definedName name="Raj" hidden="1">{"'Sheet1'!$A$4386:$N$4591"}</definedName>
    <definedName name="rama" hidden="1">{"'August 2000'!$A$1:$J$101"}</definedName>
    <definedName name="rate_diff" hidden="1">{"PLANNING",#N/A,FALSE,"A"}</definedName>
    <definedName name="RCArea" hidden="1">#REF!</definedName>
    <definedName name="rd"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RDN" hidden="1">{#N/A,#N/A,FALSE,"COVER.XLS";#N/A,#N/A,FALSE,"RACT1.XLS";#N/A,#N/A,FALSE,"RACT2.XLS";#N/A,#N/A,FALSE,"ECCMP";#N/A,#N/A,FALSE,"WELDER.XLS"}</definedName>
    <definedName name="rds"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red"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refg" hidden="1">{#N/A,#N/A,TRUE,"Cover sheet";#N/A,#N/A,TRUE,"INPUTS";#N/A,#N/A,TRUE,"OUTPUTS";#N/A,#N/A,TRUE,"VALUATION"}</definedName>
    <definedName name="repo1" hidden="1">{#N/A,#N/A,FALSE,"8"}</definedName>
    <definedName name="res_sum" hidden="1">{#N/A,#N/A,FALSE,"COVER1.XLS ";#N/A,#N/A,FALSE,"RACT1.XLS";#N/A,#N/A,FALSE,"RACT2.XLS";#N/A,#N/A,FALSE,"ECCMP";#N/A,#N/A,FALSE,"WELDER.XLS"}</definedName>
    <definedName name="Rev" hidden="1">{"turnover",#N/A,FALSE;"profits",#N/A,FALSE;"cash",#N/A,FALSE}</definedName>
    <definedName name="Rev_1" hidden="1">{"turnover",#N/A,FALSE;"profits",#N/A,FALSE;"cash",#N/A,FALSE}</definedName>
    <definedName name="Revenue" hidden="1">{"Graphic",#N/A,TRUE,"Graphic"}</definedName>
    <definedName name="Revenue_1" hidden="1">{"Graphic",#N/A,TRUE,"Graphic"}</definedName>
    <definedName name="Revenue_24x7" hidden="1">{"Graphic",#N/A,TRUE,"Graphic"}</definedName>
    <definedName name="Revenue_24x7_1" hidden="1">{"Graphic",#N/A,TRUE,"Graphic"}</definedName>
    <definedName name="Revenue_Base" hidden="1">{"adj95mult",#N/A,FALSE,"COMPCO";"adj95est",#N/A,FALSE,"COMPCO"}</definedName>
    <definedName name="Revenue_Base_1" hidden="1">{"adj95mult",#N/A,FALSE,"COMPCO";"adj95est",#N/A,FALSE,"COMPCO"}</definedName>
    <definedName name="rgegerg"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rgergeger" hidden="1">{#N/A,#N/A,FALSE,"PGW"}</definedName>
    <definedName name="rh" hidden="1">{#N/A,#N/A,FALSE,"FREE"}</definedName>
    <definedName name="rhw" hidden="1">{#N/A,#N/A,FALSE,"FREE"}</definedName>
    <definedName name="rhwr"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2</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KRI" hidden="1">{#N/A,#N/A,TRUE,"TMRSAMPLE";#N/A,#N/A,TRUE,"OPS";#N/A,#N/A,TRUE,"TMR"}</definedName>
    <definedName name="RKRI_1" hidden="1">{#N/A,#N/A,TRUE,"TMRSAMPLE";#N/A,#N/A,TRUE,"OPS";#N/A,#N/A,TRUE,"TMR"}</definedName>
    <definedName name="rret"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rrrtree" hidden="1">#REF!</definedName>
    <definedName name="rt" hidden="1">{#N/A,#N/A,TRUE,"Cover sheet";#N/A,#N/A,TRUE,"Summary";#N/A,#N/A,TRUE,"Key Assumptions";#N/A,#N/A,TRUE,"Profit &amp; Loss";#N/A,#N/A,TRUE,"Balance Sheet";#N/A,#N/A,TRUE,"Cashflow";#N/A,#N/A,TRUE,"IRR";#N/A,#N/A,TRUE,"Ratios";#N/A,#N/A,TRUE,"Debt analysis"}</definedName>
    <definedName name="rtgdsfgdsrhdf" hidden="1">{#N/A,#N/A,FALSE,"PMTABB";#N/A,#N/A,FALSE,"PMTABB"}</definedName>
    <definedName name="rthth"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RTTRTRTR"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rtx" hidden="1">#REF!</definedName>
    <definedName name="RTYU" hidden="1">{#N/A,#N/A,FALSE,"PGW"}</definedName>
    <definedName name="RUIIII" hidden="1">{#N/A,#N/A,TRUE,"TMRSAMPLE";#N/A,#N/A,TRUE,"OPS";#N/A,#N/A,TRUE,"TMR"}</definedName>
    <definedName name="RUIIII_1" hidden="1">{#N/A,#N/A,TRUE,"TMRSAMPLE";#N/A,#N/A,TRUE,"OPS";#N/A,#N/A,TRUE,"TMR"}</definedName>
    <definedName name="rwere" hidden="1">{#N/A,#N/A,FALSE,"COVER1.XLS ";#N/A,#N/A,FALSE,"RACT1.XLS";#N/A,#N/A,FALSE,"RACT2.XLS";#N/A,#N/A,FALSE,"ECCMP";#N/A,#N/A,FALSE,"WELDER.XLS"}</definedName>
    <definedName name="rwh" hidden="1">{#N/A,#N/A,FALSE,"PGW"}</definedName>
    <definedName name="rwhwr" hidden="1">{#N/A,#N/A,FALSE,"PGW"}</definedName>
    <definedName name="Rwvu.A." hidden="1">[41]PGW!#REF!,[41]PGW!#REF!,[41]PGW!#REF!,[41]PGW!#REF!,[41]PGW!#REF!,[41]PGW!#REF!,[41]PGW!#REF!</definedName>
    <definedName name="s"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_1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_1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_1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_1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_1_2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_1_2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_1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_1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_1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_1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_1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_1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_2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_2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_2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_2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_2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_2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_2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_2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_2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_2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_2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_2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_3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_3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_3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_3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_3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_3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_3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_3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_3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_3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_3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_3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_4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_4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_4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_4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_4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_4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_4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_4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_5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_5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_5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_5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_5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_5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_5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1_5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2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2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2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2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2_1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2_1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2_1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2_1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2_1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2_1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2_1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2_1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2_1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2_1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2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2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2_2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2_2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2_2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2_2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2_2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2_2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2_2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2_2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2_2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2_2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2_2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2_2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2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2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2_3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2_3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2_3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2_3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2_3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2_3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2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2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2_4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2_4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2_4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2_4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2_4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2_4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2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2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2_5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2_5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2_5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2_5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2_5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2_5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3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3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3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3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3_1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3_1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3_1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3_1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3_1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3_1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3_1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3_1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3_1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3_1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3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3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3_2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3_2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3_2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3_2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3_2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3_2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3_2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3_2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3_2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3_2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3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3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3_3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3_3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3_3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3_3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3_3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3_3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3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3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3_4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3_4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3_4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3_4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3_4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3_4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3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3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3_5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3_5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3_5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3_5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3_5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3_5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4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4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4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4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4_1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4_1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4_1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4_1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4_1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4_1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4_1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4_1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4_1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4_1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4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4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4_2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4_2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4_2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4_2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4_2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4_2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4_2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4_2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4_2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4_2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4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4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4_3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4_3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4_3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4_3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4_3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4_3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4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4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4_4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4_4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4_4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4_4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4_4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4_4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4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4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4_5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4_5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4_5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4_5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4_5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4_5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5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5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5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5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5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5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5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5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5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5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5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_5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sach" hidden="1">{"CVS",#N/A,FALSE,"TARA-09";"CVS",#N/A,FALSE,"TARA-10";"CVS",#N/A,FALSE,"TARA-11"}</definedName>
    <definedName name="SACHDEVA" hidden="1">{#N/A,#N/A,FALSE,"Tbal";#N/A,#N/A,FALSE,"Trans";#N/A,#N/A,FALSE,"A-1";#N/A,#N/A,FALSE,"A-2";#N/A,#N/A,FALSE,"A-6";#N/A,#N/A,FALSE,"A-15";#N/A,#N/A,FALSE,"B-1";#N/A,#N/A,FALSE,"B-11"}</definedName>
    <definedName name="SACHIN" hidden="1">{"VCS",#N/A,FALSE,"TARA-09";"VCS",#N/A,FALSE,"TARA-10";"VCS",#N/A,FALSE,"TARA-11"}</definedName>
    <definedName name="sachin1" hidden="1">{"CVS",#N/A,FALSE,"TARA-09";"CVS",#N/A,FALSE,"TARA-10";"CVS",#N/A,FALSE,"TARA-11"}</definedName>
    <definedName name="sachin3" hidden="1">{"rcc",#N/A,FALSE,"TARA-09";"rcc",#N/A,FALSE,"TARA-10";"rcc",#N/A,FALSE,"TARA-11"}</definedName>
    <definedName name="saddadasdadasd"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sadgtdrt" hidden="1">{#N/A,#N/A,FALSE,"PMTABB";#N/A,#N/A,FALSE,"PMTABB"}</definedName>
    <definedName name="sagdhag" hidden="1">{#N/A,#N/A,FALSE,"COVER1.XLS ";#N/A,#N/A,FALSE,"RACT1.XLS";#N/A,#N/A,FALSE,"RACT2.XLS";#N/A,#N/A,FALSE,"ECCMP";#N/A,#N/A,FALSE,"WELDER.XLS"}</definedName>
    <definedName name="SAIUHGAIUH" hidden="1">{#N/A,#N/A,TRUE,"TMRSAMPLE";#N/A,#N/A,TRUE,"OPS";#N/A,#N/A,TRUE,"TMR"}</definedName>
    <definedName name="SAIUHGAIUH_1" hidden="1">{#N/A,#N/A,TRUE,"TMRSAMPLE";#N/A,#N/A,TRUE,"OPS";#N/A,#N/A,TRUE,"TMR"}</definedName>
    <definedName name="sals" hidden="1">{#N/A,#N/A,FALSE,"Budget at a Glance";#N/A,#N/A,FALSE,"Receipts";#N/A,#N/A,FALSE,"Expenditure";#N/A,#N/A,FALSE,"Impact";#N/A,#N/A,FALSE,"Non-Durables";#N/A,#N/A,FALSE,"Durables";#N/A,#N/A,FALSE,"Cement";#N/A,#N/A,FALSE,"Power Cables";#N/A,#N/A,FALSE,"NFM";#N/A,#N/A,FALSE,"Auto";#N/A,#N/A,FALSE,"Auto1";#N/A,#N/A,FALSE,"Chemicals";#N/A,#N/A,FALSE,"Steel duty";#N/A,#N/A,FALSE,"Petrochemicals";#N/A,#N/A,FALSE,"Paper";#N/A,#N/A,FALSE,"Fibres";#N/A,#N/A,FALSE,"Tyre";#N/A,#N/A,FALSE,"Tyre1";#N/A,#N/A,FALSE,"Cotton (prices &amp; Duty)";#N/A,#N/A,FALSE,"Telecom Equipment";#N/A,#N/A,FALSE,"Cigarettes"}</definedName>
    <definedName name="SAPBEX" hidden="1">0</definedName>
    <definedName name="SAPBEX1" hidden="1">"P92"</definedName>
    <definedName name="SAPBEXdnldView" hidden="1">"3YAYRZMNLFAO9AL881FHB9WRK"</definedName>
    <definedName name="SAPBEXhrIndnt" hidden="1">"Wide"</definedName>
    <definedName name="SAPBEXrevision" localSheetId="16" hidden="1">1</definedName>
    <definedName name="SAPBEXrevision" hidden="1">2</definedName>
    <definedName name="SAPBEXsysID" localSheetId="16" hidden="1">"CSR"</definedName>
    <definedName name="SAPBEXsysID" hidden="1">"P11"</definedName>
    <definedName name="SAPBEXwbID" localSheetId="16" hidden="1">"3XQBW78D16A2EDUNTS3NPBKLN"</definedName>
    <definedName name="SAPBEXwbID" hidden="1">"482XXP4L7CJJQ0LMS81GBZX65"</definedName>
    <definedName name="SAPFuncF4Help" hidden="1">Main.SAPF4Help()</definedName>
    <definedName name="SAPsysID" hidden="1">"708C5W7SBKP804JT78WJ0JNKI"</definedName>
    <definedName name="SAPwbID" hidden="1">"ARS"</definedName>
    <definedName name="saqw"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saryder" hidden="1">{#N/A,#N/A,FALSE,"PGW"}</definedName>
    <definedName name="sasasa" hidden="1">{"PLANNING",#N/A,FALSE,"A"}</definedName>
    <definedName name="sASasAS"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sasd" hidden="1">{#N/A,#N/A,FALSE,"Status of Projects";#N/A,#N/A,FALSE,"CEA-TEC";#N/A,#N/A,FALSE,"U-Constr.";#N/A,#N/A,FALSE,"summary";#N/A,#N/A,FALSE,"PPP-3 yrs"}</definedName>
    <definedName name="sasdetwerterte" hidden="1">{#N/A,#N/A,FALSE,"PMTABB";#N/A,#N/A,FALSE,"PMTABB"}</definedName>
    <definedName name="Sch3Fixed" hidden="1">[42]DET0900!#REF!</definedName>
    <definedName name="Schdule1" hidden="1">{#N/A,#N/A,FALSE,"COMP"}</definedName>
    <definedName name="schedule" hidden="1">{#N/A,#N/A,FALSE,"COMP"}</definedName>
    <definedName name="schpl" hidden="1">{#N/A,#N/A,FALSE,"Input"}</definedName>
    <definedName name="ｓｄ２２２" hidden="1">[3]損益分岐点!#REF!</definedName>
    <definedName name="sdbbsdkbfgbsdk.fj" hidden="1">{#N/A,#N/A,FALSE,"PMTABB";#N/A,#N/A,FALSE,"PMTABB"}</definedName>
    <definedName name="sdcasc" hidden="1">{#N/A,#N/A,FALSE,"Budget at a Glance";#N/A,#N/A,FALSE,"Receipts";#N/A,#N/A,FALSE,"Expenditure";#N/A,#N/A,FALSE,"Impact";#N/A,#N/A,FALSE,"Non-Durables";#N/A,#N/A,FALSE,"Durables";#N/A,#N/A,FALSE,"Cement";#N/A,#N/A,FALSE,"Power Cables";#N/A,#N/A,FALSE,"NFM";#N/A,#N/A,FALSE,"Auto";#N/A,#N/A,FALSE,"Auto1";#N/A,#N/A,FALSE,"Chemicals";#N/A,#N/A,FALSE,"Steel duty";#N/A,#N/A,FALSE,"Petrochemicals";#N/A,#N/A,FALSE,"Paper";#N/A,#N/A,FALSE,"Fibres";#N/A,#N/A,FALSE,"Tyre";#N/A,#N/A,FALSE,"Tyre1";#N/A,#N/A,FALSE,"Cotton (prices &amp; Duty)";#N/A,#N/A,FALSE,"Telecom Equipment";#N/A,#N/A,FALSE,"Cigarettes"}</definedName>
    <definedName name="sdf" hidden="1">{#N/A,#N/A,FALSE,"WTI";#N/A,#N/A,FALSE,"Cdn Oil";#N/A,#N/A,FALSE,"Cdn Gas";#N/A,#N/A,FALSE,"CDN Gas Exports";#N/A,#N/A,FALSE,"CDN Gas Prod";#N/A,#N/A,FALSE,"CDN Gas Wells";#N/A,#N/A,FALSE,"US Gas";#N/A,#N/A,FALSE,"US Gas Prod";#N/A,#N/A,FALSE,"US Gas Wells";#N/A,#N/A,FALSE,"US Work Gas";#N/A,#N/A,FALSE,"US Rig Count";#N/A,#N/A,FALSE,"US Gas End-Use";#N/A,#N/A,FALSE,"Chem"}</definedName>
    <definedName name="sdfag" hidden="1">{#N/A,#N/A,FALSE,"FREE"}</definedName>
    <definedName name="SDFG" hidden="1">{#N/A,#N/A,TRUE,"TMRSAMPLE";#N/A,#N/A,TRUE,"OPS";#N/A,#N/A,TRUE,"TMR"}</definedName>
    <definedName name="SDFG_1" hidden="1">{#N/A,#N/A,TRUE,"TMRSAMPLE";#N/A,#N/A,TRUE,"OPS";#N/A,#N/A,TRUE,"TMR"}</definedName>
    <definedName name="ＳＤＦＧＤＦＤＳＧ" hidden="1">{#N/A,#N/A,TRUE,"TMRSAMPLE";#N/A,#N/A,TRUE,"OPS";#N/A,#N/A,TRUE,"TMR"}</definedName>
    <definedName name="ＳＤＦＧＤＦＤＳＧ_1" hidden="1">{#N/A,#N/A,TRUE,"TMRSAMPLE";#N/A,#N/A,TRUE,"OPS";#N/A,#N/A,TRUE,"TMR"}</definedName>
    <definedName name="ＳＤＦＧＨ" hidden="1">{#N/A,#N/A,TRUE,"TMRSAMPLE";#N/A,#N/A,TRUE,"OPS";#N/A,#N/A,TRUE,"TMR"}</definedName>
    <definedName name="ＳＤＦＧＨ_1" hidden="1">{#N/A,#N/A,TRUE,"TMRSAMPLE";#N/A,#N/A,TRUE,"OPS";#N/A,#N/A,TRUE,"TMR"}</definedName>
    <definedName name="ＳＤＦＧＨＪ" hidden="1">{#N/A,#N/A,TRUE,"TMRSAMPLE";#N/A,#N/A,TRUE,"OPS";#N/A,#N/A,TRUE,"TMR"}</definedName>
    <definedName name="ＳＤＦＧＨＪ_1" hidden="1">{#N/A,#N/A,TRUE,"TMRSAMPLE";#N/A,#N/A,TRUE,"OPS";#N/A,#N/A,TRUE,"TMR"}</definedName>
    <definedName name="ＳＤＦＧちゅ" hidden="1">{#N/A,#N/A,TRUE,"TMRSAMPLE";#N/A,#N/A,TRUE,"OPS";#N/A,#N/A,TRUE,"TMR"}</definedName>
    <definedName name="ＳＤＦＧちゅ_1" hidden="1">{#N/A,#N/A,TRUE,"TMRSAMPLE";#N/A,#N/A,TRUE,"OPS";#N/A,#N/A,TRUE,"TMR"}</definedName>
    <definedName name="sdfsdffsf" hidden="1">#REF!</definedName>
    <definedName name="sdfsdfsdfs" hidden="1">{#N/A,#N/A,FALSE,"PMTABB";#N/A,#N/A,FALSE,"PMTABB"}</definedName>
    <definedName name="sdfsdfsdfsdfs" hidden="1">6</definedName>
    <definedName name="sdfskdfskdf" hidden="1">{#N/A,#N/A,FALSE,"TOWNSHIP"}</definedName>
    <definedName name="sdn"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sdrf" hidden="1">{#N/A,#N/A,FALSE,"FREE"}</definedName>
    <definedName name="sdsd" hidden="1">{"adj95mult",#N/A,FALSE,"COMPCO";"adj95est",#N/A,FALSE,"COMPCO"}</definedName>
    <definedName name="sdsd_1" hidden="1">{"adj95mult",#N/A,FALSE,"COMPCO";"adj95est",#N/A,FALSE,"COMPCO"}</definedName>
    <definedName name="sed"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SEGDEC03" hidden="1">'[43]Fact.Equip.'!#REF!</definedName>
    <definedName name="sencount" hidden="1">1</definedName>
    <definedName name="Sept2" hidden="1">#REF!</definedName>
    <definedName name="sf"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sfdsfsdf" hidden="1">"5XE3DWNI2A1IX1M55GJ5LUGO9"</definedName>
    <definedName name="sfsd" hidden="1">{"Area1",#N/A,FALSE,"OREWACC";"Area2",#N/A,FALSE,"OREWACC"}</definedName>
    <definedName name="sfsd_1" hidden="1">{"Area1",#N/A,FALSE,"OREWACC";"Area2",#N/A,FALSE,"OREWACC"}</definedName>
    <definedName name="sgddfg" hidden="1">{#N/A,#N/A,FALSE,"PMTABB";#N/A,#N/A,FALSE,"PMTABB"}</definedName>
    <definedName name="sh" hidden="1">{"'Bill No. 7'!$A$1:$G$32"}</definedName>
    <definedName name="ＳＨＧＤＳＦＨ" hidden="1">{#N/A,#N/A,TRUE,"TMRSAMPLE";#N/A,#N/A,TRUE,"OPS";#N/A,#N/A,TRUE,"TMR"}</definedName>
    <definedName name="ＳＨＧＤＳＦＨ_1" hidden="1">{#N/A,#N/A,TRUE,"TMRSAMPLE";#N/A,#N/A,TRUE,"OPS";#N/A,#N/A,TRUE,"TMR"}</definedName>
    <definedName name="ＳＨＨＳＨＳＴＨＲ" hidden="1">{#N/A,#N/A,TRUE,"TMRSAMPLE";#N/A,#N/A,TRUE,"OPS";#N/A,#N/A,TRUE,"TMR"}</definedName>
    <definedName name="ＳＨＨＳＨＳＴＨＲ_1" hidden="1">{#N/A,#N/A,TRUE,"TMRSAMPLE";#N/A,#N/A,TRUE,"OPS";#N/A,#N/A,TRUE,"TMR"}</definedName>
    <definedName name="short" hidden="1">{#N/A,#N/A,FALSE,"COVER1.XLS ";#N/A,#N/A,FALSE,"RACT1.XLS";#N/A,#N/A,FALSE,"RACT2.XLS";#N/A,#N/A,FALSE,"ECCMP";#N/A,#N/A,FALSE,"WELDER.XLS"}</definedName>
    <definedName name="ＳＫＤＪＨＦＨ" hidden="1">{#N/A,#N/A,TRUE,"TMRSAMPLE";#N/A,#N/A,TRUE,"OPS";#N/A,#N/A,TRUE,"TMR"}</definedName>
    <definedName name="ＳＫＤＪＨＦＨ_1" hidden="1">{#N/A,#N/A,TRUE,"TMRSAMPLE";#N/A,#N/A,TRUE,"OPS";#N/A,#N/A,TRUE,"TMR"}</definedName>
    <definedName name="skjfdhgdfjghfjhg" hidden="1">{"AQUIRORDCF",#N/A,FALSE,"Merger consequences";"Acquirorassns",#N/A,FALSE,"Merger consequences"}</definedName>
    <definedName name="skjfdhgdfjghfjhg_1" hidden="1">{"AQUIRORDCF",#N/A,FALSE,"Merger consequences";"Acquirorassns",#N/A,FALSE,"Merger consequences"}</definedName>
    <definedName name="ＳＫＳＪＤＨＦ" hidden="1">{#N/A,#N/A,TRUE,"TMRSAMPLE";#N/A,#N/A,TRUE,"OPS";#N/A,#N/A,TRUE,"TMR"}</definedName>
    <definedName name="ＳＫＳＪＤＨＦ_1" hidden="1">{#N/A,#N/A,TRUE,"TMRSAMPLE";#N/A,#N/A,TRUE,"OPS";#N/A,#N/A,TRUE,"TMR"}</definedName>
    <definedName name="slkkjaskjla" hidden="1">{#N/A,#N/A,TRUE,"BT M200 da 10x20"}</definedName>
    <definedName name="SLOW" hidden="1">{#N/A,#N/A,TRUE,"TMRSAMPLE";#N/A,#N/A,TRUE,"OPS";#N/A,#N/A,TRUE,"TMR"}</definedName>
    <definedName name="SLOW_1" hidden="1">{#N/A,#N/A,TRUE,"TMRSAMPLE";#N/A,#N/A,TRUE,"OPS";#N/A,#N/A,TRUE,"TMR"}</definedName>
    <definedName name="smeeta" hidden="1">{"mult96",#N/A,FALSE,"PETCOMP";"est96",#N/A,FALSE,"PETCOMP";"mult95",#N/A,FALSE,"PETCOMP";"est95",#N/A,FALSE,"PETCOMP";"multltm",#N/A,FALSE,"PETCOMP";"resultltm",#N/A,FALSE,"PETCOMP"}</definedName>
    <definedName name="smeeta_1" hidden="1">{"mult96",#N/A,FALSE,"PETCOMP";"est96",#N/A,FALSE,"PETCOMP";"mult95",#N/A,FALSE,"PETCOMP";"est95",#N/A,FALSE,"PETCOMP";"multltm",#N/A,FALSE,"PETCOMP";"resultltm",#N/A,FALSE,"PETCOMP"}</definedName>
    <definedName name="solver_adj" hidden="1">#REF!</definedName>
    <definedName name="solver_cvg" hidden="1">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0</definedName>
    <definedName name="solver_nwt" hidden="1">1</definedName>
    <definedName name="solver_opt" localSheetId="25" hidden="1">'[44]RK JAN Mar 01'!#REF!</definedName>
    <definedName name="solver_opt" hidden="1">'[44]RK JAN Mar 01'!#REF!</definedName>
    <definedName name="solver_pre" hidden="1">0.000001</definedName>
    <definedName name="solver_scl" hidden="1">2</definedName>
    <definedName name="solver_sho" hidden="1">2</definedName>
    <definedName name="solver_tim" hidden="1">100</definedName>
    <definedName name="solver_tmp" hidden="1">#NULL!</definedName>
    <definedName name="solver_tol" hidden="1">0.05</definedName>
    <definedName name="solver_typ" hidden="1">1</definedName>
    <definedName name="solver_val" hidden="1">0</definedName>
    <definedName name="SpecialPrice" hidden="1">#REF!</definedName>
    <definedName name="SPEP" hidden="1">{#N/A,#N/A,TRUE,"TMRSAMPLE";#N/A,#N/A,TRUE,"OPS";#N/A,#N/A,TRUE,"TMR"}</definedName>
    <definedName name="SPEP_1" hidden="1">{#N/A,#N/A,TRUE,"TMRSAMPLE";#N/A,#N/A,TRUE,"OPS";#N/A,#N/A,TRUE,"TMR"}</definedName>
    <definedName name="SpreadsheetBuilder_1" hidden="1">#REF!</definedName>
    <definedName name="SRS"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ss" hidden="1">{"'August 2000'!$A$1:$J$101"}</definedName>
    <definedName name="ssdsa" hidden="1">{#N/A,#N/A,FALSE,"FREE"}</definedName>
    <definedName name="SSK" hidden="1">{#N/A,#N/A,FALSE,"COMP"}</definedName>
    <definedName name="sso" hidden="1">[45]決算出日!$A$1:$IV$4098</definedName>
    <definedName name="sss" hidden="1">'[15]excise-i'!#REF!</definedName>
    <definedName name="ssss" hidden="1">#REF!</definedName>
    <definedName name="SSSSS" hidden="1">{#N/A,#N/A,TRUE,"Cover sheet";#N/A,#N/A,TRUE,"Summary";#N/A,#N/A,TRUE,"Key Assumptions";#N/A,#N/A,TRUE,"Profit &amp; Loss";#N/A,#N/A,TRUE,"Balance Sheet";#N/A,#N/A,TRUE,"Cashflow";#N/A,#N/A,TRUE,"IRR";#N/A,#N/A,TRUE,"Ratios";#N/A,#N/A,TRUE,"Debt analysis"}</definedName>
    <definedName name="ssssssss" hidden="1">6</definedName>
    <definedName name="St"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stef" hidden="1">{#N/A,#N/A,TRUE,"Cover sheet";#N/A,#N/A,TRUE,"Summary";#N/A,#N/A,TRUE,"Key Assumptions";#N/A,#N/A,TRUE,"Profit &amp; Loss";#N/A,#N/A,TRUE,"Balance Sheet";#N/A,#N/A,TRUE,"Cashflow";#N/A,#N/A,TRUE,"IRR";#N/A,#N/A,TRUE,"Ratios";#N/A,#N/A,TRUE,"Debt analysis"}</definedName>
    <definedName name="Stock"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Stt"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Stub" hidden="1">[35]MAIN!$I$11</definedName>
    <definedName name="succ" hidden="1">{#N/A,#N/A,FALSE,"COVER1.XLS ";#N/A,#N/A,FALSE,"RACT1.XLS";#N/A,#N/A,FALSE,"RACT2.XLS";#N/A,#N/A,FALSE,"ECCMP";#N/A,#N/A,FALSE,"WELDER.XLS"}</definedName>
    <definedName name="supply" hidden="1">{#N/A,#N/A,FALSE,"PMTABB";#N/A,#N/A,FALSE,"PMTABB"}</definedName>
    <definedName name="sw" hidden="1">{#N/A,#N/A,FALSE,"Index";#N/A,#N/A,FALSE,"IncStmt";#N/A,#N/A,FALSE,"Ratios";#N/A,#N/A,FALSE,"CashFlows";#N/A,#N/A,FALSE,"Ins1";#N/A,#N/A,FALSE,"Ins2";#N/A,#N/A,FALSE,"SelfFund";#N/A,#N/A,FALSE,"SGA";#N/A,#N/A,FALSE,"Recon";#N/A,#N/A,FALSE,"Earnings";#N/A,#N/A,FALSE,"Earnings (2)";#N/A,#N/A,FALSE,"Stock";#N/A,#N/A,FALSE,"Stock (2)";#N/A,#N/A,FALSE,"PeerRatios";#N/A,#N/A,FALSE,"PeerRanks"}</definedName>
    <definedName name="SWOIU" hidden="1">{#N/A,#N/A,TRUE,"TMRSAMPLE";#N/A,#N/A,TRUE,"OPS";#N/A,#N/A,TRUE,"TMR"}</definedName>
    <definedName name="SWOIU_1" hidden="1">{#N/A,#N/A,TRUE,"TMRSAMPLE";#N/A,#N/A,TRUE,"OPS";#N/A,#N/A,TRUE,"TMR"}</definedName>
    <definedName name="Swvu.A." hidden="1">'[14]PGW-ACCOUNTS'!#REF!</definedName>
    <definedName name="sxcg" hidden="1">{#N/A,#N/A,FALSE,"PGW"}</definedName>
    <definedName name="SZKH" hidden="1">{#N/A,#N/A,TRUE,"TMRSAMPLE";#N/A,#N/A,TRUE,"OPS";#N/A,#N/A,TRUE,"TMR"}</definedName>
    <definedName name="SZKH_1" hidden="1">{#N/A,#N/A,TRUE,"TMRSAMPLE";#N/A,#N/A,TRUE,"OPS";#N/A,#N/A,TRUE,"TMR"}</definedName>
    <definedName name="ＳでＲＧ" hidden="1">{#N/A,#N/A,TRUE,"TMRSAMPLE";#N/A,#N/A,TRUE,"OPS";#N/A,#N/A,TRUE,"TMR"}</definedName>
    <definedName name="ＳでＲＧ_1" hidden="1">{#N/A,#N/A,TRUE,"TMRSAMPLE";#N/A,#N/A,TRUE,"OPS";#N/A,#N/A,TRUE,"TMR"}</definedName>
    <definedName name="tbl_ProdInfo" hidden="1">#REF!</definedName>
    <definedName name="tcos"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test" hidden="1">{"DCF","UPSIDE CASE",FALSE,"Sheet1";"DCF","BASE CASE",FALSE,"Sheet1";"DCF","DOWNSIDE CASE",FALSE,"Sheet1"}</definedName>
    <definedName name="text1" hidden="1">{"'Sheet1'!$L$16"}</definedName>
    <definedName name="TextRefCopyRangeCount" localSheetId="16" hidden="1">4</definedName>
    <definedName name="TextRefCopyRangeCount" hidden="1">1</definedName>
    <definedName name="tfhg" hidden="1">{"'August 2000'!$A$1:$J$101"}</definedName>
    <definedName name="TGHG" hidden="1">{#N/A,#N/A,FALSE,"SUMMARY";#N/A,#N/A,FALSE,"SUMMARY"}</definedName>
    <definedName name="TGTFGF"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ＴＨＨＲＨＴＲＪＲ" hidden="1">{#N/A,#N/A,TRUE,"TMRSAMPLE";#N/A,#N/A,TRUE,"OPS";#N/A,#N/A,TRUE,"TMR"}</definedName>
    <definedName name="ＴＨＨＲＨＴＲＪＲ_1" hidden="1">{#N/A,#N/A,TRUE,"TMRSAMPLE";#N/A,#N/A,TRUE,"OPS";#N/A,#N/A,TRUE,"TMR"}</definedName>
    <definedName name="thrtgbrgbr" hidden="1">{#N/A,#N/A,FALSE,"Index";#N/A,#N/A,FALSE,"IncStmt";#N/A,#N/A,FALSE,"Ratios";#N/A,#N/A,FALSE,"CashFlows";#N/A,#N/A,FALSE,"Ins1";#N/A,#N/A,FALSE,"Ins2";#N/A,#N/A,FALSE,"SelfFund";#N/A,#N/A,FALSE,"SGA";#N/A,#N/A,FALSE,"Recon";#N/A,#N/A,FALSE,"Earnings";#N/A,#N/A,FALSE,"Earnings (2)";#N/A,#N/A,FALSE,"Stock";#N/A,#N/A,FALSE,"Stock (2)";#N/A,#N/A,FALSE,"PeerRatios";#N/A,#N/A,FALSE,"PeerRanks"}</definedName>
    <definedName name="THTH" hidden="1">{#N/A,#N/A,FALSE,"TOWNSHIP"}</definedName>
    <definedName name="tmkk_control" hidden="1">{"'August 2000'!$A$1:$J$101"}</definedName>
    <definedName name="TML_control" hidden="1">{"'August 2000'!$A$1:$J$101"}</definedName>
    <definedName name="Tolerance" hidden="1">[46]Checks!$F$11</definedName>
    <definedName name="TOPFBTDEC0506" hidden="1">{#N/A,#N/A,FALSE,"PMTABB";#N/A,#N/A,FALSE,"PMTABB"}</definedName>
    <definedName name="TOTOT" hidden="1">{#N/A,#N/A,TRUE,"TMRSAMPLE";#N/A,#N/A,TRUE,"OPS";#N/A,#N/A,TRUE,"TMR"}</definedName>
    <definedName name="TOTOT_1" hidden="1">{#N/A,#N/A,TRUE,"TMRSAMPLE";#N/A,#N/A,TRUE,"OPS";#N/A,#N/A,TRUE,"TMR"}</definedName>
    <definedName name="TOTOTOP" hidden="1">{#N/A,#N/A,TRUE,"TMRSAMPLE";#N/A,#N/A,TRUE,"OPS";#N/A,#N/A,TRUE,"TMR"}</definedName>
    <definedName name="TOTOTOP_1" hidden="1">{#N/A,#N/A,TRUE,"TMRSAMPLE";#N/A,#N/A,TRUE,"OPS";#N/A,#N/A,TRUE,"TMR"}</definedName>
    <definedName name="treeList" hidden="1">"10000000000000000000000000000000000000000000000000000000000000000000000000000000000000000000000000000000000000000000000000000000000000000000000000000000000000000000000000000000000000000000000000000000"</definedName>
    <definedName name="ttrtrtg" hidden="1">{#N/A,#N/A,FALSE,"Index";#N/A,#N/A,FALSE,"IncStmt";#N/A,#N/A,FALSE,"Ratios";#N/A,#N/A,FALSE,"CashFlows";#N/A,#N/A,FALSE,"Ins1";#N/A,#N/A,FALSE,"Ins2";#N/A,#N/A,FALSE,"SelfFund";#N/A,#N/A,FALSE,"SGA";#N/A,#N/A,FALSE,"Recon";#N/A,#N/A,FALSE,"Earnings";#N/A,#N/A,FALSE,"Earnings (2)";#N/A,#N/A,FALSE,"Stock";#N/A,#N/A,FALSE,"Stock (2)";#N/A,#N/A,FALSE,"PeerRatios";#N/A,#N/A,FALSE,"PeerRanks"}</definedName>
    <definedName name="ttthtr" hidden="1">{#N/A,#N/A,FALSE,"TOWNSHIP"}</definedName>
    <definedName name="ttttttttt" hidden="1">{#N/A,#N/A,FALSE,"Index";#N/A,#N/A,FALSE,"IncStmt";#N/A,#N/A,FALSE,"Ratios";#N/A,#N/A,FALSE,"CashFlows";#N/A,#N/A,FALSE,"Ins1";#N/A,#N/A,FALSE,"Ins2";#N/A,#N/A,FALSE,"SelfFund";#N/A,#N/A,FALSE,"SGA";#N/A,#N/A,FALSE,"Recon";#N/A,#N/A,FALSE,"Earnings";#N/A,#N/A,FALSE,"Earnings (2)";#N/A,#N/A,FALSE,"Stock";#N/A,#N/A,FALSE,"Stock (2)";#N/A,#N/A,FALSE,"PeerRatios";#N/A,#N/A,FALSE,"PeerRanks"}</definedName>
    <definedName name="tu" hidden="1">{#N/A,#N/A,FALSE,"Budget at a Glance";#N/A,#N/A,FALSE,"Receipts";#N/A,#N/A,FALSE,"Expenditure";#N/A,#N/A,FALSE,"Impact";#N/A,#N/A,FALSE,"Non-Durables";#N/A,#N/A,FALSE,"Durables";#N/A,#N/A,FALSE,"Cement";#N/A,#N/A,FALSE,"Power Cables";#N/A,#N/A,FALSE,"NFM";#N/A,#N/A,FALSE,"Auto";#N/A,#N/A,FALSE,"Auto1";#N/A,#N/A,FALSE,"Chemicals";#N/A,#N/A,FALSE,"Steel duty";#N/A,#N/A,FALSE,"Petrochemicals";#N/A,#N/A,FALSE,"Paper";#N/A,#N/A,FALSE,"Fibres";#N/A,#N/A,FALSE,"Tyre";#N/A,#N/A,FALSE,"Tyre1";#N/A,#N/A,FALSE,"Cotton (prices &amp; Duty)";#N/A,#N/A,FALSE,"Telecom Equipment";#N/A,#N/A,FALSE,"Cigarettes"}</definedName>
    <definedName name="ty" hidden="1">{#N/A,#N/A,TRUE,"Cover sheet";#N/A,#N/A,TRUE,"Summary";#N/A,#N/A,TRUE,"Key Assumptions";#N/A,#N/A,TRUE,"Profit &amp; Loss";#N/A,#N/A,TRUE,"Balance Sheet";#N/A,#N/A,TRUE,"Cashflow";#N/A,#N/A,TRUE,"IRR";#N/A,#N/A,TRUE,"Ratios";#N/A,#N/A,TRUE,"Debt analysis"}</definedName>
    <definedName name="tyff" hidden="1">{#N/A,#N/A,FALSE,"PGW"}</definedName>
    <definedName name="ＴづＬＫＤＬＴくＴ" hidden="1">{#N/A,#N/A,TRUE,"TMRSAMPLE";#N/A,#N/A,TRUE,"OPS";#N/A,#N/A,TRUE,"TMR"}</definedName>
    <definedName name="ＴづＬＫＤＬＴくＴ_1" hidden="1">{#N/A,#N/A,TRUE,"TMRSAMPLE";#N/A,#N/A,TRUE,"OPS";#N/A,#N/A,TRUE,"TMR"}</definedName>
    <definedName name="u" hidden="1">{#N/A,#N/A,TRUE,"Cover sheet";#N/A,#N/A,TRUE,"Summary";#N/A,#N/A,TRUE,"Key Assumptions";#N/A,#N/A,TRUE,"Profit &amp; Loss";#N/A,#N/A,TRUE,"Balance Sheet";#N/A,#N/A,TRUE,"Cashflow";#N/A,#N/A,TRUE,"IRR";#N/A,#N/A,TRUE,"Ratios";#N/A,#N/A,TRUE,"Debt analysis"}</definedName>
    <definedName name="uu" hidden="1">{#N/A,#N/A,TRUE,"Cover sheet";#N/A,#N/A,TRUE,"Summary";#N/A,#N/A,TRUE,"Key Assumptions";#N/A,#N/A,TRUE,"Profit &amp; Loss";#N/A,#N/A,TRUE,"Balance Sheet";#N/A,#N/A,TRUE,"Cashflow";#N/A,#N/A,TRUE,"IRR";#N/A,#N/A,TRUE,"Ratios";#N/A,#N/A,TRUE,"Debt analysis"}</definedName>
    <definedName name="UU_control" hidden="1">{"'August 2000'!$A$1:$J$101"}</definedName>
    <definedName name="v" hidden="1">{#N/A,#N/A,FALSE,"Index";#N/A,#N/A,FALSE,"IncStmt";#N/A,#N/A,FALSE,"Ratios";#N/A,#N/A,FALSE,"CashFlows";#N/A,#N/A,FALSE,"Ins1";#N/A,#N/A,FALSE,"Ins2";#N/A,#N/A,FALSE,"SelfFund";#N/A,#N/A,FALSE,"SGA";#N/A,#N/A,FALSE,"Recon";#N/A,#N/A,FALSE,"Earnings";#N/A,#N/A,FALSE,"Earnings (2)";#N/A,#N/A,FALSE,"Stock";#N/A,#N/A,FALSE,"Stock (2)";#N/A,#N/A,FALSE,"PeerRatios";#N/A,#N/A,FALSE,"PeerRanks"}</definedName>
    <definedName name="ValuationBAAMultiple" hidden="1">{#N/A,#N/A,TRUE,"Cover sheet";#N/A,#N/A,TRUE,"INPUTS";#N/A,#N/A,TRUE,"OUTPUTS";#N/A,#N/A,TRUE,"VALUATION"}</definedName>
    <definedName name="vb" hidden="1">{#N/A,#N/A,TRUE,"TMRSAMPLE";#N/A,#N/A,TRUE,"OPS";#N/A,#N/A,TRUE,"TMR"}</definedName>
    <definedName name="vb_1" hidden="1">{#N/A,#N/A,TRUE,"TMRSAMPLE";#N/A,#N/A,TRUE,"OPS";#N/A,#N/A,TRUE,"TMR"}</definedName>
    <definedName name="vg" hidden="1">{#N/A,#N/A,TRUE,"Cover sheet";#N/A,#N/A,TRUE,"DCF analysis";#N/A,#N/A,TRUE,"WACC calculation"}</definedName>
    <definedName name="VHVH" hidden="1">'[31]Balance sheet'!#REF!</definedName>
    <definedName name="vhvszhbfg" hidden="1">{"'August 2000'!$A$1:$J$101"}</definedName>
    <definedName name="vijay" hidden="1">{"EVA",#N/A,FALSE,"EVA";"WACC",#N/A,FALSE,"WACC"}</definedName>
    <definedName name="vijay.." hidden="1">{#N/A,#N/A,FALSE,"SUMMARY REPORT"}</definedName>
    <definedName name="vijay_1" hidden="1">{"EVA",#N/A,FALSE,"EVA";"WACC",#N/A,FALSE,"WACC"}</definedName>
    <definedName name="vijay123" hidden="1">{"targetdcf",#N/A,FALSE,"Merger consequences";"TARGETASSU",#N/A,FALSE,"Merger consequences";"TERMINAL VALUE",#N/A,FALSE,"Merger consequences"}</definedName>
    <definedName name="vijay123_1" hidden="1">{"targetdcf",#N/A,FALSE,"Merger consequences";"TARGETASSU",#N/A,FALSE,"Merger consequences";"TERMINAL VALUE",#N/A,FALSE,"Merger consequences"}</definedName>
    <definedName name="viren" hidden="1">{#N/A,#N/A,FALSE,"Banksum";#N/A,#N/A,FALSE,"Banksum"}</definedName>
    <definedName name="viren_1" hidden="1">{#N/A,#N/A,FALSE,"Banksum";#N/A,#N/A,FALSE,"Banksum"}</definedName>
    <definedName name="votl"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vsasgfsghxas" hidden="1">{#N/A,#N/A,FALSE,"consu_cover";#N/A,#N/A,FALSE,"consu_strategy";#N/A,#N/A,FALSE,"consu_flow";#N/A,#N/A,FALSE,"Summary_reqmt";#N/A,#N/A,FALSE,"field_ppg";#N/A,#N/A,FALSE,"ppg_shop";#N/A,#N/A,FALSE,"strl";#N/A,#N/A,FALSE,"tankages";#N/A,#N/A,FALSE,"gases"}</definedName>
    <definedName name="vty"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vvv" hidden="1">{"DCF","UPSIDE CASE",FALSE,"Sheet1";"DCF","BASE CASE",FALSE,"Sheet1";"DCF","DOWNSIDE CASE",FALSE,"Sheet1"}</definedName>
    <definedName name="vvv.dd"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vvv.ss" hidden="1">{#N/A,#N/A,FALSE,"TOWNSHIP"}</definedName>
    <definedName name="vvv.xxx" hidden="1">{#N/A,#N/A,FALSE,"SUMMARY";#N/A,#N/A,FALSE,"SUMMARY"}</definedName>
    <definedName name="vvv_1" hidden="1">{"DCF","UPSIDE CASE",FALSE,"Sheet1";"DCF","BASE CASE",FALSE,"Sheet1";"DCF","DOWNSIDE CASE",FALSE,"Sheet1"}</definedName>
    <definedName name="W" localSheetId="16" hidden="1">{"'Bill No. 7'!$A$1:$G$32"}</definedName>
    <definedName name="w" hidden="1">#REF!</definedName>
    <definedName name="water_funds" hidden="1">{"'Sheet1'!$A$4386:$N$4591"}</definedName>
    <definedName name="WDESAX" hidden="1">{#N/A,#N/A,FALSE,"SUMMARY";#N/A,#N/A,FALSE,"SUMMARY"}</definedName>
    <definedName name="wdSD" hidden="1">[1]BB!#REF!</definedName>
    <definedName name="WDSX" hidden="1">{#N/A,#N/A,FALSE,"PGW"}</definedName>
    <definedName name="WDWD" hidden="1">{#N/A,#N/A,FALSE,"PGW"}</definedName>
    <definedName name="WEDWQDX" hidden="1">{#N/A,#N/A,FALSE,"OSBL"}</definedName>
    <definedName name="weeeeeew" hidden="1">#REF!</definedName>
    <definedName name="wefwcc" hidden="1">{#N/A,#N/A,FALSE,"Index";#N/A,#N/A,FALSE,"IncStmt";#N/A,#N/A,FALSE,"Ratios";#N/A,#N/A,FALSE,"CashFlows";#N/A,#N/A,FALSE,"Ins1";#N/A,#N/A,FALSE,"Ins2";#N/A,#N/A,FALSE,"SelfFund";#N/A,#N/A,FALSE,"SGA";#N/A,#N/A,FALSE,"Recon";#N/A,#N/A,FALSE,"Earnings";#N/A,#N/A,FALSE,"Earnings (2)";#N/A,#N/A,FALSE,"Stock";#N/A,#N/A,FALSE,"Stock (2)";#N/A,#N/A,FALSE,"PeerRatios";#N/A,#N/A,FALSE,"PeerRanks"}</definedName>
    <definedName name="wefwefc" hidden="1">{#N/A,#N/A,FALSE,"Index";#N/A,#N/A,FALSE,"IncStmt";#N/A,#N/A,FALSE,"Ratios";#N/A,#N/A,FALSE,"CashFlows";#N/A,#N/A,FALSE,"Ins1";#N/A,#N/A,FALSE,"Ins2";#N/A,#N/A,FALSE,"SelfFund";#N/A,#N/A,FALSE,"SGA";#N/A,#N/A,FALSE,"Recon";#N/A,#N/A,FALSE,"Earnings";#N/A,#N/A,FALSE,"Earnings (2)";#N/A,#N/A,FALSE,"Stock";#N/A,#N/A,FALSE,"Stock (2)";#N/A,#N/A,FALSE,"PeerRatios";#N/A,#N/A,FALSE,"PeerRanks"}</definedName>
    <definedName name="wen"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eqrew" hidden="1">{#N/A,#N/A,TRUE,"Economic Indicators";#N/A,#N/A,TRUE,"Cracker Shutdown schedule";#N/A,#N/A,TRUE,"Benzene Shutdown schedule";#N/A,#N/A,TRUE,"PX Shutdown schedule";#N/A,#N/A,TRUE,"Financials";#N/A,#N/A,TRUE,"Prices&amp;Margins";#N/A,#N/A,TRUE,"Demand-supply";#N/A,#N/A,TRUE,"Polymers-Ind Sum-1999-2000";#N/A,#N/A,TRUE,"Polymers-Ind Sum-Q4";#N/A,#N/A,TRUE,"Polymers-Ind Sum-Q3";#N/A,#N/A,TRUE,"Polymers-Ind Sum-Q4overQ3";#N/A,#N/A,TRUE,"RIL-Q4-Prodn-Sales";#N/A,#N/A,TRUE,"RIL-Q4-Prices";#N/A,#N/A,TRUE,"RIL-Q4-Feedstock";#N/A,#N/A,TRUE,"IPCL-Q4-Prodn-Sales";#N/A,#N/A,TRUE,"IPCL-Q4-Prices";#N/A,#N/A,TRUE,"IPCL-Q4-Feedstock";#N/A,#N/A,TRUE,"NOCIL-Q4-Prodn-Sales";#N/A,#N/A,TRUE,"NOCIL-Q4-Prices";#N/A,#N/A,TRUE,"GAIL-Q4-Prodn-Sales";#N/A,#N/A,TRUE,"GAIL-Q4-Prices"}</definedName>
    <definedName name="wew" hidden="1">{"'PS-SOTM'!$A$1","'PS-SOTM'!$A$2:$M$30","'PS-SOTM'!$A$31:$A$38"}</definedName>
    <definedName name="wewwe" hidden="1">{#N/A,#N/A,FALSE,"Budget at a Glance";#N/A,#N/A,FALSE,"Receipts";#N/A,#N/A,FALSE,"Expenditure";#N/A,#N/A,FALSE,"Impact";#N/A,#N/A,FALSE,"Non-Durables";#N/A,#N/A,FALSE,"Durables";#N/A,#N/A,FALSE,"Cement";#N/A,#N/A,FALSE,"Power Cables";#N/A,#N/A,FALSE,"NFM";#N/A,#N/A,FALSE,"Auto";#N/A,#N/A,FALSE,"Auto1";#N/A,#N/A,FALSE,"Chemicals";#N/A,#N/A,FALSE,"Steel duty";#N/A,#N/A,FALSE,"Petrochemicals";#N/A,#N/A,FALSE,"Paper";#N/A,#N/A,FALSE,"Fibres";#N/A,#N/A,FALSE,"Tyre";#N/A,#N/A,FALSE,"Tyre1";#N/A,#N/A,FALSE,"Cotton (prices &amp; Duty)";#N/A,#N/A,FALSE,"Telecom Equipment";#N/A,#N/A,FALSE,"Cigarettes"}</definedName>
    <definedName name="wgbwt" hidden="1">{#N/A,#N/A,FALSE,"ISBL"}</definedName>
    <definedName name="winword" hidden="1">{#N/A,#N/A,TRUE,"Economic Indicators";#N/A,#N/A,TRUE,"Cracker Shutdown schedule";#N/A,#N/A,TRUE,"Benzene Shutdown schedule";#N/A,#N/A,TRUE,"PX Shutdown schedule";#N/A,#N/A,TRUE,"Financials";#N/A,#N/A,TRUE,"Prices&amp;Margins";#N/A,#N/A,TRUE,"Demand-supply";#N/A,#N/A,TRUE,"Polymers-Ind Sum-1999-2000";#N/A,#N/A,TRUE,"Polymers-Ind Sum-Q4";#N/A,#N/A,TRUE,"Polymers-Ind Sum-Q3";#N/A,#N/A,TRUE,"Polymers-Ind Sum-Q4overQ3";#N/A,#N/A,TRUE,"RIL-Q4-Prodn-Sales";#N/A,#N/A,TRUE,"RIL-Q4-Prices";#N/A,#N/A,TRUE,"RIL-Q4-Feedstock";#N/A,#N/A,TRUE,"IPCL-Q4-Prodn-Sales";#N/A,#N/A,TRUE,"IPCL-Q4-Prices";#N/A,#N/A,TRUE,"IPCL-Q4-Feedstock";#N/A,#N/A,TRUE,"NOCIL-Q4-Prodn-Sales";#N/A,#N/A,TRUE,"NOCIL-Q4-Prices";#N/A,#N/A,TRUE,"GAIL-Q4-Prodn-Sales";#N/A,#N/A,TRUE,"GAIL-Q4-Prices"}</definedName>
    <definedName name="WIOSL" hidden="1">{#N/A,#N/A,TRUE,"TMRSAMPLE";#N/A,#N/A,TRUE,"OPS";#N/A,#N/A,TRUE,"TMR"}</definedName>
    <definedName name="WIOSL_1" hidden="1">{#N/A,#N/A,TRUE,"TMRSAMPLE";#N/A,#N/A,TRUE,"OPS";#N/A,#N/A,TRUE,"TMR"}</definedName>
    <definedName name="wqa"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QDAW" hidden="1">{#N/A,#N/A,FALSE,"ISBL"}</definedName>
    <definedName name="WQDSA" hidden="1">{#N/A,#N/A,FALSE,"PGW"}</definedName>
    <definedName name="WQDWAX"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WQEFAS" hidden="1">{#N/A,#N/A,FALSE,"FREE"}</definedName>
    <definedName name="wqwqw" hidden="1">{#N/A,#N/A,FALSE,"Index";#N/A,#N/A,FALSE,"IncStmt";#N/A,#N/A,FALSE,"Ratios";#N/A,#N/A,FALSE,"CashFlows";#N/A,#N/A,FALSE,"Ins1";#N/A,#N/A,FALSE,"Ins2";#N/A,#N/A,FALSE,"SelfFund";#N/A,#N/A,FALSE,"SGA";#N/A,#N/A,FALSE,"Recon";#N/A,#N/A,FALSE,"Earnings";#N/A,#N/A,FALSE,"Earnings (2)";#N/A,#N/A,FALSE,"Stock";#N/A,#N/A,FALSE,"Stock (2)";#N/A,#N/A,FALSE,"PeerRatios";#N/A,#N/A,FALSE,"PeerRanks"}</definedName>
    <definedName name="wr" hidden="1">{#N/A,#N/A,FALSE,"COVER1.XLS ";#N/A,#N/A,FALSE,"RACT1.XLS";#N/A,#N/A,FALSE,"RACT2.XLS";#N/A,#N/A,FALSE,"ECCMP";#N/A,#N/A,FALSE,"WELDER.XLS"}</definedName>
    <definedName name="wra.abc" hidden="1">{#N/A,#N/A,FALSE,"Index";#N/A,#N/A,FALSE,"IncStmt";#N/A,#N/A,FALSE,"Ratios";#N/A,#N/A,FALSE,"CashFlows";#N/A,#N/A,FALSE,"Ins1";#N/A,#N/A,FALSE,"Ins2";#N/A,#N/A,FALSE,"SelfFund";#N/A,#N/A,FALSE,"SGA";#N/A,#N/A,FALSE,"Recon";#N/A,#N/A,FALSE,"Earnings";#N/A,#N/A,FALSE,"Earnings (2)";#N/A,#N/A,FALSE,"Stock";#N/A,#N/A,FALSE,"Stock (2)";#N/A,#N/A,FALSE,"PeerRatios";#N/A,#N/A,FALSE,"PeerRanks"}</definedName>
    <definedName name="wrb.abc" hidden="1">{#N/A,#N/A,FALSE,"Index";#N/A,#N/A,FALSE,"IncStmt";#N/A,#N/A,FALSE,"Ratios";#N/A,#N/A,FALSE,"CashFlows";#N/A,#N/A,FALSE,"Ins1";#N/A,#N/A,FALSE,"Ins2";#N/A,#N/A,FALSE,"SelfFund";#N/A,#N/A,FALSE,"SGA";#N/A,#N/A,FALSE,"Recon";#N/A,#N/A,FALSE,"Earnings";#N/A,#N/A,FALSE,"Earnings (2)";#N/A,#N/A,FALSE,"Stock";#N/A,#N/A,FALSE,"Stock (2)";#N/A,#N/A,FALSE,"PeerRatios";#N/A,#N/A,FALSE,"PeerRanks"}</definedName>
    <definedName name="wrd.abc" hidden="1">{#N/A,#N/A,FALSE,"Index";#N/A,#N/A,FALSE,"IncStmt";#N/A,#N/A,FALSE,"Ratios";#N/A,#N/A,FALSE,"CashFlows";#N/A,#N/A,FALSE,"Ins1";#N/A,#N/A,FALSE,"Ins2";#N/A,#N/A,FALSE,"SelfFund";#N/A,#N/A,FALSE,"SGA";#N/A,#N/A,FALSE,"Recon";#N/A,#N/A,FALSE,"Earnings";#N/A,#N/A,FALSE,"Earnings (2)";#N/A,#N/A,FALSE,"Stock";#N/A,#N/A,FALSE,"Stock (2)";#N/A,#N/A,FALSE,"PeerRatios";#N/A,#N/A,FALSE,"PeerRanks"}</definedName>
    <definedName name="wre.abc" hidden="1">{#N/A,#N/A,FALSE,"Index";#N/A,#N/A,FALSE,"IncStmt";#N/A,#N/A,FALSE,"Ratios";#N/A,#N/A,FALSE,"CashFlows";#N/A,#N/A,FALSE,"Ins1";#N/A,#N/A,FALSE,"Ins2";#N/A,#N/A,FALSE,"SelfFund";#N/A,#N/A,FALSE,"SGA";#N/A,#N/A,FALSE,"Recon";#N/A,#N/A,FALSE,"Earnings";#N/A,#N/A,FALSE,"Earnings (2)";#N/A,#N/A,FALSE,"Stock";#N/A,#N/A,FALSE,"Stock (2)";#N/A,#N/A,FALSE,"PeerRatios";#N/A,#N/A,FALSE,"PeerRanks"}</definedName>
    <definedName name="wrfwrgfrvgcv" hidden="1">{#N/A,#N/A,FALSE,"Index";#N/A,#N/A,FALSE,"IncStmt";#N/A,#N/A,FALSE,"Ratios";#N/A,#N/A,FALSE,"CashFlows";#N/A,#N/A,FALSE,"Ins1";#N/A,#N/A,FALSE,"Ins2";#N/A,#N/A,FALSE,"SelfFund";#N/A,#N/A,FALSE,"SGA";#N/A,#N/A,FALSE,"Recon";#N/A,#N/A,FALSE,"Earnings";#N/A,#N/A,FALSE,"Earnings (2)";#N/A,#N/A,FALSE,"Stock";#N/A,#N/A,FALSE,"Stock (2)";#N/A,#N/A,FALSE,"PeerRatios";#N/A,#N/A,FALSE,"PeerRanks"}</definedName>
    <definedName name="wrn"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1." hidden="1">{#N/A,#N/A,FALSE,"17MAY";#N/A,#N/A,FALSE,"24MAY"}</definedName>
    <definedName name="wrn.2.2" hidden="1">{#N/A,#N/A,FALSE,"17MAY";#N/A,#N/A,FALSE,"24MAY"}</definedName>
    <definedName name="wrn.AA." hidden="1">{#N/A,#N/A,FALSE,"PMTABB";#N/A,#N/A,FALSE,"PMTABB"}</definedName>
    <definedName name="wrn.abc" hidden="1">{#N/A,#N/A,FALSE,"Index";#N/A,#N/A,FALSE,"IncStmt";#N/A,#N/A,FALSE,"Ratios";#N/A,#N/A,FALSE,"CashFlows";#N/A,#N/A,FALSE,"Ins1";#N/A,#N/A,FALSE,"Ins2";#N/A,#N/A,FALSE,"SelfFund";#N/A,#N/A,FALSE,"SGA";#N/A,#N/A,FALSE,"Recon";#N/A,#N/A,FALSE,"Earnings";#N/A,#N/A,FALSE,"Earnings (2)";#N/A,#N/A,FALSE,"Stock";#N/A,#N/A,FALSE,"Stock (2)";#N/A,#N/A,FALSE,"PeerRatios";#N/A,#N/A,FALSE,"PeerRanks"}</definedName>
    <definedName name="wrn.Accounts." hidden="1">{"turnover",#N/A,FALSE;"profits",#N/A,FALSE;"cash",#N/A,FALSE}</definedName>
    <definedName name="wrn.Accounts._1" hidden="1">{"turnover",#N/A,FALSE;"profits",#N/A,FALSE;"cash",#N/A,FALSE}</definedName>
    <definedName name="wrn.Acquisition_matrix." hidden="1">{"Acq_matrix",#N/A,FALSE,"Acquisition Matrix"}</definedName>
    <definedName name="wrn.Acquisition_matrix._1" hidden="1">{"Acq_matrix",#N/A,FALSE,"Acquisition Matrix"}</definedName>
    <definedName name="wrn.adj95." hidden="1">{"adj95mult",#N/A,FALSE,"COMPCO";"adj95est",#N/A,FALSE,"COMPCO"}</definedName>
    <definedName name="wrn.adj95._1" hidden="1">{"adj95mult",#N/A,FALSE,"COMPCO";"adj95est",#N/A,FALSE,"COMPCO"}</definedName>
    <definedName name="wrn.Aging._.and._.Trend._.Analysis." hidden="1">{#N/A,#N/A,FALSE,"Aging Summary";#N/A,#N/A,FALSE,"Ratio Analysis";#N/A,#N/A,FALSE,"Test 120 Day Accts";#N/A,#N/A,FALSE,"Tickmarks"}</definedName>
    <definedName name="wrn.All." hidden="1">{#N/A,#N/A,TRUE,"Introduction";#N/A,#N/A,TRUE,"Operating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_.Annexures."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_1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_1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_1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_1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_1_2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_1_2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_1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_1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_1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_1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_1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_1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_2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_2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_2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_2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_2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_2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_2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_2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_2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_2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_2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_2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_3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_3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_3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_3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_3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_3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_3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_3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_3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_3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_3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_3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_4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_4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_4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_4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_4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_4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_4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_4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_5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_5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_5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_5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_5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_5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_5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1_5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2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2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2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2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2_1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2_1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2_1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2_1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2_1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2_1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2_1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2_1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2_1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2_1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2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2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2_2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2_2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2_2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2_2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2_2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2_2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2_2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2_2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2_2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2_2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2_2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2_2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2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2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2_3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2_3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2_3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2_3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2_3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2_3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2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2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2_4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2_4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2_4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2_4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2_4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2_4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2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2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2_5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2_5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2_5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2_5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2_5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2_5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3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3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3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3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3_1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3_1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3_1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3_1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3_1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3_1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3_1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3_1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3_1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3_1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3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3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3_2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3_2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3_2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3_2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3_2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3_2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3_2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3_2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3_2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3_2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3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3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3_3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3_3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3_3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3_3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3_3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3_3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3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3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3_4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3_4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3_4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3_4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3_4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3_4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3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3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3_5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3_5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3_5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3_5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3_5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3_5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4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4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4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4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4_1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4_1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4_1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4_1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4_1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4_1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4_1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4_1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4_1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4_1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4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4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4_2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4_2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4_2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4_2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4_2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4_2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4_2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4_2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4_2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4_2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4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4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4_3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4_3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4_3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4_3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4_3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4_3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4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4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4_4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4_4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4_4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4_4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4_4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4_4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4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4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4_5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4_5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4_5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4_5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4_5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4_5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5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5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5_1_1"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5_1_1"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5_2"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5_2"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5_3"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5_3"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5_4"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5_4"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5_5" localSheetId="2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Annexures._5_5" hidden="1">{"I",#N/A,FALSE,"CU &amp; LAND, BUILDING";"II",#N/A,FALSE,"CU &amp; LAND, BUILDING";"III",#N/A,FALSE,"CU &amp; LAND, BUILDING";#N/A,#N/A,FALSE,"PM";#N/A,#N/A,FALSE,"MFA, CONTIN";#N/A,#N/A,FALSE,"PRE-OP";#N/A,#N/A,FALSE,"REPAIR";"RM",#N/A,FALSE,"RM";#N/A,#N/A,FALSE,"UTILITIES";#N/A,#N/A,FALSE,"MAN";#N/A,#N/A,FALSE,"SALES";#N/A,#N/A,FALSE,"SELLING";#N/A,#N/A,FALSE,"ADMN.";"PACK",#N/A,FALSE,"PACK";"wc",#N/A,FALSE,"WC";#N/A,#N/A,FALSE,"COP, MOF";#N/A,#N/A,FALSE,"DEP";#N/A,#N/A,FALSE,"TL";"PL",#N/A,FALSE,"PL";"CF",#N/A,FALSE,"CF";"BS",#N/A,FALSE,"BS";"DSCR",#N/A,FALSE,"DSCR";#N/A,#N/A,FALSE,"BEP"}</definedName>
    <definedName name="wrn.All._.Main._.Schedules." hidden="1">{"PrefMain",#N/A,FALSE,"Pref";"AsmpMain",#N/A,FALSE,"Asmp";"IncMain",#N/A,FALSE,"Inc";"BalMain",#N/A,FALSE,"Bal";"GCFMain",#N/A,FALSE,"GCF";"RcDsMain",#N/A,FALSE,"RcDs";"RevMain",#N/A,FALSE,"Rev";"WCapMain",#N/A,FALSE,"WCap";"CapExMain",#N/A,FALSE,"CapEx";"DebtMain",#N/A,FALSE,"Debt";"RatMain",#N/A,FALSE,"Rat";"ValMain",#N/A,FALSE,"Val";"BEvnMain",#N/A,FALSE,"BEvn"}</definedName>
    <definedName name="wrn.All._.Reports."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wrn.All._.Reports._1" hidden="1">{#N/A,#N/A,FALSE,"Balance Sheet";#N/A,#N/A,FALSE,"Profit &amp; Loss ";#N/A,#N/A,FALSE,"Schedule-1";#N/A,#N/A,FALSE,"Schedule-2";#N/A,#N/A,FALSE,"Schedule-3";#N/A,#N/A,FALSE,"Schedule-4 ";#N/A,#N/A,FALSE,"Schedule-5";#N/A,#N/A,FALSE,"Schedule-6,7,8,9";#N/A,#N/A,FALSE,"Schedule-10,11";#N/A,#N/A,FALSE,"Schedule-12,13,14,15";#N/A,#N/A,FALSE,"Scdedule-16";#N/A,#N/A,FALSE,"Schedule-17 ";#N/A,#N/A,FALSE,"Note-9"}</definedName>
    <definedName name="wrn.AOC._.Report." hidden="1">{"AOC 1997-1999",#N/A,TRUE,"AOC";"AOC 1999-2001",#N/A,TRUE,"AOC";"AOC 2001-2003",#N/A,TRUE,"AOC";"AOC 2003-2005",#N/A,TRUE,"AOC";"AOC 2005-2007",#N/A,TRUE,"AOC";"AOC 2007-2009",#N/A,TRUE,"AOC"}</definedName>
    <definedName name="wrn.AOC._.REPORT._.97._.to._.01." hidden="1">{"AOC 1997-1999",#N/A,TRUE,"AOC";"AOC 1999-2001",#N/A,TRUE,"AOC"}</definedName>
    <definedName name="wrn.AQUIROR._.DCF." hidden="1">{"AQUIRORDCF",#N/A,FALSE,"Merger consequences";"Acquirorassns",#N/A,FALSE,"Merger consequences"}</definedName>
    <definedName name="wrn.AQUIROR._.DCF._1" hidden="1">{"AQUIRORDCF",#N/A,FALSE,"Merger consequences";"Acquirorassns",#N/A,FALSE,"Merger consequences"}</definedName>
    <definedName name="wrn.Basic._.Report." hidden="1">{#N/A,#N/A,FALSE,"New Depr Sch-150% DB";#N/A,#N/A,FALSE,"Cash Flows RLP";#N/A,#N/A,FALSE,"IRR";#N/A,#N/A,FALSE,"Proforma IS";#N/A,#N/A,FALSE,"Assumptions"}</definedName>
    <definedName name="wrn.Basic._.Report._1" hidden="1">{#N/A,#N/A,FALSE,"New Depr Sch-150% DB";#N/A,#N/A,FALSE,"Cash Flows RLP";#N/A,#N/A,FALSE,"IRR";#N/A,#N/A,FALSE,"Proforma IS";#N/A,#N/A,FALSE,"Assumptions"}</definedName>
    <definedName name="wrn.Bewegungsbilanz." hidden="1">{#N/A,#N/A,FALSE,"Mittelherkunft";#N/A,#N/A,FALSE,"Mittelverwendung"}</definedName>
    <definedName name="wrn.Bilanz." hidden="1">{#N/A,#N/A,FALSE,"Layout Aktiva";#N/A,#N/A,FALSE,"Layout Passiva"}</definedName>
    <definedName name="wrn.Book." hidden="1">{"EVA",#N/A,FALSE,"SMT2";#N/A,#N/A,FALSE,"Summary";#N/A,#N/A,FALSE,"Graphs";#N/A,#N/A,FALSE,"4 Panel"}</definedName>
    <definedName name="wrn.bs1." hidden="1">{"bs",#N/A,FALSE,"BS";"pl",#N/A,FALSE,"PL"}</definedName>
    <definedName name="wrn.bsall." hidden="1">{"bs",#N/A,FALSE,"BS";"pl",#N/A,FALSE,"PL";"res",#N/A,FALSE,"S.CAP,RES";"loans",#N/A,FALSE,"Loans";"inv",#N/A,FALSE,"C.Assets";"fa",#N/A,FALSE,"F.Assets";"ca",#N/A,FALSE,"C.Assets";"cl",#N/A,FALSE,"CL,Sales,Income";"ovh",#N/A,FALSE,"OVH"}</definedName>
    <definedName name="wrn.Cash._.Flow." hidden="1">{#N/A,#N/A,FALSE,"Layout Cash Flow"}</definedName>
    <definedName name="wrn.cellular." hidden="1">{#N/A,#N/A,TRUE,"TITLE";#N/A,#N/A,TRUE,"MKT Cellular Subs";#N/A,#N/A,TRUE,"Cellular sub ";#N/A,#N/A,TRUE,"P&amp;L - Cell";#N/A,#N/A,TRUE,"Rev &amp; Usage assump - Cell";#N/A,#N/A,TRUE,"Cost -  Cellular";"cellular",#N/A,TRUE,"Capex "}</definedName>
    <definedName name="wrn.cellular._1" hidden="1">{#N/A,#N/A,TRUE,"TITLE";#N/A,#N/A,TRUE,"MKT Cellular Subs";#N/A,#N/A,TRUE,"Cellular sub ";#N/A,#N/A,TRUE,"P&amp;L - Cell";#N/A,#N/A,TRUE,"Rev &amp; Usage assump - Cell";#N/A,#N/A,TRUE,"Cost -  Cellular";"cellular",#N/A,TRUE,"Capex "}</definedName>
    <definedName name="wrn.clientcopy."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lientcopy._1"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MA._.DATA." localSheetId="25" hidden="1">{#N/A,#N/A,FALSE,"CMA"}</definedName>
    <definedName name="wrn.CMA._.DATA." hidden="1">{#N/A,#N/A,FALSE,"CMA"}</definedName>
    <definedName name="wrn.CMA._.DATA._1" localSheetId="25" hidden="1">{#N/A,#N/A,FALSE,"CMA"}</definedName>
    <definedName name="wrn.CMA._.DATA._1" hidden="1">{#N/A,#N/A,FALSE,"CMA"}</definedName>
    <definedName name="wrn.CMA._.DATA._1_1" localSheetId="25" hidden="1">{#N/A,#N/A,FALSE,"CMA"}</definedName>
    <definedName name="wrn.CMA._.DATA._1_1" hidden="1">{#N/A,#N/A,FALSE,"CMA"}</definedName>
    <definedName name="wrn.CMA._.DATA._1_1_1" localSheetId="25" hidden="1">{#N/A,#N/A,FALSE,"CMA"}</definedName>
    <definedName name="wrn.CMA._.DATA._1_1_1" hidden="1">{#N/A,#N/A,FALSE,"CMA"}</definedName>
    <definedName name="wrn.CMA._.DATA._1_1_1_1" localSheetId="25" hidden="1">{#N/A,#N/A,FALSE,"CMA"}</definedName>
    <definedName name="wrn.CMA._.DATA._1_1_1_1" hidden="1">{#N/A,#N/A,FALSE,"CMA"}</definedName>
    <definedName name="wrn.CMA._.DATA._1_1_2" localSheetId="25" hidden="1">{#N/A,#N/A,FALSE,"CMA"}</definedName>
    <definedName name="wrn.CMA._.DATA._1_1_2" hidden="1">{#N/A,#N/A,FALSE,"CMA"}</definedName>
    <definedName name="wrn.CMA._.DATA._1_1_2_1" localSheetId="25" hidden="1">{#N/A,#N/A,FALSE,"CMA"}</definedName>
    <definedName name="wrn.CMA._.DATA._1_1_2_1" hidden="1">{#N/A,#N/A,FALSE,"CMA"}</definedName>
    <definedName name="wrn.CMA._.DATA._1_1_3" localSheetId="25" hidden="1">{#N/A,#N/A,FALSE,"CMA"}</definedName>
    <definedName name="wrn.CMA._.DATA._1_1_3" hidden="1">{#N/A,#N/A,FALSE,"CMA"}</definedName>
    <definedName name="wrn.CMA._.DATA._1_1_4" localSheetId="25" hidden="1">{#N/A,#N/A,FALSE,"CMA"}</definedName>
    <definedName name="wrn.CMA._.DATA._1_1_4" hidden="1">{#N/A,#N/A,FALSE,"CMA"}</definedName>
    <definedName name="wrn.CMA._.DATA._1_1_5" localSheetId="25" hidden="1">{#N/A,#N/A,FALSE,"CMA"}</definedName>
    <definedName name="wrn.CMA._.DATA._1_1_5" hidden="1">{#N/A,#N/A,FALSE,"CMA"}</definedName>
    <definedName name="wrn.CMA._.DATA._1_2" localSheetId="25" hidden="1">{#N/A,#N/A,FALSE,"CMA"}</definedName>
    <definedName name="wrn.CMA._.DATA._1_2" hidden="1">{#N/A,#N/A,FALSE,"CMA"}</definedName>
    <definedName name="wrn.CMA._.DATA._1_2_1" localSheetId="25" hidden="1">{#N/A,#N/A,FALSE,"CMA"}</definedName>
    <definedName name="wrn.CMA._.DATA._1_2_1" hidden="1">{#N/A,#N/A,FALSE,"CMA"}</definedName>
    <definedName name="wrn.CMA._.DATA._1_2_1_1" localSheetId="25" hidden="1">{#N/A,#N/A,FALSE,"CMA"}</definedName>
    <definedName name="wrn.CMA._.DATA._1_2_1_1" hidden="1">{#N/A,#N/A,FALSE,"CMA"}</definedName>
    <definedName name="wrn.CMA._.DATA._1_2_2" localSheetId="25" hidden="1">{#N/A,#N/A,FALSE,"CMA"}</definedName>
    <definedName name="wrn.CMA._.DATA._1_2_2" hidden="1">{#N/A,#N/A,FALSE,"CMA"}</definedName>
    <definedName name="wrn.CMA._.DATA._1_2_3" localSheetId="25" hidden="1">{#N/A,#N/A,FALSE,"CMA"}</definedName>
    <definedName name="wrn.CMA._.DATA._1_2_3" hidden="1">{#N/A,#N/A,FALSE,"CMA"}</definedName>
    <definedName name="wrn.CMA._.DATA._1_2_4" localSheetId="25" hidden="1">{#N/A,#N/A,FALSE,"CMA"}</definedName>
    <definedName name="wrn.CMA._.DATA._1_2_4" hidden="1">{#N/A,#N/A,FALSE,"CMA"}</definedName>
    <definedName name="wrn.CMA._.DATA._1_2_5" localSheetId="25" hidden="1">{#N/A,#N/A,FALSE,"CMA"}</definedName>
    <definedName name="wrn.CMA._.DATA._1_2_5" hidden="1">{#N/A,#N/A,FALSE,"CMA"}</definedName>
    <definedName name="wrn.CMA._.DATA._1_3" localSheetId="25" hidden="1">{#N/A,#N/A,FALSE,"CMA"}</definedName>
    <definedName name="wrn.CMA._.DATA._1_3" hidden="1">{#N/A,#N/A,FALSE,"CMA"}</definedName>
    <definedName name="wrn.CMA._.DATA._1_3_1" localSheetId="25" hidden="1">{#N/A,#N/A,FALSE,"CMA"}</definedName>
    <definedName name="wrn.CMA._.DATA._1_3_1" hidden="1">{#N/A,#N/A,FALSE,"CMA"}</definedName>
    <definedName name="wrn.CMA._.DATA._1_3_1_1" localSheetId="25" hidden="1">{#N/A,#N/A,FALSE,"CMA"}</definedName>
    <definedName name="wrn.CMA._.DATA._1_3_1_1" hidden="1">{#N/A,#N/A,FALSE,"CMA"}</definedName>
    <definedName name="wrn.CMA._.DATA._1_3_2" localSheetId="25" hidden="1">{#N/A,#N/A,FALSE,"CMA"}</definedName>
    <definedName name="wrn.CMA._.DATA._1_3_2" hidden="1">{#N/A,#N/A,FALSE,"CMA"}</definedName>
    <definedName name="wrn.CMA._.DATA._1_3_3" localSheetId="25" hidden="1">{#N/A,#N/A,FALSE,"CMA"}</definedName>
    <definedName name="wrn.CMA._.DATA._1_3_3" hidden="1">{#N/A,#N/A,FALSE,"CMA"}</definedName>
    <definedName name="wrn.CMA._.DATA._1_3_4" localSheetId="25" hidden="1">{#N/A,#N/A,FALSE,"CMA"}</definedName>
    <definedName name="wrn.CMA._.DATA._1_3_4" hidden="1">{#N/A,#N/A,FALSE,"CMA"}</definedName>
    <definedName name="wrn.CMA._.DATA._1_3_5" localSheetId="25" hidden="1">{#N/A,#N/A,FALSE,"CMA"}</definedName>
    <definedName name="wrn.CMA._.DATA._1_3_5" hidden="1">{#N/A,#N/A,FALSE,"CMA"}</definedName>
    <definedName name="wrn.CMA._.DATA._1_4" localSheetId="25" hidden="1">{#N/A,#N/A,FALSE,"CMA"}</definedName>
    <definedName name="wrn.CMA._.DATA._1_4" hidden="1">{#N/A,#N/A,FALSE,"CMA"}</definedName>
    <definedName name="wrn.CMA._.DATA._1_4_1" localSheetId="25" hidden="1">{#N/A,#N/A,FALSE,"CMA"}</definedName>
    <definedName name="wrn.CMA._.DATA._1_4_1" hidden="1">{#N/A,#N/A,FALSE,"CMA"}</definedName>
    <definedName name="wrn.CMA._.DATA._1_4_1_1" localSheetId="25" hidden="1">{#N/A,#N/A,FALSE,"CMA"}</definedName>
    <definedName name="wrn.CMA._.DATA._1_4_1_1" hidden="1">{#N/A,#N/A,FALSE,"CMA"}</definedName>
    <definedName name="wrn.CMA._.DATA._1_4_2" localSheetId="25" hidden="1">{#N/A,#N/A,FALSE,"CMA"}</definedName>
    <definedName name="wrn.CMA._.DATA._1_4_2" hidden="1">{#N/A,#N/A,FALSE,"CMA"}</definedName>
    <definedName name="wrn.CMA._.DATA._1_4_3" localSheetId="25" hidden="1">{#N/A,#N/A,FALSE,"CMA"}</definedName>
    <definedName name="wrn.CMA._.DATA._1_4_3" hidden="1">{#N/A,#N/A,FALSE,"CMA"}</definedName>
    <definedName name="wrn.CMA._.DATA._1_5" localSheetId="25" hidden="1">{#N/A,#N/A,FALSE,"CMA"}</definedName>
    <definedName name="wrn.CMA._.DATA._1_5" hidden="1">{#N/A,#N/A,FALSE,"CMA"}</definedName>
    <definedName name="wrn.CMA._.DATA._1_5_1" localSheetId="25" hidden="1">{#N/A,#N/A,FALSE,"CMA"}</definedName>
    <definedName name="wrn.CMA._.DATA._1_5_1" hidden="1">{#N/A,#N/A,FALSE,"CMA"}</definedName>
    <definedName name="wrn.CMA._.DATA._1_5_1_1" localSheetId="25" hidden="1">{#N/A,#N/A,FALSE,"CMA"}</definedName>
    <definedName name="wrn.CMA._.DATA._1_5_1_1" hidden="1">{#N/A,#N/A,FALSE,"CMA"}</definedName>
    <definedName name="wrn.CMA._.DATA._1_5_2" localSheetId="25" hidden="1">{#N/A,#N/A,FALSE,"CMA"}</definedName>
    <definedName name="wrn.CMA._.DATA._1_5_2" hidden="1">{#N/A,#N/A,FALSE,"CMA"}</definedName>
    <definedName name="wrn.CMA._.DATA._1_5_3" localSheetId="25" hidden="1">{#N/A,#N/A,FALSE,"CMA"}</definedName>
    <definedName name="wrn.CMA._.DATA._1_5_3" hidden="1">{#N/A,#N/A,FALSE,"CMA"}</definedName>
    <definedName name="wrn.CMA._.DATA._2" localSheetId="25" hidden="1">{#N/A,#N/A,FALSE,"CMA"}</definedName>
    <definedName name="wrn.CMA._.DATA._2" hidden="1">{#N/A,#N/A,FALSE,"CMA"}</definedName>
    <definedName name="wrn.CMA._.DATA._2_1" localSheetId="25" hidden="1">{#N/A,#N/A,FALSE,"CMA"}</definedName>
    <definedName name="wrn.CMA._.DATA._2_1" hidden="1">{#N/A,#N/A,FALSE,"CMA"}</definedName>
    <definedName name="wrn.CMA._.DATA._2_1_1" localSheetId="25" hidden="1">{#N/A,#N/A,FALSE,"CMA"}</definedName>
    <definedName name="wrn.CMA._.DATA._2_1_1" hidden="1">{#N/A,#N/A,FALSE,"CMA"}</definedName>
    <definedName name="wrn.CMA._.DATA._2_1_1_1" localSheetId="25" hidden="1">{#N/A,#N/A,FALSE,"CMA"}</definedName>
    <definedName name="wrn.CMA._.DATA._2_1_1_1" hidden="1">{#N/A,#N/A,FALSE,"CMA"}</definedName>
    <definedName name="wrn.CMA._.DATA._2_1_2" localSheetId="25" hidden="1">{#N/A,#N/A,FALSE,"CMA"}</definedName>
    <definedName name="wrn.CMA._.DATA._2_1_2" hidden="1">{#N/A,#N/A,FALSE,"CMA"}</definedName>
    <definedName name="wrn.CMA._.DATA._2_1_3" localSheetId="25" hidden="1">{#N/A,#N/A,FALSE,"CMA"}</definedName>
    <definedName name="wrn.CMA._.DATA._2_1_3" hidden="1">{#N/A,#N/A,FALSE,"CMA"}</definedName>
    <definedName name="wrn.CMA._.DATA._2_1_4" localSheetId="25" hidden="1">{#N/A,#N/A,FALSE,"CMA"}</definedName>
    <definedName name="wrn.CMA._.DATA._2_1_4" hidden="1">{#N/A,#N/A,FALSE,"CMA"}</definedName>
    <definedName name="wrn.CMA._.DATA._2_1_5" localSheetId="25" hidden="1">{#N/A,#N/A,FALSE,"CMA"}</definedName>
    <definedName name="wrn.CMA._.DATA._2_1_5" hidden="1">{#N/A,#N/A,FALSE,"CMA"}</definedName>
    <definedName name="wrn.CMA._.DATA._2_2" localSheetId="25" hidden="1">{#N/A,#N/A,FALSE,"CMA"}</definedName>
    <definedName name="wrn.CMA._.DATA._2_2" hidden="1">{#N/A,#N/A,FALSE,"CMA"}</definedName>
    <definedName name="wrn.CMA._.DATA._2_2_1" localSheetId="25" hidden="1">{#N/A,#N/A,FALSE,"CMA"}</definedName>
    <definedName name="wrn.CMA._.DATA._2_2_1" hidden="1">{#N/A,#N/A,FALSE,"CMA"}</definedName>
    <definedName name="wrn.CMA._.DATA._2_2_1_1" localSheetId="25" hidden="1">{#N/A,#N/A,FALSE,"CMA"}</definedName>
    <definedName name="wrn.CMA._.DATA._2_2_1_1" hidden="1">{#N/A,#N/A,FALSE,"CMA"}</definedName>
    <definedName name="wrn.CMA._.DATA._2_2_2" localSheetId="25" hidden="1">{#N/A,#N/A,FALSE,"CMA"}</definedName>
    <definedName name="wrn.CMA._.DATA._2_2_2" hidden="1">{#N/A,#N/A,FALSE,"CMA"}</definedName>
    <definedName name="wrn.CMA._.DATA._2_2_3" localSheetId="25" hidden="1">{#N/A,#N/A,FALSE,"CMA"}</definedName>
    <definedName name="wrn.CMA._.DATA._2_2_3" hidden="1">{#N/A,#N/A,FALSE,"CMA"}</definedName>
    <definedName name="wrn.CMA._.DATA._2_2_4" localSheetId="25" hidden="1">{#N/A,#N/A,FALSE,"CMA"}</definedName>
    <definedName name="wrn.CMA._.DATA._2_2_4" hidden="1">{#N/A,#N/A,FALSE,"CMA"}</definedName>
    <definedName name="wrn.CMA._.DATA._2_2_5" localSheetId="25" hidden="1">{#N/A,#N/A,FALSE,"CMA"}</definedName>
    <definedName name="wrn.CMA._.DATA._2_2_5" hidden="1">{#N/A,#N/A,FALSE,"CMA"}</definedName>
    <definedName name="wrn.CMA._.DATA._2_3" localSheetId="25" hidden="1">{#N/A,#N/A,FALSE,"CMA"}</definedName>
    <definedName name="wrn.CMA._.DATA._2_3" hidden="1">{#N/A,#N/A,FALSE,"CMA"}</definedName>
    <definedName name="wrn.CMA._.DATA._2_3_1" localSheetId="25" hidden="1">{#N/A,#N/A,FALSE,"CMA"}</definedName>
    <definedName name="wrn.CMA._.DATA._2_3_1" hidden="1">{#N/A,#N/A,FALSE,"CMA"}</definedName>
    <definedName name="wrn.CMA._.DATA._2_3_2" localSheetId="25" hidden="1">{#N/A,#N/A,FALSE,"CMA"}</definedName>
    <definedName name="wrn.CMA._.DATA._2_3_2" hidden="1">{#N/A,#N/A,FALSE,"CMA"}</definedName>
    <definedName name="wrn.CMA._.DATA._2_3_3" localSheetId="25" hidden="1">{#N/A,#N/A,FALSE,"CMA"}</definedName>
    <definedName name="wrn.CMA._.DATA._2_3_3" hidden="1">{#N/A,#N/A,FALSE,"CMA"}</definedName>
    <definedName name="wrn.CMA._.DATA._2_4" localSheetId="25" hidden="1">{#N/A,#N/A,FALSE,"CMA"}</definedName>
    <definedName name="wrn.CMA._.DATA._2_4" hidden="1">{#N/A,#N/A,FALSE,"CMA"}</definedName>
    <definedName name="wrn.CMA._.DATA._2_4_1" localSheetId="25" hidden="1">{#N/A,#N/A,FALSE,"CMA"}</definedName>
    <definedName name="wrn.CMA._.DATA._2_4_1" hidden="1">{#N/A,#N/A,FALSE,"CMA"}</definedName>
    <definedName name="wrn.CMA._.DATA._2_4_2" localSheetId="25" hidden="1">{#N/A,#N/A,FALSE,"CMA"}</definedName>
    <definedName name="wrn.CMA._.DATA._2_4_2" hidden="1">{#N/A,#N/A,FALSE,"CMA"}</definedName>
    <definedName name="wrn.CMA._.DATA._2_4_3" localSheetId="25" hidden="1">{#N/A,#N/A,FALSE,"CMA"}</definedName>
    <definedName name="wrn.CMA._.DATA._2_4_3" hidden="1">{#N/A,#N/A,FALSE,"CMA"}</definedName>
    <definedName name="wrn.CMA._.DATA._2_5" localSheetId="25" hidden="1">{#N/A,#N/A,FALSE,"CMA"}</definedName>
    <definedName name="wrn.CMA._.DATA._2_5" hidden="1">{#N/A,#N/A,FALSE,"CMA"}</definedName>
    <definedName name="wrn.CMA._.DATA._2_5_1" localSheetId="25" hidden="1">{#N/A,#N/A,FALSE,"CMA"}</definedName>
    <definedName name="wrn.CMA._.DATA._2_5_1" hidden="1">{#N/A,#N/A,FALSE,"CMA"}</definedName>
    <definedName name="wrn.CMA._.DATA._2_5_2" localSheetId="25" hidden="1">{#N/A,#N/A,FALSE,"CMA"}</definedName>
    <definedName name="wrn.CMA._.DATA._2_5_2" hidden="1">{#N/A,#N/A,FALSE,"CMA"}</definedName>
    <definedName name="wrn.CMA._.DATA._2_5_3" localSheetId="25" hidden="1">{#N/A,#N/A,FALSE,"CMA"}</definedName>
    <definedName name="wrn.CMA._.DATA._2_5_3" hidden="1">{#N/A,#N/A,FALSE,"CMA"}</definedName>
    <definedName name="wrn.CMA._.DATA._3" localSheetId="25" hidden="1">{#N/A,#N/A,FALSE,"CMA"}</definedName>
    <definedName name="wrn.CMA._.DATA._3" hidden="1">{#N/A,#N/A,FALSE,"CMA"}</definedName>
    <definedName name="wrn.CMA._.DATA._3_1" localSheetId="25" hidden="1">{#N/A,#N/A,FALSE,"CMA"}</definedName>
    <definedName name="wrn.CMA._.DATA._3_1" hidden="1">{#N/A,#N/A,FALSE,"CMA"}</definedName>
    <definedName name="wrn.CMA._.DATA._3_1_1" localSheetId="25" hidden="1">{#N/A,#N/A,FALSE,"CMA"}</definedName>
    <definedName name="wrn.CMA._.DATA._3_1_1" hidden="1">{#N/A,#N/A,FALSE,"CMA"}</definedName>
    <definedName name="wrn.CMA._.DATA._3_1_1_1" localSheetId="25" hidden="1">{#N/A,#N/A,FALSE,"CMA"}</definedName>
    <definedName name="wrn.CMA._.DATA._3_1_1_1" hidden="1">{#N/A,#N/A,FALSE,"CMA"}</definedName>
    <definedName name="wrn.CMA._.DATA._3_1_2" localSheetId="25" hidden="1">{#N/A,#N/A,FALSE,"CMA"}</definedName>
    <definedName name="wrn.CMA._.DATA._3_1_2" hidden="1">{#N/A,#N/A,FALSE,"CMA"}</definedName>
    <definedName name="wrn.CMA._.DATA._3_1_3" localSheetId="25" hidden="1">{#N/A,#N/A,FALSE,"CMA"}</definedName>
    <definedName name="wrn.CMA._.DATA._3_1_3" hidden="1">{#N/A,#N/A,FALSE,"CMA"}</definedName>
    <definedName name="wrn.CMA._.DATA._3_1_4" localSheetId="25" hidden="1">{#N/A,#N/A,FALSE,"CMA"}</definedName>
    <definedName name="wrn.CMA._.DATA._3_1_4" hidden="1">{#N/A,#N/A,FALSE,"CMA"}</definedName>
    <definedName name="wrn.CMA._.DATA._3_1_5" localSheetId="25" hidden="1">{#N/A,#N/A,FALSE,"CMA"}</definedName>
    <definedName name="wrn.CMA._.DATA._3_1_5" hidden="1">{#N/A,#N/A,FALSE,"CMA"}</definedName>
    <definedName name="wrn.CMA._.DATA._3_2" localSheetId="25" hidden="1">{#N/A,#N/A,FALSE,"CMA"}</definedName>
    <definedName name="wrn.CMA._.DATA._3_2" hidden="1">{#N/A,#N/A,FALSE,"CMA"}</definedName>
    <definedName name="wrn.CMA._.DATA._3_2_1" localSheetId="25" hidden="1">{#N/A,#N/A,FALSE,"CMA"}</definedName>
    <definedName name="wrn.CMA._.DATA._3_2_1" hidden="1">{#N/A,#N/A,FALSE,"CMA"}</definedName>
    <definedName name="wrn.CMA._.DATA._3_2_2" localSheetId="25" hidden="1">{#N/A,#N/A,FALSE,"CMA"}</definedName>
    <definedName name="wrn.CMA._.DATA._3_2_2" hidden="1">{#N/A,#N/A,FALSE,"CMA"}</definedName>
    <definedName name="wrn.CMA._.DATA._3_2_3" localSheetId="25" hidden="1">{#N/A,#N/A,FALSE,"CMA"}</definedName>
    <definedName name="wrn.CMA._.DATA._3_2_3" hidden="1">{#N/A,#N/A,FALSE,"CMA"}</definedName>
    <definedName name="wrn.CMA._.DATA._3_2_4" localSheetId="25" hidden="1">{#N/A,#N/A,FALSE,"CMA"}</definedName>
    <definedName name="wrn.CMA._.DATA._3_2_4" hidden="1">{#N/A,#N/A,FALSE,"CMA"}</definedName>
    <definedName name="wrn.CMA._.DATA._3_2_5" localSheetId="25" hidden="1">{#N/A,#N/A,FALSE,"CMA"}</definedName>
    <definedName name="wrn.CMA._.DATA._3_2_5" hidden="1">{#N/A,#N/A,FALSE,"CMA"}</definedName>
    <definedName name="wrn.CMA._.DATA._3_3" localSheetId="25" hidden="1">{#N/A,#N/A,FALSE,"CMA"}</definedName>
    <definedName name="wrn.CMA._.DATA._3_3" hidden="1">{#N/A,#N/A,FALSE,"CMA"}</definedName>
    <definedName name="wrn.CMA._.DATA._3_3_1" localSheetId="25" hidden="1">{#N/A,#N/A,FALSE,"CMA"}</definedName>
    <definedName name="wrn.CMA._.DATA._3_3_1" hidden="1">{#N/A,#N/A,FALSE,"CMA"}</definedName>
    <definedName name="wrn.CMA._.DATA._3_3_2" localSheetId="25" hidden="1">{#N/A,#N/A,FALSE,"CMA"}</definedName>
    <definedName name="wrn.CMA._.DATA._3_3_2" hidden="1">{#N/A,#N/A,FALSE,"CMA"}</definedName>
    <definedName name="wrn.CMA._.DATA._3_3_3" localSheetId="25" hidden="1">{#N/A,#N/A,FALSE,"CMA"}</definedName>
    <definedName name="wrn.CMA._.DATA._3_3_3" hidden="1">{#N/A,#N/A,FALSE,"CMA"}</definedName>
    <definedName name="wrn.CMA._.DATA._3_4" localSheetId="25" hidden="1">{#N/A,#N/A,FALSE,"CMA"}</definedName>
    <definedName name="wrn.CMA._.DATA._3_4" hidden="1">{#N/A,#N/A,FALSE,"CMA"}</definedName>
    <definedName name="wrn.CMA._.DATA._3_4_1" localSheetId="25" hidden="1">{#N/A,#N/A,FALSE,"CMA"}</definedName>
    <definedName name="wrn.CMA._.DATA._3_4_1" hidden="1">{#N/A,#N/A,FALSE,"CMA"}</definedName>
    <definedName name="wrn.CMA._.DATA._3_4_2" localSheetId="25" hidden="1">{#N/A,#N/A,FALSE,"CMA"}</definedName>
    <definedName name="wrn.CMA._.DATA._3_4_2" hidden="1">{#N/A,#N/A,FALSE,"CMA"}</definedName>
    <definedName name="wrn.CMA._.DATA._3_4_3" localSheetId="25" hidden="1">{#N/A,#N/A,FALSE,"CMA"}</definedName>
    <definedName name="wrn.CMA._.DATA._3_4_3" hidden="1">{#N/A,#N/A,FALSE,"CMA"}</definedName>
    <definedName name="wrn.CMA._.DATA._3_5" localSheetId="25" hidden="1">{#N/A,#N/A,FALSE,"CMA"}</definedName>
    <definedName name="wrn.CMA._.DATA._3_5" hidden="1">{#N/A,#N/A,FALSE,"CMA"}</definedName>
    <definedName name="wrn.CMA._.DATA._3_5_1" localSheetId="25" hidden="1">{#N/A,#N/A,FALSE,"CMA"}</definedName>
    <definedName name="wrn.CMA._.DATA._3_5_1" hidden="1">{#N/A,#N/A,FALSE,"CMA"}</definedName>
    <definedName name="wrn.CMA._.DATA._3_5_2" localSheetId="25" hidden="1">{#N/A,#N/A,FALSE,"CMA"}</definedName>
    <definedName name="wrn.CMA._.DATA._3_5_2" hidden="1">{#N/A,#N/A,FALSE,"CMA"}</definedName>
    <definedName name="wrn.CMA._.DATA._3_5_3" localSheetId="25" hidden="1">{#N/A,#N/A,FALSE,"CMA"}</definedName>
    <definedName name="wrn.CMA._.DATA._3_5_3" hidden="1">{#N/A,#N/A,FALSE,"CMA"}</definedName>
    <definedName name="wrn.CMA._.DATA._4" localSheetId="25" hidden="1">{#N/A,#N/A,FALSE,"CMA"}</definedName>
    <definedName name="wrn.CMA._.DATA._4" hidden="1">{#N/A,#N/A,FALSE,"CMA"}</definedName>
    <definedName name="wrn.CMA._.DATA._4_1" localSheetId="25" hidden="1">{#N/A,#N/A,FALSE,"CMA"}</definedName>
    <definedName name="wrn.CMA._.DATA._4_1" hidden="1">{#N/A,#N/A,FALSE,"CMA"}</definedName>
    <definedName name="wrn.CMA._.DATA._4_1_1" localSheetId="25" hidden="1">{#N/A,#N/A,FALSE,"CMA"}</definedName>
    <definedName name="wrn.CMA._.DATA._4_1_1" hidden="1">{#N/A,#N/A,FALSE,"CMA"}</definedName>
    <definedName name="wrn.CMA._.DATA._4_1_1_1" localSheetId="25" hidden="1">{#N/A,#N/A,FALSE,"CMA"}</definedName>
    <definedName name="wrn.CMA._.DATA._4_1_1_1" hidden="1">{#N/A,#N/A,FALSE,"CMA"}</definedName>
    <definedName name="wrn.CMA._.DATA._4_1_2" localSheetId="25" hidden="1">{#N/A,#N/A,FALSE,"CMA"}</definedName>
    <definedName name="wrn.CMA._.DATA._4_1_2" hidden="1">{#N/A,#N/A,FALSE,"CMA"}</definedName>
    <definedName name="wrn.CMA._.DATA._4_1_3" localSheetId="25" hidden="1">{#N/A,#N/A,FALSE,"CMA"}</definedName>
    <definedName name="wrn.CMA._.DATA._4_1_3" hidden="1">{#N/A,#N/A,FALSE,"CMA"}</definedName>
    <definedName name="wrn.CMA._.DATA._4_1_4" localSheetId="25" hidden="1">{#N/A,#N/A,FALSE,"CMA"}</definedName>
    <definedName name="wrn.CMA._.DATA._4_1_4" hidden="1">{#N/A,#N/A,FALSE,"CMA"}</definedName>
    <definedName name="wrn.CMA._.DATA._4_1_5" localSheetId="25" hidden="1">{#N/A,#N/A,FALSE,"CMA"}</definedName>
    <definedName name="wrn.CMA._.DATA._4_1_5" hidden="1">{#N/A,#N/A,FALSE,"CMA"}</definedName>
    <definedName name="wrn.CMA._.DATA._4_2" localSheetId="25" hidden="1">{#N/A,#N/A,FALSE,"CMA"}</definedName>
    <definedName name="wrn.CMA._.DATA._4_2" hidden="1">{#N/A,#N/A,FALSE,"CMA"}</definedName>
    <definedName name="wrn.CMA._.DATA._4_2_1" localSheetId="25" hidden="1">{#N/A,#N/A,FALSE,"CMA"}</definedName>
    <definedName name="wrn.CMA._.DATA._4_2_1" hidden="1">{#N/A,#N/A,FALSE,"CMA"}</definedName>
    <definedName name="wrn.CMA._.DATA._4_2_2" localSheetId="25" hidden="1">{#N/A,#N/A,FALSE,"CMA"}</definedName>
    <definedName name="wrn.CMA._.DATA._4_2_2" hidden="1">{#N/A,#N/A,FALSE,"CMA"}</definedName>
    <definedName name="wrn.CMA._.DATA._4_2_3" localSheetId="25" hidden="1">{#N/A,#N/A,FALSE,"CMA"}</definedName>
    <definedName name="wrn.CMA._.DATA._4_2_3" hidden="1">{#N/A,#N/A,FALSE,"CMA"}</definedName>
    <definedName name="wrn.CMA._.DATA._4_2_4" localSheetId="25" hidden="1">{#N/A,#N/A,FALSE,"CMA"}</definedName>
    <definedName name="wrn.CMA._.DATA._4_2_4" hidden="1">{#N/A,#N/A,FALSE,"CMA"}</definedName>
    <definedName name="wrn.CMA._.DATA._4_2_5" localSheetId="25" hidden="1">{#N/A,#N/A,FALSE,"CMA"}</definedName>
    <definedName name="wrn.CMA._.DATA._4_2_5" hidden="1">{#N/A,#N/A,FALSE,"CMA"}</definedName>
    <definedName name="wrn.CMA._.DATA._4_3" localSheetId="25" hidden="1">{#N/A,#N/A,FALSE,"CMA"}</definedName>
    <definedName name="wrn.CMA._.DATA._4_3" hidden="1">{#N/A,#N/A,FALSE,"CMA"}</definedName>
    <definedName name="wrn.CMA._.DATA._4_3_1" localSheetId="25" hidden="1">{#N/A,#N/A,FALSE,"CMA"}</definedName>
    <definedName name="wrn.CMA._.DATA._4_3_1" hidden="1">{#N/A,#N/A,FALSE,"CMA"}</definedName>
    <definedName name="wrn.CMA._.DATA._4_3_2" localSheetId="25" hidden="1">{#N/A,#N/A,FALSE,"CMA"}</definedName>
    <definedName name="wrn.CMA._.DATA._4_3_2" hidden="1">{#N/A,#N/A,FALSE,"CMA"}</definedName>
    <definedName name="wrn.CMA._.DATA._4_3_3" localSheetId="25" hidden="1">{#N/A,#N/A,FALSE,"CMA"}</definedName>
    <definedName name="wrn.CMA._.DATA._4_3_3" hidden="1">{#N/A,#N/A,FALSE,"CMA"}</definedName>
    <definedName name="wrn.CMA._.DATA._4_4" localSheetId="25" hidden="1">{#N/A,#N/A,FALSE,"CMA"}</definedName>
    <definedName name="wrn.CMA._.DATA._4_4" hidden="1">{#N/A,#N/A,FALSE,"CMA"}</definedName>
    <definedName name="wrn.CMA._.DATA._4_4_1" localSheetId="25" hidden="1">{#N/A,#N/A,FALSE,"CMA"}</definedName>
    <definedName name="wrn.CMA._.DATA._4_4_1" hidden="1">{#N/A,#N/A,FALSE,"CMA"}</definedName>
    <definedName name="wrn.CMA._.DATA._4_4_2" localSheetId="25" hidden="1">{#N/A,#N/A,FALSE,"CMA"}</definedName>
    <definedName name="wrn.CMA._.DATA._4_4_2" hidden="1">{#N/A,#N/A,FALSE,"CMA"}</definedName>
    <definedName name="wrn.CMA._.DATA._4_4_3" localSheetId="25" hidden="1">{#N/A,#N/A,FALSE,"CMA"}</definedName>
    <definedName name="wrn.CMA._.DATA._4_4_3" hidden="1">{#N/A,#N/A,FALSE,"CMA"}</definedName>
    <definedName name="wrn.CMA._.DATA._4_5" localSheetId="25" hidden="1">{#N/A,#N/A,FALSE,"CMA"}</definedName>
    <definedName name="wrn.CMA._.DATA._4_5" hidden="1">{#N/A,#N/A,FALSE,"CMA"}</definedName>
    <definedName name="wrn.CMA._.DATA._4_5_1" localSheetId="25" hidden="1">{#N/A,#N/A,FALSE,"CMA"}</definedName>
    <definedName name="wrn.CMA._.DATA._4_5_1" hidden="1">{#N/A,#N/A,FALSE,"CMA"}</definedName>
    <definedName name="wrn.CMA._.DATA._4_5_2" localSheetId="25" hidden="1">{#N/A,#N/A,FALSE,"CMA"}</definedName>
    <definedName name="wrn.CMA._.DATA._4_5_2" hidden="1">{#N/A,#N/A,FALSE,"CMA"}</definedName>
    <definedName name="wrn.CMA._.DATA._4_5_3" localSheetId="25" hidden="1">{#N/A,#N/A,FALSE,"CMA"}</definedName>
    <definedName name="wrn.CMA._.DATA._4_5_3" hidden="1">{#N/A,#N/A,FALSE,"CMA"}</definedName>
    <definedName name="wrn.CMA._.DATA._5" localSheetId="25" hidden="1">{#N/A,#N/A,FALSE,"CMA"}</definedName>
    <definedName name="wrn.CMA._.DATA._5" hidden="1">{#N/A,#N/A,FALSE,"CMA"}</definedName>
    <definedName name="wrn.CMA._.DATA._5_1" localSheetId="25" hidden="1">{#N/A,#N/A,FALSE,"CMA"}</definedName>
    <definedName name="wrn.CMA._.DATA._5_1" hidden="1">{#N/A,#N/A,FALSE,"CMA"}</definedName>
    <definedName name="wrn.CMA._.DATA._5_1_1" localSheetId="25" hidden="1">{#N/A,#N/A,FALSE,"CMA"}</definedName>
    <definedName name="wrn.CMA._.DATA._5_1_1" hidden="1">{#N/A,#N/A,FALSE,"CMA"}</definedName>
    <definedName name="wrn.CMA._.DATA._5_2" localSheetId="25" hidden="1">{#N/A,#N/A,FALSE,"CMA"}</definedName>
    <definedName name="wrn.CMA._.DATA._5_2" hidden="1">{#N/A,#N/A,FALSE,"CMA"}</definedName>
    <definedName name="wrn.CMA._.DATA._5_3" localSheetId="25" hidden="1">{#N/A,#N/A,FALSE,"CMA"}</definedName>
    <definedName name="wrn.CMA._.DATA._5_3" hidden="1">{#N/A,#N/A,FALSE,"CMA"}</definedName>
    <definedName name="wrn.CMA._.DATA._5_4" localSheetId="25" hidden="1">{#N/A,#N/A,FALSE,"CMA"}</definedName>
    <definedName name="wrn.CMA._.DATA._5_4" hidden="1">{#N/A,#N/A,FALSE,"CMA"}</definedName>
    <definedName name="wrn.CMA._.DATA._5_5" localSheetId="25" hidden="1">{#N/A,#N/A,FALSE,"CMA"}</definedName>
    <definedName name="wrn.CMA._.DATA._5_5" hidden="1">{#N/A,#N/A,FALSE,"CMA"}</definedName>
    <definedName name="wrn.compco." hidden="1">{"mult96",#N/A,FALSE,"PETCOMP";"est96",#N/A,FALSE,"PETCOMP";"mult95",#N/A,FALSE,"PETCOMP";"est95",#N/A,FALSE,"PETCOMP";"multltm",#N/A,FALSE,"PETCOMP";"resultltm",#N/A,FALSE,"PETCOMP"}</definedName>
    <definedName name="wrn.compco._1" hidden="1">{"mult96",#N/A,FALSE,"PETCOMP";"est96",#N/A,FALSE,"PETCOMP";"mult95",#N/A,FALSE,"PETCOMP";"est95",#N/A,FALSE,"PETCOMP";"multltm",#N/A,FALSE,"PETCOMP";"resultltm",#N/A,FALSE,"PETCOMP"}</definedName>
    <definedName name="wrn.Complete." hidden="1">{#N/A,#N/A,FALSE,"SMT1";#N/A,#N/A,FALSE,"SMT2";#N/A,#N/A,FALSE,"Summary";#N/A,#N/A,FALSE,"Graphs";#N/A,#N/A,FALSE,"4 Panel"}</definedName>
    <definedName name="wrn.Complete._.File." hidden="1">{#N/A,#N/A,TRUE,"Top";#N/A,#N/A,TRUE,"Quarter";#N/A,#N/A,TRUE,"Variance";#N/A,#N/A,TRUE,"Forecast";#N/A,#N/A,TRUE,"ForecastMnthly";#N/A,#N/A,TRUE,"ForecastQtrly";#N/A,#N/A,TRUE,"Actual"}</definedName>
    <definedName name="wrn.Complete._.Report" hidden="1">{"A",#N/A,FALSE,"Scenario Control";"A",#N/A,FALSE,"Executive Summary";"A",#N/A,FALSE,"P&amp;L";"B",#N/A,FALSE,"P&amp;L";"A",#N/A,FALSE,"BalanceSheet";"B",#N/A,FALSE,"BalanceSheet";"A",#N/A,FALSE,"CashFlow";"A",#N/A,FALSE,"Ratios";"A",#N/A,FALSE,"DCF";"A",#N/A,FALSE,"WACC";"A",#N/A,FALSE,"P&amp;VAssumpts";"A",#N/A,FALSE,"Depr-Capex";"A",#N/A,FALSE,"SHF";"A",#N/A,FALSE,"Debt";"A",#N/A,FALSE,"Working Capital";"A",#N/A,FALSE,"Other Assumptions";"A",#N/A,FALSE,"Regulated Price";"B",#N/A,FALSE,"Regulated Price";"A",#N/A,FALSE,"BG Investment";"A",#N/A,FALSE,"Appendix"}</definedName>
    <definedName name="wrn.Complete._.Report." hidden="1">{"A",#N/A,FALSE,"Scenario Control";"A",#N/A,FALSE,"Executive Summary";"A",#N/A,FALSE,"P&amp;L";"B",#N/A,FALSE,"P&amp;L";"A",#N/A,FALSE,"BalanceSheet";"B",#N/A,FALSE,"BalanceSheet";"A",#N/A,FALSE,"CashFlow";"A",#N/A,FALSE,"Ratios";"A",#N/A,FALSE,"DCF";"A",#N/A,FALSE,"WACC";"A",#N/A,FALSE,"P&amp;VAssumpts";"A",#N/A,FALSE,"Depr-Capex";"A",#N/A,FALSE,"SHF";"A",#N/A,FALSE,"Debt";"A",#N/A,FALSE,"Working Capital";"A",#N/A,FALSE,"Other Assumptions";"A",#N/A,FALSE,"Regulated Price";"B",#N/A,FALSE,"Regulated Price";"A",#N/A,FALSE,"BG Investment";"A",#N/A,FALSE,"Appendix"}</definedName>
    <definedName name="wrn.Complete._.Report._1" hidden="1">{#N/A,#N/A,FALSE,"Assumptions";#N/A,#N/A,FALSE,"Proforma IS";#N/A,#N/A,FALSE,"Cash Flows RLP";#N/A,#N/A,FALSE,"IRR";#N/A,#N/A,FALSE,"New Depr Sch-150% DB";#N/A,#N/A,FALSE,"Comments"}</definedName>
    <definedName name="wrn.complete._.report1." hidden="1">{"A",#N/A,FALSE,"Scenario Control";"A",#N/A,FALSE,"Executive Summary";"A",#N/A,FALSE,"P&amp;L";"B",#N/A,FALSE,"P&amp;L";"A",#N/A,FALSE,"BalanceSheet";"B",#N/A,FALSE,"BalanceSheet";"A",#N/A,FALSE,"CashFlow";"A",#N/A,FALSE,"Ratios";"A",#N/A,FALSE,"DCF";"A",#N/A,FALSE,"WACC";"A",#N/A,FALSE,"P&amp;VAssumpts";"A",#N/A,FALSE,"Depr-Capex";"A",#N/A,FALSE,"SHF";"A",#N/A,FALSE,"Debt";"A",#N/A,FALSE,"Working Capital";"A",#N/A,FALSE,"Other Assumptions";"A",#N/A,FALSE,"Regulated Price";"B",#N/A,FALSE,"Regulated Price";"A",#N/A,FALSE,"BG Investment";"A",#N/A,FALSE,"Appendix"}</definedName>
    <definedName name="wrn.Complete._.Set." hidden="1">{#N/A,#N/A,FALSE,"Full";#N/A,#N/A,FALSE,"Half";#N/A,#N/A,FALSE,"Op Expenses";#N/A,#N/A,FALSE,"Cap Charge";#N/A,#N/A,FALSE,"Cost C";#N/A,#N/A,FALSE,"PP&amp;E";#N/A,#N/A,FALSE,"R&amp;D"}</definedName>
    <definedName name="wrn.CompleteReport." hidden="1">{"A",#N/A,FALSE,"Scenario Control";"A",#N/A,FALSE,"Executive Summary";"A",#N/A,FALSE,"P&amp;L";"B",#N/A,FALSE,"P&amp;L";"A",#N/A,FALSE,"BalanceSheet";"B",#N/A,FALSE,"BalanceSheet";"A",#N/A,FALSE,"CashFlow";"A",#N/A,FALSE,"Ratios";"A",#N/A,FALSE,"DCF";"A",#N/A,FALSE,"WACC";"A",#N/A,FALSE,"P&amp;VAssumpts";"A",#N/A,FALSE,"Depr-Capex";"A",#N/A,FALSE,"SHF";"A",#N/A,FALSE,"Debt";"A",#N/A,FALSE,"Working Capital";"A",#N/A,FALSE,"Other Assumptions";"A",#N/A,FALSE,"Regulated Price";"B",#N/A,FALSE,"Regulated Price";"A",#N/A,FALSE,"BG Investment";"A",#N/A,FALSE,"Appendix"}</definedName>
    <definedName name="wrn.concr" hidden="1">{"concr",#N/A,FALSE,"SHARE CAPITAL";"conbscr",#N/A,FALSE,"BSPL-RS.";"concr",#N/A,FALSE,"RESERVE &amp; SURPLUS";"conplcr",#N/A,FALSE,"BSPL-RS.";"concr",#N/A,FALSE,"LOAN FUNDS";"concr",#N/A,FALSE,"FIXED ASSETS";"concr",#N/A,FALSE,"INVESTMENT";"concr",#N/A,FALSE,"PRE-OPERATIVE ";"concr",#N/A,FALSE,"CURRENT ASSETS";"concr",#N/A,FALSE,"CURRENT LIABLITIES";"concr",#N/A,FALSE,"Misc.exp.not w-off";"concr",#N/A,FALSE,"OTHER INCOME";"concr",#N/A,FALSE,"MATERIAL CONS.";"concr",#N/A,FALSE,"PERSONNEL";"concr",#N/A,FALSE,"SALES &amp; ADMN.";"concr",#N/A,FALSE,"INTEREST";"concr",#N/A,FALSE,"CASH FLOW"}</definedName>
    <definedName name="wrn.concr." hidden="1">{"concr",#N/A,FALSE,"SHARE CAPITAL";"conbscr",#N/A,FALSE,"BSPL-RS.";"concr",#N/A,FALSE,"RESERVE &amp; SURPLUS";"conplcr",#N/A,FALSE,"BSPL-RS.";"concr",#N/A,FALSE,"LOAN FUNDS";"concr",#N/A,FALSE,"FIXED ASSETS";"concr",#N/A,FALSE,"INVESTMENT";"concr",#N/A,FALSE,"PRE-OPERATIVE ";"concr",#N/A,FALSE,"CURRENT ASSETS";"concr",#N/A,FALSE,"CURRENT LIABLITIES";"concr",#N/A,FALSE,"Misc.exp.not w-off";"concr",#N/A,FALSE,"OTHER INCOME";"concr",#N/A,FALSE,"MATERIAL CONS.";"concr",#N/A,FALSE,"PERSONNEL";"concr",#N/A,FALSE,"SALES &amp; ADMN.";"concr",#N/A,FALSE,"INTEREST";"concr",#N/A,FALSE,"CASH FLOW"}</definedName>
    <definedName name="wrn.concr._1" hidden="1">{"concr",#N/A,FALSE,"SHARE CAPITAL";"conbscr",#N/A,FALSE,"BSPL-RS.";"concr",#N/A,FALSE,"RESERVE &amp; SURPLUS";"conplcr",#N/A,FALSE,"BSPL-RS.";"concr",#N/A,FALSE,"LOAN FUNDS";"concr",#N/A,FALSE,"FIXED ASSETS";"concr",#N/A,FALSE,"INVESTMENT";"concr",#N/A,FALSE,"PRE-OPERATIVE ";"concr",#N/A,FALSE,"CURRENT ASSETS";"concr",#N/A,FALSE,"CURRENT LIABLITIES";"concr",#N/A,FALSE,"Misc.exp.not w-off";"concr",#N/A,FALSE,"OTHER INCOME";"concr",#N/A,FALSE,"MATERIAL CONS.";"concr",#N/A,FALSE,"PERSONNEL";"concr",#N/A,FALSE,"SALES &amp; ADMN.";"concr",#N/A,FALSE,"INTEREST";"concr",#N/A,FALSE,"CASH FLOW"}</definedName>
    <definedName name="wrn.concr_1" hidden="1">{"concr",#N/A,FALSE,"SHARE CAPITAL";"conbscr",#N/A,FALSE,"BSPL-RS.";"concr",#N/A,FALSE,"RESERVE &amp; SURPLUS";"conplcr",#N/A,FALSE,"BSPL-RS.";"concr",#N/A,FALSE,"LOAN FUNDS";"concr",#N/A,FALSE,"FIXED ASSETS";"concr",#N/A,FALSE,"INVESTMENT";"concr",#N/A,FALSE,"PRE-OPERATIVE ";"concr",#N/A,FALSE,"CURRENT ASSETS";"concr",#N/A,FALSE,"CURRENT LIABLITIES";"concr",#N/A,FALSE,"Misc.exp.not w-off";"concr",#N/A,FALSE,"OTHER INCOME";"concr",#N/A,FALSE,"MATERIAL CONS.";"concr",#N/A,FALSE,"PERSONNEL";"concr",#N/A,FALSE,"SALES &amp; ADMN.";"concr",#N/A,FALSE,"INTEREST";"concr",#N/A,FALSE,"CASH FLOW"}</definedName>
    <definedName name="wrn.conrc." hidden="1">{"bsrc",#N/A,FALSE,"BSPL-RS.";"plrc",#N/A,FALSE,"BSPL-RS.";"sccon",#N/A,FALSE,"SHARE CAPITAL";"rsrc",#N/A,FALSE,"RESERVE &amp; SURPLUS";"lfrc",#N/A,FALSE,"LOAN FUNDS";"farc",#N/A,FALSE,"FIXED ASSETS";"prc",#N/A,FALSE,"PRE-OPERATIVE ";"invest.cons",#N/A,FALSE,"INVESTMENT";"carc",#N/A,FALSE,"CURRENT ASSETS";"clrc",#N/A,FALSE,"CURRENT LIABLITIES";"oirc",#N/A,FALSE,"OTHER INCOME";"mcrc",#N/A,FALSE,"MATERIAL CONS.";"perc",#N/A,FALSE,"PERSONNEL";"sarc",#N/A,FALSE,"SALES &amp; ADMN.";"irc",#N/A,FALSE,"INTEREST";"conrs",#N/A,FALSE,"CASH FLOW"}</definedName>
    <definedName name="wrn.conrc._1" hidden="1">{"bsrc",#N/A,FALSE,"BSPL-RS.";"plrc",#N/A,FALSE,"BSPL-RS.";"sccon",#N/A,FALSE,"SHARE CAPITAL";"rsrc",#N/A,FALSE,"RESERVE &amp; SURPLUS";"lfrc",#N/A,FALSE,"LOAN FUNDS";"farc",#N/A,FALSE,"FIXED ASSETS";"prc",#N/A,FALSE,"PRE-OPERATIVE ";"invest.cons",#N/A,FALSE,"INVESTMENT";"carc",#N/A,FALSE,"CURRENT ASSETS";"clrc",#N/A,FALSE,"CURRENT LIABLITIES";"oirc",#N/A,FALSE,"OTHER INCOME";"mcrc",#N/A,FALSE,"MATERIAL CONS.";"perc",#N/A,FALSE,"PERSONNEL";"sarc",#N/A,FALSE,"SALES &amp; ADMN.";"irc",#N/A,FALSE,"INTEREST";"conrs",#N/A,FALSE,"CASH FLOW"}</definedName>
    <definedName name="wrn.consumable." hidden="1">{#N/A,#N/A,FALSE,"consu_cover";#N/A,#N/A,FALSE,"consu_strategy";#N/A,#N/A,FALSE,"consu_flow";#N/A,#N/A,FALSE,"Summary_reqmt";#N/A,#N/A,FALSE,"field_ppg";#N/A,#N/A,FALSE,"ppg_shop";#N/A,#N/A,FALSE,"strl";#N/A,#N/A,FALSE,"tankages";#N/A,#N/A,FALSE,"gases"}</definedName>
    <definedName name="wrn.Cost._.Accounting._.Record." hidden="1">{#N/A,#N/A,TRUE,"PR-A-B";#N/A,#N/A,TRUE,"BY-PROD";#N/A,#N/A,TRUE,"BEP";#N/A,#N/A,TRUE,"ALLOCATION";#N/A,#N/A,TRUE,"Conv.cost";#N/A,#N/A,TRUE,"PROD";#N/A,#N/A,TRUE,"SALE";#N/A,#N/A,TRUE,"Summary";#N/A,#N/A,TRUE,"CONS";#N/A,#N/A,TRUE,"ST&amp;SP";#N/A,#N/A,TRUE,"Rep&amp;Maint";#N/A,#N/A,TRUE,"salary";#N/A,#N/A,TRUE,"PWRCOST";#N/A,#N/A,TRUE,"FUELCONS";#N/A,#N/A,TRUE,"POWER";#N/A,#N/A,TRUE,"Ratios";#N/A,#N/A,TRUE,"SKADJ";#N/A,#N/A,TRUE,"QCD";#N/A,#N/A,TRUE,"mgmt-rep"}</definedName>
    <definedName name="wrn.Cost._.Audit." hidden="1">{#N/A,#N/A,FALSE,"cover1";#N/A,#N/A,FALSE,"cover2";#N/A,#N/A,FALSE,"cover4";#N/A,#N/A,FALSE,"INDEX2";#N/A,#N/A,FALSE,"4";#N/A,#N/A,FALSE,"5";#N/A,#N/A,FALSE,"6&amp;7";#N/A,#N/A,FALSE,"8";#N/A,#N/A,FALSE,"9&amp;10";#N/A,#N/A,FALSE,"11&amp;12";#N/A,#N/A,FALSE,"13to18";#N/A,#N/A,FALSE,"19A";#N/A,#N/A,FALSE,"19B20&amp;21";#N/A,#N/A,FALSE,"22&amp;23";#N/A,#N/A,FALSE,"24";#N/A,#N/A,FALSE,"25&amp;26";#N/A,#N/A,FALSE,"27";#N/A,#N/A,FALSE,"28";#N/A,#N/A,FALSE,"cover5";#N/A,#N/A,FALSE,"INDEX3";#N/A,#N/A,FALSE,"PR-QTY-LYE";#N/A,#N/A,FALSE,"PR-COST-LYE";#N/A,#N/A,FALSE,"PR-QTY-FLK";#N/A,#N/A,FALSE,"PR-COST-FLK";#N/A,#N/A,FALSE,"cover3";#N/A,#N/A,FALSE,"INDEX1";#N/A,#N/A,FALSE,"PR-A-B";#N/A,#N/A,FALSE,"BY-PROD";#N/A,#N/A,FALSE,"BEP";#N/A,#N/A,FALSE,"ALLOCATION";#N/A,#N/A,FALSE,"Conv.cost";#N/A,#N/A,FALSE,"PROD";#N/A,#N/A,FALSE,"SALE";#N/A,#N/A,FALSE,"Summary";#N/A,#N/A,FALSE,"CONS";#N/A,#N/A,FALSE,"ST&amp;SP";#N/A,#N/A,FALSE,"Rep&amp;Maint";#N/A,#N/A,FALSE,"salary";#N/A,#N/A,FALSE,"PWRCOST";#N/A,#N/A,FALSE,"FUELCONS";#N/A,#N/A,FALSE,"POWER";#N/A,#N/A,FALSE,"Ratios";#N/A,#N/A,FALSE,"SKADJ";#N/A,#N/A,FALSE,"QCD"}</definedName>
    <definedName name="wrn.Cost._.Audit._.Report._.Annexure._.A." hidden="1">{#N/A,#N/A,TRUE,"4";#N/A,#N/A,TRUE,"5";#N/A,#N/A,TRUE,"6&amp;7"}</definedName>
    <definedName name="wrn.Cost._.Audit._.Report._.Annexure._.B." hidden="1">{#N/A,#N/A,FALSE,"8"}</definedName>
    <definedName name="wrn.Cost._.Audit._.Report._.Annexure._.C." hidden="1">{#N/A,#N/A,TRUE,"9&amp;10";#N/A,#N/A,TRUE,"11&amp;12";#N/A,#N/A,TRUE,"13to18";#N/A,#N/A,TRUE,"19A";#N/A,#N/A,TRUE,"19B20&amp;21";#N/A,#N/A,TRUE,"22&amp;23";#N/A,#N/A,TRUE,"24";#N/A,#N/A,TRUE,"25&amp;26";#N/A,#N/A,TRUE,"27";#N/A,#N/A,TRUE,"28"}</definedName>
    <definedName name="wrn.Cover._.pages." hidden="1">{#N/A,#N/A,FALSE,"cover1";#N/A,#N/A,FALSE,"cover2";#N/A,#N/A,FALSE,"cover3";#N/A,#N/A,FALSE,"cover4";#N/A,#N/A,FALSE,"cover5";#N/A,#N/A,FALSE,"INDEX1";#N/A,#N/A,FALSE,"INDEX2";#N/A,#N/A,FALSE,"INDEX3"}</definedName>
    <definedName name="wrn.CVS." hidden="1">{"CVS",#N/A,FALSE,"TARA-09";"CVS",#N/A,FALSE,"TARA-10";"CVS",#N/A,FALSE,"TARA-11"}</definedName>
    <definedName name="wrn.DATA." hidden="1">{#N/A,#N/A,FALSE,"WTI";#N/A,#N/A,FALSE,"Cdn Oil";#N/A,#N/A,FALSE,"Cdn Gas";#N/A,#N/A,FALSE,"CDN Gas Exports";#N/A,#N/A,FALSE,"CDN Gas Prod";#N/A,#N/A,FALSE,"CDN Gas Wells";#N/A,#N/A,FALSE,"US Gas";#N/A,#N/A,FALSE,"US Gas Prod";#N/A,#N/A,FALSE,"US Gas Wells";#N/A,#N/A,FALSE,"US Work Gas";#N/A,#N/A,FALSE,"US Rig Count";#N/A,#N/A,FALSE,"US Gas End-Use";#N/A,#N/A,FALSE,"Chem"}</definedName>
    <definedName name="wrn.datapak." hidden="1">{#N/A,#N/A,FALSE,"Status of Projects";#N/A,#N/A,FALSE,"CEA-TEC";#N/A,#N/A,FALSE,"U-Constr.";#N/A,#N/A,FALSE,"summary";#N/A,#N/A,FALSE,"PPP-3 yrs"}</definedName>
    <definedName name="wrn.DCF._.III._.Report." hidden="1">{#N/A,#N/A,FALSE,"Cover";#N/A,#N/A,FALSE,"Pres ";#N/A,#N/A,FALSE,"Outputs";#N/A,#N/A,FALSE,"DCF ";#N/A,#N/A,FALSE,"CFS";#N/A,#N/A,FALSE,"BS";#N/A,#N/A,FALSE,"PL";#N/A,#N/A,FALSE,"Control (In)";#N/A,#N/A,FALSE,"Broker (In)";#N/A,#N/A,FALSE,"In-House (In)";#N/A,#N/A,FALSE,"WACC";#N/A,#N/A,FALSE,"Ass";#N/A,#N/A,FALSE,"Check"}</definedName>
    <definedName name="wrn.DCF_Terminal_Value_qchm." hidden="1">{"qchm_dcf",#N/A,FALSE,"QCHMDCF2";"qchm_terminal",#N/A,FALSE,"QCHMDCF2"}</definedName>
    <definedName name="wrn.DCF_Terminal_Value_qchm._1" hidden="1">{"qchm_dcf",#N/A,FALSE,"QCHMDCF2";"qchm_terminal",#N/A,FALSE,"QCHMDCF2"}</definedName>
    <definedName name="wrn.dd." hidden="1">{#N/A,#N/A,FALSE,"Sheet2"}</definedName>
    <definedName name="wrn.Detailed._.Calculations." hidden="1">{"IncDetail",#N/A,FALSE,"Inc";"BalDetail",#N/A,FALSE,"Bal";"GCFDetail",#N/A,FALSE,"GCF";"RcDsDetail",#N/A,FALSE,"RcDs"}</definedName>
    <definedName name="wrn.Detailed._.Forecasts." hidden="1">{#N/A,#N/A,TRUE,"Forecast";#N/A,#N/A,TRUE,"ForecastMnthly";#N/A,#N/A,TRUE,"ForecastQtrly";#N/A,#N/A,TRUE,"Actual"}</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conomic._.Value._.Added._.Analysis." hidden="1">{"EVA",#N/A,FALSE,"EVA";"WACC",#N/A,FALSE,"WACC"}</definedName>
    <definedName name="wrn.Economic._.Value._.Added._.Analysis._1" hidden="1">{"EVA",#N/A,FALSE,"EVA";"WACC",#N/A,FALSE,"WACC"}</definedName>
    <definedName name="wrn.elect."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Emg._.report." hidden="1">{#N/A,#N/A,FALSE,"Emerging Mkt Fund"}</definedName>
    <definedName name="wrn.EO." hidden="1">{#N/A,#N/A,TRUE,"TITLE";#N/A,#N/A,TRUE,"Macro assumptions";#N/A,#N/A,TRUE,"Line roll out schedule";#N/A,#N/A,TRUE,"P&amp;L 109";#N/A,#N/A,TRUE,"EO109 BIZ ";#N/A,#N/A,TRUE,"Rev - 109";#N/A,#N/A,TRUE,"Costs-109";#N/A,#N/A,TRUE,"Capex - 109";#N/A,#N/A,TRUE,"Revenue shares"}</definedName>
    <definedName name="wrn.EO._1" hidden="1">{#N/A,#N/A,TRUE,"TITLE";#N/A,#N/A,TRUE,"Macro assumptions";#N/A,#N/A,TRUE,"Line roll out schedule";#N/A,#N/A,TRUE,"P&amp;L 109";#N/A,#N/A,TRUE,"EO109 BIZ ";#N/A,#N/A,TRUE,"Rev - 109";#N/A,#N/A,TRUE,"Costs-109";#N/A,#N/A,TRUE,"Capex - 109";#N/A,#N/A,TRUE,"Revenue shares"}</definedName>
    <definedName name="wrn.EW." hidden="1">{#N/A,#N/A,FALSE,"EW"}</definedName>
    <definedName name="wrn.Executive._.Summary." hidden="1">{#N/A,#N/A,TRUE,"Top";#N/A,#N/A,TRUE,"Quarter";#N/A,#N/A,TRUE,"Variance"}</definedName>
    <definedName name="wrn.filecopy."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ecopy._1"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N." localSheetId="25" hidden="1">{#N/A,#N/A,FALSE,"FINS"}</definedName>
    <definedName name="wrn.FIN." hidden="1">{#N/A,#N/A,FALSE,"FINS"}</definedName>
    <definedName name="wrn.Finanzbedarfsrechnung." hidden="1">{#N/A,#N/A,FALSE,"Finanzbedarfsrechnung"}</definedName>
    <definedName name="wrn.FORM1." hidden="1">{#N/A,#N/A,FALSE,"COMP"}</definedName>
    <definedName name="wrn.FREE." hidden="1">{#N/A,#N/A,FALSE,"FREE"}</definedName>
    <definedName name="wrn.FTS." hidden="1">{"FTS",#N/A,FALSE,"E"}</definedName>
    <definedName name="wrn.FTS._.PLANT._.BREAKUP." hidden="1">{"PLANT BREAKUP",#N/A,FALSE,"E"}</definedName>
    <definedName name="wrn.full." hidden="1">{#N/A,#N/A,FALSE,"Income Statement";#N/A,#N/A,FALSE,"Balance Sheet";#N/A,#N/A,FALSE,"Cash Flow";#N/A,#N/A,FALSE,"D&amp;A";#N/A,#N/A,FALSE,"Capitalization";#N/A,#N/A,FALSE,"Debt Amortization";#N/A,#N/A,FALSE,"Deferred Taxes"}</definedName>
    <definedName name="wrn.Full._.Financials." hidden="1">{#N/A,#N/A,TRUE,"Financials";#N/A,#N/A,TRUE,"Operating Statistics";#N/A,#N/A,TRUE,"Capex &amp; Depreciation";#N/A,#N/A,TRUE,"Debt"}</definedName>
    <definedName name="wrn.Full._.model." hidden="1">{#N/A,#N/A,TRUE,"Cover sheet";#N/A,#N/A,TRUE,"Summary";#N/A,#N/A,TRUE,"Key Assumptions";#N/A,#N/A,TRUE,"Profit &amp; Loss";#N/A,#N/A,TRUE,"Balance Sheet";#N/A,#N/A,TRUE,"Cashflow";#N/A,#N/A,TRUE,"IRR";#N/A,#N/A,TRUE,"Ratios";#N/A,#N/A,TRUE,"Debt analysis"}</definedName>
    <definedName name="wrn.full._1" hidden="1">{#N/A,#N/A,FALSE,"Income Statement";#N/A,#N/A,FALSE,"Balance Sheet";#N/A,#N/A,FALSE,"Cash Flow";#N/A,#N/A,FALSE,"D&amp;A";#N/A,#N/A,FALSE,"Capitalization";#N/A,#N/A,FALSE,"Debt Amortization";#N/A,#N/A,FALSE,"Deferred Taxes"}</definedName>
    <definedName name="wrn.Global._.CompCo." hidden="1">{"Outputs",#N/A,TRUE,"North America";"Outputs",#N/A,TRUE,"Europe";"Outputs",#N/A,TRUE,"Asia Pacific";"Outputs",#N/A,TRUE,"Latin America";"Outputs",#N/A,TRUE,"Wireless"}</definedName>
    <definedName name="wrn.Global._.CompCo._1" hidden="1">{"Outputs",#N/A,TRUE,"North America";"Outputs",#N/A,TRUE,"Europe";"Outputs",#N/A,TRUE,"Asia Pacific";"Outputs",#N/A,TRUE,"Latin America";"Outputs",#N/A,TRUE,"Wireless"}</definedName>
    <definedName name="wrn.GuV." hidden="1">{#N/A,#N/A,FALSE,"Layout GuV"}</definedName>
    <definedName name="wrn.Hongkong." hidden="1">{#N/A,#N/A,FALSE,"Tbal";#N/A,#N/A,FALSE,"Trans";#N/A,#N/A,FALSE,"A-1";#N/A,#N/A,FALSE,"A-2";#N/A,#N/A,FALSE,"A-6";#N/A,#N/A,FALSE,"A-15";#N/A,#N/A,FALSE,"B-1";#N/A,#N/A,FALSE,"B-11"}</definedName>
    <definedName name="wrn.III." hidden="1">{"CASHFLOW",#N/A,FALSE,"Northpointe"}</definedName>
    <definedName name="wrn.imprim." hidden="1">{#N/A,#N/A,FALSE,"Feuil";#N/A,#N/A,FALSE,"Feuil (2)";#N/A,#N/A,FALSE,"Feuil (3)";#N/A,#N/A,FALSE,"Feuil (4)";#N/A,#N/A,FALSE,"Feuil (5)";#N/A,#N/A,FALSE,"Feuil (6)";#N/A,#N/A,FALSE,"Feuil (7)";#N/A,#N/A,FALSE,"Feuil (8)";#N/A,#N/A,FALSE,"Feuil (9)";#N/A,#N/A,FALSE,"Feuil (10)";#N/A,#N/A,FALSE,"Feuil (11)";#N/A,#N/A,FALSE,"Feuil (12)";#N/A,#N/A,FALSE,"Feuil (13)";#N/A,#N/A,FALSE,"Feuil (14)";#N/A,#N/A,FALSE,"Feuil (15)";#N/A,#N/A,FALSE,"Feuil (16)"}</definedName>
    <definedName name="wrn.imprim._1" hidden="1">{#N/A,#N/A,FALSE,"Feuil";#N/A,#N/A,FALSE,"Feuil (2)";#N/A,#N/A,FALSE,"Feuil (3)";#N/A,#N/A,FALSE,"Feuil (4)";#N/A,#N/A,FALSE,"Feuil (5)";#N/A,#N/A,FALSE,"Feuil (6)";#N/A,#N/A,FALSE,"Feuil (7)";#N/A,#N/A,FALSE,"Feuil (8)";#N/A,#N/A,FALSE,"Feuil (9)";#N/A,#N/A,FALSE,"Feuil (10)";#N/A,#N/A,FALSE,"Feuil (11)";#N/A,#N/A,FALSE,"Feuil (12)";#N/A,#N/A,FALSE,"Feuil (13)";#N/A,#N/A,FALSE,"Feuil (14)";#N/A,#N/A,FALSE,"Feuil (15)";#N/A,#N/A,FALSE,"Feuil (16)"}</definedName>
    <definedName name="wrn.Input._.Screen." hidden="1">{#N/A,#N/A,FALSE,"Input"}</definedName>
    <definedName name="wrn.Inputs." hidden="1">{"Inputs",#N/A,TRUE,"North America";"Inputs",#N/A,TRUE,"Europe";"Inputs",#N/A,TRUE,"Asia Pacific";"Inputs",#N/A,TRUE,"Latin America";"Inputs",#N/A,TRUE,"Wireless"}</definedName>
    <definedName name="wrn.Inputs._1" hidden="1">{"Inputs",#N/A,TRUE,"North America";"Inputs",#N/A,TRUE,"Europe";"Inputs",#N/A,TRUE,"Asia Pacific";"Inputs",#N/A,TRUE,"Latin America";"Inputs",#N/A,TRUE,"Wireless"}</definedName>
    <definedName name="wrn.ISBL." hidden="1">{#N/A,#N/A,FALSE,"ISBL"}</definedName>
    <definedName name="wrn.jim." hidden="1">{#N/A,#N/A,FALSE,"Comparison";#N/A,#N/A,FALSE,"IS";#N/A,#N/A,FALSE,"Items by Group";#N/A,#N/A,FALSE,"Bank Conv"}</definedName>
    <definedName name="wrn.Komplettausdruck." hidden="1">{#N/A,#N/A,FALSE,"Layout Aktiva";#N/A,#N/A,FALSE,"Layout Passiva";#N/A,#N/A,FALSE,"Layout GuV";#N/A,#N/A,FALSE,"Layout Cash Flow";#N/A,#N/A,FALSE,"Mittelherkunft";#N/A,#N/A,FALSE,"Mittelverwendung";#N/A,#N/A,FALSE,"Finanzbedarfsrechnung"}</definedName>
    <definedName name="wrn.koop" hidden="1">{#N/A,#N/A,FALSE,"Index";#N/A,#N/A,FALSE,"IncStmt";#N/A,#N/A,FALSE,"Ratios";#N/A,#N/A,FALSE,"CashFlows";#N/A,#N/A,FALSE,"Ins1";#N/A,#N/A,FALSE,"Ins2";#N/A,#N/A,FALSE,"SelfFund";#N/A,#N/A,FALSE,"SGA";#N/A,#N/A,FALSE,"Recon";#N/A,#N/A,FALSE,"Earnings";#N/A,#N/A,FALSE,"Earnings (2)";#N/A,#N/A,FALSE,"Stock";#N/A,#N/A,FALSE,"Stock (2)";#N/A,#N/A,FALSE,"PeerRatios";#N/A,#N/A,FALSE,"PeerRanks"}</definedName>
    <definedName name="wrn.Lalit." hidden="1">{#N/A,#N/A,FALSE,"Banksum";#N/A,#N/A,FALSE,"Banksum"}</definedName>
    <definedName name="wrn.Lalit._1" hidden="1">{#N/A,#N/A,FALSE,"Banksum";#N/A,#N/A,FALSE,"Banksum"}</definedName>
    <definedName name="wrn.Level._.4." hidden="1">{"Income (All hidden)",#N/A,FALSE,"Income";"EPS (All Hidden)",#N/A,FALSE,"EPS";"Cash Flow (All Hidden)",#N/A,FALSE,"CashFlow";"Quarterly (Last, Current and Next)",#N/A,FALSE,"Quarterly";"Inventory",#N/A,FALSE,"Inventory";"Other Section",#N/A,FALSE,"Detail Qtrly";"Dividend (All Hidden)",#N/A,FALSE,"Dividend";"ROE (All Hidden)",#N/A,FALSE,"Return On Equity";"FinRatio",#N/A,FALSE,"Financials &amp; Ratios"}</definedName>
    <definedName name="wrn.MD._.and._.A." hidden="1">{"Points saillants",#N/A,FALSE,"faits saillant";"Tableau 1",#N/A,FALSE,"sommaire1";"Tableau 2",#N/A,FALSE,"actif2";"Tableau 3",#N/A,FALSE,"pretdouteux3";"Tableau 4",#N/A,FALSE,"actifadmin4";"Tableau 5",#N/A,FALSE,"passif5";"Tableau 6",#N/A,FALSE,"revenunet6";"Tableau 7",#N/A,FALSE,"autresrevenus7";"Tableau 8",#N/A,FALSE,"pertepret8";"Tableau 9",#N/A,FALSE,"fraisexploitati9";"Tableau 10",#N/A,FALSE,"actifrisq10";"Tableau 11",#N/A,FALSE,"bri11";"highlights",#N/A,FALSE,"faits saillant";"Table 1",#N/A,FALSE,"sommaire1";"Table 2",#N/A,FALSE,"actif2";"Table 3",#N/A,FALSE,"pretdouteux3";"Table 4",#N/A,FALSE,"actifadmin4";"Table 5",#N/A,FALSE,"passif5";"Table 6",#N/A,FALSE,"revenunet6";"Table 7",#N/A,FALSE,"autresrevenus7";"Table 8",#N/A,FALSE,"pertepret8";"Table 9",#N/A,FALSE,"fraisexploitati9";"Table 10",#N/A,FALSE,"actifrisq10";"Table 11",#N/A,FALSE,"bri11"}</definedName>
    <definedName name="wrn.MDS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1._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odel._.Level._.3." hidden="1">{"Income (All hidden)",#N/A,FALSE,"Income";"EPS (All Hidden)",#N/A,FALSE,"EPS";"EPS (All Hidden)",#N/A,FALSE,"CashFlow";"Quarterly (Last, Current and Next)",#N/A,FALSE,"Quarterly"}</definedName>
    <definedName name="wrn.Munsell." hidden="1">{#N/A,#N/A,FALSE,"Index";#N/A,#N/A,FALSE,"IncStmt";#N/A,#N/A,FALSE,"Ratios";#N/A,#N/A,FALSE,"CashFlows";#N/A,#N/A,FALSE,"Ins1";#N/A,#N/A,FALSE,"Ins2";#N/A,#N/A,FALSE,"SelfFund";#N/A,#N/A,FALSE,"SGA";#N/A,#N/A,FALSE,"Recon";#N/A,#N/A,FALSE,"Earnings";#N/A,#N/A,FALSE,"Earnings (2)";#N/A,#N/A,FALSE,"Stock";#N/A,#N/A,FALSE,"Stock (2)";#N/A,#N/A,FALSE,"PeerRatios";#N/A,#N/A,FALSE,"PeerRanks"}</definedName>
    <definedName name="wrn.notcomplete" hidden="1">{#N/A,#N/A,FALSE,"SMT1";#N/A,#N/A,FALSE,"SMT2";#N/A,#N/A,FALSE,"Summary";#N/A,#N/A,FALSE,"Graphs";#N/A,#N/A,FALSE,"4 Panel"}</definedName>
    <definedName name="wrn.One._.Pager._.plus._.Technicals." hidden="1">{#N/A,#N/A,FALSE,"One Pager";#N/A,#N/A,FALSE,"Technical"}</definedName>
    <definedName name="wrn.OSBL." hidden="1">{#N/A,#N/A,FALSE,"OSBL"}</definedName>
    <definedName name="wrn.OUTPUT." hidden="1">{"DCF","UPSIDE CASE",FALSE,"Sheet1";"DCF","BASE CASE",FALSE,"Sheet1";"DCF","DOWNSIDE CASE",FALSE,"Sheet1"}</definedName>
    <definedName name="wrn.OUTPUT._1" hidden="1">{"DCF","UPSIDE CASE",FALSE,"Sheet1";"DCF","BASE CASE",FALSE,"Sheet1";"DCF","DOWNSIDE CASE",FALSE,"Sheet1"}</definedName>
    <definedName name="wrn.paging." hidden="1">{"paging",#N/A,TRUE,"TITLE";#N/A,#N/A,TRUE,"Paging subs";#N/A,#N/A,TRUE,"P&amp;L - Paging";#N/A,#N/A,TRUE,"Rev &amp; Usage Assump - Paging";#N/A,#N/A,TRUE,"Cost - Paging";"paging",#N/A,TRUE,"Capex "}</definedName>
    <definedName name="wrn.paging._1" hidden="1">{"paging",#N/A,TRUE,"TITLE";#N/A,#N/A,TRUE,"Paging subs";#N/A,#N/A,TRUE,"P&amp;L - Paging";#N/A,#N/A,TRUE,"Rev &amp; Usage Assump - Paging";#N/A,#N/A,TRUE,"Cost - Paging";"paging",#N/A,TRUE,"Capex "}</definedName>
    <definedName name="wrn.PEWC1." hidden="1">{"Graphic",#N/A,TRUE,"Graphic"}</definedName>
    <definedName name="wrn.PEWC1._1" hidden="1">{"Graphic",#N/A,TRUE,"Graphic"}</definedName>
    <definedName name="wrn.PGW." hidden="1">{#N/A,#N/A,FALSE,"PGW"}</definedName>
    <definedName name="wrn.piping."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wrn.PLANNING." hidden="1">{"PLANNING",#N/A,FALSE,"A"}</definedName>
    <definedName name="wrn.polymwe." hidden="1">{#N/A,#N/A,TRUE,"Economic Indicators";#N/A,#N/A,TRUE,"Cracker Shutdown schedule";#N/A,#N/A,TRUE,"Benzene Shutdown schedule";#N/A,#N/A,TRUE,"PX Shutdown schedule";#N/A,#N/A,TRUE,"Financials";#N/A,#N/A,TRUE,"Prices&amp;Margins";#N/A,#N/A,TRUE,"Demand-supply";#N/A,#N/A,TRUE,"Polymers-Ind Sum-1999-2000";#N/A,#N/A,TRUE,"Polymers-Ind Sum-Q4";#N/A,#N/A,TRUE,"Polymers-Ind Sum-Q3";#N/A,#N/A,TRUE,"Polymers-Ind Sum-Q4overQ3";#N/A,#N/A,TRUE,"RIL-Q4-Prodn-Sales";#N/A,#N/A,TRUE,"RIL-Q4-Prices";#N/A,#N/A,TRUE,"RIL-Q4-Feedstock";#N/A,#N/A,TRUE,"IPCL-Q4-Prodn-Sales";#N/A,#N/A,TRUE,"IPCL-Q4-Prices";#N/A,#N/A,TRUE,"IPCL-Q4-Feedstock";#N/A,#N/A,TRUE,"NOCIL-Q4-Prodn-Sales";#N/A,#N/A,TRUE,"NOCIL-Q4-Prices";#N/A,#N/A,TRUE,"GAIL-Q4-Prodn-Sales";#N/A,#N/A,TRUE,"GAIL-Q4-Prices"}</definedName>
    <definedName name="wrn.print." hidden="1">{#N/A,#N/A,FALSE,"Japan 2003";#N/A,#N/A,FALSE,"Sheet2"}</definedName>
    <definedName name="wrn.Print._.all." hidden="1">{#N/A,#N/A,FALSE,"DCF";#N/A,#N/A,FALSE,"P&amp;L";#N/A,#N/A,FALSE,"BS";#N/A,#N/A,FALSE,"CF";#N/A,#N/A,FALSE,"debt schedule";#N/A,#N/A,FALSE,"WorkCap";#N/A,#N/A,FALSE,"ETACS";#N/A,#N/A,FALSE,"GSM";#N/A,#N/A,FALSE,"LEC";#N/A,#N/A,FALSE,"IGF";#N/A,#N/A,FALSE,"Expenses";#N/A,#N/A,FALSE,"Labour Expenses";#N/A,#N/A,FALSE,"Capex&amp;Depn";#N/A,#N/A,FALSE,"Fixed assets";#N/A,#N/A,FALSE,"WACC_Fixed";#N/A,#N/A,FALSE,"WACC_Cel"}</definedName>
    <definedName name="wrn.Print._.all._1" hidden="1">{#N/A,#N/A,FALSE,"DCF";#N/A,#N/A,FALSE,"P&amp;L";#N/A,#N/A,FALSE,"BS";#N/A,#N/A,FALSE,"CF";#N/A,#N/A,FALSE,"debt schedule";#N/A,#N/A,FALSE,"WorkCap";#N/A,#N/A,FALSE,"ETACS";#N/A,#N/A,FALSE,"GSM";#N/A,#N/A,FALSE,"LEC";#N/A,#N/A,FALSE,"IGF";#N/A,#N/A,FALSE,"Expenses";#N/A,#N/A,FALSE,"Labour Expenses";#N/A,#N/A,FALSE,"Capex&amp;Depn";#N/A,#N/A,FALSE,"Fixed assets";#N/A,#N/A,FALSE,"WACC_Fixed";#N/A,#N/A,FALSE,"WACC_Cel"}</definedName>
    <definedName name="wrn.print._1" hidden="1">{#N/A,#N/A,FALSE,"Japan 2003";#N/A,#N/A,FALSE,"Sheet2"}</definedName>
    <definedName name="wrn.Proforma." hidden="1">{#N/A,#N/A,TRUE,"PR-QTY-LYE";#N/A,#N/A,TRUE,"PR-COST-LYE";#N/A,#N/A,TRUE,"PR-QTY-FLK";#N/A,#N/A,TRUE,"PR-COST-FLK"}</definedName>
    <definedName name="wrn.QTIS." hidden="1">{#N/A,#N/A,FALSE,"QTY STAT";#N/A,#N/A,FALSE,"QTY STAT"}</definedName>
    <definedName name="wrn.RCC." hidden="1">{"rcc",#N/A,FALSE,"TARA-09";"rcc",#N/A,FALSE,"TARA-10";"rcc",#N/A,FALSE,"TARA-11"}</definedName>
    <definedName name="wrn.reco." hidden="1">{#N/A,#N/A,FALSE,"Sheet2"}</definedName>
    <definedName name="wrn.report." hidden="1">{#N/A,#N/A,FALSE,"COVER.XLS";#N/A,#N/A,FALSE,"RACT1.XLS";#N/A,#N/A,FALSE,"RACT2.XLS";#N/A,#N/A,FALSE,"ECCMP";#N/A,#N/A,FALSE,"WELDER.XLS"}</definedName>
    <definedName name="wrn.REPORT._1" hidden="1">{#N/A,#N/A,FALSE,"Balance Sheet";#N/A,#N/A,FALSE,"Profit &amp; Loss ";#N/A,#N/A,FALSE,"Schedule-1";#N/A,#N/A,FALSE,"Schedule-2";#N/A,#N/A,FALSE,"Schedule-3";#N/A,#N/A,FALSE,"Schedule-4 ";#N/A,#N/A,FALSE,"Schedule-5";#N/A,#N/A,FALSE,"Schedule-6,7,8,9";#N/A,#N/A,FALSE,"Schedule-10,11";#N/A,#N/A,FALSE,"Schedule-12,13,14,15";#N/A,#N/A,FALSE,"Scdedule-16"}</definedName>
    <definedName name="wrn.Report1." hidden="1">{"Print1",#N/A,TRUE,"P&amp;L";"Print2",#N/A,TRUE,"CashFL"}</definedName>
    <definedName name="wrn.repot." hidden="1">{#N/A,#N/A,FALSE,"Budget at a Glance";#N/A,#N/A,FALSE,"Receipts";#N/A,#N/A,FALSE,"Expenditure";#N/A,#N/A,FALSE,"Impact";#N/A,#N/A,FALSE,"Non-Durables";#N/A,#N/A,FALSE,"Durables";#N/A,#N/A,FALSE,"Cement";#N/A,#N/A,FALSE,"Power Cables";#N/A,#N/A,FALSE,"NFM";#N/A,#N/A,FALSE,"Auto";#N/A,#N/A,FALSE,"Auto1";#N/A,#N/A,FALSE,"Chemicals";#N/A,#N/A,FALSE,"Steel duty";#N/A,#N/A,FALSE,"Petrochemicals";#N/A,#N/A,FALSE,"Paper";#N/A,#N/A,FALSE,"Fibres";#N/A,#N/A,FALSE,"Tyre";#N/A,#N/A,FALSE,"Tyre1";#N/A,#N/A,FALSE,"Cotton (prices &amp; Duty)";#N/A,#N/A,FALSE,"Telecom Equipment";#N/A,#N/A,FALSE,"Cigarettes"}</definedName>
    <definedName name="wrn.rgperf." hidden="1">{#N/A,#N/A,FALSE,"Sheet-1";#N/A,#N/A,FALSE,"Sheet-2";#N/A,#N/A,FALSE,"Sheet-3"}</definedName>
    <definedName name="wrn.RPLINS." hidden="1">{#N/A,#N/A,FALSE,"str_title";#N/A,#N/A,FALSE,"SUM";#N/A,#N/A,FALSE,"Scope";#N/A,#N/A,FALSE,"PIE-Jn";#N/A,#N/A,FALSE,"PIE-Jn_Hz";#N/A,#N/A,FALSE,"Liq_Plan";#N/A,#N/A,FALSE,"S_Curve";#N/A,#N/A,FALSE,"Liq_Prof";#N/A,#N/A,FALSE,"Man_Pwr";#N/A,#N/A,FALSE,"Man_Prof"}</definedName>
    <definedName name="wrn.RTS." hidden="1">{"rts",#N/A,TRUE,"TITLE";#N/A,#N/A,TRUE,"P&amp;L - RTS";#N/A,#N/A,TRUE,"RTS biz";#N/A,#N/A,TRUE,"Cost - RTS";"RTS",#N/A,TRUE,"Capex "}</definedName>
    <definedName name="wrn.RTS._1" hidden="1">{"rts",#N/A,TRUE,"TITLE";#N/A,#N/A,TRUE,"P&amp;L - RTS";#N/A,#N/A,TRUE,"RTS biz";#N/A,#N/A,TRUE,"Cost - RTS";"RTS",#N/A,TRUE,"Capex "}</definedName>
    <definedName name="wrn.Source._.Notes." hidden="1">{"IncNotes",#N/A,FALSE,"Inc";"BalNotes",#N/A,FALSE,"Bal";"GCFNotes",#N/A,FALSE,"GCF";"RcDsNotes",#N/A,FALSE,"RcDs";"RevNotes",#N/A,FALSE,"Rev";"WCapNotes",#N/A,FALSE,"WCap";"CapExNotes",#N/A,FALSE,"CapEx";"DebtNotes",#N/A,FALSE,"Debt";"RatNotes",#N/A,FALSE,"Rat";"ValNotes",#N/A,FALSE,"Val"}</definedName>
    <definedName name="wrn.SPINNING._.PROJ._.ANNEXURES."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_1"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_1"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_1_1"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_1_1"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_1_1_1"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_1_1_1"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_1_2"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_1_2"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_1_2_1"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_1_2_1"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_1_3"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_1_3"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_1_4"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_1_4"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_1_5"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_1_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_2"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_2"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_2_1"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_2_1"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_2_1_1"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_2_1_1"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_2_2"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_2_2"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_2_3"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_2_3"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_2_4"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_2_4"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_2_5"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_2_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_3"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_3"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_3_1"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_3_1"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_3_1_1"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_3_1_1"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_3_2"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_3_2"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_3_3"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_3_3"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_3_4"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_3_4"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_3_5"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_3_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_4"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_4"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_4_1"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_4_1"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_4_1_1"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_4_1_1"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_4_2"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_4_2"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_4_3"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_4_3"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_5"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_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_5_1"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_5_1"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_5_1_1"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_5_1_1"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_5_2"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_5_2"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_5_3"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1_5_3"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2"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2"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2_1"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2_1"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2_1_1"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2_1_1"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2_1_1_1"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2_1_1_1"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2_1_2"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2_1_2"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2_1_3"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2_1_3"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2_1_4"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2_1_4"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2_1_5"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2_1_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2_2"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2_2"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2_2_1"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2_2_1"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2_2_1_1"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2_2_1_1"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2_2_2"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2_2_2"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2_2_3"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2_2_3"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2_2_4"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2_2_4"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2_2_5"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2_2_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2_3"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2_3"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2_3_1"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2_3_1"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2_3_2"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2_3_2"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2_3_3"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2_3_3"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2_4"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2_4"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2_4_1"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2_4_1"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2_4_2"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2_4_2"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2_4_3"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2_4_3"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2_5"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2_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2_5_1"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2_5_1"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2_5_2"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2_5_2"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2_5_3"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2_5_3"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3"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3"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3_1"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3_1"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3_1_1"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3_1_1"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3_1_1_1"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3_1_1_1"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3_1_2"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3_1_2"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3_1_3"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3_1_3"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3_1_4"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3_1_4"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3_1_5"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3_1_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3_2"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3_2"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3_2_1"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3_2_1"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3_2_2"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3_2_2"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3_2_3"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3_2_3"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3_2_4"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3_2_4"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3_2_5"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3_2_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3_3"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3_3"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3_3_1"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3_3_1"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3_3_2"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3_3_2"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3_3_3"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3_3_3"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3_4"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3_4"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3_4_1"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3_4_1"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3_4_2"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3_4_2"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3_4_3"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3_4_3"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3_5"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3_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3_5_1"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3_5_1"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3_5_2"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3_5_2"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3_5_3"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3_5_3"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4"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4"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4_1"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4_1"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4_1_1"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4_1_1"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4_1_1_1"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4_1_1_1"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4_1_2"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4_1_2"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4_1_3"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4_1_3"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4_1_4"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4_1_4"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4_1_5"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4_1_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4_2"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4_2"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4_2_1"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4_2_1"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4_2_2"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4_2_2"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4_2_3"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4_2_3"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4_2_4"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4_2_4"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4_2_5"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4_2_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4_3"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4_3"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4_3_1"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4_3_1"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4_3_2"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4_3_2"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4_3_3"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4_3_3"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4_4"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4_4"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4_4_1"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4_4_1"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4_4_2"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4_4_2"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4_4_3"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4_4_3"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4_5"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4_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4_5_1"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4_5_1"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4_5_2"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4_5_2"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4_5_3"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4_5_3"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5"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5_1"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5_1"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5_1_1"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5_1_1"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5_2"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5_2"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5_3"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5_3"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5_4"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5_4"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5_5" localSheetId="2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PINNING._.PROJ._.ANNEXURES._5_5" hidden="1">{"ANNEXURE 1",#N/A,FALSE,"Sales";"ANNEXURE 2",#N/A,FALSE,"Sales";"ANNEXURE 3",#N/A,FALSE,"Sales";"ANNEXURE 4",#N/A,FALSE,"Sales";"ANNEXURE 5",#N/A,FALSE,"Sales";"ANNEXURE 6",#N/A,FALSE,"Sales";"ANNEXURE 7",#N/A,FALSE,"Sales";"ANNEXURE 8",#N/A,FALSE,"Sales";"annexure 9",#N/A,FALSE,"Sales";"ANNEXURE 10",#N/A,FALSE,"Sales";"ANNEXURE 11",#N/A,FALSE,"Sales";"ANNEXURE 12",#N/A,FALSE,"Sales";"ANNEXURE 13A 13B",#N/A,FALSE,"Sales";"ANNEXURE 14",#N/A,FALSE,"Sales";"ANNEXURE 15",#N/A,FALSE,"Sales";"ANNEXURE 16",#N/A,FALSE,"Sales";"ANNEXURE 17",#N/A,FALSE,"Sales";"ANNEXURE 18",#N/A,FALSE,"Sales";"ANNEXURE 19",#N/A,FALSE,"Sales";"ANNEXURE 20",#N/A,FALSE,"Sales";"ANNEXURE 21",#N/A,FALSE,"Sales";"ANNEXURE 22",#N/A,FALSE,"Sales";"ANNEXURE 23",#N/A,FALSE,"Sales"}</definedName>
    <definedName name="wrn.summ1" hidden="1">{#N/A,#N/A,FALSE,"COVER1.XLS ";#N/A,#N/A,FALSE,"RACT1.XLS";#N/A,#N/A,FALSE,"RACT2.XLS";#N/A,#N/A,FALSE,"ECCMP";#N/A,#N/A,FALSE,"WELDER.XLS"}</definedName>
    <definedName name="wrn.Summary." hidden="1">{"Section 1",#N/A,TRUE,"Summary";"Section 2",#N/A,TRUE,"Summary";"Section 3",#N/A,TRUE,"Summary";"Section 4",#N/A,TRUE,"Summary"}</definedName>
    <definedName name="wrn.Summary._1" hidden="1">{"Section 1",#N/A,TRUE,"Summary";"Section 2",#N/A,TRUE,"Summary";"Section 3",#N/A,TRUE,"Summary";"Section 4",#N/A,TRUE,"Summary"}</definedName>
    <definedName name="wrn.TARGET._.DCF." hidden="1">{"targetdcf",#N/A,FALSE,"Merger consequences";"TARGETASSU",#N/A,FALSE,"Merger consequences";"TERMINAL VALUE",#N/A,FALSE,"Merger consequences"}</definedName>
    <definedName name="wrn.TARGET._.DCF._1" hidden="1">{"targetdcf",#N/A,FALSE,"Merger consequences";"TARGETASSU",#N/A,FALSE,"Merger consequences";"TERMINAL VALUE",#N/A,FALSE,"Merger consequences"}</definedName>
    <definedName name="wrn.Telstra._.Inputs." hidden="1">{"Inputs",#N/A,FALSE,"US_FL";"Inputs",#N/A,FALSE,"EUROPE_FL";"Inputs",#N/A,FALSE,"ASIA_FL"}</definedName>
    <definedName name="wrn.Telstra._.Inputs._1" hidden="1">{"Inputs",#N/A,FALSE,"US_FL";"Inputs",#N/A,FALSE,"EUROPE_FL";"Inputs",#N/A,FALSE,"ASIA_FL"}</definedName>
    <definedName name="wrn.Telstra._.Output." hidden="1">{"Output",#N/A,FALSE,"US_FL";"Output",#N/A,FALSE,"EUROPE_FL";"Output",#N/A,FALSE,"ASIA_FL"}</definedName>
    <definedName name="wrn.Telstra._.Output._1" hidden="1">{"Output",#N/A,FALSE,"US_FL";"Output",#N/A,FALSE,"EUROPE_FL";"Output",#N/A,FALSE,"ASIA_FL"}</definedName>
    <definedName name="wrn.tmr." hidden="1">{#N/A,#N/A,TRUE,"TMRSAMPLE";#N/A,#N/A,TRUE,"OPS";#N/A,#N/A,TRUE,"TMR"}</definedName>
    <definedName name="wrn.tmr._1" hidden="1">{#N/A,#N/A,TRUE,"TMRSAMPLE";#N/A,#N/A,TRUE,"OPS";#N/A,#N/A,TRUE,"TMR"}</definedName>
    <definedName name="wrn.TOWNSHIP." hidden="1">{#N/A,#N/A,FALSE,"TOWNSHIP"}</definedName>
    <definedName name="wrn.trial." hidden="1">{#N/A,#N/A,FALSE,"mpph1";#N/A,#N/A,FALSE,"mpmseb";#N/A,#N/A,FALSE,"mpph2"}</definedName>
    <definedName name="wrn.Trimestriel." hidden="1">{"Points saillants",#N/A,FALSE,"PTS SAILLANTS";"Bilan",#N/A,FALSE,"BILAN";"Revenus",#N/A,FALSE,"REVENUS";"BNR",#N/A,FALSE,"BNR et CAP";"Flux de trésorerie",#N/A,FALSE,"EVOL_FINANCE";"info sectorielle",#N/A,FALSE,"INFO.SECTORIELLE";"autres revenus",#N/A,FALSE,"AUT_REV";"frais d'exploitation",#N/A,FALSE,"frais expl.";"Résultats trimestriels",#N/A,FALSE,"RÉSULTATS TRIM.";"Renseignement",#N/A,FALSE,"RENSEI_ACT";"Highlights",#N/A,FALSE,"PTS SAILLANTS";"Assets",#N/A,FALSE,"BILAN";"Income",#N/A,FALSE,"REVENUS";"Shareholders",#N/A,FALSE,"BNR et CAP";"Cash flows",#N/A,FALSE,"EVOL_FINANCE";"Segmented info",#N/A,FALSE,"INFO.SECTORIELLE";"other income",#N/A,FALSE,"AUT_REV";"Operating costs",#N/A,FALSE,"frais expl.";"Quaterly results",#N/A,FALSE,"RÉSULTATS TRIM.";"Information",#N/A,FALSE,"RENSEI_ACT"}</definedName>
    <definedName name="wrn.VCS." hidden="1">{"VCS",#N/A,FALSE,"TARA-09";"VCS",#N/A,FALSE,"TARA-10";"VCS",#N/A,FALSE,"TARA-11"}</definedName>
    <definedName name="wrn.vd." hidden="1">{#N/A,#N/A,TRUE,"BT M200 da 10x20"}</definedName>
    <definedName name="wrn.Wacc." hidden="1">{"Area1",#N/A,FALSE,"OREWACC";"Area2",#N/A,FALSE,"OREWACC"}</definedName>
    <definedName name="wrn.Wacc._1" hidden="1">{"Area1",#N/A,FALSE,"OREWACC";"Area2",#N/A,FALSE,"OREWACC"}</definedName>
    <definedName name="wrn.WEEKLY." hidden="1">{#N/A,#N/A,FALSE,"SUMMARY REPORT"}</definedName>
    <definedName name="wrn.zero." hidden="1">{#N/A,#N/A,FALSE,"$0 equity - 0% costs";#N/A,#N/A,FALSE,"$0 equity - 5% costs";#N/A,#N/A,FALSE,"$0 equity - 10% costs"}</definedName>
    <definedName name="WRN0" hidden="1">{#N/A,#N/A,FALSE,"COVER1.XLS ";#N/A,#N/A,FALSE,"RACT1.XLS";#N/A,#N/A,FALSE,"RACT2.XLS";#N/A,#N/A,FALSE,"ECCMP";#N/A,#N/A,FALSE,"WELDER.XLS"}</definedName>
    <definedName name="wrn1.Bewegungsbilanz" hidden="1">{#N/A,#N/A,FALSE,"Mittelherkunft";#N/A,#N/A,FALSE,"Mittelverwendung"}</definedName>
    <definedName name="wrn1.datapak" hidden="1">{#N/A,#N/A,FALSE,"Status of Projects";#N/A,#N/A,FALSE,"CEA-TEC";#N/A,#N/A,FALSE,"U-Constr.";#N/A,#N/A,FALSE,"summary";#N/A,#N/A,FALSE,"PPP-3 yrs"}</definedName>
    <definedName name="wrn1.fin" localSheetId="25" hidden="1">{#N/A,#N/A,FALSE,"FINS"}</definedName>
    <definedName name="wrn1.fin" hidden="1">{#N/A,#N/A,FALSE,"FINS"}</definedName>
    <definedName name="wrn1.polymwe" hidden="1">{#N/A,#N/A,TRUE,"Economic Indicators";#N/A,#N/A,TRUE,"Cracker Shutdown schedule";#N/A,#N/A,TRUE,"Benzene Shutdown schedule";#N/A,#N/A,TRUE,"PX Shutdown schedule";#N/A,#N/A,TRUE,"Financials";#N/A,#N/A,TRUE,"Prices&amp;Margins";#N/A,#N/A,TRUE,"Demand-supply";#N/A,#N/A,TRUE,"Polymers-Ind Sum-1999-2000";#N/A,#N/A,TRUE,"Polymers-Ind Sum-Q4";#N/A,#N/A,TRUE,"Polymers-Ind Sum-Q3";#N/A,#N/A,TRUE,"Polymers-Ind Sum-Q4overQ3";#N/A,#N/A,TRUE,"RIL-Q4-Prodn-Sales";#N/A,#N/A,TRUE,"RIL-Q4-Prices";#N/A,#N/A,TRUE,"RIL-Q4-Feedstock";#N/A,#N/A,TRUE,"IPCL-Q4-Prodn-Sales";#N/A,#N/A,TRUE,"IPCL-Q4-Prices";#N/A,#N/A,TRUE,"IPCL-Q4-Feedstock";#N/A,#N/A,TRUE,"NOCIL-Q4-Prodn-Sales";#N/A,#N/A,TRUE,"NOCIL-Q4-Prices";#N/A,#N/A,TRUE,"GAIL-Q4-Prodn-Sales";#N/A,#N/A,TRUE,"GAIL-Q4-Prices"}</definedName>
    <definedName name="wrn1.report" hidden="1">{#N/A,#N/A,FALSE,"Budget at a Glance";#N/A,#N/A,FALSE,"Receipts";#N/A,#N/A,FALSE,"Expenditure";#N/A,#N/A,FALSE,"Impact";#N/A,#N/A,FALSE,"Non-Durables";#N/A,#N/A,FALSE,"Durables";#N/A,#N/A,FALSE,"Cement";#N/A,#N/A,FALSE,"Power Cables";#N/A,#N/A,FALSE,"NFM";#N/A,#N/A,FALSE,"Auto";#N/A,#N/A,FALSE,"Auto1";#N/A,#N/A,FALSE,"Chemicals";#N/A,#N/A,FALSE,"Steel duty";#N/A,#N/A,FALSE,"Petrochemicals";#N/A,#N/A,FALSE,"Paper";#N/A,#N/A,FALSE,"Fibres";#N/A,#N/A,FALSE,"Tyre";#N/A,#N/A,FALSE,"Tyre1";#N/A,#N/A,FALSE,"Cotton (prices &amp; Duty)";#N/A,#N/A,FALSE,"Telecom Equipment";#N/A,#N/A,FALSE,"Cigarettes"}</definedName>
    <definedName name="wrn1.repot" hidden="1">{#N/A,#N/A,FALSE,"Budget at a Glance";#N/A,#N/A,FALSE,"Receipts";#N/A,#N/A,FALSE,"Expenditure";#N/A,#N/A,FALSE,"Impact";#N/A,#N/A,FALSE,"Non-Durables";#N/A,#N/A,FALSE,"Durables";#N/A,#N/A,FALSE,"Cement";#N/A,#N/A,FALSE,"Power Cables";#N/A,#N/A,FALSE,"NFM";#N/A,#N/A,FALSE,"Auto";#N/A,#N/A,FALSE,"Auto1";#N/A,#N/A,FALSE,"Chemicals";#N/A,#N/A,FALSE,"Steel duty";#N/A,#N/A,FALSE,"Petrochemicals";#N/A,#N/A,FALSE,"Paper";#N/A,#N/A,FALSE,"Fibres";#N/A,#N/A,FALSE,"Tyre";#N/A,#N/A,FALSE,"Tyre1";#N/A,#N/A,FALSE,"Cotton (prices &amp; Duty)";#N/A,#N/A,FALSE,"Telecom Equipment";#N/A,#N/A,FALSE,"Cigarettes"}</definedName>
    <definedName name="WRN2.POLYMWE" hidden="1">{#N/A,#N/A,TRUE,"Economic Indicators";#N/A,#N/A,TRUE,"Cracker Shutdown schedule";#N/A,#N/A,TRUE,"Benzene Shutdown schedule";#N/A,#N/A,TRUE,"PX Shutdown schedule";#N/A,#N/A,TRUE,"Financials";#N/A,#N/A,TRUE,"Prices&amp;Margins";#N/A,#N/A,TRUE,"Demand-supply";#N/A,#N/A,TRUE,"Polymers-Ind Sum-1999-2000";#N/A,#N/A,TRUE,"Polymers-Ind Sum-Q4";#N/A,#N/A,TRUE,"Polymers-Ind Sum-Q3";#N/A,#N/A,TRUE,"Polymers-Ind Sum-Q4overQ3";#N/A,#N/A,TRUE,"RIL-Q4-Prodn-Sales";#N/A,#N/A,TRUE,"RIL-Q4-Prices";#N/A,#N/A,TRUE,"RIL-Q4-Feedstock";#N/A,#N/A,TRUE,"IPCL-Q4-Prodn-Sales";#N/A,#N/A,TRUE,"IPCL-Q4-Prices";#N/A,#N/A,TRUE,"IPCL-Q4-Feedstock";#N/A,#N/A,TRUE,"NOCIL-Q4-Prodn-Sales";#N/A,#N/A,TRUE,"NOCIL-Q4-Prices";#N/A,#N/A,TRUE,"GAIL-Q4-Prodn-Sales";#N/A,#N/A,TRUE,"GAIL-Q4-Prices"}</definedName>
    <definedName name="wrn2.tmr." hidden="1">{#N/A,#N/A,TRUE,"TMRSAMPLE";#N/A,#N/A,TRUE,"OPS";#N/A,#N/A,TRUE,"TMR"}</definedName>
    <definedName name="wrn2.tmr._1" hidden="1">{#N/A,#N/A,TRUE,"TMRSAMPLE";#N/A,#N/A,TRUE,"OPS";#N/A,#N/A,TRUE,"TMR"}</definedName>
    <definedName name="wrn2report" hidden="1">{#N/A,#N/A,FALSE,"Budget at a Glance";#N/A,#N/A,FALSE,"Receipts";#N/A,#N/A,FALSE,"Expenditure";#N/A,#N/A,FALSE,"Impact";#N/A,#N/A,FALSE,"Non-Durables";#N/A,#N/A,FALSE,"Durables";#N/A,#N/A,FALSE,"Cement";#N/A,#N/A,FALSE,"Power Cables";#N/A,#N/A,FALSE,"NFM";#N/A,#N/A,FALSE,"Auto";#N/A,#N/A,FALSE,"Auto1";#N/A,#N/A,FALSE,"Chemicals";#N/A,#N/A,FALSE,"Steel duty";#N/A,#N/A,FALSE,"Petrochemicals";#N/A,#N/A,FALSE,"Paper";#N/A,#N/A,FALSE,"Fibres";#N/A,#N/A,FALSE,"Tyre";#N/A,#N/A,FALSE,"Tyre1";#N/A,#N/A,FALSE,"Cotton (prices &amp; Duty)";#N/A,#N/A,FALSE,"Telecom Equipment";#N/A,#N/A,FALSE,"Cigarettes"}</definedName>
    <definedName name="ws" hidden="1">#REF!</definedName>
    <definedName name="wsgz" hidden="1">{#N/A,#N/A,FALSE,"COVER1.XLS ";#N/A,#N/A,FALSE,"RACT1.XLS";#N/A,#N/A,FALSE,"RACT2.XLS";#N/A,#N/A,FALSE,"ECCMP";#N/A,#N/A,FALSE,"WELDER.XLS"}</definedName>
    <definedName name="wvu.A." hidden="1">{TRUE,TRUE,-1.25,-15.5,484.5,255,FALSE,FALSE,TRUE,FALSE,0,2,16,1,6,13,5,4,TRUE,TRUE,3,TRUE,1,TRUE,75,"Swvu.A.","ACwvu.A.",#N/A,FALSE,FALSE,0.2,0.22,1,0.641,2,"&amp;L&amp;""Arial,Bold""&amp;11Essar Projects Limited
EOL Refinery Project&amp;C&amp;""Arial,Bold""&amp;14TOTAL REFINERY PROJECT
REFINERY FACILITIES AND TERMINAL/MARKETING FACILITIES&amp;R&amp;""Arial,Bold""&amp;12Updated as on 17th November, 1997","&amp;L&amp;""Poster Bodoni ATT,Bold""&amp;12Prepared By : EPL (Planning and Cost Control)&amp;R&amp;D, &amp;T",TRUE,FALSE,FALSE,FALSE,1,#N/A,1,1,#DIV/0!,"=R1:R5","Rwvu.A.","Cwvu.A.",FALSE,FALSE,FALSE,8,65532,65532,FALSE,FALSE,TRUE,TRUE,TRUE}</definedName>
    <definedName name="wvu.cash." hidden="1">{TRUE,TRUE,-1.25,-15.5,456.75,279.75,FALSE,FALSE,TRUE,TRUE,0,1,18,1,199,6,3,4,TRUE,TRUE,3,TRUE,1,TRUE,100,"Swvu.cash.","ACwvu.cash.",1,FALSE,FALSE,0.511811023622047,0.511811023622047,0.511811023622047,0.511811023622047,1,"","",FALSE,FALSE,FALSE,FALSE,1,#N/A,1,1,#DIV/0!,FALSE,"Rwvu.cash.",#N/A,FALSE,FALSE}</definedName>
    <definedName name="wvu.cash._1" hidden="1">{TRUE,TRUE,-1.25,-15.5,456.75,279.75,FALSE,FALSE,TRUE,TRUE,0,1,18,1,199,6,3,4,TRUE,TRUE,3,TRUE,1,TRUE,100,"Swvu.cash.","ACwvu.cash.",1,FALSE,FALSE,0.511811023622047,0.511811023622047,0.511811023622047,0.511811023622047,1,"","",FALSE,FALSE,FALSE,FALSE,1,#N/A,1,1,#DIV/0!,FALSE,"Rwvu.cash.",#N/A,FALSE,FALSE}</definedName>
    <definedName name="wvu.profits." hidden="1">{TRUE,TRUE,-1.25,-15.5,456.75,279.75,FALSE,FALSE,TRUE,TRUE,0,1,21,1,127,6,3,4,TRUE,TRUE,3,TRUE,1,TRUE,100,"Swvu.profits.","ACwvu.profits.",1,FALSE,FALSE,0.511811023622047,0.511811023622047,0.511811023622047,0.511811023622047,1,"","",FALSE,FALSE,FALSE,FALSE,1,#N/A,1,1,#DIV/0!,FALSE,"Rwvu.profits.",#N/A,FALSE,FALSE}</definedName>
    <definedName name="wvu.profits._1" hidden="1">{TRUE,TRUE,-1.25,-15.5,456.75,279.75,FALSE,FALSE,TRUE,TRUE,0,1,21,1,127,6,3,4,TRUE,TRUE,3,TRUE,1,TRUE,100,"Swvu.profits.","ACwvu.profits.",1,FALSE,FALSE,0.511811023622047,0.511811023622047,0.511811023622047,0.511811023622047,1,"","",FALSE,FALSE,FALSE,FALSE,1,#N/A,1,1,#DIV/0!,FALSE,"Rwvu.profits.",#N/A,FALSE,FALSE}</definedName>
    <definedName name="wvu.turnover." hidden="1">{TRUE,TRUE,-1.25,-15.5,456.75,279.75,FALSE,FALSE,TRUE,TRUE,0,1,8,1,4,6,3,4,TRUE,TRUE,3,TRUE,1,TRUE,100,"Swvu.turnover.","ACwvu.turnover.",1,FALSE,FALSE,0.511811023622047,0.511811023622047,0.511811023622047,0.511811023622047,1,"","",FALSE,FALSE,FALSE,FALSE,1,#N/A,1,1,#DIV/0!,FALSE,"Rwvu.turnover.",#N/A,FALSE,FALSE}</definedName>
    <definedName name="wvu.turnover._1" hidden="1">{TRUE,TRUE,-1.25,-15.5,456.75,279.75,FALSE,FALSE,TRUE,TRUE,0,1,8,1,4,6,3,4,TRUE,TRUE,3,TRUE,1,TRUE,100,"Swvu.turnover.","ACwvu.turnover.",1,FALSE,FALSE,0.511811023622047,0.511811023622047,0.511811023622047,0.511811023622047,1,"","",FALSE,FALSE,FALSE,FALSE,1,#N/A,1,1,#DIV/0!,FALSE,"Rwvu.turnover.",#N/A,FALSE,FALSE}</definedName>
    <definedName name="ww" hidden="1">{#N/A,#N/A,TRUE,"Cover sheet";#N/A,#N/A,TRUE,"Summary";#N/A,#N/A,TRUE,"Key Assumptions";#N/A,#N/A,TRUE,"Profit &amp; Loss";#N/A,#N/A,TRUE,"Balance Sheet";#N/A,#N/A,TRUE,"Cashflow";#N/A,#N/A,TRUE,"IRR";#N/A,#N/A,TRUE,"Ratios";#N/A,#N/A,TRUE,"Debt analysis"}</definedName>
    <definedName name="ＷＷ" hidden="1">{#N/A,#N/A,TRUE,"TMRSAMPLE";#N/A,#N/A,TRUE,"OPS";#N/A,#N/A,TRUE,"TMR"}</definedName>
    <definedName name="ＷＷ_1" hidden="1">{#N/A,#N/A,TRUE,"TMRSAMPLE";#N/A,#N/A,TRUE,"OPS";#N/A,#N/A,TRUE,"TMR"}</definedName>
    <definedName name="www" hidden="1">{"DCF","UPSIDE CASE",FALSE,"Sheet1";"DCF","BASE CASE",FALSE,"Sheet1";"DCF","DOWNSIDE CASE",FALSE,"Sheet1"}</definedName>
    <definedName name="www_1" hidden="1">{"DCF","UPSIDE CASE",FALSE,"Sheet1";"DCF","BASE CASE",FALSE,"Sheet1";"DCF","DOWNSIDE CASE",FALSE,"Sheet1"}</definedName>
    <definedName name="wwww" hidden="1">{#N/A,#N/A,FALSE,"FREE"}</definedName>
    <definedName name="xcft" hidden="1">{#N/A,#N/A,FALSE,"PGW"}</definedName>
    <definedName name="xcvg" hidden="1">{#N/A,#N/A,FALSE,"SUMMARY";#N/A,#N/A,FALSE,"SUMMARY"}</definedName>
    <definedName name="xd" hidden="1">{#N/A,#N/A,FALSE,"PMTABB";#N/A,#N/A,FALSE,"PMTABB"}</definedName>
    <definedName name="xdft" hidden="1">{#N/A,#N/A,FALSE,"ISBL"}</definedName>
    <definedName name="xdrt" hidden="1">{#N/A,#N/A,FALSE,"Aging Summary";#N/A,#N/A,FALSE,"Ratio Analysis";#N/A,#N/A,FALSE,"Test 120 Day Accts";#N/A,#N/A,FALSE,"Tickmarks"}</definedName>
    <definedName name="XREF_COLUMN_1" hidden="1">#REF!</definedName>
    <definedName name="XREF_COLUMN_10" hidden="1">#REF!</definedName>
    <definedName name="XREF_COLUMN_11" hidden="1">'[47]Inventory Count Sheet '!#REF!</definedName>
    <definedName name="XREF_COLUMN_12" hidden="1">'[47]Inventory Count Sheet '!#REF!</definedName>
    <definedName name="XREF_COLUMN_13" hidden="1">'[47]Inventory Count Sheet '!#REF!</definedName>
    <definedName name="XREF_COLUMN_14" hidden="1">#REF!</definedName>
    <definedName name="XREF_COLUMN_2" hidden="1">#REF!</definedName>
    <definedName name="XREF_COLUMN_28" hidden="1">'[48]TAB 1'!#REF!</definedName>
    <definedName name="XREF_COLUMN_3" hidden="1">#REF!</definedName>
    <definedName name="XREF_COLUMN_4" hidden="1">#REF!</definedName>
    <definedName name="XREF_COLUMN_5" hidden="1">#REF!</definedName>
    <definedName name="XREF_COLUMN_6" hidden="1">#REF!</definedName>
    <definedName name="XREF_COLUMN_7" hidden="1">#REF!</definedName>
    <definedName name="XREF_COLUMN_8" hidden="1">#REF!</definedName>
    <definedName name="XREF_COLUMN_9" hidden="1">#REF!</definedName>
    <definedName name="XRefActiveRow" hidden="1">#REF!</definedName>
    <definedName name="XRefColumnsCount" hidden="1">1</definedName>
    <definedName name="XRefCopy1" hidden="1">#REF!</definedName>
    <definedName name="XRefCopy10" hidden="1">#REF!</definedName>
    <definedName name="XRefCopy100" hidden="1">#REF!</definedName>
    <definedName name="XRefCopy100Row" hidden="1">#REF!</definedName>
    <definedName name="XRefCopy101" hidden="1">#REF!</definedName>
    <definedName name="XRefCopy101Row" hidden="1">#REF!</definedName>
    <definedName name="XRefCopy102" hidden="1">#REF!</definedName>
    <definedName name="XRefCopy102Row" hidden="1">#REF!</definedName>
    <definedName name="XRefCopy103" hidden="1">#REF!</definedName>
    <definedName name="XRefCopy103Row" hidden="1">#REF!</definedName>
    <definedName name="XRefCopy104" hidden="1">#REF!</definedName>
    <definedName name="XRefCopy104Row" hidden="1">#REF!</definedName>
    <definedName name="XRefCopy105" hidden="1">#REF!</definedName>
    <definedName name="XRefCopy105Row" hidden="1">#REF!</definedName>
    <definedName name="XRefCopy106" hidden="1">#REF!</definedName>
    <definedName name="XRefCopy106Row" hidden="1">#REF!</definedName>
    <definedName name="XRefCopy107" hidden="1">#REF!</definedName>
    <definedName name="XRefCopy107Row" hidden="1">#REF!</definedName>
    <definedName name="XRefCopy108" hidden="1">#REF!</definedName>
    <definedName name="XRefCopy108Row" hidden="1">#REF!</definedName>
    <definedName name="XRefCopy109" hidden="1">#REF!</definedName>
    <definedName name="XRefCopy109Row" hidden="1">#REF!</definedName>
    <definedName name="XRefCopy10Row" hidden="1">#REF!</definedName>
    <definedName name="XRefCopy11" hidden="1">#REF!</definedName>
    <definedName name="XRefCopy110" hidden="1">#REF!</definedName>
    <definedName name="XRefCopy110Row" hidden="1">#REF!</definedName>
    <definedName name="XRefCopy111" hidden="1">#REF!</definedName>
    <definedName name="XRefCopy111Row" hidden="1">#REF!</definedName>
    <definedName name="XRefCopy112" hidden="1">#REF!</definedName>
    <definedName name="XRefCopy112Row" hidden="1">#REF!</definedName>
    <definedName name="XRefCopy113" hidden="1">#REF!</definedName>
    <definedName name="XRefCopy114" hidden="1">#REF!</definedName>
    <definedName name="XRefCopy114Row" hidden="1">#REF!</definedName>
    <definedName name="XRefCopy115" hidden="1">#REF!</definedName>
    <definedName name="XRefCopy115Row" hidden="1">#REF!</definedName>
    <definedName name="XRefCopy116" hidden="1">#REF!</definedName>
    <definedName name="XRefCopy117" hidden="1">#REF!</definedName>
    <definedName name="XRefCopy117Row" hidden="1">#REF!</definedName>
    <definedName name="XRefCopy118" hidden="1">#REF!</definedName>
    <definedName name="XRefCopy118Row" hidden="1">#REF!</definedName>
    <definedName name="XRefCopy119" hidden="1">#REF!</definedName>
    <definedName name="XRefCopy119Row" hidden="1">#REF!</definedName>
    <definedName name="XRefCopy11Row" hidden="1">#REF!</definedName>
    <definedName name="XRefCopy12" hidden="1">#REF!</definedName>
    <definedName name="XRefCopy120" hidden="1">#REF!</definedName>
    <definedName name="XRefCopy120Row" hidden="1">#REF!</definedName>
    <definedName name="XRefCopy121" hidden="1">#REF!</definedName>
    <definedName name="XRefCopy121Row" hidden="1">#REF!</definedName>
    <definedName name="XRefCopy122" hidden="1">#REF!</definedName>
    <definedName name="XRefCopy122Row" hidden="1">#REF!</definedName>
    <definedName name="XRefCopy123" hidden="1">#REF!</definedName>
    <definedName name="XRefCopy123Row" hidden="1">#REF!</definedName>
    <definedName name="XRefCopy124" hidden="1">#REF!</definedName>
    <definedName name="XRefCopy124Row" hidden="1">#REF!</definedName>
    <definedName name="XRefCopy125" hidden="1">#REF!</definedName>
    <definedName name="XRefCopy125Row" hidden="1">#REF!</definedName>
    <definedName name="XRefCopy126" hidden="1">#REF!</definedName>
    <definedName name="XRefCopy126Row" hidden="1">#REF!</definedName>
    <definedName name="XRefCopy127" hidden="1">#REF!</definedName>
    <definedName name="XRefCopy127Row" hidden="1">#REF!</definedName>
    <definedName name="XRefCopy128" hidden="1">#REF!</definedName>
    <definedName name="XRefCopy128Row" hidden="1">#REF!</definedName>
    <definedName name="XRefCopy129" hidden="1">#REF!</definedName>
    <definedName name="XRefCopy129Row" hidden="1">#REF!</definedName>
    <definedName name="XRefCopy12Row" hidden="1">#REF!</definedName>
    <definedName name="XRefCopy13" hidden="1">#REF!</definedName>
    <definedName name="XRefCopy130" hidden="1">#REF!</definedName>
    <definedName name="XRefCopy130Row" hidden="1">#REF!</definedName>
    <definedName name="XRefCopy131" hidden="1">#REF!</definedName>
    <definedName name="XRefCopy131Row" hidden="1">#REF!</definedName>
    <definedName name="XRefCopy132" hidden="1">#REF!</definedName>
    <definedName name="XRefCopy132Row" hidden="1">#REF!</definedName>
    <definedName name="XRefCopy133" hidden="1">#REF!</definedName>
    <definedName name="XRefCopy133Row" hidden="1">#REF!</definedName>
    <definedName name="XRefCopy134" hidden="1">#REF!</definedName>
    <definedName name="XRefCopy134Row" hidden="1">#REF!</definedName>
    <definedName name="XRefCopy135" hidden="1">#REF!</definedName>
    <definedName name="XRefCopy135Row" hidden="1">#REF!</definedName>
    <definedName name="XRefCopy136" hidden="1">#REF!</definedName>
    <definedName name="XRefCopy136Row" hidden="1">#REF!</definedName>
    <definedName name="XRefCopy137" hidden="1">#REF!</definedName>
    <definedName name="XRefCopy137Row" hidden="1">#REF!</definedName>
    <definedName name="XRefCopy138" hidden="1">#REF!</definedName>
    <definedName name="XRefCopy138Row" hidden="1">#REF!</definedName>
    <definedName name="XRefCopy139" hidden="1">#REF!</definedName>
    <definedName name="XRefCopy139Row" hidden="1">#REF!</definedName>
    <definedName name="XRefCopy13Row" hidden="1">#REF!</definedName>
    <definedName name="XRefCopy14" hidden="1">#REF!</definedName>
    <definedName name="XRefCopy140" hidden="1">#REF!</definedName>
    <definedName name="XRefCopy140Row" hidden="1">#REF!</definedName>
    <definedName name="XRefCopy141" hidden="1">#REF!</definedName>
    <definedName name="XRefCopy141Row" hidden="1">#REF!</definedName>
    <definedName name="XRefCopy142" hidden="1">#REF!</definedName>
    <definedName name="XRefCopy142Row" hidden="1">#REF!</definedName>
    <definedName name="XRefCopy143" hidden="1">#REF!</definedName>
    <definedName name="XRefCopy143Row" hidden="1">#REF!</definedName>
    <definedName name="XRefCopy144" hidden="1">#REF!</definedName>
    <definedName name="XRefCopy144Row" hidden="1">#REF!</definedName>
    <definedName name="XRefCopy145" hidden="1">#REF!</definedName>
    <definedName name="XRefCopy145Row" hidden="1">#REF!</definedName>
    <definedName name="XRefCopy146" hidden="1">#REF!</definedName>
    <definedName name="XRefCopy146Row" hidden="1">#REF!</definedName>
    <definedName name="XRefCopy147" hidden="1">#REF!</definedName>
    <definedName name="XRefCopy147Row" hidden="1">#REF!</definedName>
    <definedName name="XRefCopy148" hidden="1">#REF!</definedName>
    <definedName name="XRefCopy148Row" hidden="1">#REF!</definedName>
    <definedName name="XRefCopy149" hidden="1">#REF!</definedName>
    <definedName name="XRefCopy149Row" hidden="1">#REF!</definedName>
    <definedName name="XRefCopy14Row" hidden="1">#REF!</definedName>
    <definedName name="XRefCopy15" hidden="1">#REF!</definedName>
    <definedName name="XRefCopy150" hidden="1">#REF!</definedName>
    <definedName name="XRefCopy150Row" hidden="1">#REF!</definedName>
    <definedName name="XRefCopy151" hidden="1">#REF!</definedName>
    <definedName name="XRefCopy151Row" hidden="1">#REF!</definedName>
    <definedName name="XRefCopy152" hidden="1">#REF!</definedName>
    <definedName name="XRefCopy153" hidden="1">#REF!</definedName>
    <definedName name="XRefCopy153Row" hidden="1">#REF!</definedName>
    <definedName name="XRefCopy154" hidden="1">#REF!</definedName>
    <definedName name="XRefCopy154Row" hidden="1">#REF!</definedName>
    <definedName name="XRefCopy155" hidden="1">#REF!</definedName>
    <definedName name="XRefCopy155Row" hidden="1">#REF!</definedName>
    <definedName name="XRefCopy156" hidden="1">#REF!</definedName>
    <definedName name="XRefCopy15Row" hidden="1">#REF!</definedName>
    <definedName name="XRefCopy16" hidden="1">'[49]5.Crs. TB'!#REF!</definedName>
    <definedName name="XRefCopy16Row" hidden="1">[49]XREF!#REF!</definedName>
    <definedName name="XRefCopy17" hidden="1">#REF!</definedName>
    <definedName name="XRefCopy17Row" hidden="1">#REF!</definedName>
    <definedName name="XRefCopy18" hidden="1">#REF!</definedName>
    <definedName name="XRefCopy18Row" hidden="1">#REF!</definedName>
    <definedName name="XRefCopy19" hidden="1">#REF!</definedName>
    <definedName name="XRefCopy19Row" hidden="1">#REF!</definedName>
    <definedName name="XRefCopy1Row" hidden="1">#REF!</definedName>
    <definedName name="XRefCopy2" hidden="1">#REF!</definedName>
    <definedName name="XRefCopy20" hidden="1">#REF!</definedName>
    <definedName name="XRefCopy20Row" hidden="1">#REF!</definedName>
    <definedName name="XRefCopy21" hidden="1">#REF!</definedName>
    <definedName name="XRefCopy21Row" hidden="1">#REF!</definedName>
    <definedName name="XRefCopy22" hidden="1">#REF!</definedName>
    <definedName name="XRefCopy22Row" hidden="1">#REF!</definedName>
    <definedName name="XRefCopy23" hidden="1">#REF!</definedName>
    <definedName name="XRefCopy23Row" hidden="1">#REF!</definedName>
    <definedName name="XRefCopy24" hidden="1">#REF!</definedName>
    <definedName name="XRefCopy24Row" hidden="1">#REF!</definedName>
    <definedName name="XRefCopy25" hidden="1">#REF!</definedName>
    <definedName name="XRefCopy25Row" hidden="1">#REF!</definedName>
    <definedName name="XRefCopy26" hidden="1">#REF!</definedName>
    <definedName name="XRefCopy26Row" hidden="1">#REF!</definedName>
    <definedName name="XRefCopy27" hidden="1">#REF!</definedName>
    <definedName name="XRefCopy27Row" hidden="1">#REF!</definedName>
    <definedName name="XRefCopy28" hidden="1">#REF!</definedName>
    <definedName name="XRefCopy28Row" hidden="1">[50]XREF!#REF!</definedName>
    <definedName name="XRefCopy29" hidden="1">#REF!</definedName>
    <definedName name="XRefCopy29Row" hidden="1">#REF!</definedName>
    <definedName name="XRefCopy2Row" hidden="1">#REF!</definedName>
    <definedName name="XRefCopy3" hidden="1">#REF!</definedName>
    <definedName name="XRefCopy30" hidden="1">#REF!</definedName>
    <definedName name="XRefCopy30Row" hidden="1">#REF!</definedName>
    <definedName name="XRefCopy31" hidden="1">'[47]Inventory Count Sheet '!#REF!</definedName>
    <definedName name="XRefCopy31Row" hidden="1">#REF!</definedName>
    <definedName name="XRefCopy32" hidden="1">#REF!</definedName>
    <definedName name="XRefCopy32Row" hidden="1">#REF!</definedName>
    <definedName name="XRefCopy33" hidden="1">#REF!</definedName>
    <definedName name="XRefCopy33Row" hidden="1">#REF!</definedName>
    <definedName name="XRefCopy34" hidden="1">#REF!</definedName>
    <definedName name="XRefCopy34Row" hidden="1">#REF!</definedName>
    <definedName name="XRefCopy35" hidden="1">#REF!</definedName>
    <definedName name="XRefCopy35Row" hidden="1">#REF!</definedName>
    <definedName name="XRefCopy36" hidden="1">#REF!</definedName>
    <definedName name="XRefCopy36Row" hidden="1">#REF!</definedName>
    <definedName name="XRefCopy37" hidden="1">#REF!</definedName>
    <definedName name="XRefCopy37Row" hidden="1">#REF!</definedName>
    <definedName name="XRefCopy38" hidden="1">#REF!</definedName>
    <definedName name="XRefCopy38Row" hidden="1">#REF!</definedName>
    <definedName name="XRefCopy39" hidden="1">#REF!</definedName>
    <definedName name="XRefCopy39Row" hidden="1">#REF!</definedName>
    <definedName name="XRefCopy3Row" hidden="1">#REF!</definedName>
    <definedName name="XRefCopy4" hidden="1">#REF!</definedName>
    <definedName name="XRefCopy40" hidden="1">#REF!</definedName>
    <definedName name="XRefCopy40Row" hidden="1">#REF!</definedName>
    <definedName name="XRefCopy41" hidden="1">#REF!</definedName>
    <definedName name="XRefCopy41Row" hidden="1">#REF!</definedName>
    <definedName name="XRefCopy42" hidden="1">#REF!</definedName>
    <definedName name="XRefCopy42Row" hidden="1">#REF!</definedName>
    <definedName name="XRefCopy43" hidden="1">#REF!</definedName>
    <definedName name="XRefCopy43Row" hidden="1">#REF!</definedName>
    <definedName name="XRefCopy44" hidden="1">#REF!</definedName>
    <definedName name="XRefCopy44Row" hidden="1">#REF!</definedName>
    <definedName name="XRefCopy45" hidden="1">#REF!</definedName>
    <definedName name="XRefCopy45Row" hidden="1">#REF!</definedName>
    <definedName name="XRefCopy46" hidden="1">#REF!</definedName>
    <definedName name="XRefCopy46Row" hidden="1">#REF!</definedName>
    <definedName name="XRefCopy47" hidden="1">#REF!</definedName>
    <definedName name="XRefCopy47Row" hidden="1">#REF!</definedName>
    <definedName name="XRefCopy48" hidden="1">#REF!</definedName>
    <definedName name="XRefCopy48Row" hidden="1">#REF!</definedName>
    <definedName name="XRefCopy49" hidden="1">#REF!</definedName>
    <definedName name="XRefCopy49Row" hidden="1">#REF!</definedName>
    <definedName name="XRefCopy4Row" hidden="1">#REF!</definedName>
    <definedName name="XRefCopy5" hidden="1">#REF!</definedName>
    <definedName name="XRefCopy50" hidden="1">#REF!</definedName>
    <definedName name="XRefCopy50Row" hidden="1">#REF!</definedName>
    <definedName name="XRefCopy51" hidden="1">#REF!</definedName>
    <definedName name="XRefCopy51Row" hidden="1">#REF!</definedName>
    <definedName name="XRefCopy52" hidden="1">#REF!</definedName>
    <definedName name="XRefCopy53" hidden="1">#REF!</definedName>
    <definedName name="XRefCopy53Row" hidden="1">#REF!</definedName>
    <definedName name="XRefCopy54" hidden="1">#REF!</definedName>
    <definedName name="XRefCopy54Row" hidden="1">#REF!</definedName>
    <definedName name="XRefCopy55" hidden="1">#REF!</definedName>
    <definedName name="XRefCopy56" hidden="1">#REF!</definedName>
    <definedName name="XRefCopy56Row" hidden="1">#REF!</definedName>
    <definedName name="XRefCopy57" hidden="1">#REF!</definedName>
    <definedName name="XRefCopy57Row" hidden="1">#REF!</definedName>
    <definedName name="XRefCopy58" hidden="1">#REF!</definedName>
    <definedName name="XRefCopy59" hidden="1">#REF!</definedName>
    <definedName name="XRefCopy59Row" hidden="1">#REF!</definedName>
    <definedName name="XRefCopy5Row" hidden="1">#REF!</definedName>
    <definedName name="XRefCopy6" hidden="1">#REF!</definedName>
    <definedName name="XRefCopy60" hidden="1">#REF!</definedName>
    <definedName name="XRefCopy60Row" hidden="1">#REF!</definedName>
    <definedName name="XRefCopy61" hidden="1">#REF!</definedName>
    <definedName name="XRefCopy61Row" hidden="1">#REF!</definedName>
    <definedName name="XRefCopy62" hidden="1">#REF!</definedName>
    <definedName name="XRefCopy62Row" hidden="1">#REF!</definedName>
    <definedName name="XRefCopy63" hidden="1">#REF!</definedName>
    <definedName name="XRefCopy63Row" hidden="1">#REF!</definedName>
    <definedName name="XRefCopy64" hidden="1">#REF!</definedName>
    <definedName name="XRefCopy64Row" hidden="1">#REF!</definedName>
    <definedName name="XRefCopy65" hidden="1">#REF!</definedName>
    <definedName name="XRefCopy65Row" hidden="1">#REF!</definedName>
    <definedName name="XRefCopy66" hidden="1">#REF!</definedName>
    <definedName name="XRefCopy66Row" hidden="1">#REF!</definedName>
    <definedName name="XRefCopy67" hidden="1">#REF!</definedName>
    <definedName name="XRefCopy68" hidden="1">#REF!</definedName>
    <definedName name="XRefCopy68Row" hidden="1">#REF!</definedName>
    <definedName name="XRefCopy69" hidden="1">#REF!</definedName>
    <definedName name="XRefCopy69Row" hidden="1">#REF!</definedName>
    <definedName name="XRefCopy6Row" hidden="1">#REF!</definedName>
    <definedName name="XRefCopy7" hidden="1">#REF!</definedName>
    <definedName name="XRefCopy70" hidden="1">#REF!</definedName>
    <definedName name="XRefCopy70Row" hidden="1">#REF!</definedName>
    <definedName name="XRefCopy71" hidden="1">#REF!</definedName>
    <definedName name="XRefCopy71Row" hidden="1">#REF!</definedName>
    <definedName name="XRefCopy72" hidden="1">#REF!</definedName>
    <definedName name="XRefCopy72Row" hidden="1">#REF!</definedName>
    <definedName name="XRefCopy73" hidden="1">#REF!</definedName>
    <definedName name="XRefCopy73Row" hidden="1">#REF!</definedName>
    <definedName name="XRefCopy74" hidden="1">#REF!</definedName>
    <definedName name="XRefCopy75" hidden="1">#REF!</definedName>
    <definedName name="XRefCopy75Row" hidden="1">#REF!</definedName>
    <definedName name="XRefCopy76" hidden="1">#REF!</definedName>
    <definedName name="XRefCopy77" hidden="1">#REF!</definedName>
    <definedName name="XRefCopy77Row" hidden="1">#REF!</definedName>
    <definedName name="XRefCopy78" hidden="1">#REF!</definedName>
    <definedName name="XRefCopy78Row" hidden="1">#REF!</definedName>
    <definedName name="XRefCopy79" hidden="1">#REF!</definedName>
    <definedName name="XRefCopy79Row" hidden="1">#REF!</definedName>
    <definedName name="XRefCopy7Row" hidden="1">#REF!</definedName>
    <definedName name="XRefCopy8" hidden="1">#REF!</definedName>
    <definedName name="XRefCopy80" hidden="1">#REF!</definedName>
    <definedName name="XRefCopy80Row" hidden="1">#REF!</definedName>
    <definedName name="XRefCopy81" hidden="1">#REF!</definedName>
    <definedName name="XRefCopy81Row" hidden="1">#REF!</definedName>
    <definedName name="XRefCopy82" hidden="1">#REF!</definedName>
    <definedName name="XRefCopy83" hidden="1">#REF!</definedName>
    <definedName name="XRefCopy83Row" hidden="1">#REF!</definedName>
    <definedName name="XRefCopy84" hidden="1">#REF!</definedName>
    <definedName name="XRefCopy84Row" hidden="1">#REF!</definedName>
    <definedName name="XRefCopy85" hidden="1">#REF!</definedName>
    <definedName name="XRefCopy85Row" hidden="1">#REF!</definedName>
    <definedName name="XRefCopy86" hidden="1">#REF!</definedName>
    <definedName name="XRefCopy86Row" hidden="1">#REF!</definedName>
    <definedName name="XRefCopy87" hidden="1">#REF!</definedName>
    <definedName name="XRefCopy87Row" hidden="1">#REF!</definedName>
    <definedName name="XRefCopy88" hidden="1">#REF!</definedName>
    <definedName name="XRefCopy88Row" hidden="1">#REF!</definedName>
    <definedName name="XRefCopy89" hidden="1">#REF!</definedName>
    <definedName name="XRefCopy89Row" hidden="1">#REF!</definedName>
    <definedName name="XRefCopy8Row" hidden="1">#REF!</definedName>
    <definedName name="XRefCopy9" hidden="1">#REF!</definedName>
    <definedName name="XRefCopy90" hidden="1">#REF!</definedName>
    <definedName name="XRefCopy90Row" hidden="1">#REF!</definedName>
    <definedName name="XRefCopy91" hidden="1">#REF!</definedName>
    <definedName name="XRefCopy91Row" hidden="1">#REF!</definedName>
    <definedName name="XRefCopy92" hidden="1">#REF!</definedName>
    <definedName name="XRefCopy92Row" hidden="1">#REF!</definedName>
    <definedName name="XRefCopy93" hidden="1">#REF!</definedName>
    <definedName name="XRefCopy93Row" hidden="1">#REF!</definedName>
    <definedName name="XRefCopy94" hidden="1">#REF!</definedName>
    <definedName name="XRefCopy94Row" hidden="1">#REF!</definedName>
    <definedName name="XRefCopy95" hidden="1">#REF!</definedName>
    <definedName name="XRefCopy95Row" hidden="1">#REF!</definedName>
    <definedName name="XRefCopy96" hidden="1">#REF!</definedName>
    <definedName name="XRefCopy96Row" hidden="1">#REF!</definedName>
    <definedName name="XRefCopy97" hidden="1">#REF!</definedName>
    <definedName name="XRefCopy97Row" hidden="1">#REF!</definedName>
    <definedName name="XRefCopy98" hidden="1">#REF!</definedName>
    <definedName name="XRefCopy98Row" hidden="1">#REF!</definedName>
    <definedName name="XRefCopy99" hidden="1">#REF!</definedName>
    <definedName name="XRefCopy99Row" hidden="1">#REF!</definedName>
    <definedName name="XRefCopy9Row" hidden="1">#REF!</definedName>
    <definedName name="XRefCopyRangeCount" hidden="1">2</definedName>
    <definedName name="XRefPaste1" hidden="1">#REF!</definedName>
    <definedName name="XRefPaste10" hidden="1">#REF!</definedName>
    <definedName name="XRefPaste100Row" hidden="1">#REF!</definedName>
    <definedName name="XRefPaste101Row" hidden="1">#REF!</definedName>
    <definedName name="XRefPaste102Row" hidden="1">#REF!</definedName>
    <definedName name="XRefPaste103Row" hidden="1">#REF!</definedName>
    <definedName name="XRefPaste104Row" hidden="1">#REF!</definedName>
    <definedName name="XRefPaste105Row" hidden="1">#REF!</definedName>
    <definedName name="XRefPaste106Row" hidden="1">#REF!</definedName>
    <definedName name="XRefPaste107Row" hidden="1">#REF!</definedName>
    <definedName name="XRefPaste108Row" hidden="1">#REF!</definedName>
    <definedName name="XRefPaste109Row" hidden="1">#REF!</definedName>
    <definedName name="XRefPaste10Row" hidden="1">#REF!</definedName>
    <definedName name="XRefPaste11" hidden="1">#REF!</definedName>
    <definedName name="XRefPaste110Row" hidden="1">#REF!</definedName>
    <definedName name="XRefPaste111Row" hidden="1">#REF!</definedName>
    <definedName name="XRefPaste112Row" hidden="1">#REF!</definedName>
    <definedName name="XRefPaste113Row" hidden="1">#REF!</definedName>
    <definedName name="XRefPaste114Row" hidden="1">#REF!</definedName>
    <definedName name="XRefPaste115Row" hidden="1">#REF!</definedName>
    <definedName name="XRefPaste116Row" hidden="1">#REF!</definedName>
    <definedName name="XRefPaste117Row" hidden="1">#REF!</definedName>
    <definedName name="XRefPaste118Row" hidden="1">#REF!</definedName>
    <definedName name="XRefPaste119Row" hidden="1">#REF!</definedName>
    <definedName name="XRefPaste11Row" hidden="1">#REF!</definedName>
    <definedName name="XRefPaste12" hidden="1">#REF!</definedName>
    <definedName name="XRefPaste120Row" hidden="1">#REF!</definedName>
    <definedName name="XRefPaste121Row" hidden="1">#REF!</definedName>
    <definedName name="XRefPaste122Row" hidden="1">#REF!</definedName>
    <definedName name="XRefPaste123Row" hidden="1">#REF!</definedName>
    <definedName name="XRefPaste124Row" hidden="1">#REF!</definedName>
    <definedName name="XRefPaste125Row" hidden="1">#REF!</definedName>
    <definedName name="XRefPaste126Row" hidden="1">#REF!</definedName>
    <definedName name="XRefPaste127Row" hidden="1">#REF!</definedName>
    <definedName name="XRefPaste128Row" hidden="1">#REF!</definedName>
    <definedName name="XRefPaste129Row" hidden="1">#REF!</definedName>
    <definedName name="XRefPaste12Row" hidden="1">#REF!</definedName>
    <definedName name="XRefPaste13" hidden="1">#REF!</definedName>
    <definedName name="XRefPaste130Row" hidden="1">#REF!</definedName>
    <definedName name="XRefPaste131Row" hidden="1">#REF!</definedName>
    <definedName name="XRefPaste132Row" hidden="1">#REF!</definedName>
    <definedName name="XRefPaste133Row" hidden="1">#REF!</definedName>
    <definedName name="XRefPaste134Row" hidden="1">#REF!</definedName>
    <definedName name="XRefPaste135Row" hidden="1">#REF!</definedName>
    <definedName name="XRefPaste13Row" hidden="1">#REF!</definedName>
    <definedName name="XRefPaste14" hidden="1">#REF!</definedName>
    <definedName name="XRefPaste14Row" hidden="1">#REF!</definedName>
    <definedName name="XRefPaste15" hidden="1">#REF!</definedName>
    <definedName name="XRefPaste15Row" hidden="1">#REF!</definedName>
    <definedName name="XRefPaste16" hidden="1">#REF!</definedName>
    <definedName name="XRefPaste16Row" hidden="1">#REF!</definedName>
    <definedName name="XRefPaste17" hidden="1">#REF!</definedName>
    <definedName name="XRefPaste17Row" hidden="1">#REF!</definedName>
    <definedName name="XRefPaste18" hidden="1">#REF!</definedName>
    <definedName name="XRefPaste18Row" hidden="1">#REF!</definedName>
    <definedName name="XRefPaste19" hidden="1">#REF!</definedName>
    <definedName name="XRefPaste19Row" hidden="1">#REF!</definedName>
    <definedName name="XRefPaste1Row" hidden="1">#REF!</definedName>
    <definedName name="XRefPaste2" hidden="1">#REF!</definedName>
    <definedName name="XRefPaste20" hidden="1">#REF!</definedName>
    <definedName name="XRefPaste20Row" hidden="1">#REF!</definedName>
    <definedName name="XRefPaste21" hidden="1">#REF!</definedName>
    <definedName name="XRefPaste21Row" hidden="1">#REF!</definedName>
    <definedName name="XRefPaste22" hidden="1">#REF!</definedName>
    <definedName name="XRefPaste22Row" hidden="1">#REF!</definedName>
    <definedName name="XRefPaste23" hidden="1">#REF!</definedName>
    <definedName name="XRefPaste23Row" hidden="1">#REF!</definedName>
    <definedName name="XRefPaste24" hidden="1">#REF!</definedName>
    <definedName name="XRefPaste24Row" hidden="1">#REF!</definedName>
    <definedName name="XRefPaste25" hidden="1">#REF!</definedName>
    <definedName name="XRefPaste25Row" hidden="1">[50]XREF!#REF!</definedName>
    <definedName name="XRefPaste26" hidden="1">#REF!</definedName>
    <definedName name="XRefPaste26Row" hidden="1">#REF!</definedName>
    <definedName name="XRefPaste27" hidden="1">#REF!</definedName>
    <definedName name="XRefPaste27Row" hidden="1">#REF!</definedName>
    <definedName name="XRefPaste28" hidden="1">#REF!</definedName>
    <definedName name="XRefPaste28Row" hidden="1">#REF!</definedName>
    <definedName name="XRefPaste29" hidden="1">#REF!</definedName>
    <definedName name="XRefPaste29Row" hidden="1">#REF!</definedName>
    <definedName name="XRefPaste2Row" hidden="1">#REF!</definedName>
    <definedName name="XRefPaste3" hidden="1">#REF!</definedName>
    <definedName name="XRefPaste30" hidden="1">#REF!</definedName>
    <definedName name="XRefPaste30Row" hidden="1">#REF!</definedName>
    <definedName name="XRefPaste31" hidden="1">#REF!</definedName>
    <definedName name="XRefPaste31Row" hidden="1">#REF!</definedName>
    <definedName name="XRefPaste32" hidden="1">#REF!</definedName>
    <definedName name="XRefPaste32Row" hidden="1">#REF!</definedName>
    <definedName name="XRefPaste33" hidden="1">#REF!</definedName>
    <definedName name="XRefPaste33Row" hidden="1">#REF!</definedName>
    <definedName name="XRefPaste34" hidden="1">#REF!</definedName>
    <definedName name="XRefPaste34Row" hidden="1">#REF!</definedName>
    <definedName name="XRefPaste35" hidden="1">'[47]Inventory Count Sheet '!#REF!</definedName>
    <definedName name="XRefPaste35Row" hidden="1">#REF!</definedName>
    <definedName name="XRefPaste36" hidden="1">'[47]Inventory Count Sheet '!#REF!</definedName>
    <definedName name="XRefPaste36Row" hidden="1">#REF!</definedName>
    <definedName name="XRefPaste37" hidden="1">'[47]Inventory Count Sheet '!#REF!</definedName>
    <definedName name="XRefPaste37Row" hidden="1">#REF!</definedName>
    <definedName name="XRefPaste38" hidden="1">'[47]Inventory Count Sheet '!#REF!</definedName>
    <definedName name="XRefPaste38Row" hidden="1">#REF!</definedName>
    <definedName name="XRefPaste39" hidden="1">#REF!</definedName>
    <definedName name="XRefPaste39Row" hidden="1">#REF!</definedName>
    <definedName name="XRefPaste3Row" hidden="1">#REF!</definedName>
    <definedName name="XRefPaste4" hidden="1">#REF!</definedName>
    <definedName name="XRefPaste40" hidden="1">#REF!</definedName>
    <definedName name="XRefPaste40Row" hidden="1">#REF!</definedName>
    <definedName name="XRefPaste41" hidden="1">#REF!</definedName>
    <definedName name="XRefPaste41Row" hidden="1">#REF!</definedName>
    <definedName name="XRefPaste42" hidden="1">#REF!</definedName>
    <definedName name="XRefPaste42Row" hidden="1">#REF!</definedName>
    <definedName name="XRefPaste43" hidden="1">#REF!</definedName>
    <definedName name="XRefPaste43Row" hidden="1">#REF!</definedName>
    <definedName name="XRefPaste44" hidden="1">#REF!</definedName>
    <definedName name="XRefPaste44Row" hidden="1">#REF!</definedName>
    <definedName name="XRefPaste45" hidden="1">#REF!</definedName>
    <definedName name="XRefPaste45Row" hidden="1">#REF!</definedName>
    <definedName name="XRefPaste46" hidden="1">#REF!</definedName>
    <definedName name="XRefPaste46Row" hidden="1">#REF!</definedName>
    <definedName name="XRefPaste47" hidden="1">'[48]2.Control Sheet'!#REF!</definedName>
    <definedName name="XRefPaste47Row" hidden="1">#REF!</definedName>
    <definedName name="XRefPaste48" hidden="1">#REF!</definedName>
    <definedName name="XRefPaste48Row" hidden="1">#REF!</definedName>
    <definedName name="XRefPaste49" hidden="1">#REF!</definedName>
    <definedName name="XRefPaste49Row" hidden="1">#REF!</definedName>
    <definedName name="XRefPaste4Row" hidden="1">#REF!</definedName>
    <definedName name="XRefPaste5" hidden="1">#REF!</definedName>
    <definedName name="XRefPaste50" hidden="1">#REF!</definedName>
    <definedName name="XRefPaste50Row" hidden="1">#REF!</definedName>
    <definedName name="XRefPaste51" hidden="1">#REF!</definedName>
    <definedName name="XRefPaste51Row" hidden="1">#REF!</definedName>
    <definedName name="XRefPaste52" hidden="1">#REF!</definedName>
    <definedName name="XRefPaste52Row" hidden="1">#REF!</definedName>
    <definedName name="XRefPaste53" hidden="1">#REF!</definedName>
    <definedName name="XRefPaste53Row" hidden="1">#REF!</definedName>
    <definedName name="XRefPaste54" hidden="1">#REF!</definedName>
    <definedName name="XRefPaste54Row" hidden="1">#REF!</definedName>
    <definedName name="XRefPaste55" hidden="1">#REF!</definedName>
    <definedName name="XRefPaste55Row" hidden="1">#REF!</definedName>
    <definedName name="XRefPaste56" hidden="1">#REF!</definedName>
    <definedName name="XRefPaste56Row" hidden="1">#REF!</definedName>
    <definedName name="XRefPaste57" hidden="1">#REF!</definedName>
    <definedName name="XRefPaste57Row" hidden="1">#REF!</definedName>
    <definedName name="XRefPaste58" hidden="1">#REF!</definedName>
    <definedName name="XRefPaste58Row" hidden="1">#REF!</definedName>
    <definedName name="XRefPaste59" hidden="1">#REF!</definedName>
    <definedName name="XRefPaste59Row" hidden="1">#REF!</definedName>
    <definedName name="XRefPaste5Row" hidden="1">#REF!</definedName>
    <definedName name="XRefPaste6" hidden="1">#REF!</definedName>
    <definedName name="XRefPaste60" hidden="1">#REF!</definedName>
    <definedName name="XRefPaste60Row" hidden="1">#REF!</definedName>
    <definedName name="XRefPaste61" hidden="1">#REF!</definedName>
    <definedName name="XRefPaste61Row" hidden="1">#REF!</definedName>
    <definedName name="XRefPaste62" hidden="1">#REF!</definedName>
    <definedName name="XRefPaste62Row" hidden="1">#REF!</definedName>
    <definedName name="XRefPaste63" hidden="1">#REF!</definedName>
    <definedName name="XRefPaste63Row" hidden="1">#REF!</definedName>
    <definedName name="XRefPaste64" hidden="1">#REF!</definedName>
    <definedName name="XRefPaste64Row" hidden="1">#REF!</definedName>
    <definedName name="XRefPaste65" hidden="1">#REF!</definedName>
    <definedName name="XRefPaste65Row" hidden="1">#REF!</definedName>
    <definedName name="XRefPaste66" hidden="1">#REF!</definedName>
    <definedName name="XRefPaste66Row" hidden="1">#REF!</definedName>
    <definedName name="XRefPaste67" hidden="1">#REF!</definedName>
    <definedName name="XRefPaste67Row" hidden="1">#REF!</definedName>
    <definedName name="XRefPaste68" hidden="1">#REF!</definedName>
    <definedName name="XRefPaste68Row" hidden="1">#REF!</definedName>
    <definedName name="XRefPaste69" hidden="1">#REF!</definedName>
    <definedName name="XRefPaste69Row" hidden="1">#REF!</definedName>
    <definedName name="XRefPaste6Row" hidden="1">#REF!</definedName>
    <definedName name="XRefPaste7" hidden="1">#REF!</definedName>
    <definedName name="XRefPaste70" hidden="1">#REF!</definedName>
    <definedName name="XRefPaste70Row" hidden="1">#REF!</definedName>
    <definedName name="XRefPaste71" hidden="1">#REF!</definedName>
    <definedName name="XRefPaste71Row" hidden="1">#REF!</definedName>
    <definedName name="XRefPaste72" hidden="1">#REF!</definedName>
    <definedName name="XRefPaste72Row" hidden="1">#REF!</definedName>
    <definedName name="XRefPaste73" hidden="1">#REF!</definedName>
    <definedName name="XRefPaste73Row" hidden="1">#REF!</definedName>
    <definedName name="XRefPaste74" hidden="1">#REF!</definedName>
    <definedName name="XRefPaste74Row" hidden="1">#REF!</definedName>
    <definedName name="XRefPaste75" hidden="1">#REF!</definedName>
    <definedName name="XRefPaste75Row" hidden="1">#REF!</definedName>
    <definedName name="XRefPaste76" hidden="1">#REF!</definedName>
    <definedName name="XRefPaste76Row" hidden="1">#REF!</definedName>
    <definedName name="XRefPaste77" hidden="1">#REF!</definedName>
    <definedName name="XRefPaste77Row" hidden="1">#REF!</definedName>
    <definedName name="XRefPaste78" hidden="1">#REF!</definedName>
    <definedName name="XRefPaste78Row" hidden="1">#REF!</definedName>
    <definedName name="XRefPaste79" hidden="1">#REF!</definedName>
    <definedName name="XRefPaste79Row" hidden="1">#REF!</definedName>
    <definedName name="XRefPaste7Row" hidden="1">#REF!</definedName>
    <definedName name="XRefPaste8" hidden="1">#REF!</definedName>
    <definedName name="XRefPaste80" hidden="1">#REF!</definedName>
    <definedName name="XRefPaste80Row" hidden="1">#REF!</definedName>
    <definedName name="XRefPaste81" hidden="1">#REF!</definedName>
    <definedName name="XRefPaste81Row" hidden="1">#REF!</definedName>
    <definedName name="XRefPaste82" hidden="1">#REF!</definedName>
    <definedName name="XRefPaste82Row" hidden="1">#REF!</definedName>
    <definedName name="XRefPaste83" hidden="1">#REF!</definedName>
    <definedName name="XRefPaste83Row" hidden="1">#REF!</definedName>
    <definedName name="XRefPaste84" hidden="1">#REF!</definedName>
    <definedName name="XRefPaste84Row" hidden="1">#REF!</definedName>
    <definedName name="XRefPaste85" hidden="1">#REF!</definedName>
    <definedName name="XRefPaste85Row" hidden="1">#REF!</definedName>
    <definedName name="XRefPaste86" hidden="1">#REF!</definedName>
    <definedName name="XRefPaste86Row" hidden="1">#REF!</definedName>
    <definedName name="XRefPaste87" hidden="1">#REF!</definedName>
    <definedName name="XRefPaste87Row" hidden="1">#REF!</definedName>
    <definedName name="XRefPaste88" hidden="1">#REF!</definedName>
    <definedName name="XRefPaste88Row" hidden="1">#REF!</definedName>
    <definedName name="XRefPaste89" hidden="1">#REF!</definedName>
    <definedName name="XRefPaste89Row" hidden="1">#REF!</definedName>
    <definedName name="XRefPaste8Row" hidden="1">#REF!</definedName>
    <definedName name="XRefPaste9" hidden="1">#REF!</definedName>
    <definedName name="XRefPaste90" hidden="1">#REF!</definedName>
    <definedName name="XRefPaste90Row" hidden="1">#REF!</definedName>
    <definedName name="XRefPaste91" hidden="1">#REF!</definedName>
    <definedName name="XRefPaste91Row" hidden="1">#REF!</definedName>
    <definedName name="XRefPaste92" hidden="1">#REF!</definedName>
    <definedName name="XRefPaste92Row" hidden="1">#REF!</definedName>
    <definedName name="XRefPaste93" hidden="1">#REF!</definedName>
    <definedName name="XRefPaste93Row" hidden="1">#REF!</definedName>
    <definedName name="XRefPaste94" hidden="1">#REF!</definedName>
    <definedName name="XRefPaste94Row" hidden="1">#REF!</definedName>
    <definedName name="XRefPaste95" hidden="1">#REF!</definedName>
    <definedName name="XRefPaste95Row" hidden="1">#REF!</definedName>
    <definedName name="XRefPaste96Row" hidden="1">#REF!</definedName>
    <definedName name="XRefPaste97Row" hidden="1">#REF!</definedName>
    <definedName name="XRefPaste98Row" hidden="1">#REF!</definedName>
    <definedName name="XRefPaste99Row" hidden="1">#REF!</definedName>
    <definedName name="XRefPaste9Row" hidden="1">#REF!</definedName>
    <definedName name="XRefPasteRangeCount" hidden="1">1</definedName>
    <definedName name="xrt" hidden="1">{#N/A,#N/A,FALSE,"OSBL"}</definedName>
    <definedName name="xsxa" hidden="1">{"'Sheet1'!$A$4386:$N$4591"}</definedName>
    <definedName name="xxx" hidden="1">{#N/A,#N/A,TRUE,"Cover sheet";#N/A,#N/A,TRUE,"DCF analysis";#N/A,#N/A,TRUE,"WACC calculation"}</definedName>
    <definedName name="xxxx" hidden="1">{"'I-1 and I-2'!$A$1:$G$190"}</definedName>
    <definedName name="xxxxx"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XXXXXXXXXX" hidden="1">{#N/A,#N/A,FALSE,"COVER1.XLS ";#N/A,#N/A,FALSE,"RACT1.XLS";#N/A,#N/A,FALSE,"RACT2.XLS";#N/A,#N/A,FALSE,"ECCMP";#N/A,#N/A,FALSE,"WELDER.XLS"}</definedName>
    <definedName name="xyz" hidden="1">'[51]#REF'!$A$10:$A$57</definedName>
    <definedName name="yeya" hidden="1">{#N/A,#N/A,FALSE,"PGW"}</definedName>
    <definedName name="YHUKI" hidden="1">{#N/A,#N/A,TRUE,"TMRSAMPLE";#N/A,#N/A,TRUE,"OPS";#N/A,#N/A,TRUE,"TMR"}</definedName>
    <definedName name="YHUKI_1" hidden="1">{#N/A,#N/A,TRUE,"TMRSAMPLE";#N/A,#N/A,TRUE,"OPS";#N/A,#N/A,TRUE,"TMR"}</definedName>
    <definedName name="yo" hidden="1">{#N/A,#N/A,FALSE,"$100 equity - 0% costs";#N/A,#N/A,FALSE,"$100 equity - 5% costs";#N/A,#N/A,FALSE,"$50 equity - 0% costs";#N/A,#N/A,FALSE,"$100 equity - 10% costs";#N/A,#N/A,FALSE,"$50 equity - 5% costs";#N/A,#N/A,FALSE,"$50 equity - 10% costs";#N/A,#N/A,FALSE,"$150 equity - 0% costs";#N/A,#N/A,FALSE,"$150 equity - 5% costs";#N/A,#N/A,FALSE,"$150 equity - 10% costs";#N/A,#N/A,FALSE,"Summary";#N/A,#N/A,FALSE,"$0 equity - 0% costs";#N/A,#N/A,FALSE,"$0 equity - 5% costs";#N/A,#N/A,FALSE,"$0 equity - 10% costs"}</definedName>
    <definedName name="yoy" hidden="1">{#N/A,#N/A,FALSE,"$0 equity - 0% costs";#N/A,#N/A,FALSE,"$0 equity - 5% costs";#N/A,#N/A,FALSE,"$0 equity - 10% costs"}</definedName>
    <definedName name="yoyo" hidden="1">{#N/A,#N/A,FALSE,"$100 equity - 0% costs";#N/A,#N/A,FALSE,"$100 equity - 5% costs";#N/A,#N/A,FALSE,"$50 equity - 0% costs";#N/A,#N/A,FALSE,"$100 equity - 10% costs";#N/A,#N/A,FALSE,"$50 equity - 5% costs";#N/A,#N/A,FALSE,"$50 equity - 10% costs";#N/A,#N/A,FALSE,"$150 equity - 0% costs";#N/A,#N/A,FALSE,"$150 equity - 5% costs";#N/A,#N/A,FALSE,"$150 equity - 10% costs";#N/A,#N/A,FALSE,"Summary";#N/A,#N/A,FALSE,"$0 equity - 0% costs";#N/A,#N/A,FALSE,"$0 equity - 5% costs";#N/A,#N/A,FALSE,"$0 equity - 10% costs"}</definedName>
    <definedName name="yoyoyo" hidden="1">{#N/A,#N/A,FALSE,"$0 equity - 0% costs";#N/A,#N/A,FALSE,"$0 equity - 5% costs";#N/A,#N/A,FALSE,"$0 equity - 10% costs"}</definedName>
    <definedName name="ＹＴＫＫＫＫＴＫＹＴ" hidden="1">{#N/A,#N/A,TRUE,"TMRSAMPLE";#N/A,#N/A,TRUE,"OPS";#N/A,#N/A,TRUE,"TMR"}</definedName>
    <definedName name="ＹＴＫＫＫＫＴＫＹＴ_1" hidden="1">{#N/A,#N/A,TRUE,"TMRSAMPLE";#N/A,#N/A,TRUE,"OPS";#N/A,#N/A,TRUE,"TMR"}</definedName>
    <definedName name="yy" hidden="1">{#N/A,#N/A,TRUE,"Cover sheet";#N/A,#N/A,TRUE,"Summary";#N/A,#N/A,TRUE,"Key Assumptions";#N/A,#N/A,TRUE,"Profit &amp; Loss";#N/A,#N/A,TRUE,"Balance Sheet";#N/A,#N/A,TRUE,"Cashflow";#N/A,#N/A,TRUE,"IRR";#N/A,#N/A,TRUE,"Ratios";#N/A,#N/A,TRUE,"Debt analysis"}</definedName>
    <definedName name="yyy" hidden="1">{#N/A,#N/A,FALSE,"PGW"}</definedName>
    <definedName name="Z_0CCEA51C_6B5A_492A_905D_2F185A7C043A_.wvu.PrintArea" hidden="1">#REF!</definedName>
    <definedName name="Z_151C847C_F869_11D1_B680_00A02416AF98_.wvu.Cols" hidden="1">#REF!</definedName>
    <definedName name="Z_151C847C_F869_11D1_B680_00A02416AF98_.wvu.PrintTitles" hidden="1">'[52]19-PERF'!$B$1:$B$65536,'[52]19-PERF'!$A$1:$IV$4</definedName>
    <definedName name="Z_344F5AB5_F908_11D8_871D_00508D3936C3_.wvu.Rows" hidden="1">[53]Sheet1!$A$7:$IV$7,[53]Sheet1!$A$10:$IV$10,[53]Sheet1!$A$27:$IV$28,[53]Sheet1!$A$30:$IV$30,[53]Sheet1!$A$37:$IV$40,[53]Sheet1!$A$45:$IV$45,[53]Sheet1!$A$66:$IV$66,[53]Sheet1!$A$69:$IV$69,[53]Sheet1!$A$81:$IV$82,[53]Sheet1!$A$85:$IV$85,[53]Sheet1!$A$122:$IV$124,[53]Sheet1!$A$133:$IV$133,[53]Sheet1!$A$146:$IV$146,[53]Sheet1!$A$174:$IV$175,[53]Sheet1!$A$177:$IV$177,[53]Sheet1!$A$179:$IV$179,[53]Sheet1!$A$187:$IV$188,[53]Sheet1!$A$193:$IV$201</definedName>
    <definedName name="Z_67EFEDCD_998B_11D7_BAAE_00508D3936C3_.wvu.PrintTitles" hidden="1">[54]SLB_PROD!$A$1:$A$65536,[54]SLB_PROD!$A$5:$IV$8</definedName>
    <definedName name="Z_9EF739CB_9998_11D7_8C04_00508D4511B4_.wvu.PrintTitles" hidden="1">[54]SLB_PROD!$A$1:$A$65536,[54]SLB_PROD!$A$5:$IV$8</definedName>
    <definedName name="Z_AB004A4F_858A_4AC9_ADF0_FD624C01378E_.wvu.PrintArea" hidden="1">#REF!</definedName>
    <definedName name="Z_AB004A4F_858A_4AC9_ADF0_FD624C01378E_.wvu.Rows" hidden="1">#REF!,#REF!,#REF!</definedName>
    <definedName name="Z_BC1C3220_DCDB_11D4_B61D_008048DB3DFC_.wvu.PrintArea" hidden="1">#REF!</definedName>
    <definedName name="Z_F93949A5_3508_11D6_AB98_0080AD7F2B9C_.wvu.PrintTitles" hidden="1">[54]SLB_PROD!$A$1:$A$65536,[54]SLB_PROD!$A$5:$IV$8</definedName>
    <definedName name="zesewe" hidden="1">{#N/A,#N/A,FALSE,"FREE"}</definedName>
    <definedName name="zfxc" hidden="1">{#N/A,#N/A,TRUE,"TMRSAMPLE";#N/A,#N/A,TRUE,"OPS";#N/A,#N/A,TRUE,"TMR"}</definedName>
    <definedName name="zfxc_1" hidden="1">{#N/A,#N/A,TRUE,"TMRSAMPLE";#N/A,#N/A,TRUE,"OPS";#N/A,#N/A,TRUE,"TMR"}</definedName>
    <definedName name="zxgsdfg" hidden="1">{"'Bill No. 7'!$A$1:$G$32"}</definedName>
    <definedName name="zz" hidden="1">{"adj95mult",#N/A,FALSE,"COMPCO";"adj95est",#N/A,FALSE,"COMPCO"}</definedName>
    <definedName name="zz_1" hidden="1">{"adj95mult",#N/A,FALSE,"COMPCO";"adj95est",#N/A,FALSE,"COMPCO"}</definedName>
    <definedName name="zzzz" hidden="1">{"'Sheet1'!$A$4386:$N$4591"}</definedName>
    <definedName name="あＬＳＫＤＪ" hidden="1">{#N/A,#N/A,TRUE,"TMRSAMPLE";#N/A,#N/A,TRUE,"OPS";#N/A,#N/A,TRUE,"TMR"}</definedName>
    <definedName name="あＬＳＫＤＪ_1" hidden="1">{#N/A,#N/A,TRUE,"TMRSAMPLE";#N/A,#N/A,TRUE,"OPS";#N/A,#N/A,TRUE,"TMR"}</definedName>
    <definedName name="あＷでＲＦ" hidden="1">{#N/A,#N/A,TRUE,"TMRSAMPLE";#N/A,#N/A,TRUE,"OPS";#N/A,#N/A,TRUE,"TMR"}</definedName>
    <definedName name="あＷでＲＦ_1" hidden="1">{#N/A,#N/A,TRUE,"TMRSAMPLE";#N/A,#N/A,TRUE,"OPS";#N/A,#N/A,TRUE,"TMR"}</definedName>
    <definedName name="いえおえおえお" hidden="1">{#N/A,#N/A,TRUE,"TMRSAMPLE";#N/A,#N/A,TRUE,"OPS";#N/A,#N/A,TRUE,"TMR"}</definedName>
    <definedName name="いえおえおえお_1" hidden="1">{#N/A,#N/A,TRUE,"TMRSAMPLE";#N/A,#N/A,TRUE,"OPS";#N/A,#N/A,TRUE,"TMR"}</definedName>
    <definedName name="うＲＫりつＪＳＬ" hidden="1">{#N/A,#N/A,TRUE,"TMRSAMPLE";#N/A,#N/A,TRUE,"OPS";#N/A,#N/A,TRUE,"TMR"}</definedName>
    <definedName name="うＲＫりつＪＳＬ_1" hidden="1">{#N/A,#N/A,TRUE,"TMRSAMPLE";#N/A,#N/A,TRUE,"OPS";#N/A,#N/A,TRUE,"TMR"}</definedName>
    <definedName name="うＴ" hidden="1">{#N/A,#N/A,TRUE,"TMRSAMPLE";#N/A,#N/A,TRUE,"OPS";#N/A,#N/A,TRUE,"TMR"}</definedName>
    <definedName name="うＴ_1" hidden="1">{#N/A,#N/A,TRUE,"TMRSAMPLE";#N/A,#N/A,TRUE,"OPS";#N/A,#N/A,TRUE,"TMR"}</definedName>
    <definedName name="えＴＫＹＴＫＹＴＫＴＹ" hidden="1">{#N/A,#N/A,TRUE,"TMRSAMPLE";#N/A,#N/A,TRUE,"OPS";#N/A,#N/A,TRUE,"TMR"}</definedName>
    <definedName name="えＴＫＹＴＫＹＴＫＴＹ_1" hidden="1">{#N/A,#N/A,TRUE,"TMRSAMPLE";#N/A,#N/A,TRUE,"OPS";#N/A,#N/A,TRUE,"TMR"}</definedName>
    <definedName name="えふぉじょげＮ" hidden="1">{#N/A,#N/A,TRUE,"TMRSAMPLE";#N/A,#N/A,TRUE,"OPS";#N/A,#N/A,TRUE,"TMR"}</definedName>
    <definedName name="えふぉじょげＮ_1" hidden="1">{#N/A,#N/A,TRUE,"TMRSAMPLE";#N/A,#N/A,TRUE,"OPS";#N/A,#N/A,TRUE,"TMR"}</definedName>
    <definedName name="えぺぺＰ" hidden="1">{#N/A,#N/A,TRUE,"TMRSAMPLE";#N/A,#N/A,TRUE,"OPS";#N/A,#N/A,TRUE,"TMR"}</definedName>
    <definedName name="えぺぺＰ_1" hidden="1">{#N/A,#N/A,TRUE,"TMRSAMPLE";#N/A,#N/A,TRUE,"OPS";#N/A,#N/A,TRUE,"TMR"}</definedName>
    <definedName name="えんＱ" hidden="1">{#N/A,#N/A,TRUE,"TMRSAMPLE";#N/A,#N/A,TRUE,"OPS";#N/A,#N/A,TRUE,"TMR"}</definedName>
    <definedName name="えんＱ_1" hidden="1">{#N/A,#N/A,TRUE,"TMRSAMPLE";#N/A,#N/A,TRUE,"OPS";#N/A,#N/A,TRUE,"TMR"}</definedName>
    <definedName name="おＫＳＪＤＳＨＤ" hidden="1">{#N/A,#N/A,TRUE,"TMRSAMPLE";#N/A,#N/A,TRUE,"OPS";#N/A,#N/A,TRUE,"TMR"}</definedName>
    <definedName name="おＫＳＪＤＳＨＤ_1" hidden="1">{#N/A,#N/A,TRUE,"TMRSAMPLE";#N/A,#N/A,TRUE,"OPS";#N/A,#N/A,TRUE,"TMR"}</definedName>
    <definedName name="さＤＧＨＬＫＤＳＪＬＪＳＦ" hidden="1">{#N/A,#N/A,TRUE,"TMRSAMPLE";#N/A,#N/A,TRUE,"OPS";#N/A,#N/A,TRUE,"TMR"}</definedName>
    <definedName name="さＤＧＨＬＫＤＳＪＬＪＳＦ_1" hidden="1">{#N/A,#N/A,TRUE,"TMRSAMPLE";#N/A,#N/A,TRUE,"OPS";#N/A,#N/A,TRUE,"TMR"}</definedName>
    <definedName name="さＤＨＧＳＧＤＬＨ" hidden="1">{#N/A,#N/A,TRUE,"TMRSAMPLE";#N/A,#N/A,TRUE,"OPS";#N/A,#N/A,TRUE,"TMR"}</definedName>
    <definedName name="さＤＨＧＳＧＤＬＨ_1" hidden="1">{#N/A,#N/A,TRUE,"TMRSAMPLE";#N/A,#N/A,TRUE,"OPS";#N/A,#N/A,TRUE,"TMR"}</definedName>
    <definedName name="さＬＫＨＦＤＬＫＨ" hidden="1">{#N/A,#N/A,TRUE,"TMRSAMPLE";#N/A,#N/A,TRUE,"OPS";#N/A,#N/A,TRUE,"TMR"}</definedName>
    <definedName name="さＬＫＨＦＤＬＫＨ_1" hidden="1">{#N/A,#N/A,TRUE,"TMRSAMPLE";#N/A,#N/A,TRUE,"OPS";#N/A,#N/A,TRUE,"TMR"}</definedName>
    <definedName name="さＬＫＨＧＬＤＳＦ" hidden="1">{#N/A,#N/A,TRUE,"TMRSAMPLE";#N/A,#N/A,TRUE,"OPS";#N/A,#N/A,TRUE,"TMR"}</definedName>
    <definedName name="さＬＫＨＧＬＤＳＦ_1" hidden="1">{#N/A,#N/A,TRUE,"TMRSAMPLE";#N/A,#N/A,TRUE,"OPS";#N/A,#N/A,TRUE,"TMR"}</definedName>
    <definedName name="さＬＫＪＧＦＬＫＪ" hidden="1">{#N/A,#N/A,TRUE,"TMRSAMPLE";#N/A,#N/A,TRUE,"OPS";#N/A,#N/A,TRUE,"TMR"}</definedName>
    <definedName name="さＬＫＪＧＦＬＫＪ_1" hidden="1">{#N/A,#N/A,TRUE,"TMRSAMPLE";#N/A,#N/A,TRUE,"OPS";#N/A,#N/A,TRUE,"TMR"}</definedName>
    <definedName name="さＬＫＬＫＪＮ" hidden="1">{#N/A,#N/A,TRUE,"TMRSAMPLE";#N/A,#N/A,TRUE,"OPS";#N/A,#N/A,TRUE,"TMR"}</definedName>
    <definedName name="さＬＫＬＫＪＮ_1" hidden="1">{#N/A,#N/A,TRUE,"TMRSAMPLE";#N/A,#N/A,TRUE,"OPS";#N/A,#N/A,TRUE,"TMR"}</definedName>
    <definedName name="だＳ" hidden="1">{#N/A,#N/A,TRUE,"TMRSAMPLE";#N/A,#N/A,TRUE,"OPS";#N/A,#N/A,TRUE,"TMR"}</definedName>
    <definedName name="だＳ_1" hidden="1">{#N/A,#N/A,TRUE,"TMRSAMPLE";#N/A,#N/A,TRUE,"OPS";#N/A,#N/A,TRUE,"TMR"}</definedName>
    <definedName name="てＫＫＫＹＴ" hidden="1">{#N/A,#N/A,TRUE,"TMRSAMPLE";#N/A,#N/A,TRUE,"OPS";#N/A,#N/A,TRUE,"TMR"}</definedName>
    <definedName name="てＫＫＫＹＴ_1" hidden="1">{#N/A,#N/A,TRUE,"TMRSAMPLE";#N/A,#N/A,TRUE,"OPS";#N/A,#N/A,TRUE,"TMR"}</definedName>
    <definedName name="てＫＴＫＫＹＫＹＴ" hidden="1">{#N/A,#N/A,TRUE,"TMRSAMPLE";#N/A,#N/A,TRUE,"OPS";#N/A,#N/A,TRUE,"TMR"}</definedName>
    <definedName name="てＫＴＫＫＹＫＹＴ_1" hidden="1">{#N/A,#N/A,TRUE,"TMRSAMPLE";#N/A,#N/A,TRUE,"OPS";#N/A,#N/A,TRUE,"TMR"}</definedName>
    <definedName name="てＫＹＫＫＫ" hidden="1">{#N/A,#N/A,TRUE,"TMRSAMPLE";#N/A,#N/A,TRUE,"OPS";#N/A,#N/A,TRUE,"TMR"}</definedName>
    <definedName name="てＫＹＫＫＫ_1" hidden="1">{#N/A,#N/A,TRUE,"TMRSAMPLE";#N/A,#N/A,TRUE,"OPS";#N/A,#N/A,TRUE,"TMR"}</definedName>
    <definedName name="ぽＬＫＨ" hidden="1">{#N/A,#N/A,TRUE,"TMRSAMPLE";#N/A,#N/A,TRUE,"OPS";#N/A,#N/A,TRUE,"TMR"}</definedName>
    <definedName name="ぽＬＫＨ_1" hidden="1">{#N/A,#N/A,TRUE,"TMRSAMPLE";#N/A,#N/A,TRUE,"OPS";#N/A,#N/A,TRUE,"TMR"}</definedName>
    <definedName name="んＶＦＬＫＦ" hidden="1">{#N/A,#N/A,TRUE,"TMRSAMPLE";#N/A,#N/A,TRUE,"OPS";#N/A,#N/A,TRUE,"TMR"}</definedName>
    <definedName name="んＶＦＬＫＦ_1" hidden="1">{#N/A,#N/A,TRUE,"TMRSAMPLE";#N/A,#N/A,TRUE,"OPS";#N/A,#N/A,TRUE,"TMR"}</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1" i="4" l="1"/>
  <c r="L41" i="4" s="1"/>
  <c r="M41" i="4" s="1"/>
  <c r="N41" i="4" s="1"/>
  <c r="O41" i="4" s="1"/>
  <c r="P41" i="4" s="1"/>
  <c r="Q41" i="4" s="1"/>
  <c r="J41" i="4"/>
  <c r="K109" i="10" l="1"/>
  <c r="L109" i="10" s="1"/>
  <c r="M109" i="10" s="1"/>
  <c r="N109" i="10" s="1"/>
  <c r="O109" i="10" s="1"/>
  <c r="P109" i="10" s="1"/>
  <c r="Q109" i="10" s="1"/>
  <c r="R109" i="10" s="1"/>
  <c r="S109" i="10" s="1"/>
  <c r="K13" i="10"/>
  <c r="K30" i="45" l="1"/>
  <c r="G159" i="32"/>
  <c r="F160" i="32"/>
  <c r="G45" i="27" l="1"/>
  <c r="F45" i="27"/>
  <c r="E45" i="27"/>
  <c r="D45" i="27"/>
  <c r="J16" i="19" l="1"/>
  <c r="E5" i="31"/>
  <c r="G40" i="36"/>
  <c r="N18" i="7"/>
  <c r="O18" i="7" s="1"/>
  <c r="P18" i="7" s="1"/>
  <c r="M18" i="7"/>
  <c r="L18" i="7"/>
  <c r="K18" i="7"/>
  <c r="J18" i="7"/>
  <c r="I18" i="7"/>
  <c r="H18" i="7"/>
  <c r="G18" i="7"/>
  <c r="F18" i="7"/>
  <c r="E18" i="7"/>
  <c r="D18" i="7"/>
  <c r="C18" i="7"/>
  <c r="H11" i="7" l="1"/>
  <c r="H10" i="7"/>
  <c r="H9" i="7"/>
  <c r="H8" i="7"/>
  <c r="J17" i="4" l="1"/>
  <c r="J40" i="4"/>
  <c r="D5" i="31" l="1"/>
  <c r="J30" i="45"/>
  <c r="J98" i="4"/>
  <c r="K98" i="4" s="1"/>
  <c r="K100" i="4" s="1"/>
  <c r="I47" i="4" l="1"/>
  <c r="H210" i="1" l="1"/>
  <c r="J195" i="1"/>
  <c r="G118" i="32"/>
  <c r="I201" i="1" l="1"/>
  <c r="H30" i="27"/>
  <c r="G99" i="32"/>
  <c r="J125" i="1"/>
  <c r="K125" i="1" s="1"/>
  <c r="L125" i="1" s="1"/>
  <c r="M125" i="1" s="1"/>
  <c r="N125" i="1" s="1"/>
  <c r="O125" i="1" s="1"/>
  <c r="P125" i="1" s="1"/>
  <c r="Q125" i="1" s="1"/>
  <c r="R125" i="1" s="1"/>
  <c r="S125" i="1" s="1"/>
  <c r="J123" i="1"/>
  <c r="K123" i="1" s="1"/>
  <c r="L123" i="1" s="1"/>
  <c r="G126" i="1"/>
  <c r="F126" i="1"/>
  <c r="E126" i="1"/>
  <c r="I126" i="1"/>
  <c r="G15" i="27" s="1"/>
  <c r="H126" i="1"/>
  <c r="F15" i="27" s="1"/>
  <c r="C46" i="31" s="1"/>
  <c r="J228" i="1"/>
  <c r="J227" i="1"/>
  <c r="J225" i="1"/>
  <c r="J224" i="1"/>
  <c r="J218" i="1"/>
  <c r="C42" i="28"/>
  <c r="C75" i="28" s="1"/>
  <c r="I126" i="10"/>
  <c r="J121" i="10" s="1"/>
  <c r="J147" i="45"/>
  <c r="J146" i="45"/>
  <c r="J130" i="45"/>
  <c r="G125" i="10"/>
  <c r="G125" i="4" s="1"/>
  <c r="K86" i="10"/>
  <c r="J181" i="40"/>
  <c r="I116" i="4"/>
  <c r="H116" i="4"/>
  <c r="G116" i="4"/>
  <c r="F116" i="4"/>
  <c r="E116" i="4"/>
  <c r="H63" i="27"/>
  <c r="G31" i="18"/>
  <c r="G43" i="18" s="1"/>
  <c r="G53" i="18" s="1"/>
  <c r="G30" i="18"/>
  <c r="G42" i="18" s="1"/>
  <c r="G52" i="18" s="1"/>
  <c r="G19" i="18"/>
  <c r="G18" i="18"/>
  <c r="G17" i="18"/>
  <c r="G16" i="18"/>
  <c r="G14" i="18"/>
  <c r="G15" i="18" s="1"/>
  <c r="H52" i="27"/>
  <c r="H50" i="27"/>
  <c r="H49" i="27"/>
  <c r="H47" i="27"/>
  <c r="I24" i="4"/>
  <c r="J193" i="1"/>
  <c r="H28" i="27"/>
  <c r="H26" i="27"/>
  <c r="J209" i="1"/>
  <c r="J206" i="1"/>
  <c r="C61" i="31"/>
  <c r="C53" i="31"/>
  <c r="C44" i="31"/>
  <c r="D61" i="31"/>
  <c r="D53" i="31"/>
  <c r="D51" i="31"/>
  <c r="J131" i="1"/>
  <c r="J130" i="1"/>
  <c r="J129" i="1"/>
  <c r="J111" i="1"/>
  <c r="J110" i="1"/>
  <c r="H14" i="27"/>
  <c r="J100" i="1"/>
  <c r="J97" i="1"/>
  <c r="J89" i="1"/>
  <c r="J76" i="1"/>
  <c r="J75" i="1"/>
  <c r="J72" i="1"/>
  <c r="J71" i="1"/>
  <c r="J69" i="1"/>
  <c r="J68" i="1"/>
  <c r="J67" i="1"/>
  <c r="J19" i="1"/>
  <c r="J47" i="1"/>
  <c r="J44" i="1"/>
  <c r="J90" i="46"/>
  <c r="J88" i="46"/>
  <c r="J87" i="46"/>
  <c r="J83" i="46"/>
  <c r="J81" i="46"/>
  <c r="J144" i="45"/>
  <c r="D31" i="28" l="1"/>
  <c r="D67" i="28" s="1"/>
  <c r="I30" i="27"/>
  <c r="M123" i="1"/>
  <c r="N123" i="1" s="1"/>
  <c r="D46" i="31"/>
  <c r="I45" i="4"/>
  <c r="J30" i="4"/>
  <c r="J29" i="4"/>
  <c r="J24" i="4"/>
  <c r="J22" i="4"/>
  <c r="G58" i="27"/>
  <c r="J204" i="1"/>
  <c r="I219" i="1"/>
  <c r="J219" i="1" s="1"/>
  <c r="I217" i="1"/>
  <c r="J217" i="1" s="1"/>
  <c r="I214" i="1"/>
  <c r="J214" i="1" s="1"/>
  <c r="I215" i="1"/>
  <c r="J215" i="1" s="1"/>
  <c r="I216" i="1"/>
  <c r="J216" i="1" s="1"/>
  <c r="I221" i="1"/>
  <c r="J221" i="1" s="1"/>
  <c r="I220" i="1"/>
  <c r="J220" i="1" s="1"/>
  <c r="I222" i="1"/>
  <c r="J222" i="1" s="1"/>
  <c r="I223" i="1"/>
  <c r="J223" i="1" s="1"/>
  <c r="G61" i="27"/>
  <c r="I184" i="1"/>
  <c r="G59" i="27" s="1"/>
  <c r="I208" i="1"/>
  <c r="J208" i="1" s="1"/>
  <c r="I207" i="1"/>
  <c r="J207" i="1" s="1"/>
  <c r="I205" i="1"/>
  <c r="J205" i="1" s="1"/>
  <c r="G23" i="27"/>
  <c r="I77" i="1"/>
  <c r="I74" i="46"/>
  <c r="J74" i="46" s="1"/>
  <c r="I73" i="46"/>
  <c r="J73" i="46" s="1"/>
  <c r="I32" i="45"/>
  <c r="J30" i="27" l="1"/>
  <c r="D64" i="31"/>
  <c r="D65" i="31"/>
  <c r="D50" i="31"/>
  <c r="O123" i="1"/>
  <c r="I185" i="1"/>
  <c r="G24" i="18" s="1"/>
  <c r="D66" i="31"/>
  <c r="I229" i="1"/>
  <c r="G62" i="27" s="1"/>
  <c r="I210" i="1"/>
  <c r="I132" i="1" s="1"/>
  <c r="I133" i="1" s="1"/>
  <c r="G31" i="27" s="1"/>
  <c r="G60" i="27"/>
  <c r="I13" i="45"/>
  <c r="I13" i="26" s="1"/>
  <c r="I13" i="33"/>
  <c r="I178" i="33"/>
  <c r="I170" i="33"/>
  <c r="I172" i="33" s="1"/>
  <c r="I173" i="33" s="1"/>
  <c r="I174" i="33" s="1"/>
  <c r="J170" i="33" s="1"/>
  <c r="I163" i="33"/>
  <c r="I165" i="33" s="1"/>
  <c r="I166" i="33" s="1"/>
  <c r="I156" i="33"/>
  <c r="I158" i="33" s="1"/>
  <c r="I159" i="33" s="1"/>
  <c r="I149" i="33"/>
  <c r="I151" i="33" s="1"/>
  <c r="I152" i="33" s="1"/>
  <c r="I153" i="33" s="1"/>
  <c r="J149" i="33" s="1"/>
  <c r="I142" i="33"/>
  <c r="I144" i="33" s="1"/>
  <c r="I145" i="33" s="1"/>
  <c r="I135" i="33"/>
  <c r="I137" i="33" s="1"/>
  <c r="I138" i="33" s="1"/>
  <c r="I128" i="33"/>
  <c r="I130" i="33" s="1"/>
  <c r="I131" i="33" s="1"/>
  <c r="I121" i="33"/>
  <c r="I123" i="33" s="1"/>
  <c r="I124" i="33" s="1"/>
  <c r="I114" i="33"/>
  <c r="I116" i="33" s="1"/>
  <c r="I105" i="33"/>
  <c r="I107" i="33" s="1"/>
  <c r="J105" i="33" s="1"/>
  <c r="I97" i="33"/>
  <c r="I99" i="33" s="1"/>
  <c r="J97" i="33" s="1"/>
  <c r="I88" i="33"/>
  <c r="I91" i="33" s="1"/>
  <c r="I70" i="33"/>
  <c r="I39" i="26" s="1"/>
  <c r="G6" i="32" s="1"/>
  <c r="I68" i="33"/>
  <c r="I57" i="33"/>
  <c r="I60" i="33" s="1"/>
  <c r="J57" i="33" s="1"/>
  <c r="I47" i="33"/>
  <c r="I50" i="33" s="1"/>
  <c r="J47" i="33" s="1"/>
  <c r="I37" i="33"/>
  <c r="I40" i="33" s="1"/>
  <c r="J37" i="33" s="1"/>
  <c r="I27" i="33"/>
  <c r="I30" i="33" s="1"/>
  <c r="J27" i="33" s="1"/>
  <c r="I17" i="33"/>
  <c r="I20" i="33" s="1"/>
  <c r="J17" i="33" s="1"/>
  <c r="I7" i="33"/>
  <c r="I130" i="45"/>
  <c r="I191" i="45"/>
  <c r="I9" i="26"/>
  <c r="I13" i="1"/>
  <c r="J13" i="1" s="1"/>
  <c r="I25" i="1"/>
  <c r="J25" i="1" s="1"/>
  <c r="I26" i="1"/>
  <c r="J26" i="1" s="1"/>
  <c r="I21" i="1"/>
  <c r="I20" i="1"/>
  <c r="I22" i="1"/>
  <c r="I18" i="1"/>
  <c r="J18" i="1" s="1"/>
  <c r="I17" i="1"/>
  <c r="J17" i="1" s="1"/>
  <c r="I24" i="1"/>
  <c r="J24" i="1" s="1"/>
  <c r="I23" i="1"/>
  <c r="I16" i="1"/>
  <c r="J16" i="1" s="1"/>
  <c r="I15" i="1"/>
  <c r="J15" i="1" s="1"/>
  <c r="I55" i="1"/>
  <c r="J55" i="1" s="1"/>
  <c r="I54" i="1"/>
  <c r="I58" i="1"/>
  <c r="J58" i="1" s="1"/>
  <c r="I59" i="1"/>
  <c r="J59" i="1" s="1"/>
  <c r="I61" i="1"/>
  <c r="J61" i="1" s="1"/>
  <c r="I45" i="46"/>
  <c r="I42" i="46"/>
  <c r="I62" i="46"/>
  <c r="I61" i="46"/>
  <c r="I60" i="46"/>
  <c r="I14" i="46"/>
  <c r="I13" i="46"/>
  <c r="I126" i="4"/>
  <c r="J126" i="4" s="1"/>
  <c r="I75" i="46"/>
  <c r="I138" i="4"/>
  <c r="I72" i="46"/>
  <c r="J72" i="46" s="1"/>
  <c r="I68" i="46"/>
  <c r="I139" i="4"/>
  <c r="I67" i="46"/>
  <c r="I66" i="46"/>
  <c r="I32" i="46"/>
  <c r="I103" i="46"/>
  <c r="I119" i="46"/>
  <c r="I133" i="46" s="1"/>
  <c r="I54" i="4"/>
  <c r="I91" i="4"/>
  <c r="J91" i="4" s="1"/>
  <c r="I68" i="45"/>
  <c r="I28" i="46"/>
  <c r="I26" i="46"/>
  <c r="I178" i="45"/>
  <c r="I193" i="45" s="1"/>
  <c r="I165" i="45"/>
  <c r="I205" i="45"/>
  <c r="I23" i="45" s="1"/>
  <c r="I79" i="45" s="1"/>
  <c r="I52" i="45"/>
  <c r="I53" i="45"/>
  <c r="I49" i="45"/>
  <c r="J49" i="45" s="1"/>
  <c r="I47" i="45"/>
  <c r="I63" i="4" s="1"/>
  <c r="I48" i="45"/>
  <c r="I41" i="45"/>
  <c r="I42" i="45"/>
  <c r="I31" i="26" s="1"/>
  <c r="I45" i="45"/>
  <c r="J45" i="45" s="1"/>
  <c r="I44" i="45"/>
  <c r="I43" i="45"/>
  <c r="I40" i="45"/>
  <c r="I27" i="26" s="1"/>
  <c r="I39" i="45"/>
  <c r="I37" i="45"/>
  <c r="I15" i="46"/>
  <c r="I51" i="45" s="1"/>
  <c r="I64" i="45"/>
  <c r="I74" i="45"/>
  <c r="I81" i="45"/>
  <c r="I68" i="10"/>
  <c r="E124" i="45"/>
  <c r="F124" i="45"/>
  <c r="G124" i="45"/>
  <c r="H124" i="45"/>
  <c r="I101" i="45"/>
  <c r="I124" i="45" s="1"/>
  <c r="I100" i="45"/>
  <c r="I48" i="1"/>
  <c r="J48" i="1" s="1"/>
  <c r="I46" i="1"/>
  <c r="J46" i="1" s="1"/>
  <c r="I45" i="1"/>
  <c r="I50" i="1"/>
  <c r="J50" i="1" s="1"/>
  <c r="I49" i="1"/>
  <c r="J49" i="1" s="1"/>
  <c r="I93" i="46"/>
  <c r="J93" i="46" s="1"/>
  <c r="I92" i="46"/>
  <c r="K92" i="46"/>
  <c r="L92" i="46" s="1"/>
  <c r="M92" i="46" s="1"/>
  <c r="N92" i="46" s="1"/>
  <c r="O92" i="46" s="1"/>
  <c r="P92" i="46" s="1"/>
  <c r="Q92" i="46" s="1"/>
  <c r="R92" i="46" s="1"/>
  <c r="S92" i="46" s="1"/>
  <c r="I91" i="46"/>
  <c r="J91" i="46" s="1"/>
  <c r="I89" i="46"/>
  <c r="J89" i="46" s="1"/>
  <c r="I148" i="45"/>
  <c r="J148" i="45" s="1"/>
  <c r="I146" i="45"/>
  <c r="I145" i="45"/>
  <c r="J145" i="45" s="1"/>
  <c r="I143" i="45"/>
  <c r="J143" i="45" s="1"/>
  <c r="I142" i="45"/>
  <c r="I147" i="45"/>
  <c r="I203" i="45"/>
  <c r="I202" i="45"/>
  <c r="I154" i="45"/>
  <c r="I156" i="45"/>
  <c r="I188" i="45"/>
  <c r="I185" i="45"/>
  <c r="I176" i="45"/>
  <c r="I177" i="45"/>
  <c r="I164" i="45"/>
  <c r="I163" i="45"/>
  <c r="I80" i="46"/>
  <c r="J80" i="46" s="1"/>
  <c r="I7" i="1"/>
  <c r="J7" i="1" s="1"/>
  <c r="I84" i="46"/>
  <c r="J84" i="46" s="1"/>
  <c r="I82" i="46"/>
  <c r="J82" i="46" s="1"/>
  <c r="I138" i="45"/>
  <c r="I137" i="45"/>
  <c r="J137" i="45" s="1"/>
  <c r="I136" i="45"/>
  <c r="I135" i="45"/>
  <c r="I133" i="45"/>
  <c r="I132" i="45"/>
  <c r="J132" i="45" s="1"/>
  <c r="I131" i="45"/>
  <c r="I8" i="1"/>
  <c r="J8" i="1" s="1"/>
  <c r="I79" i="46"/>
  <c r="J79" i="46" s="1"/>
  <c r="K30" i="27" l="1"/>
  <c r="D67" i="31"/>
  <c r="I204" i="45"/>
  <c r="I199" i="45"/>
  <c r="I92" i="4" s="1"/>
  <c r="I71" i="46"/>
  <c r="I63" i="46"/>
  <c r="I31" i="46" s="1"/>
  <c r="J31" i="46" s="1"/>
  <c r="I102" i="46"/>
  <c r="J32" i="46"/>
  <c r="I140" i="4"/>
  <c r="J75" i="46"/>
  <c r="I22" i="45"/>
  <c r="I82" i="45" s="1"/>
  <c r="I55" i="4"/>
  <c r="J138" i="45"/>
  <c r="I63" i="45"/>
  <c r="J37" i="45"/>
  <c r="I64" i="4"/>
  <c r="J48" i="45"/>
  <c r="I59" i="4"/>
  <c r="J43" i="45"/>
  <c r="I66" i="4"/>
  <c r="J53" i="45"/>
  <c r="I123" i="45"/>
  <c r="J100" i="45"/>
  <c r="I28" i="26"/>
  <c r="J44" i="45"/>
  <c r="I33" i="26"/>
  <c r="J52" i="45"/>
  <c r="I30" i="26"/>
  <c r="K91" i="4"/>
  <c r="J90" i="4"/>
  <c r="P123" i="1"/>
  <c r="I32" i="26"/>
  <c r="D55" i="31"/>
  <c r="I67" i="33"/>
  <c r="I94" i="33"/>
  <c r="G10" i="27" s="1"/>
  <c r="J88" i="33"/>
  <c r="I130" i="4"/>
  <c r="J13" i="46"/>
  <c r="I131" i="4"/>
  <c r="J14" i="46"/>
  <c r="I25" i="26"/>
  <c r="I23" i="26"/>
  <c r="I139" i="45"/>
  <c r="I16" i="45" s="1"/>
  <c r="I26" i="26"/>
  <c r="I177" i="33"/>
  <c r="I9" i="1"/>
  <c r="I29" i="26"/>
  <c r="I61" i="4"/>
  <c r="I117" i="33"/>
  <c r="I180" i="33" s="1"/>
  <c r="G7" i="32" s="1"/>
  <c r="I179" i="33"/>
  <c r="I94" i="46"/>
  <c r="I17" i="46" s="1"/>
  <c r="I132" i="4"/>
  <c r="I56" i="46"/>
  <c r="I85" i="46"/>
  <c r="I16" i="46" s="1"/>
  <c r="I14" i="1"/>
  <c r="I87" i="4"/>
  <c r="I58" i="4"/>
  <c r="I62" i="1"/>
  <c r="I39" i="1" s="1"/>
  <c r="I105" i="46"/>
  <c r="I24" i="45"/>
  <c r="I65" i="4"/>
  <c r="I10" i="33"/>
  <c r="I14" i="33" s="1"/>
  <c r="I200" i="45"/>
  <c r="I93" i="4" s="1"/>
  <c r="I56" i="1"/>
  <c r="I37" i="1" s="1"/>
  <c r="I167" i="33"/>
  <c r="J163" i="33" s="1"/>
  <c r="I160" i="33"/>
  <c r="J156" i="33" s="1"/>
  <c r="I146" i="33"/>
  <c r="J142" i="33" s="1"/>
  <c r="I139" i="33"/>
  <c r="J135" i="33" s="1"/>
  <c r="I132" i="33"/>
  <c r="J128" i="33" s="1"/>
  <c r="I125" i="33"/>
  <c r="J121" i="33" s="1"/>
  <c r="I27" i="1"/>
  <c r="I47" i="46"/>
  <c r="I135" i="4"/>
  <c r="I54" i="45"/>
  <c r="I65" i="45" s="1"/>
  <c r="I51" i="1"/>
  <c r="I10" i="1" s="1"/>
  <c r="I149" i="45"/>
  <c r="I25" i="45" s="1"/>
  <c r="I206" i="45"/>
  <c r="I90" i="4" s="1"/>
  <c r="I183" i="45"/>
  <c r="I182" i="45"/>
  <c r="I186" i="45" s="1"/>
  <c r="I187" i="45" s="1"/>
  <c r="I86" i="4" s="1"/>
  <c r="I192" i="45"/>
  <c r="I194" i="45" s="1"/>
  <c r="I197" i="45" s="1"/>
  <c r="I15" i="45" s="1"/>
  <c r="I155" i="45"/>
  <c r="I76" i="4" s="1"/>
  <c r="I11" i="1" l="1"/>
  <c r="L30" i="27"/>
  <c r="I30" i="46"/>
  <c r="I100" i="46" s="1"/>
  <c r="L91" i="4"/>
  <c r="K90" i="4"/>
  <c r="Q123" i="1"/>
  <c r="I69" i="33"/>
  <c r="J7" i="33"/>
  <c r="I15" i="26"/>
  <c r="I40" i="1"/>
  <c r="I38" i="26" s="1"/>
  <c r="I80" i="45"/>
  <c r="I69" i="46"/>
  <c r="I76" i="46" s="1"/>
  <c r="I104" i="46" s="1"/>
  <c r="I28" i="1"/>
  <c r="I34" i="26"/>
  <c r="I24" i="26" s="1"/>
  <c r="I118" i="33"/>
  <c r="I78" i="45"/>
  <c r="I11" i="26"/>
  <c r="M30" i="27" l="1"/>
  <c r="M91" i="4"/>
  <c r="L90" i="4"/>
  <c r="R123" i="1"/>
  <c r="I181" i="33"/>
  <c r="J114" i="33"/>
  <c r="I33" i="46"/>
  <c r="I29" i="1"/>
  <c r="I50" i="26"/>
  <c r="N30" i="27" l="1"/>
  <c r="N91" i="4"/>
  <c r="M90" i="4"/>
  <c r="S123" i="1"/>
  <c r="I7" i="45"/>
  <c r="I143" i="4"/>
  <c r="I119" i="4"/>
  <c r="I117" i="4"/>
  <c r="I125" i="10"/>
  <c r="I124" i="10"/>
  <c r="J1132" i="40"/>
  <c r="J1133" i="40" s="1"/>
  <c r="I1132" i="40"/>
  <c r="I1133" i="40" s="1"/>
  <c r="J1129" i="40"/>
  <c r="I1129" i="40"/>
  <c r="J1128" i="40"/>
  <c r="I1128" i="40"/>
  <c r="J1127" i="40"/>
  <c r="I1127" i="40"/>
  <c r="J1123" i="40"/>
  <c r="J1124" i="40"/>
  <c r="I1124" i="40"/>
  <c r="I1123" i="40"/>
  <c r="I1118" i="40"/>
  <c r="J1118" i="40"/>
  <c r="I1115" i="40"/>
  <c r="J1115" i="40"/>
  <c r="I1110" i="40"/>
  <c r="J1110" i="40"/>
  <c r="I1065" i="40"/>
  <c r="J1065" i="40"/>
  <c r="I1070" i="40"/>
  <c r="J1070" i="40"/>
  <c r="I1073" i="40"/>
  <c r="J1073" i="40"/>
  <c r="I1080" i="40"/>
  <c r="J1080" i="40"/>
  <c r="I1085" i="40"/>
  <c r="J1085" i="40"/>
  <c r="I1088" i="40"/>
  <c r="J1088" i="40"/>
  <c r="I1095" i="40"/>
  <c r="J1095" i="40"/>
  <c r="I1100" i="40"/>
  <c r="J1100" i="40"/>
  <c r="I1103" i="40"/>
  <c r="J1103" i="40"/>
  <c r="H1133" i="40"/>
  <c r="G1133" i="40"/>
  <c r="F1133" i="40"/>
  <c r="E1133" i="40"/>
  <c r="D1133" i="40"/>
  <c r="H1130" i="40"/>
  <c r="G1130" i="40"/>
  <c r="F1130" i="40"/>
  <c r="E1130" i="40"/>
  <c r="D1130" i="40"/>
  <c r="H1125" i="40"/>
  <c r="G1125" i="40"/>
  <c r="F1125" i="40"/>
  <c r="E1125" i="40"/>
  <c r="D1125" i="40"/>
  <c r="H1103" i="40"/>
  <c r="G1103" i="40"/>
  <c r="F1103" i="40"/>
  <c r="E1103" i="40"/>
  <c r="D1103" i="40"/>
  <c r="H1100" i="40"/>
  <c r="G1100" i="40"/>
  <c r="F1100" i="40"/>
  <c r="E1100" i="40"/>
  <c r="D1100" i="40"/>
  <c r="H1095" i="40"/>
  <c r="G1095" i="40"/>
  <c r="F1095" i="40"/>
  <c r="E1095" i="40"/>
  <c r="D1095" i="40"/>
  <c r="H1088" i="40"/>
  <c r="G1088" i="40"/>
  <c r="F1088" i="40"/>
  <c r="E1088" i="40"/>
  <c r="D1088" i="40"/>
  <c r="H1085" i="40"/>
  <c r="G1085" i="40"/>
  <c r="F1085" i="40"/>
  <c r="E1085" i="40"/>
  <c r="D1085" i="40"/>
  <c r="H1080" i="40"/>
  <c r="G1080" i="40"/>
  <c r="F1080" i="40"/>
  <c r="E1080" i="40"/>
  <c r="D1080" i="40"/>
  <c r="H1073" i="40"/>
  <c r="G1073" i="40"/>
  <c r="F1073" i="40"/>
  <c r="E1073" i="40"/>
  <c r="D1073" i="40"/>
  <c r="H1070" i="40"/>
  <c r="G1070" i="40"/>
  <c r="F1070" i="40"/>
  <c r="E1070" i="40"/>
  <c r="D1070" i="40"/>
  <c r="H1065" i="40"/>
  <c r="G1065" i="40"/>
  <c r="F1065" i="40"/>
  <c r="E1065" i="40"/>
  <c r="D1065" i="40"/>
  <c r="H90" i="10"/>
  <c r="J1193" i="40"/>
  <c r="J1194" i="40" s="1"/>
  <c r="I1193" i="40"/>
  <c r="I1194" i="40" s="1"/>
  <c r="J1190" i="40"/>
  <c r="I1190" i="40"/>
  <c r="J1189" i="40"/>
  <c r="I1189" i="40"/>
  <c r="J1188" i="40"/>
  <c r="I1188" i="40"/>
  <c r="J1185" i="40"/>
  <c r="I1185" i="40"/>
  <c r="J1184" i="40"/>
  <c r="I1184" i="40"/>
  <c r="J1179" i="40"/>
  <c r="I1179" i="40"/>
  <c r="J1176" i="40"/>
  <c r="I1176" i="40"/>
  <c r="J1171" i="40"/>
  <c r="I1171" i="40"/>
  <c r="J1164" i="40"/>
  <c r="I1164" i="40"/>
  <c r="J1161" i="40"/>
  <c r="I1161" i="40"/>
  <c r="J1156" i="40"/>
  <c r="I1156" i="40"/>
  <c r="J1149" i="40"/>
  <c r="I1149" i="40"/>
  <c r="J1146" i="40"/>
  <c r="I1146" i="40"/>
  <c r="J1141" i="40"/>
  <c r="I1141" i="40"/>
  <c r="J723" i="40"/>
  <c r="J724" i="40" s="1"/>
  <c r="I723" i="40"/>
  <c r="I724" i="40" s="1"/>
  <c r="J720" i="40"/>
  <c r="I720" i="40"/>
  <c r="J719" i="40"/>
  <c r="I719" i="40"/>
  <c r="J718" i="40"/>
  <c r="I718" i="40"/>
  <c r="I715" i="40"/>
  <c r="I714" i="40"/>
  <c r="J715" i="40"/>
  <c r="J714" i="40"/>
  <c r="J709" i="40"/>
  <c r="I709" i="40"/>
  <c r="J706" i="40"/>
  <c r="I706" i="40"/>
  <c r="J701" i="40"/>
  <c r="I701" i="40"/>
  <c r="J694" i="40"/>
  <c r="I694" i="40"/>
  <c r="J691" i="40"/>
  <c r="I691" i="40"/>
  <c r="J686" i="40"/>
  <c r="I686" i="40"/>
  <c r="J679" i="40"/>
  <c r="I679" i="40"/>
  <c r="J676" i="40"/>
  <c r="I676" i="40"/>
  <c r="J671" i="40"/>
  <c r="I671" i="40"/>
  <c r="I17" i="10"/>
  <c r="I16" i="10"/>
  <c r="I1119" i="40" l="1"/>
  <c r="O30" i="27"/>
  <c r="I12" i="46"/>
  <c r="I125" i="4"/>
  <c r="J125" i="4" s="1"/>
  <c r="J1119" i="40"/>
  <c r="I93" i="45"/>
  <c r="I116" i="45" s="1"/>
  <c r="G7" i="18"/>
  <c r="G23" i="18" s="1"/>
  <c r="J16" i="10"/>
  <c r="O91" i="4"/>
  <c r="N90" i="4"/>
  <c r="I1130" i="40"/>
  <c r="E1104" i="40"/>
  <c r="I1074" i="40"/>
  <c r="H114" i="10" s="1"/>
  <c r="I12" i="26"/>
  <c r="I11" i="46"/>
  <c r="G1089" i="40"/>
  <c r="D1134" i="40"/>
  <c r="I1089" i="40"/>
  <c r="H115" i="10" s="1"/>
  <c r="I1104" i="40"/>
  <c r="H116" i="10" s="1"/>
  <c r="J1125" i="40"/>
  <c r="F1089" i="40"/>
  <c r="E1134" i="40"/>
  <c r="H1134" i="40"/>
  <c r="J1130" i="40"/>
  <c r="I1125" i="40"/>
  <c r="I1134" i="40" s="1"/>
  <c r="H117" i="10" s="1"/>
  <c r="I113" i="10" s="1"/>
  <c r="J1104" i="40"/>
  <c r="I116" i="10" s="1"/>
  <c r="J1089" i="40"/>
  <c r="I115" i="10" s="1"/>
  <c r="I10" i="46" s="1"/>
  <c r="J1074" i="40"/>
  <c r="I114" i="10" s="1"/>
  <c r="I104" i="4" s="1"/>
  <c r="J721" i="40"/>
  <c r="J1165" i="40"/>
  <c r="I91" i="10" s="1"/>
  <c r="J1186" i="40"/>
  <c r="E1089" i="40"/>
  <c r="D1089" i="40"/>
  <c r="G1134" i="40"/>
  <c r="I1150" i="40"/>
  <c r="H1089" i="40"/>
  <c r="F1134" i="40"/>
  <c r="I680" i="40"/>
  <c r="H47" i="10" s="1"/>
  <c r="I716" i="40"/>
  <c r="I721" i="40"/>
  <c r="I1186" i="40"/>
  <c r="E1074" i="40"/>
  <c r="D1074" i="40"/>
  <c r="H1074" i="40"/>
  <c r="G1104" i="40"/>
  <c r="F1104" i="40"/>
  <c r="G1074" i="40"/>
  <c r="F1074" i="40"/>
  <c r="D1104" i="40"/>
  <c r="H1104" i="40"/>
  <c r="I1165" i="40"/>
  <c r="H91" i="10" s="1"/>
  <c r="I1191" i="40"/>
  <c r="J1191" i="40"/>
  <c r="I1180" i="40"/>
  <c r="H92" i="10" s="1"/>
  <c r="J1150" i="40"/>
  <c r="J1180" i="40"/>
  <c r="I92" i="10" s="1"/>
  <c r="I695" i="40"/>
  <c r="H48" i="10" s="1"/>
  <c r="J680" i="40"/>
  <c r="J695" i="40"/>
  <c r="I48" i="10" s="1"/>
  <c r="J710" i="40"/>
  <c r="I49" i="10" s="1"/>
  <c r="I25" i="46" s="1"/>
  <c r="I21" i="45" s="1"/>
  <c r="I710" i="40"/>
  <c r="H49" i="10" s="1"/>
  <c r="J716" i="40"/>
  <c r="J725" i="40" s="1"/>
  <c r="I51" i="10" s="1"/>
  <c r="J47" i="10" s="1"/>
  <c r="P30" i="27" l="1"/>
  <c r="Q30" i="27" s="1"/>
  <c r="I725" i="40"/>
  <c r="H51" i="10" s="1"/>
  <c r="I47" i="10" s="1"/>
  <c r="J112" i="45"/>
  <c r="K125" i="4"/>
  <c r="P91" i="4"/>
  <c r="O90" i="4"/>
  <c r="J1134" i="40"/>
  <c r="I117" i="10" s="1"/>
  <c r="I1195" i="40"/>
  <c r="H93" i="10" s="1"/>
  <c r="I90" i="10" s="1"/>
  <c r="J1195" i="40"/>
  <c r="I93" i="10" s="1"/>
  <c r="J91" i="10" s="1"/>
  <c r="I52" i="10"/>
  <c r="L125" i="4" l="1"/>
  <c r="K112" i="45"/>
  <c r="H52" i="10"/>
  <c r="Q91" i="4"/>
  <c r="P90" i="4"/>
  <c r="I118" i="46"/>
  <c r="I132" i="46" s="1"/>
  <c r="J113" i="10"/>
  <c r="I118" i="10"/>
  <c r="J47" i="4"/>
  <c r="M125" i="4" l="1"/>
  <c r="L112" i="45"/>
  <c r="R91" i="4"/>
  <c r="Q90" i="4"/>
  <c r="J1463" i="40"/>
  <c r="J1464" i="40"/>
  <c r="J1465" i="40"/>
  <c r="J1435" i="40"/>
  <c r="J1429" i="40"/>
  <c r="J1398" i="40"/>
  <c r="J1405" i="40"/>
  <c r="J1411" i="40"/>
  <c r="J1381" i="40"/>
  <c r="J1387" i="40"/>
  <c r="N125" i="4" l="1"/>
  <c r="M112" i="45"/>
  <c r="S91" i="4"/>
  <c r="S90" i="4" s="1"/>
  <c r="R90" i="4"/>
  <c r="J1486" i="40"/>
  <c r="J1482" i="40"/>
  <c r="J1490" i="40"/>
  <c r="J1491" i="40"/>
  <c r="J1487" i="40"/>
  <c r="J1483" i="40"/>
  <c r="J1481" i="40"/>
  <c r="J1485" i="40"/>
  <c r="J1489" i="40"/>
  <c r="J1422" i="40"/>
  <c r="J1436" i="40" s="1"/>
  <c r="I66" i="10" s="1"/>
  <c r="J1412" i="40"/>
  <c r="I65" i="10" s="1"/>
  <c r="J1374" i="40"/>
  <c r="J1388" i="40" s="1"/>
  <c r="I64" i="10" s="1"/>
  <c r="O125" i="4" l="1"/>
  <c r="N112" i="45"/>
  <c r="J1301" i="40"/>
  <c r="J1308" i="40"/>
  <c r="J1314" i="40"/>
  <c r="J1277" i="40"/>
  <c r="J1284" i="40"/>
  <c r="J1290" i="40"/>
  <c r="J1260" i="40"/>
  <c r="J1266" i="40"/>
  <c r="J1206" i="40"/>
  <c r="J1213" i="40"/>
  <c r="J1219" i="40"/>
  <c r="I1041" i="40"/>
  <c r="I1042" i="40" s="1"/>
  <c r="I1038" i="40"/>
  <c r="I1037" i="40"/>
  <c r="I1036" i="40"/>
  <c r="I1033" i="40"/>
  <c r="I1032" i="40"/>
  <c r="J1019" i="40"/>
  <c r="J1024" i="40"/>
  <c r="J1027" i="40"/>
  <c r="J1004" i="40"/>
  <c r="J1009" i="40"/>
  <c r="J1012" i="40"/>
  <c r="J989" i="40"/>
  <c r="J994" i="40"/>
  <c r="J997" i="40"/>
  <c r="J963" i="40"/>
  <c r="J964" i="40" s="1"/>
  <c r="J959" i="40"/>
  <c r="J967" i="40"/>
  <c r="J944" i="40"/>
  <c r="J949" i="40"/>
  <c r="J952" i="40"/>
  <c r="J929" i="40"/>
  <c r="J934" i="40"/>
  <c r="J937" i="40"/>
  <c r="I891" i="40"/>
  <c r="I892" i="40" s="1"/>
  <c r="I888" i="40"/>
  <c r="I887" i="40"/>
  <c r="I886" i="40"/>
  <c r="I883" i="40"/>
  <c r="I882" i="40"/>
  <c r="J869" i="40"/>
  <c r="J874" i="40"/>
  <c r="J877" i="40"/>
  <c r="J854" i="40"/>
  <c r="J859" i="40"/>
  <c r="J862" i="40"/>
  <c r="J839" i="40"/>
  <c r="J844" i="40"/>
  <c r="J847" i="40"/>
  <c r="J809" i="40"/>
  <c r="J814" i="40"/>
  <c r="J817" i="40"/>
  <c r="J782" i="40"/>
  <c r="J785" i="40"/>
  <c r="J794" i="40"/>
  <c r="J799" i="40"/>
  <c r="J802" i="40"/>
  <c r="J777" i="40"/>
  <c r="J767" i="40"/>
  <c r="J770" i="40"/>
  <c r="P125" i="4" l="1"/>
  <c r="O112" i="45"/>
  <c r="I1034" i="40"/>
  <c r="J1291" i="40"/>
  <c r="I58" i="10" s="1"/>
  <c r="J786" i="40"/>
  <c r="I884" i="40"/>
  <c r="I889" i="40"/>
  <c r="J1315" i="40"/>
  <c r="I59" i="10" s="1"/>
  <c r="J1253" i="40"/>
  <c r="J1267" i="40" s="1"/>
  <c r="I57" i="10" s="1"/>
  <c r="J1220" i="40"/>
  <c r="I56" i="10" s="1"/>
  <c r="I1039" i="40"/>
  <c r="I1043" i="40" s="1"/>
  <c r="J1028" i="40"/>
  <c r="I107" i="10" s="1"/>
  <c r="J1013" i="40"/>
  <c r="I106" i="10" s="1"/>
  <c r="I9" i="46" s="1"/>
  <c r="J998" i="40"/>
  <c r="I105" i="10" s="1"/>
  <c r="J968" i="40"/>
  <c r="I100" i="10" s="1"/>
  <c r="J953" i="40"/>
  <c r="I99" i="10" s="1"/>
  <c r="J938" i="40"/>
  <c r="I98" i="10" s="1"/>
  <c r="I102" i="4" s="1"/>
  <c r="J878" i="40"/>
  <c r="I84" i="10" s="1"/>
  <c r="J863" i="40"/>
  <c r="I83" i="10" s="1"/>
  <c r="J848" i="40"/>
  <c r="J818" i="40"/>
  <c r="I75" i="10" s="1"/>
  <c r="J803" i="40"/>
  <c r="I74" i="10" s="1"/>
  <c r="J762" i="40"/>
  <c r="J771" i="40" s="1"/>
  <c r="J622" i="40"/>
  <c r="J623" i="40"/>
  <c r="J624" i="40"/>
  <c r="J625" i="40"/>
  <c r="J626" i="40"/>
  <c r="J629" i="40"/>
  <c r="J630" i="40"/>
  <c r="J631" i="40"/>
  <c r="J632" i="40"/>
  <c r="J633" i="40"/>
  <c r="J636" i="40"/>
  <c r="J637" i="40"/>
  <c r="J638" i="40"/>
  <c r="J639" i="40"/>
  <c r="I639" i="40"/>
  <c r="I638" i="40"/>
  <c r="I637" i="40"/>
  <c r="I636" i="40"/>
  <c r="I633" i="40"/>
  <c r="I632" i="40"/>
  <c r="I631" i="40"/>
  <c r="I630" i="40"/>
  <c r="I629" i="40"/>
  <c r="I623" i="40"/>
  <c r="I624" i="40"/>
  <c r="I625" i="40"/>
  <c r="I626" i="40"/>
  <c r="I622" i="40"/>
  <c r="J651" i="40"/>
  <c r="J658" i="40"/>
  <c r="J664" i="40"/>
  <c r="I591" i="40"/>
  <c r="J567" i="40" s="1"/>
  <c r="J591" i="40" s="1"/>
  <c r="I590" i="40"/>
  <c r="J566" i="40" s="1"/>
  <c r="J590" i="40" s="1"/>
  <c r="I589" i="40"/>
  <c r="J565" i="40" s="1"/>
  <c r="J589" i="40" s="1"/>
  <c r="I588" i="40"/>
  <c r="J564" i="40" s="1"/>
  <c r="I585" i="40"/>
  <c r="J561" i="40" s="1"/>
  <c r="J585" i="40" s="1"/>
  <c r="I584" i="40"/>
  <c r="J560" i="40" s="1"/>
  <c r="J584" i="40" s="1"/>
  <c r="I583" i="40"/>
  <c r="J559" i="40" s="1"/>
  <c r="J583" i="40" s="1"/>
  <c r="I582" i="40"/>
  <c r="J558" i="40" s="1"/>
  <c r="I581" i="40"/>
  <c r="J557" i="40" s="1"/>
  <c r="J581" i="40" s="1"/>
  <c r="I578" i="40"/>
  <c r="J554" i="40" s="1"/>
  <c r="J578" i="40" s="1"/>
  <c r="I577" i="40"/>
  <c r="J553" i="40" s="1"/>
  <c r="J577" i="40" s="1"/>
  <c r="I576" i="40"/>
  <c r="J552" i="40" s="1"/>
  <c r="J576" i="40" s="1"/>
  <c r="I575" i="40"/>
  <c r="J551" i="40" s="1"/>
  <c r="J575" i="40" s="1"/>
  <c r="I574" i="40"/>
  <c r="J550" i="40" s="1"/>
  <c r="J603" i="40"/>
  <c r="J610" i="40"/>
  <c r="J616" i="40"/>
  <c r="I616" i="40"/>
  <c r="I610" i="40"/>
  <c r="I603" i="40"/>
  <c r="J544" i="40"/>
  <c r="J538" i="40"/>
  <c r="J507" i="40"/>
  <c r="J514" i="40"/>
  <c r="J520" i="40"/>
  <c r="J483" i="40"/>
  <c r="J490" i="40"/>
  <c r="J496" i="40"/>
  <c r="J454" i="40"/>
  <c r="J455" i="40"/>
  <c r="J456" i="40"/>
  <c r="J457" i="40"/>
  <c r="J458" i="40"/>
  <c r="J461" i="40"/>
  <c r="J462" i="40"/>
  <c r="J463" i="40"/>
  <c r="J464" i="40"/>
  <c r="J465" i="40"/>
  <c r="J468" i="40"/>
  <c r="J469" i="40"/>
  <c r="J470" i="40"/>
  <c r="J471" i="40"/>
  <c r="J435" i="40"/>
  <c r="J442" i="40"/>
  <c r="J448" i="40"/>
  <c r="J411" i="40"/>
  <c r="J418" i="40"/>
  <c r="J388" i="40"/>
  <c r="J395" i="40"/>
  <c r="J401" i="40"/>
  <c r="J313" i="40"/>
  <c r="J320" i="40"/>
  <c r="J326" i="40"/>
  <c r="J288" i="40"/>
  <c r="J295" i="40"/>
  <c r="J301" i="40"/>
  <c r="J261" i="40"/>
  <c r="J262" i="40"/>
  <c r="J263" i="40"/>
  <c r="J264" i="40"/>
  <c r="J265" i="40"/>
  <c r="J268" i="40"/>
  <c r="J269" i="40"/>
  <c r="J270" i="40"/>
  <c r="J271" i="40"/>
  <c r="J272" i="40"/>
  <c r="J275" i="40"/>
  <c r="J276" i="40"/>
  <c r="J277" i="40"/>
  <c r="J278" i="40"/>
  <c r="J222" i="40"/>
  <c r="J229" i="40"/>
  <c r="J235" i="40"/>
  <c r="J200" i="40"/>
  <c r="J207" i="40"/>
  <c r="J213" i="40"/>
  <c r="J156" i="40"/>
  <c r="J163" i="40"/>
  <c r="J169" i="40"/>
  <c r="J178" i="40"/>
  <c r="J185" i="40"/>
  <c r="J191" i="40"/>
  <c r="J54" i="40"/>
  <c r="J55" i="40"/>
  <c r="J56" i="40"/>
  <c r="J57" i="40"/>
  <c r="J58" i="40"/>
  <c r="J61" i="40"/>
  <c r="J62" i="40"/>
  <c r="J63" i="40"/>
  <c r="J64" i="40"/>
  <c r="J65" i="40"/>
  <c r="J68" i="40"/>
  <c r="J69" i="40"/>
  <c r="J70" i="40"/>
  <c r="J71" i="40"/>
  <c r="J49" i="40"/>
  <c r="I8" i="4" s="1"/>
  <c r="I15" i="4"/>
  <c r="J24" i="43"/>
  <c r="J23" i="43"/>
  <c r="J22" i="43"/>
  <c r="J21" i="43"/>
  <c r="J20" i="43"/>
  <c r="J18" i="43"/>
  <c r="J13" i="43"/>
  <c r="J12" i="43"/>
  <c r="J8" i="43"/>
  <c r="J7" i="43"/>
  <c r="J6" i="43"/>
  <c r="J332" i="43"/>
  <c r="J339" i="43"/>
  <c r="J345" i="43"/>
  <c r="J310" i="43"/>
  <c r="J311" i="43"/>
  <c r="J312" i="43"/>
  <c r="J314" i="43"/>
  <c r="J317" i="43"/>
  <c r="J318" i="43"/>
  <c r="J319" i="43"/>
  <c r="J320" i="43"/>
  <c r="J278" i="43"/>
  <c r="J279" i="43"/>
  <c r="J280" i="43"/>
  <c r="J281" i="43"/>
  <c r="J282" i="43"/>
  <c r="J285" i="43"/>
  <c r="J286" i="43"/>
  <c r="J287" i="43"/>
  <c r="J288" i="43"/>
  <c r="J289" i="43"/>
  <c r="J292" i="43"/>
  <c r="J293" i="43"/>
  <c r="J294" i="43"/>
  <c r="J295" i="43"/>
  <c r="J259" i="43"/>
  <c r="J266" i="43"/>
  <c r="J272" i="43"/>
  <c r="J235" i="43"/>
  <c r="J242" i="43"/>
  <c r="J248" i="43"/>
  <c r="J211" i="43"/>
  <c r="J218" i="43"/>
  <c r="J224" i="43"/>
  <c r="J187" i="43"/>
  <c r="J194" i="43"/>
  <c r="J200" i="43"/>
  <c r="J161" i="43"/>
  <c r="J168" i="43"/>
  <c r="J174" i="43"/>
  <c r="J137" i="43"/>
  <c r="J144" i="43"/>
  <c r="J150" i="43"/>
  <c r="J113" i="43"/>
  <c r="J120" i="43"/>
  <c r="J126" i="43"/>
  <c r="J89" i="43"/>
  <c r="J96" i="43"/>
  <c r="J102" i="43"/>
  <c r="J64" i="43"/>
  <c r="J273" i="43" l="1"/>
  <c r="Q125" i="4"/>
  <c r="P112" i="45"/>
  <c r="J359" i="43"/>
  <c r="J86" i="40" s="1"/>
  <c r="J368" i="43"/>
  <c r="J95" i="40" s="1"/>
  <c r="J367" i="43"/>
  <c r="J94" i="40" s="1"/>
  <c r="J358" i="43"/>
  <c r="J85" i="40" s="1"/>
  <c r="J109" i="40" s="1"/>
  <c r="J366" i="43"/>
  <c r="J93" i="40" s="1"/>
  <c r="J117" i="40" s="1"/>
  <c r="J365" i="43"/>
  <c r="J362" i="43"/>
  <c r="J89" i="40" s="1"/>
  <c r="J296" i="43"/>
  <c r="J360" i="43"/>
  <c r="J87" i="40" s="1"/>
  <c r="J290" i="43"/>
  <c r="I146" i="4"/>
  <c r="I8" i="46"/>
  <c r="I97" i="46"/>
  <c r="J283" i="43"/>
  <c r="I130" i="10"/>
  <c r="I103" i="4"/>
  <c r="I101" i="4" s="1"/>
  <c r="I144" i="4"/>
  <c r="I129" i="10"/>
  <c r="I145" i="4"/>
  <c r="I893" i="40"/>
  <c r="J634" i="40"/>
  <c r="I640" i="40"/>
  <c r="J627" i="40"/>
  <c r="J59" i="40"/>
  <c r="J110" i="40"/>
  <c r="J72" i="40"/>
  <c r="J640" i="40"/>
  <c r="J118" i="40"/>
  <c r="J617" i="40"/>
  <c r="I38" i="10" s="1"/>
  <c r="I634" i="40"/>
  <c r="J665" i="40"/>
  <c r="I44" i="10" s="1"/>
  <c r="I627" i="40"/>
  <c r="J66" i="40"/>
  <c r="J119" i="40"/>
  <c r="J113" i="40"/>
  <c r="J111" i="40"/>
  <c r="J568" i="40"/>
  <c r="J588" i="40"/>
  <c r="J592" i="40" s="1"/>
  <c r="J562" i="40"/>
  <c r="J582" i="40"/>
  <c r="J586" i="40" s="1"/>
  <c r="J555" i="40"/>
  <c r="J574" i="40"/>
  <c r="J579" i="40" s="1"/>
  <c r="I617" i="40"/>
  <c r="H38" i="10" s="1"/>
  <c r="J279" i="40"/>
  <c r="J273" i="40"/>
  <c r="J472" i="40"/>
  <c r="J466" i="40"/>
  <c r="J459" i="40"/>
  <c r="J266" i="40"/>
  <c r="J531" i="40"/>
  <c r="J545" i="40" s="1"/>
  <c r="I36" i="10" s="1"/>
  <c r="I81" i="10" s="1"/>
  <c r="I24" i="46" s="1"/>
  <c r="I20" i="45" s="1"/>
  <c r="J521" i="40"/>
  <c r="I35" i="10" s="1"/>
  <c r="J497" i="40"/>
  <c r="I32" i="10" s="1"/>
  <c r="J449" i="40"/>
  <c r="I27" i="10" s="1"/>
  <c r="J425" i="40"/>
  <c r="J402" i="40"/>
  <c r="I25" i="10" s="1"/>
  <c r="J327" i="40"/>
  <c r="I23" i="10" s="1"/>
  <c r="J302" i="40"/>
  <c r="I20" i="10" s="1"/>
  <c r="J236" i="40"/>
  <c r="J214" i="40"/>
  <c r="I10" i="10" s="1"/>
  <c r="J170" i="40"/>
  <c r="J192" i="40"/>
  <c r="J346" i="43"/>
  <c r="J249" i="43"/>
  <c r="J225" i="43"/>
  <c r="J201" i="43"/>
  <c r="J175" i="43"/>
  <c r="J151" i="43"/>
  <c r="J127" i="43"/>
  <c r="J103" i="43"/>
  <c r="R125" i="4" l="1"/>
  <c r="Q112" i="45"/>
  <c r="I9" i="10"/>
  <c r="I70" i="4" s="1"/>
  <c r="J70" i="4" s="1"/>
  <c r="J297" i="43"/>
  <c r="J369" i="43"/>
  <c r="J92" i="40"/>
  <c r="J116" i="40" s="1"/>
  <c r="I11" i="10"/>
  <c r="I98" i="45"/>
  <c r="I121" i="45" s="1"/>
  <c r="J43" i="10"/>
  <c r="I97" i="45"/>
  <c r="I120" i="45" s="1"/>
  <c r="J31" i="10"/>
  <c r="I94" i="45"/>
  <c r="I117" i="45" s="1"/>
  <c r="J19" i="10"/>
  <c r="J274" i="43"/>
  <c r="I71" i="4"/>
  <c r="J71" i="4" s="1"/>
  <c r="I72" i="4"/>
  <c r="J72" i="4" s="1"/>
  <c r="J176" i="43"/>
  <c r="I7" i="46"/>
  <c r="I10" i="26"/>
  <c r="I14" i="26" s="1"/>
  <c r="I169" i="45"/>
  <c r="J788" i="40"/>
  <c r="I24" i="10"/>
  <c r="I73" i="10" s="1"/>
  <c r="I23" i="46" s="1"/>
  <c r="J73" i="40"/>
  <c r="I10" i="4" s="1"/>
  <c r="J641" i="40"/>
  <c r="I641" i="40"/>
  <c r="J331" i="40"/>
  <c r="J569" i="40"/>
  <c r="J593" i="40"/>
  <c r="I39" i="10" s="1"/>
  <c r="J473" i="40"/>
  <c r="I31" i="10" s="1"/>
  <c r="J280" i="40"/>
  <c r="I19" i="10" s="1"/>
  <c r="S125" i="4" l="1"/>
  <c r="S112" i="45" s="1"/>
  <c r="R112" i="45"/>
  <c r="I60" i="45"/>
  <c r="J96" i="40"/>
  <c r="J120" i="40" s="1"/>
  <c r="I114" i="1"/>
  <c r="J298" i="43"/>
  <c r="J34" i="10"/>
  <c r="I18" i="46"/>
  <c r="I20" i="46"/>
  <c r="I19" i="45"/>
  <c r="I99" i="46"/>
  <c r="I17" i="26"/>
  <c r="I119" i="1"/>
  <c r="I120" i="1" s="1"/>
  <c r="I164" i="4" s="1"/>
  <c r="I40" i="10"/>
  <c r="I96" i="45"/>
  <c r="I119" i="45" s="1"/>
  <c r="I173" i="45"/>
  <c r="I84" i="4" s="1"/>
  <c r="I172" i="45"/>
  <c r="I83" i="4" s="1"/>
  <c r="J83" i="4" s="1"/>
  <c r="I171" i="45"/>
  <c r="I82" i="4" s="1"/>
  <c r="J82" i="4" s="1"/>
  <c r="I69" i="45" l="1"/>
  <c r="I17" i="45"/>
  <c r="I26" i="45" s="1"/>
  <c r="J34" i="43"/>
  <c r="J35" i="43"/>
  <c r="J36" i="43"/>
  <c r="J37" i="43"/>
  <c r="J31" i="43"/>
  <c r="J30" i="43"/>
  <c r="J11" i="43"/>
  <c r="J26" i="43"/>
  <c r="I16" i="4"/>
  <c r="J14" i="40"/>
  <c r="J21" i="40"/>
  <c r="J27" i="40"/>
  <c r="J28" i="40" l="1"/>
  <c r="I9" i="4" s="1"/>
  <c r="J27" i="43"/>
  <c r="J32" i="43"/>
  <c r="J59" i="43" s="1"/>
  <c r="I40" i="4" s="1"/>
  <c r="J38" i="43"/>
  <c r="J9" i="4" l="1"/>
  <c r="J60" i="43"/>
  <c r="J61" i="43"/>
  <c r="J42" i="43"/>
  <c r="J43" i="43"/>
  <c r="J71" i="43"/>
  <c r="J41" i="43"/>
  <c r="J40" i="43"/>
  <c r="G51" i="36"/>
  <c r="G36" i="36"/>
  <c r="H229" i="1"/>
  <c r="J76" i="43" l="1"/>
  <c r="J44" i="43"/>
  <c r="K175" i="31"/>
  <c r="J175" i="31"/>
  <c r="I175" i="31"/>
  <c r="H175" i="31"/>
  <c r="G175" i="31"/>
  <c r="F175" i="31"/>
  <c r="E175" i="31"/>
  <c r="D175" i="31"/>
  <c r="C175" i="31"/>
  <c r="K184" i="31"/>
  <c r="J184" i="31"/>
  <c r="I184" i="31"/>
  <c r="H184" i="31"/>
  <c r="G184" i="31"/>
  <c r="F184" i="31"/>
  <c r="E184" i="31"/>
  <c r="D184" i="31"/>
  <c r="C184" i="31"/>
  <c r="K185" i="31"/>
  <c r="J185" i="31"/>
  <c r="I185" i="31"/>
  <c r="H185" i="31"/>
  <c r="G185" i="31"/>
  <c r="F185" i="31"/>
  <c r="E185" i="31"/>
  <c r="D185" i="31"/>
  <c r="C185" i="31"/>
  <c r="J46" i="4" l="1"/>
  <c r="D11" i="31" s="1"/>
  <c r="J45" i="4" l="1"/>
  <c r="K118" i="10"/>
  <c r="L118" i="10" s="1"/>
  <c r="M118" i="10" s="1"/>
  <c r="N118" i="10" s="1"/>
  <c r="O118" i="10" s="1"/>
  <c r="P118" i="10" s="1"/>
  <c r="Q118" i="10" s="1"/>
  <c r="R118" i="10" s="1"/>
  <c r="S118" i="10" s="1"/>
  <c r="H113" i="10" l="1"/>
  <c r="K48" i="10"/>
  <c r="K50" i="10" s="1"/>
  <c r="H118" i="10" l="1"/>
  <c r="Q183" i="4" l="1"/>
  <c r="K73" i="4"/>
  <c r="L52" i="31" l="1"/>
  <c r="M52" i="31"/>
  <c r="M43" i="28" l="1"/>
  <c r="L43" i="28"/>
  <c r="E201" i="1" l="1"/>
  <c r="F201" i="1"/>
  <c r="G201" i="1"/>
  <c r="H201" i="1"/>
  <c r="L86" i="10" l="1"/>
  <c r="M86" i="10" s="1"/>
  <c r="L17" i="4"/>
  <c r="F5" i="31" l="1"/>
  <c r="L30" i="45"/>
  <c r="M56" i="28"/>
  <c r="L56" i="28"/>
  <c r="K56" i="28"/>
  <c r="J56" i="28"/>
  <c r="I56" i="28"/>
  <c r="H56" i="28"/>
  <c r="G56" i="28"/>
  <c r="F56" i="28"/>
  <c r="E56" i="28"/>
  <c r="H38" i="27"/>
  <c r="F64" i="36"/>
  <c r="D25" i="28"/>
  <c r="Y179" i="4"/>
  <c r="G37" i="36" l="1"/>
  <c r="G39" i="36" s="1"/>
  <c r="G41" i="36" s="1"/>
  <c r="G42" i="36" s="1"/>
  <c r="G43" i="36" s="1"/>
  <c r="H63" i="36" l="1"/>
  <c r="H24" i="4" l="1"/>
  <c r="K24" i="4"/>
  <c r="L24" i="4" s="1"/>
  <c r="M24" i="4" s="1"/>
  <c r="N24" i="4" s="1"/>
  <c r="O24" i="4" s="1"/>
  <c r="P24" i="4" s="1"/>
  <c r="Q24" i="4" s="1"/>
  <c r="R24" i="4" s="1"/>
  <c r="S24" i="4" s="1"/>
  <c r="M17" i="4"/>
  <c r="G5" i="31" l="1"/>
  <c r="M30" i="45"/>
  <c r="J23" i="4"/>
  <c r="Q184" i="4"/>
  <c r="Q185" i="4" s="1"/>
  <c r="Q186" i="4" s="1"/>
  <c r="Q187" i="4" s="1"/>
  <c r="N17" i="4"/>
  <c r="H5" i="31" l="1"/>
  <c r="N30" i="45"/>
  <c r="O17" i="4"/>
  <c r="C100" i="58"/>
  <c r="C98" i="58"/>
  <c r="C103" i="58" s="1"/>
  <c r="M97" i="58"/>
  <c r="L97" i="58"/>
  <c r="K97" i="58"/>
  <c r="J97" i="58"/>
  <c r="I97" i="58"/>
  <c r="H97" i="58"/>
  <c r="F97" i="58"/>
  <c r="E97" i="58"/>
  <c r="D97" i="58"/>
  <c r="C97" i="58"/>
  <c r="C96" i="58"/>
  <c r="C94" i="58"/>
  <c r="D53" i="58"/>
  <c r="C53" i="58"/>
  <c r="C62" i="58" s="1"/>
  <c r="F25" i="58"/>
  <c r="F26" i="58" s="1"/>
  <c r="C10" i="58"/>
  <c r="I5" i="31" l="1"/>
  <c r="O30" i="45"/>
  <c r="P17" i="4"/>
  <c r="C65" i="58"/>
  <c r="J5" i="31" l="1"/>
  <c r="P30" i="45"/>
  <c r="Q17" i="4"/>
  <c r="E25" i="57"/>
  <c r="D24" i="57"/>
  <c r="C24" i="57"/>
  <c r="E6" i="57"/>
  <c r="C8" i="57"/>
  <c r="C4" i="57"/>
  <c r="K5" i="31" l="1"/>
  <c r="Q30" i="45"/>
  <c r="R17" i="4"/>
  <c r="S17" i="4" s="1"/>
  <c r="E24" i="57"/>
  <c r="D4" i="57"/>
  <c r="D61" i="36" l="1"/>
  <c r="F34" i="36"/>
  <c r="K8" i="4"/>
  <c r="H68" i="45"/>
  <c r="G68" i="45"/>
  <c r="E68" i="45"/>
  <c r="F63" i="36" l="1"/>
  <c r="F57" i="36" l="1"/>
  <c r="G37" i="27" s="1"/>
  <c r="R75" i="31" l="1"/>
  <c r="Q75" i="31"/>
  <c r="P75" i="31"/>
  <c r="O75" i="31"/>
  <c r="N75" i="31"/>
  <c r="F119" i="4" l="1"/>
  <c r="G119" i="4"/>
  <c r="H119" i="4"/>
  <c r="J120" i="4"/>
  <c r="D12" i="31" s="1"/>
  <c r="K120" i="4"/>
  <c r="E12" i="31" s="1"/>
  <c r="J121" i="4"/>
  <c r="D13" i="31" s="1"/>
  <c r="K121" i="4"/>
  <c r="E13" i="31" s="1"/>
  <c r="J119" i="4" l="1"/>
  <c r="K119" i="4"/>
  <c r="J14" i="4" l="1"/>
  <c r="J15" i="4" l="1"/>
  <c r="J25" i="4" s="1"/>
  <c r="J9" i="10" s="1"/>
  <c r="R184" i="4" l="1"/>
  <c r="R185" i="4" s="1"/>
  <c r="R186" i="4" s="1"/>
  <c r="R187" i="4" s="1"/>
  <c r="K49" i="4" l="1"/>
  <c r="L49" i="4" s="1"/>
  <c r="M49" i="4" s="1"/>
  <c r="N49" i="4" s="1"/>
  <c r="O49" i="4" s="1"/>
  <c r="P49" i="4" s="1"/>
  <c r="Q49" i="4" s="1"/>
  <c r="R49" i="4" s="1"/>
  <c r="S49" i="4" s="1"/>
  <c r="C15" i="51" l="1"/>
  <c r="C230" i="51"/>
  <c r="J231" i="51"/>
  <c r="K36" i="1" s="1"/>
  <c r="E36" i="28" s="1"/>
  <c r="I231" i="51"/>
  <c r="H231" i="51"/>
  <c r="G231" i="51"/>
  <c r="F231" i="51"/>
  <c r="E231" i="51"/>
  <c r="D231" i="51"/>
  <c r="C227" i="51"/>
  <c r="L9" i="51"/>
  <c r="I4" i="51"/>
  <c r="J4" i="51" s="1"/>
  <c r="K4" i="51" s="1"/>
  <c r="L4" i="51" s="1"/>
  <c r="M4" i="51" s="1"/>
  <c r="N4" i="51" s="1"/>
  <c r="O4" i="51" s="1"/>
  <c r="P4" i="51" s="1"/>
  <c r="Q4" i="51" s="1"/>
  <c r="R4" i="51" s="1"/>
  <c r="S4" i="51" s="1"/>
  <c r="T4" i="51" s="1"/>
  <c r="U4" i="51" s="1"/>
  <c r="V4" i="51" s="1"/>
  <c r="W4" i="51" s="1"/>
  <c r="E98" i="58" l="1"/>
  <c r="E103" i="58" s="1"/>
  <c r="N43" i="51"/>
  <c r="O60" i="51" l="1"/>
  <c r="P77" i="51" l="1"/>
  <c r="Q94" i="51" l="1"/>
  <c r="R111" i="51" l="1"/>
  <c r="S128" i="51" l="1"/>
  <c r="T145" i="51" l="1"/>
  <c r="V179" i="51" l="1"/>
  <c r="W196" i="51" l="1"/>
  <c r="Y177" i="4" l="1"/>
  <c r="Y176" i="4"/>
  <c r="Y175" i="4"/>
  <c r="Y174" i="4"/>
  <c r="C32" i="51" l="1"/>
  <c r="D9" i="51"/>
  <c r="Q28" i="51" l="1"/>
  <c r="Q36" i="51" s="1"/>
  <c r="P11" i="51"/>
  <c r="P19" i="51" s="1"/>
  <c r="H11" i="51"/>
  <c r="H19" i="51" s="1"/>
  <c r="S28" i="51"/>
  <c r="S36" i="51" s="1"/>
  <c r="O11" i="51"/>
  <c r="O19" i="51" s="1"/>
  <c r="M28" i="51"/>
  <c r="M36" i="51" s="1"/>
  <c r="D11" i="51"/>
  <c r="D19" i="51" s="1"/>
  <c r="S11" i="51"/>
  <c r="S19" i="51" s="1"/>
  <c r="W11" i="51"/>
  <c r="W19" i="51" s="1"/>
  <c r="U28" i="51"/>
  <c r="U36" i="51" s="1"/>
  <c r="T11" i="51"/>
  <c r="T19" i="51" s="1"/>
  <c r="L11" i="51"/>
  <c r="D18" i="51"/>
  <c r="I11" i="51"/>
  <c r="I19" i="51" s="1"/>
  <c r="N11" i="51"/>
  <c r="N19" i="51" s="1"/>
  <c r="V11" i="51"/>
  <c r="V19" i="51" s="1"/>
  <c r="R28" i="51"/>
  <c r="R36" i="51" s="1"/>
  <c r="Q11" i="51"/>
  <c r="Q19" i="51" s="1"/>
  <c r="W28" i="51"/>
  <c r="W36" i="51" s="1"/>
  <c r="F11" i="51"/>
  <c r="F19" i="51" s="1"/>
  <c r="E11" i="51"/>
  <c r="E19" i="51" s="1"/>
  <c r="T28" i="51"/>
  <c r="T36" i="51" s="1"/>
  <c r="M11" i="51"/>
  <c r="M19" i="51" s="1"/>
  <c r="J11" i="51"/>
  <c r="J19" i="51" s="1"/>
  <c r="N28" i="51"/>
  <c r="N36" i="51" s="1"/>
  <c r="O28" i="51"/>
  <c r="O36" i="51" s="1"/>
  <c r="U11" i="51"/>
  <c r="U19" i="51" s="1"/>
  <c r="K11" i="51"/>
  <c r="K19" i="51" s="1"/>
  <c r="P28" i="51"/>
  <c r="P36" i="51" s="1"/>
  <c r="G11" i="51"/>
  <c r="G19" i="51" s="1"/>
  <c r="R11" i="51"/>
  <c r="R19" i="51" s="1"/>
  <c r="V28" i="51"/>
  <c r="V36" i="51" s="1"/>
  <c r="C49" i="51"/>
  <c r="D26" i="51"/>
  <c r="D20" i="51" l="1"/>
  <c r="L19" i="51"/>
  <c r="L13" i="51"/>
  <c r="M9" i="51" s="1"/>
  <c r="M13" i="51" s="1"/>
  <c r="N9" i="51" s="1"/>
  <c r="N13" i="51" s="1"/>
  <c r="O9" i="51" s="1"/>
  <c r="O13" i="51" s="1"/>
  <c r="P9" i="51" s="1"/>
  <c r="P13" i="51" s="1"/>
  <c r="Q9" i="51" s="1"/>
  <c r="Q13" i="51" s="1"/>
  <c r="R9" i="51" s="1"/>
  <c r="R13" i="51" s="1"/>
  <c r="S9" i="51" s="1"/>
  <c r="S13" i="51" s="1"/>
  <c r="T9" i="51" s="1"/>
  <c r="T13" i="51" s="1"/>
  <c r="U9" i="51" s="1"/>
  <c r="U13" i="51" s="1"/>
  <c r="V9" i="51" s="1"/>
  <c r="V13" i="51" s="1"/>
  <c r="W9" i="51" s="1"/>
  <c r="W13" i="51" s="1"/>
  <c r="H28" i="51"/>
  <c r="H36" i="51" s="1"/>
  <c r="G28" i="51"/>
  <c r="G36" i="51" s="1"/>
  <c r="D28" i="51"/>
  <c r="D36" i="51" s="1"/>
  <c r="J28" i="51"/>
  <c r="J36" i="51" s="1"/>
  <c r="I28" i="51"/>
  <c r="I36" i="51" s="1"/>
  <c r="K28" i="51"/>
  <c r="E28" i="51"/>
  <c r="E36" i="51" s="1"/>
  <c r="L28" i="51"/>
  <c r="L36" i="51" s="1"/>
  <c r="F28" i="51"/>
  <c r="F36" i="51" s="1"/>
  <c r="D35" i="51"/>
  <c r="D43" i="51"/>
  <c r="C66" i="51"/>
  <c r="K36" i="51" l="1"/>
  <c r="C83" i="51"/>
  <c r="D60" i="51"/>
  <c r="E18" i="51"/>
  <c r="T45" i="51"/>
  <c r="T53" i="51" s="1"/>
  <c r="H45" i="51"/>
  <c r="H53" i="51" s="1"/>
  <c r="D45" i="51"/>
  <c r="D53" i="51" s="1"/>
  <c r="V45" i="51"/>
  <c r="V53" i="51" s="1"/>
  <c r="P45" i="51"/>
  <c r="P53" i="51" s="1"/>
  <c r="L45" i="51"/>
  <c r="L53" i="51" s="1"/>
  <c r="Q45" i="51"/>
  <c r="Q53" i="51" s="1"/>
  <c r="R45" i="51"/>
  <c r="R53" i="51" s="1"/>
  <c r="E45" i="51"/>
  <c r="E53" i="51" s="1"/>
  <c r="O45" i="51"/>
  <c r="O53" i="51" s="1"/>
  <c r="M45" i="51"/>
  <c r="M53" i="51" s="1"/>
  <c r="I45" i="51"/>
  <c r="I53" i="51" s="1"/>
  <c r="U45" i="51"/>
  <c r="U53" i="51" s="1"/>
  <c r="D52" i="51"/>
  <c r="K45" i="51"/>
  <c r="K53" i="51" s="1"/>
  <c r="N45" i="51"/>
  <c r="N53" i="51" s="1"/>
  <c r="J45" i="51"/>
  <c r="J53" i="51" s="1"/>
  <c r="F45" i="51"/>
  <c r="F53" i="51" s="1"/>
  <c r="G45" i="51"/>
  <c r="G53" i="51" s="1"/>
  <c r="W45" i="51"/>
  <c r="W53" i="51" s="1"/>
  <c r="S45" i="51"/>
  <c r="S53" i="51" s="1"/>
  <c r="D37" i="51"/>
  <c r="D54" i="51" l="1"/>
  <c r="D77" i="51"/>
  <c r="C100" i="51"/>
  <c r="R62" i="51"/>
  <c r="R70" i="51" s="1"/>
  <c r="U62" i="51"/>
  <c r="U70" i="51" s="1"/>
  <c r="G62" i="51"/>
  <c r="G70" i="51" s="1"/>
  <c r="T62" i="51"/>
  <c r="T70" i="51" s="1"/>
  <c r="K62" i="51"/>
  <c r="K70" i="51" s="1"/>
  <c r="D62" i="51"/>
  <c r="D70" i="51" s="1"/>
  <c r="O62" i="51"/>
  <c r="O70" i="51" s="1"/>
  <c r="I62" i="51"/>
  <c r="I70" i="51" s="1"/>
  <c r="L62" i="51"/>
  <c r="L70" i="51" s="1"/>
  <c r="Q62" i="51"/>
  <c r="Q70" i="51" s="1"/>
  <c r="W62" i="51"/>
  <c r="W70" i="51" s="1"/>
  <c r="N62" i="51"/>
  <c r="N70" i="51" s="1"/>
  <c r="S62" i="51"/>
  <c r="S70" i="51" s="1"/>
  <c r="M62" i="51"/>
  <c r="M70" i="51" s="1"/>
  <c r="P62" i="51"/>
  <c r="P70" i="51" s="1"/>
  <c r="H62" i="51"/>
  <c r="H70" i="51" s="1"/>
  <c r="F62" i="51"/>
  <c r="F70" i="51" s="1"/>
  <c r="D69" i="51"/>
  <c r="J62" i="51"/>
  <c r="J70" i="51" s="1"/>
  <c r="V62" i="51"/>
  <c r="V70" i="51" s="1"/>
  <c r="E62" i="51"/>
  <c r="E70" i="51" s="1"/>
  <c r="E35" i="51"/>
  <c r="E20" i="51"/>
  <c r="D71" i="51" l="1"/>
  <c r="O79" i="51"/>
  <c r="O87" i="51" s="1"/>
  <c r="I79" i="51"/>
  <c r="I87" i="51" s="1"/>
  <c r="K79" i="51"/>
  <c r="K87" i="51" s="1"/>
  <c r="S79" i="51"/>
  <c r="S87" i="51" s="1"/>
  <c r="Q79" i="51"/>
  <c r="Q87" i="51" s="1"/>
  <c r="V79" i="51"/>
  <c r="V87" i="51" s="1"/>
  <c r="G79" i="51"/>
  <c r="G87" i="51" s="1"/>
  <c r="T79" i="51"/>
  <c r="T87" i="51" s="1"/>
  <c r="D86" i="51"/>
  <c r="W79" i="51"/>
  <c r="W87" i="51" s="1"/>
  <c r="J79" i="51"/>
  <c r="J87" i="51" s="1"/>
  <c r="P79" i="51"/>
  <c r="P87" i="51" s="1"/>
  <c r="L79" i="51"/>
  <c r="L87" i="51" s="1"/>
  <c r="M79" i="51"/>
  <c r="M87" i="51" s="1"/>
  <c r="N79" i="51"/>
  <c r="N87" i="51" s="1"/>
  <c r="D79" i="51"/>
  <c r="D87" i="51" s="1"/>
  <c r="U79" i="51"/>
  <c r="U87" i="51" s="1"/>
  <c r="F79" i="51"/>
  <c r="F87" i="51" s="1"/>
  <c r="E79" i="51"/>
  <c r="E87" i="51" s="1"/>
  <c r="H79" i="51"/>
  <c r="H87" i="51" s="1"/>
  <c r="R79" i="51"/>
  <c r="R87" i="51" s="1"/>
  <c r="F18" i="51"/>
  <c r="E37" i="51"/>
  <c r="E52" i="51"/>
  <c r="D94" i="51"/>
  <c r="C117" i="51"/>
  <c r="K96" i="51" l="1"/>
  <c r="K104" i="51" s="1"/>
  <c r="H96" i="51"/>
  <c r="H104" i="51" s="1"/>
  <c r="T96" i="51"/>
  <c r="T104" i="51" s="1"/>
  <c r="V96" i="51"/>
  <c r="V104" i="51" s="1"/>
  <c r="N96" i="51"/>
  <c r="N104" i="51" s="1"/>
  <c r="I96" i="51"/>
  <c r="I104" i="51" s="1"/>
  <c r="J96" i="51"/>
  <c r="J104" i="51" s="1"/>
  <c r="M96" i="51"/>
  <c r="M104" i="51" s="1"/>
  <c r="P96" i="51"/>
  <c r="P104" i="51" s="1"/>
  <c r="U96" i="51"/>
  <c r="U104" i="51" s="1"/>
  <c r="W96" i="51"/>
  <c r="W104" i="51" s="1"/>
  <c r="G96" i="51"/>
  <c r="G104" i="51" s="1"/>
  <c r="L96" i="51"/>
  <c r="L104" i="51" s="1"/>
  <c r="E96" i="51"/>
  <c r="E104" i="51" s="1"/>
  <c r="D96" i="51"/>
  <c r="R96" i="51"/>
  <c r="R104" i="51" s="1"/>
  <c r="Q96" i="51"/>
  <c r="Q104" i="51" s="1"/>
  <c r="O96" i="51"/>
  <c r="O104" i="51" s="1"/>
  <c r="D103" i="51"/>
  <c r="F96" i="51"/>
  <c r="F104" i="51" s="1"/>
  <c r="S96" i="51"/>
  <c r="S104" i="51" s="1"/>
  <c r="E69" i="51"/>
  <c r="E54" i="51"/>
  <c r="F35" i="51"/>
  <c r="D88" i="51"/>
  <c r="D111" i="51"/>
  <c r="C134" i="51"/>
  <c r="F20" i="51"/>
  <c r="G18" i="51" l="1"/>
  <c r="E86" i="51"/>
  <c r="C151" i="51"/>
  <c r="D128" i="51"/>
  <c r="E71" i="51"/>
  <c r="F37" i="51"/>
  <c r="O113" i="51"/>
  <c r="O121" i="51" s="1"/>
  <c r="V113" i="51"/>
  <c r="V121" i="51" s="1"/>
  <c r="H113" i="51"/>
  <c r="H121" i="51" s="1"/>
  <c r="I113" i="51"/>
  <c r="I121" i="51" s="1"/>
  <c r="Q113" i="51"/>
  <c r="Q121" i="51" s="1"/>
  <c r="D120" i="51"/>
  <c r="J113" i="51"/>
  <c r="J121" i="51" s="1"/>
  <c r="L113" i="51"/>
  <c r="L121" i="51" s="1"/>
  <c r="R113" i="51"/>
  <c r="R121" i="51" s="1"/>
  <c r="W113" i="51"/>
  <c r="W121" i="51" s="1"/>
  <c r="S113" i="51"/>
  <c r="S121" i="51" s="1"/>
  <c r="F113" i="51"/>
  <c r="F121" i="51" s="1"/>
  <c r="G113" i="51"/>
  <c r="G121" i="51" s="1"/>
  <c r="D113" i="51"/>
  <c r="D121" i="51" s="1"/>
  <c r="U113" i="51"/>
  <c r="U121" i="51" s="1"/>
  <c r="N113" i="51"/>
  <c r="N121" i="51" s="1"/>
  <c r="P113" i="51"/>
  <c r="P121" i="51" s="1"/>
  <c r="E113" i="51"/>
  <c r="E121" i="51" s="1"/>
  <c r="T113" i="51"/>
  <c r="T121" i="51" s="1"/>
  <c r="K113" i="51"/>
  <c r="K121" i="51" s="1"/>
  <c r="M113" i="51"/>
  <c r="M121" i="51" s="1"/>
  <c r="F52" i="51"/>
  <c r="D104" i="51"/>
  <c r="D105" i="51" s="1"/>
  <c r="D145" i="51" l="1"/>
  <c r="C168" i="51"/>
  <c r="E103" i="51"/>
  <c r="G20" i="51"/>
  <c r="D122" i="51"/>
  <c r="G35" i="51"/>
  <c r="F69" i="51"/>
  <c r="E88" i="51"/>
  <c r="F54" i="51"/>
  <c r="M130" i="51"/>
  <c r="M138" i="51" s="1"/>
  <c r="D130" i="51"/>
  <c r="D138" i="51" s="1"/>
  <c r="N130" i="51"/>
  <c r="N138" i="51" s="1"/>
  <c r="Q130" i="51"/>
  <c r="Q138" i="51" s="1"/>
  <c r="U130" i="51"/>
  <c r="U138" i="51" s="1"/>
  <c r="J130" i="51"/>
  <c r="J138" i="51" s="1"/>
  <c r="V130" i="51"/>
  <c r="V138" i="51" s="1"/>
  <c r="I130" i="51"/>
  <c r="I138" i="51" s="1"/>
  <c r="R130" i="51"/>
  <c r="R138" i="51" s="1"/>
  <c r="S130" i="51"/>
  <c r="S138" i="51" s="1"/>
  <c r="P130" i="51"/>
  <c r="P138" i="51" s="1"/>
  <c r="W130" i="51"/>
  <c r="W138" i="51" s="1"/>
  <c r="E130" i="51"/>
  <c r="E138" i="51" s="1"/>
  <c r="L130" i="51"/>
  <c r="L138" i="51" s="1"/>
  <c r="F130" i="51"/>
  <c r="F138" i="51" s="1"/>
  <c r="O130" i="51"/>
  <c r="O138" i="51" s="1"/>
  <c r="K130" i="51"/>
  <c r="K138" i="51" s="1"/>
  <c r="G130" i="51"/>
  <c r="G138" i="51" s="1"/>
  <c r="H130" i="51"/>
  <c r="H138" i="51" s="1"/>
  <c r="D137" i="51"/>
  <c r="T130" i="51"/>
  <c r="T138" i="51" s="1"/>
  <c r="E105" i="51" l="1"/>
  <c r="G37" i="51"/>
  <c r="H18" i="51"/>
  <c r="D162" i="51"/>
  <c r="C185" i="51"/>
  <c r="G147" i="51"/>
  <c r="G155" i="51" s="1"/>
  <c r="E147" i="51"/>
  <c r="E155" i="51" s="1"/>
  <c r="M147" i="51"/>
  <c r="M155" i="51" s="1"/>
  <c r="D147" i="51"/>
  <c r="D155" i="51" s="1"/>
  <c r="W147" i="51"/>
  <c r="W155" i="51" s="1"/>
  <c r="T147" i="51"/>
  <c r="T155" i="51" s="1"/>
  <c r="Q147" i="51"/>
  <c r="Q155" i="51" s="1"/>
  <c r="R147" i="51"/>
  <c r="R155" i="51" s="1"/>
  <c r="I147" i="51"/>
  <c r="I155" i="51" s="1"/>
  <c r="F147" i="51"/>
  <c r="F155" i="51" s="1"/>
  <c r="U147" i="51"/>
  <c r="U155" i="51" s="1"/>
  <c r="V147" i="51"/>
  <c r="V155" i="51" s="1"/>
  <c r="K147" i="51"/>
  <c r="K155" i="51" s="1"/>
  <c r="S147" i="51"/>
  <c r="S155" i="51" s="1"/>
  <c r="P147" i="51"/>
  <c r="P155" i="51" s="1"/>
  <c r="N147" i="51"/>
  <c r="N155" i="51" s="1"/>
  <c r="O147" i="51"/>
  <c r="O155" i="51" s="1"/>
  <c r="D154" i="51"/>
  <c r="L147" i="51"/>
  <c r="L155" i="51" s="1"/>
  <c r="J147" i="51"/>
  <c r="J155" i="51" s="1"/>
  <c r="H147" i="51"/>
  <c r="H155" i="51" s="1"/>
  <c r="D139" i="51"/>
  <c r="F86" i="51"/>
  <c r="E120" i="51"/>
  <c r="G52" i="51"/>
  <c r="F71" i="51"/>
  <c r="G54" i="51" l="1"/>
  <c r="F88" i="51"/>
  <c r="D156" i="51"/>
  <c r="H20" i="51"/>
  <c r="E137" i="51"/>
  <c r="H35" i="51"/>
  <c r="E122" i="51"/>
  <c r="D179" i="51"/>
  <c r="C202" i="51"/>
  <c r="D171" i="51"/>
  <c r="E164" i="51"/>
  <c r="E172" i="51" s="1"/>
  <c r="O164" i="51"/>
  <c r="O172" i="51" s="1"/>
  <c r="G164" i="51"/>
  <c r="G172" i="51" s="1"/>
  <c r="U164" i="51"/>
  <c r="U172" i="51" s="1"/>
  <c r="W164" i="51"/>
  <c r="W172" i="51" s="1"/>
  <c r="T164" i="51"/>
  <c r="T172" i="51" s="1"/>
  <c r="H164" i="51"/>
  <c r="H172" i="51" s="1"/>
  <c r="I164" i="51"/>
  <c r="I172" i="51" s="1"/>
  <c r="L164" i="51"/>
  <c r="L172" i="51" s="1"/>
  <c r="F164" i="51"/>
  <c r="F172" i="51" s="1"/>
  <c r="P164" i="51"/>
  <c r="P172" i="51" s="1"/>
  <c r="N164" i="51"/>
  <c r="N172" i="51" s="1"/>
  <c r="Q164" i="51"/>
  <c r="Q172" i="51" s="1"/>
  <c r="K164" i="51"/>
  <c r="K172" i="51" s="1"/>
  <c r="J164" i="51"/>
  <c r="J172" i="51" s="1"/>
  <c r="M164" i="51"/>
  <c r="M172" i="51" s="1"/>
  <c r="V164" i="51"/>
  <c r="V172" i="51" s="1"/>
  <c r="D164" i="51"/>
  <c r="D172" i="51" s="1"/>
  <c r="R164" i="51"/>
  <c r="R172" i="51" s="1"/>
  <c r="S164" i="51"/>
  <c r="S172" i="51" s="1"/>
  <c r="F103" i="51"/>
  <c r="G69" i="51"/>
  <c r="F120" i="51" l="1"/>
  <c r="F105" i="51"/>
  <c r="D173" i="51"/>
  <c r="H37" i="51"/>
  <c r="D196" i="51"/>
  <c r="C219" i="51"/>
  <c r="D213" i="51" s="1"/>
  <c r="I18" i="51"/>
  <c r="H52" i="51"/>
  <c r="I181" i="51"/>
  <c r="I189" i="51" s="1"/>
  <c r="P181" i="51"/>
  <c r="P189" i="51" s="1"/>
  <c r="R181" i="51"/>
  <c r="R189" i="51" s="1"/>
  <c r="O181" i="51"/>
  <c r="O189" i="51" s="1"/>
  <c r="S181" i="51"/>
  <c r="S189" i="51" s="1"/>
  <c r="E181" i="51"/>
  <c r="E189" i="51" s="1"/>
  <c r="J181" i="51"/>
  <c r="J189" i="51" s="1"/>
  <c r="K181" i="51"/>
  <c r="K189" i="51" s="1"/>
  <c r="T181" i="51"/>
  <c r="T189" i="51" s="1"/>
  <c r="N181" i="51"/>
  <c r="N189" i="51" s="1"/>
  <c r="U181" i="51"/>
  <c r="U189" i="51" s="1"/>
  <c r="Q181" i="51"/>
  <c r="Q189" i="51" s="1"/>
  <c r="D181" i="51"/>
  <c r="D189" i="51" s="1"/>
  <c r="D188" i="51"/>
  <c r="L181" i="51"/>
  <c r="L189" i="51" s="1"/>
  <c r="V181" i="51"/>
  <c r="V189" i="51" s="1"/>
  <c r="W181" i="51"/>
  <c r="W189" i="51" s="1"/>
  <c r="M181" i="51"/>
  <c r="M189" i="51" s="1"/>
  <c r="H181" i="51"/>
  <c r="H189" i="51" s="1"/>
  <c r="F181" i="51"/>
  <c r="F189" i="51" s="1"/>
  <c r="G181" i="51"/>
  <c r="G189" i="51" s="1"/>
  <c r="E154" i="51"/>
  <c r="G71" i="51"/>
  <c r="E139" i="51"/>
  <c r="G86" i="51"/>
  <c r="E156" i="51" l="1"/>
  <c r="G103" i="51"/>
  <c r="N198" i="51"/>
  <c r="N206" i="51" s="1"/>
  <c r="I198" i="51"/>
  <c r="I206" i="51" s="1"/>
  <c r="O198" i="51"/>
  <c r="O206" i="51" s="1"/>
  <c r="F198" i="51"/>
  <c r="F206" i="51" s="1"/>
  <c r="J198" i="51"/>
  <c r="J206" i="51" s="1"/>
  <c r="S198" i="51"/>
  <c r="S206" i="51" s="1"/>
  <c r="H198" i="51"/>
  <c r="H206" i="51" s="1"/>
  <c r="Q198" i="51"/>
  <c r="Q206" i="51" s="1"/>
  <c r="E198" i="51"/>
  <c r="E206" i="51" s="1"/>
  <c r="P198" i="51"/>
  <c r="P206" i="51" s="1"/>
  <c r="V198" i="51"/>
  <c r="V206" i="51" s="1"/>
  <c r="D198" i="51"/>
  <c r="D206" i="51" s="1"/>
  <c r="R198" i="51"/>
  <c r="R206" i="51" s="1"/>
  <c r="K198" i="51"/>
  <c r="K206" i="51" s="1"/>
  <c r="T198" i="51"/>
  <c r="T206" i="51" s="1"/>
  <c r="G198" i="51"/>
  <c r="G206" i="51" s="1"/>
  <c r="M198" i="51"/>
  <c r="M206" i="51" s="1"/>
  <c r="W198" i="51"/>
  <c r="W206" i="51" s="1"/>
  <c r="L198" i="51"/>
  <c r="L206" i="51" s="1"/>
  <c r="D205" i="51"/>
  <c r="U198" i="51"/>
  <c r="U206" i="51" s="1"/>
  <c r="D222" i="51"/>
  <c r="D215" i="51"/>
  <c r="D223" i="51" s="1"/>
  <c r="G215" i="51"/>
  <c r="G223" i="51" s="1"/>
  <c r="L215" i="51"/>
  <c r="L223" i="51" s="1"/>
  <c r="U215" i="51"/>
  <c r="U223" i="51" s="1"/>
  <c r="V215" i="51"/>
  <c r="V223" i="51" s="1"/>
  <c r="M215" i="51"/>
  <c r="M223" i="51" s="1"/>
  <c r="P215" i="51"/>
  <c r="P223" i="51" s="1"/>
  <c r="T215" i="51"/>
  <c r="T223" i="51" s="1"/>
  <c r="H215" i="51"/>
  <c r="H223" i="51" s="1"/>
  <c r="K215" i="51"/>
  <c r="K223" i="51" s="1"/>
  <c r="W215" i="51"/>
  <c r="W223" i="51" s="1"/>
  <c r="I215" i="51"/>
  <c r="I223" i="51" s="1"/>
  <c r="J215" i="51"/>
  <c r="J223" i="51" s="1"/>
  <c r="R215" i="51"/>
  <c r="R223" i="51" s="1"/>
  <c r="E215" i="51"/>
  <c r="E223" i="51" s="1"/>
  <c r="S215" i="51"/>
  <c r="S223" i="51" s="1"/>
  <c r="N215" i="51"/>
  <c r="N223" i="51" s="1"/>
  <c r="Q215" i="51"/>
  <c r="Q223" i="51" s="1"/>
  <c r="O215" i="51"/>
  <c r="O223" i="51" s="1"/>
  <c r="F215" i="51"/>
  <c r="F223" i="51" s="1"/>
  <c r="F122" i="51"/>
  <c r="F137" i="51"/>
  <c r="H54" i="51"/>
  <c r="H69" i="51"/>
  <c r="D190" i="51"/>
  <c r="I35" i="51"/>
  <c r="G88" i="51"/>
  <c r="I20" i="51"/>
  <c r="E171" i="51"/>
  <c r="L234" i="51" l="1"/>
  <c r="L229" i="51" s="1"/>
  <c r="O234" i="51"/>
  <c r="N234" i="51"/>
  <c r="M234" i="51"/>
  <c r="Q234" i="51"/>
  <c r="V234" i="51"/>
  <c r="S234" i="51"/>
  <c r="J234" i="51"/>
  <c r="E76" i="31" s="1"/>
  <c r="T234" i="51"/>
  <c r="H234" i="51"/>
  <c r="P234" i="51"/>
  <c r="R234" i="51"/>
  <c r="D234" i="51"/>
  <c r="D229" i="51" s="1"/>
  <c r="F234" i="51"/>
  <c r="F229" i="51" s="1"/>
  <c r="E188" i="51"/>
  <c r="F139" i="51"/>
  <c r="U234" i="51"/>
  <c r="J18" i="51"/>
  <c r="I37" i="51"/>
  <c r="W234" i="51"/>
  <c r="F154" i="51"/>
  <c r="G120" i="51"/>
  <c r="E234" i="51"/>
  <c r="E229" i="51" s="1"/>
  <c r="I234" i="51"/>
  <c r="D76" i="31" s="1"/>
  <c r="H71" i="51"/>
  <c r="H86" i="51"/>
  <c r="I52" i="51"/>
  <c r="G234" i="51"/>
  <c r="G229" i="51" s="1"/>
  <c r="D207" i="51"/>
  <c r="E173" i="51"/>
  <c r="D233" i="51"/>
  <c r="G105" i="51"/>
  <c r="D224" i="51"/>
  <c r="K234" i="51"/>
  <c r="S229" i="51" l="1"/>
  <c r="V229" i="51"/>
  <c r="Q229" i="51"/>
  <c r="M229" i="51"/>
  <c r="W229" i="51"/>
  <c r="C76" i="31"/>
  <c r="N229" i="51"/>
  <c r="U229" i="51"/>
  <c r="T229" i="51"/>
  <c r="O229" i="51"/>
  <c r="H229" i="51"/>
  <c r="J229" i="51"/>
  <c r="E66" i="28"/>
  <c r="I229" i="51"/>
  <c r="D66" i="28"/>
  <c r="K229" i="51"/>
  <c r="R229" i="51"/>
  <c r="P229" i="51"/>
  <c r="D235" i="51"/>
  <c r="E222" i="51"/>
  <c r="J35" i="51"/>
  <c r="E190" i="51"/>
  <c r="I54" i="51"/>
  <c r="H103" i="51"/>
  <c r="E205" i="51"/>
  <c r="H88" i="51"/>
  <c r="G122" i="51"/>
  <c r="J20" i="51"/>
  <c r="G137" i="51"/>
  <c r="I69" i="51"/>
  <c r="F171" i="51"/>
  <c r="F156" i="51"/>
  <c r="F188" i="51" l="1"/>
  <c r="G139" i="51"/>
  <c r="H120" i="51"/>
  <c r="E207" i="51"/>
  <c r="H105" i="51"/>
  <c r="J37" i="51"/>
  <c r="F173" i="51"/>
  <c r="I86" i="51"/>
  <c r="J52" i="51"/>
  <c r="E224" i="51"/>
  <c r="K18" i="51"/>
  <c r="G154" i="51"/>
  <c r="E233" i="51"/>
  <c r="I71" i="51"/>
  <c r="J69" i="51" l="1"/>
  <c r="H137" i="51"/>
  <c r="I103" i="51"/>
  <c r="K20" i="51"/>
  <c r="G156" i="51"/>
  <c r="I88" i="51"/>
  <c r="J54" i="51"/>
  <c r="F205" i="51"/>
  <c r="E235" i="51"/>
  <c r="F222" i="51"/>
  <c r="G171" i="51"/>
  <c r="H122" i="51"/>
  <c r="F190" i="51"/>
  <c r="K35" i="51"/>
  <c r="F233" i="51" l="1"/>
  <c r="L18" i="51"/>
  <c r="J86" i="51"/>
  <c r="I105" i="51"/>
  <c r="I120" i="51"/>
  <c r="K37" i="51"/>
  <c r="G173" i="51"/>
  <c r="H139" i="51"/>
  <c r="F207" i="51"/>
  <c r="H154" i="51"/>
  <c r="F224" i="51"/>
  <c r="J71" i="51"/>
  <c r="G188" i="51"/>
  <c r="K52" i="51"/>
  <c r="F235" i="51" l="1"/>
  <c r="G205" i="51"/>
  <c r="J103" i="51"/>
  <c r="G222" i="51"/>
  <c r="H171" i="51"/>
  <c r="G190" i="51"/>
  <c r="J88" i="51"/>
  <c r="I137" i="51"/>
  <c r="L35" i="51"/>
  <c r="L20" i="51"/>
  <c r="K54" i="51"/>
  <c r="K69" i="51"/>
  <c r="H156" i="51"/>
  <c r="I122" i="51"/>
  <c r="K71" i="51" l="1"/>
  <c r="G224" i="51"/>
  <c r="J120" i="51"/>
  <c r="L37" i="51"/>
  <c r="M35" i="51" s="1"/>
  <c r="J105" i="51"/>
  <c r="H173" i="51"/>
  <c r="L52" i="51"/>
  <c r="I139" i="51"/>
  <c r="I154" i="51"/>
  <c r="M18" i="51"/>
  <c r="H188" i="51"/>
  <c r="G207" i="51"/>
  <c r="K86" i="51"/>
  <c r="G233" i="51"/>
  <c r="H205" i="51" l="1"/>
  <c r="G235" i="51"/>
  <c r="J137" i="51"/>
  <c r="K103" i="51"/>
  <c r="H222" i="51"/>
  <c r="L54" i="51"/>
  <c r="M37" i="51"/>
  <c r="N35" i="51" s="1"/>
  <c r="H190" i="51"/>
  <c r="M20" i="51"/>
  <c r="K88" i="51"/>
  <c r="I156" i="51"/>
  <c r="J122" i="51"/>
  <c r="L69" i="51"/>
  <c r="I171" i="51"/>
  <c r="H233" i="51" l="1"/>
  <c r="K120" i="51"/>
  <c r="K105" i="51"/>
  <c r="N18" i="51"/>
  <c r="M52" i="51"/>
  <c r="J139" i="51"/>
  <c r="I188" i="51"/>
  <c r="I173" i="51"/>
  <c r="J154" i="51"/>
  <c r="L86" i="51"/>
  <c r="N37" i="51"/>
  <c r="O35" i="51" s="1"/>
  <c r="L71" i="51"/>
  <c r="H224" i="51"/>
  <c r="H207" i="51"/>
  <c r="H235" i="51" l="1"/>
  <c r="L88" i="51"/>
  <c r="J171" i="51"/>
  <c r="K137" i="51"/>
  <c r="L103" i="51"/>
  <c r="M69" i="51"/>
  <c r="M54" i="51"/>
  <c r="I205" i="51"/>
  <c r="I190" i="51"/>
  <c r="K122" i="51"/>
  <c r="I222" i="51"/>
  <c r="O37" i="51"/>
  <c r="P35" i="51" s="1"/>
  <c r="J156" i="51"/>
  <c r="N20" i="51"/>
  <c r="O18" i="51" s="1"/>
  <c r="K139" i="51" l="1"/>
  <c r="K154" i="51"/>
  <c r="J188" i="51"/>
  <c r="M71" i="51"/>
  <c r="P37" i="51"/>
  <c r="Q35" i="51" s="1"/>
  <c r="I224" i="51"/>
  <c r="J173" i="51"/>
  <c r="O20" i="51"/>
  <c r="L120" i="51"/>
  <c r="I207" i="51"/>
  <c r="I233" i="51"/>
  <c r="N52" i="51"/>
  <c r="L105" i="51"/>
  <c r="M86" i="51"/>
  <c r="M103" i="51" l="1"/>
  <c r="K156" i="51"/>
  <c r="Q37" i="51"/>
  <c r="R35" i="51" s="1"/>
  <c r="L122" i="51"/>
  <c r="N69" i="51"/>
  <c r="J222" i="51"/>
  <c r="P18" i="51"/>
  <c r="L137" i="51"/>
  <c r="J190" i="51"/>
  <c r="N54" i="51"/>
  <c r="M88" i="51"/>
  <c r="J205" i="51"/>
  <c r="I235" i="51"/>
  <c r="K171" i="51"/>
  <c r="H44" i="27" l="1"/>
  <c r="N86" i="51"/>
  <c r="P20" i="51"/>
  <c r="K173" i="51"/>
  <c r="O52" i="51"/>
  <c r="M120" i="51"/>
  <c r="K188" i="51"/>
  <c r="N71" i="51"/>
  <c r="M105" i="51"/>
  <c r="J224" i="51"/>
  <c r="R37" i="51"/>
  <c r="S35" i="51" s="1"/>
  <c r="J207" i="51"/>
  <c r="L139" i="51"/>
  <c r="L154" i="51"/>
  <c r="J233" i="51"/>
  <c r="J235" i="51" l="1"/>
  <c r="L156" i="51"/>
  <c r="K222" i="51"/>
  <c r="L171" i="51"/>
  <c r="N88" i="51"/>
  <c r="K205" i="51"/>
  <c r="Q18" i="51"/>
  <c r="O69" i="51"/>
  <c r="O54" i="51"/>
  <c r="S37" i="51"/>
  <c r="T35" i="51" s="1"/>
  <c r="K190" i="51"/>
  <c r="M137" i="51"/>
  <c r="N103" i="51"/>
  <c r="M122" i="51"/>
  <c r="I44" i="27" l="1"/>
  <c r="Q20" i="51"/>
  <c r="R18" i="51" s="1"/>
  <c r="P52" i="51"/>
  <c r="L188" i="51"/>
  <c r="M154" i="51"/>
  <c r="O86" i="51"/>
  <c r="N120" i="51"/>
  <c r="N105" i="51"/>
  <c r="O71" i="51"/>
  <c r="L173" i="51"/>
  <c r="K207" i="51"/>
  <c r="K233" i="51"/>
  <c r="M139" i="51"/>
  <c r="T37" i="51"/>
  <c r="U35" i="51" s="1"/>
  <c r="K224" i="51"/>
  <c r="L222" i="51" l="1"/>
  <c r="L205" i="51"/>
  <c r="P54" i="51"/>
  <c r="N137" i="51"/>
  <c r="O88" i="51"/>
  <c r="M156" i="51"/>
  <c r="L190" i="51"/>
  <c r="O103" i="51"/>
  <c r="U37" i="51"/>
  <c r="V35" i="51" s="1"/>
  <c r="M171" i="51"/>
  <c r="N122" i="51"/>
  <c r="P69" i="51"/>
  <c r="K235" i="51"/>
  <c r="R20" i="51"/>
  <c r="J44" i="27" l="1"/>
  <c r="L233" i="51"/>
  <c r="M173" i="51"/>
  <c r="N154" i="51"/>
  <c r="Q52" i="51"/>
  <c r="P71" i="51"/>
  <c r="P86" i="51"/>
  <c r="L207" i="51"/>
  <c r="O105" i="51"/>
  <c r="N139" i="51"/>
  <c r="L224" i="51"/>
  <c r="O120" i="51"/>
  <c r="M188" i="51"/>
  <c r="V37" i="51"/>
  <c r="W35" i="51" s="1"/>
  <c r="S18" i="51"/>
  <c r="S20" i="51" l="1"/>
  <c r="M222" i="51"/>
  <c r="Q54" i="51"/>
  <c r="N156" i="51"/>
  <c r="M190" i="51"/>
  <c r="Q69" i="51"/>
  <c r="W37" i="51"/>
  <c r="P103" i="51"/>
  <c r="P88" i="51"/>
  <c r="N171" i="51"/>
  <c r="O122" i="51"/>
  <c r="O137" i="51"/>
  <c r="M205" i="51"/>
  <c r="L235" i="51"/>
  <c r="K44" i="27" l="1"/>
  <c r="N173" i="51"/>
  <c r="M207" i="51"/>
  <c r="Q86" i="51"/>
  <c r="M233" i="51"/>
  <c r="M224" i="51"/>
  <c r="P120" i="51"/>
  <c r="Q71" i="51"/>
  <c r="P105" i="51"/>
  <c r="N188" i="51"/>
  <c r="R52" i="51"/>
  <c r="O154" i="51"/>
  <c r="O139" i="51"/>
  <c r="T18" i="51"/>
  <c r="M235" i="51" l="1"/>
  <c r="P122" i="51"/>
  <c r="Q103" i="51"/>
  <c r="N222" i="51"/>
  <c r="N190" i="51"/>
  <c r="N205" i="51"/>
  <c r="O171" i="51"/>
  <c r="O156" i="51"/>
  <c r="T20" i="51"/>
  <c r="R54" i="51"/>
  <c r="R69" i="51"/>
  <c r="P137" i="51"/>
  <c r="Q88" i="51"/>
  <c r="L44" i="27" l="1"/>
  <c r="N233" i="51"/>
  <c r="N207" i="51"/>
  <c r="U18" i="51"/>
  <c r="O188" i="51"/>
  <c r="P139" i="51"/>
  <c r="Q105" i="51"/>
  <c r="Q120" i="51"/>
  <c r="N224" i="51"/>
  <c r="S52" i="51"/>
  <c r="R71" i="51"/>
  <c r="P154" i="51"/>
  <c r="R86" i="51"/>
  <c r="O173" i="51"/>
  <c r="Q122" i="51" l="1"/>
  <c r="O205" i="51"/>
  <c r="S54" i="51"/>
  <c r="P156" i="51"/>
  <c r="U20" i="51"/>
  <c r="N235" i="51"/>
  <c r="O222" i="51"/>
  <c r="Q137" i="51"/>
  <c r="P171" i="51"/>
  <c r="S69" i="51"/>
  <c r="O190" i="51"/>
  <c r="R103" i="51"/>
  <c r="R88" i="51"/>
  <c r="M44" i="27" l="1"/>
  <c r="P188" i="51"/>
  <c r="Q139" i="51"/>
  <c r="Q154" i="51"/>
  <c r="O224" i="51"/>
  <c r="S71" i="51"/>
  <c r="R105" i="51"/>
  <c r="P173" i="51"/>
  <c r="T52" i="51"/>
  <c r="R120" i="51"/>
  <c r="S86" i="51"/>
  <c r="O233" i="51"/>
  <c r="V18" i="51"/>
  <c r="O207" i="51"/>
  <c r="Q156" i="51" l="1"/>
  <c r="R137" i="51"/>
  <c r="V20" i="51"/>
  <c r="Q171" i="51"/>
  <c r="P222" i="51"/>
  <c r="S88" i="51"/>
  <c r="P190" i="51"/>
  <c r="T69" i="51"/>
  <c r="T54" i="51"/>
  <c r="O235" i="51"/>
  <c r="P205" i="51"/>
  <c r="R122" i="51"/>
  <c r="S103" i="51"/>
  <c r="N44" i="27" l="1"/>
  <c r="T71" i="51"/>
  <c r="R139" i="51"/>
  <c r="P207" i="51"/>
  <c r="P233" i="51"/>
  <c r="R154" i="51"/>
  <c r="Q173" i="51"/>
  <c r="Q188" i="51"/>
  <c r="S105" i="51"/>
  <c r="W18" i="51"/>
  <c r="P224" i="51"/>
  <c r="U52" i="51"/>
  <c r="S120" i="51"/>
  <c r="T86" i="51"/>
  <c r="Q190" i="51" l="1"/>
  <c r="Q205" i="51"/>
  <c r="P235" i="51"/>
  <c r="W20" i="51"/>
  <c r="S137" i="51"/>
  <c r="Q222" i="51"/>
  <c r="R171" i="51"/>
  <c r="T103" i="51"/>
  <c r="T88" i="51"/>
  <c r="U54" i="51"/>
  <c r="R156" i="51"/>
  <c r="U69" i="51"/>
  <c r="S122" i="51"/>
  <c r="O44" i="27" l="1"/>
  <c r="U71" i="51"/>
  <c r="S139" i="51"/>
  <c r="Q207" i="51"/>
  <c r="T105" i="51"/>
  <c r="S154" i="51"/>
  <c r="R173" i="51"/>
  <c r="R188" i="51"/>
  <c r="U86" i="51"/>
  <c r="Q233" i="51"/>
  <c r="T120" i="51"/>
  <c r="V52" i="51"/>
  <c r="Q224" i="51"/>
  <c r="T122" i="51" l="1"/>
  <c r="T137" i="51"/>
  <c r="S156" i="51"/>
  <c r="U88" i="51"/>
  <c r="Q235" i="51"/>
  <c r="R222" i="51"/>
  <c r="U103" i="51"/>
  <c r="V69" i="51"/>
  <c r="V54" i="51"/>
  <c r="R190" i="51"/>
  <c r="S171" i="51"/>
  <c r="R205" i="51"/>
  <c r="P44" i="27" l="1"/>
  <c r="T139" i="51"/>
  <c r="V86" i="51"/>
  <c r="U120" i="51"/>
  <c r="W52" i="51"/>
  <c r="R207" i="51"/>
  <c r="R224" i="51"/>
  <c r="S173" i="51"/>
  <c r="V71" i="51"/>
  <c r="S188" i="51"/>
  <c r="U105" i="51"/>
  <c r="T154" i="51"/>
  <c r="R233" i="51"/>
  <c r="R235" i="51" l="1"/>
  <c r="W54" i="51"/>
  <c r="T171" i="51"/>
  <c r="U122" i="51"/>
  <c r="V88" i="51"/>
  <c r="U137" i="51"/>
  <c r="T156" i="51"/>
  <c r="S205" i="51"/>
  <c r="S190" i="51"/>
  <c r="S222" i="51"/>
  <c r="V103" i="51"/>
  <c r="W69" i="51"/>
  <c r="Q44" i="27" l="1"/>
  <c r="S224" i="51"/>
  <c r="V120" i="51"/>
  <c r="T188" i="51"/>
  <c r="U139" i="51"/>
  <c r="T173" i="51"/>
  <c r="U171" i="51" s="1"/>
  <c r="W71" i="51"/>
  <c r="V105" i="51"/>
  <c r="S207" i="51"/>
  <c r="S233" i="51"/>
  <c r="W86" i="51"/>
  <c r="U154" i="51"/>
  <c r="T205" i="51" l="1"/>
  <c r="U173" i="51"/>
  <c r="V171" i="51" s="1"/>
  <c r="V137" i="51"/>
  <c r="V122" i="51"/>
  <c r="W103" i="51"/>
  <c r="W88" i="51"/>
  <c r="T222" i="51"/>
  <c r="U156" i="51"/>
  <c r="T190" i="51"/>
  <c r="S235" i="51"/>
  <c r="W105" i="51" l="1"/>
  <c r="V154" i="51"/>
  <c r="W120" i="51"/>
  <c r="T233" i="51"/>
  <c r="T207" i="51"/>
  <c r="V173" i="51"/>
  <c r="W171" i="51" s="1"/>
  <c r="U188" i="51"/>
  <c r="V139" i="51"/>
  <c r="T224" i="51"/>
  <c r="T235" i="51" l="1"/>
  <c r="W122" i="51"/>
  <c r="V156" i="51"/>
  <c r="W137" i="51"/>
  <c r="W173" i="51"/>
  <c r="U205" i="51"/>
  <c r="U190" i="51"/>
  <c r="U222" i="51"/>
  <c r="W154" i="51" l="1"/>
  <c r="U224" i="51"/>
  <c r="U207" i="51"/>
  <c r="V188" i="51"/>
  <c r="U233" i="51"/>
  <c r="W139" i="51"/>
  <c r="V205" i="51" l="1"/>
  <c r="U235" i="51"/>
  <c r="V222" i="51"/>
  <c r="W156" i="51"/>
  <c r="V190" i="51"/>
  <c r="V224" i="51" l="1"/>
  <c r="V207" i="51"/>
  <c r="V233" i="51"/>
  <c r="W188" i="51"/>
  <c r="W190" i="51" l="1"/>
  <c r="W205" i="51"/>
  <c r="W222" i="51"/>
  <c r="V235" i="51"/>
  <c r="W224" i="51" l="1"/>
  <c r="W207" i="51"/>
  <c r="W233" i="51"/>
  <c r="W235" i="51" l="1"/>
  <c r="B11" i="35" l="1"/>
  <c r="I11" i="35" s="1"/>
  <c r="K167" i="31"/>
  <c r="J167" i="31"/>
  <c r="I167" i="31"/>
  <c r="H167" i="31"/>
  <c r="G167" i="31"/>
  <c r="F167" i="31"/>
  <c r="E167" i="31"/>
  <c r="D167" i="31"/>
  <c r="C167" i="31"/>
  <c r="K129" i="1"/>
  <c r="L129" i="1" s="1"/>
  <c r="M129" i="1" s="1"/>
  <c r="N129" i="1" s="1"/>
  <c r="O129" i="1" s="1"/>
  <c r="P129" i="1" s="1"/>
  <c r="Q129" i="1" s="1"/>
  <c r="R129" i="1" s="1"/>
  <c r="S129" i="1" s="1"/>
  <c r="F62" i="36"/>
  <c r="H62" i="36" s="1"/>
  <c r="H61" i="36" s="1"/>
  <c r="B12" i="35" l="1"/>
  <c r="I12" i="35" s="1"/>
  <c r="L11" i="35"/>
  <c r="S11" i="35" s="1"/>
  <c r="B2" i="26"/>
  <c r="B13" i="35" l="1"/>
  <c r="L12" i="35"/>
  <c r="S12" i="35" s="1"/>
  <c r="B14" i="35" l="1"/>
  <c r="I14" i="35" s="1"/>
  <c r="L13" i="35"/>
  <c r="B15" i="35" l="1"/>
  <c r="I15" i="35" s="1"/>
  <c r="L14" i="35"/>
  <c r="S14" i="35" s="1"/>
  <c r="B16" i="35" l="1"/>
  <c r="L15" i="35"/>
  <c r="S15" i="35" s="1"/>
  <c r="B17" i="35" l="1"/>
  <c r="L16" i="35"/>
  <c r="B18" i="35" l="1"/>
  <c r="L17" i="35"/>
  <c r="S17" i="35" s="1"/>
  <c r="I17" i="35"/>
  <c r="B19" i="35" l="1"/>
  <c r="L18" i="35"/>
  <c r="S18" i="35" s="1"/>
  <c r="I18" i="35"/>
  <c r="B20" i="35" l="1"/>
  <c r="L19" i="35"/>
  <c r="B21" i="35" l="1"/>
  <c r="I20" i="35"/>
  <c r="L20" i="35"/>
  <c r="S20" i="35" s="1"/>
  <c r="B22" i="35" l="1"/>
  <c r="I21" i="35"/>
  <c r="L21" i="35"/>
  <c r="S21" i="35" s="1"/>
  <c r="B23" i="35" l="1"/>
  <c r="L22" i="35"/>
  <c r="B24" i="35" l="1"/>
  <c r="L23" i="35"/>
  <c r="S23" i="35" s="1"/>
  <c r="I23" i="35"/>
  <c r="B25" i="35" l="1"/>
  <c r="L24" i="35"/>
  <c r="S24" i="35" s="1"/>
  <c r="I24" i="35"/>
  <c r="B26" i="35" l="1"/>
  <c r="L25" i="35"/>
  <c r="B27" i="35" l="1"/>
  <c r="L26" i="35"/>
  <c r="S26" i="35" s="1"/>
  <c r="I26" i="35"/>
  <c r="B28" i="35" l="1"/>
  <c r="I27" i="35"/>
  <c r="L27" i="35"/>
  <c r="S27" i="35" s="1"/>
  <c r="B29" i="35" l="1"/>
  <c r="L28" i="35"/>
  <c r="B30" i="35" l="1"/>
  <c r="L29" i="35"/>
  <c r="S29" i="35" s="1"/>
  <c r="I29" i="35"/>
  <c r="B31" i="35" l="1"/>
  <c r="L30" i="35"/>
  <c r="S30" i="35" s="1"/>
  <c r="I30" i="35"/>
  <c r="B32" i="35" l="1"/>
  <c r="L31" i="35"/>
  <c r="B33" i="35" l="1"/>
  <c r="L32" i="35"/>
  <c r="S32" i="35" s="1"/>
  <c r="I32" i="35"/>
  <c r="B34" i="35" l="1"/>
  <c r="L33" i="35"/>
  <c r="S33" i="35" s="1"/>
  <c r="I33" i="35"/>
  <c r="B35" i="35" l="1"/>
  <c r="L34" i="35"/>
  <c r="B36" i="35" l="1"/>
  <c r="I35" i="35"/>
  <c r="L35" i="35"/>
  <c r="S35" i="35" s="1"/>
  <c r="B37" i="35" l="1"/>
  <c r="I36" i="35"/>
  <c r="L36" i="35"/>
  <c r="S36" i="35" s="1"/>
  <c r="B38" i="35" l="1"/>
  <c r="I38" i="35" s="1"/>
  <c r="L37" i="35"/>
  <c r="B39" i="35" l="1"/>
  <c r="I39" i="35" s="1"/>
  <c r="L38" i="35"/>
  <c r="S38" i="35" s="1"/>
  <c r="B40" i="35" l="1"/>
  <c r="L39" i="35"/>
  <c r="S39" i="35" s="1"/>
  <c r="B41" i="35" l="1"/>
  <c r="L40" i="35"/>
  <c r="B42" i="35" l="1"/>
  <c r="I41" i="35"/>
  <c r="L41" i="35"/>
  <c r="S41" i="35" s="1"/>
  <c r="B43" i="35" l="1"/>
  <c r="I42" i="35"/>
  <c r="L42" i="35"/>
  <c r="S42" i="35" s="1"/>
  <c r="B44" i="35" l="1"/>
  <c r="I44" i="35" s="1"/>
  <c r="L43" i="35"/>
  <c r="B45" i="35" l="1"/>
  <c r="I45" i="35" s="1"/>
  <c r="L44" i="35"/>
  <c r="S44" i="35" s="1"/>
  <c r="B46" i="35" l="1"/>
  <c r="L45" i="35"/>
  <c r="S45" i="35" s="1"/>
  <c r="B47" i="35" l="1"/>
  <c r="L46" i="35"/>
  <c r="B48" i="35" l="1"/>
  <c r="I47" i="35"/>
  <c r="L47" i="35"/>
  <c r="S47" i="35" s="1"/>
  <c r="B49" i="35" l="1"/>
  <c r="I48" i="35"/>
  <c r="L48" i="35"/>
  <c r="S48" i="35" s="1"/>
  <c r="B50" i="35" l="1"/>
  <c r="L49" i="35"/>
  <c r="B51" i="35" l="1"/>
  <c r="I50" i="35"/>
  <c r="L50" i="35"/>
  <c r="S50" i="35" s="1"/>
  <c r="B52" i="35" l="1"/>
  <c r="I51" i="35"/>
  <c r="L51" i="35"/>
  <c r="S51" i="35" s="1"/>
  <c r="B53" i="35" l="1"/>
  <c r="L52" i="35"/>
  <c r="B54" i="35" l="1"/>
  <c r="I53" i="35"/>
  <c r="L53" i="35"/>
  <c r="S53" i="35" s="1"/>
  <c r="B55" i="35" l="1"/>
  <c r="I54" i="35"/>
  <c r="L54" i="35"/>
  <c r="S54" i="35" s="1"/>
  <c r="B56" i="35" l="1"/>
  <c r="L55" i="35"/>
  <c r="B57" i="35" l="1"/>
  <c r="I56" i="35"/>
  <c r="L56" i="35"/>
  <c r="S56" i="35" s="1"/>
  <c r="B58" i="35" l="1"/>
  <c r="I57" i="35"/>
  <c r="L57" i="35"/>
  <c r="S57" i="35" s="1"/>
  <c r="B59" i="35" l="1"/>
  <c r="L58" i="35"/>
  <c r="B60" i="35" l="1"/>
  <c r="I59" i="35"/>
  <c r="L59" i="35"/>
  <c r="S59" i="35" s="1"/>
  <c r="B61" i="35" l="1"/>
  <c r="I60" i="35"/>
  <c r="L60" i="35"/>
  <c r="S60" i="35" s="1"/>
  <c r="L169" i="4" l="1"/>
  <c r="M169" i="4" s="1"/>
  <c r="N169" i="4" s="1"/>
  <c r="O169" i="4" s="1"/>
  <c r="P169" i="4" s="1"/>
  <c r="Q169" i="4" s="1"/>
  <c r="R169" i="4" s="1"/>
  <c r="S169" i="4" s="1"/>
  <c r="B62" i="35"/>
  <c r="L61" i="35"/>
  <c r="I7" i="48"/>
  <c r="J7" i="48"/>
  <c r="E9" i="48"/>
  <c r="F9" i="48"/>
  <c r="G9" i="48"/>
  <c r="H9" i="48"/>
  <c r="I9" i="48"/>
  <c r="J10" i="48"/>
  <c r="F21" i="48"/>
  <c r="G21" i="48"/>
  <c r="H21" i="48"/>
  <c r="I21" i="48"/>
  <c r="J21" i="48"/>
  <c r="F23" i="48"/>
  <c r="F378" i="48" s="1"/>
  <c r="E33" i="48"/>
  <c r="F33" i="48"/>
  <c r="G33" i="48"/>
  <c r="H33" i="48"/>
  <c r="E43" i="48"/>
  <c r="F43" i="48"/>
  <c r="G41" i="48" s="1"/>
  <c r="E47" i="48"/>
  <c r="F45" i="48" s="1"/>
  <c r="F47" i="48"/>
  <c r="G45" i="48" s="1"/>
  <c r="E55" i="48"/>
  <c r="F55" i="48"/>
  <c r="F89" i="48" s="1"/>
  <c r="E56" i="48"/>
  <c r="F56" i="48"/>
  <c r="F90" i="48" s="1"/>
  <c r="G56" i="48"/>
  <c r="G90" i="48" s="1"/>
  <c r="H56" i="48"/>
  <c r="H90" i="48" s="1"/>
  <c r="E65" i="48"/>
  <c r="F65" i="48"/>
  <c r="G65" i="48"/>
  <c r="H65" i="48"/>
  <c r="I65" i="48"/>
  <c r="J65" i="48"/>
  <c r="E69" i="48"/>
  <c r="F69" i="48"/>
  <c r="G69" i="48"/>
  <c r="H69" i="48"/>
  <c r="I69" i="48"/>
  <c r="J69" i="48"/>
  <c r="E71" i="48"/>
  <c r="F71" i="48"/>
  <c r="G71" i="48"/>
  <c r="H71" i="48"/>
  <c r="I71" i="48"/>
  <c r="J71" i="48"/>
  <c r="E75" i="48"/>
  <c r="F75" i="48"/>
  <c r="G75" i="48"/>
  <c r="H75" i="48"/>
  <c r="F103" i="48"/>
  <c r="G103" i="48"/>
  <c r="H103" i="48"/>
  <c r="I103" i="48"/>
  <c r="J103" i="48"/>
  <c r="F104" i="48"/>
  <c r="G104" i="48"/>
  <c r="H104" i="48"/>
  <c r="I104" i="48"/>
  <c r="J104" i="48"/>
  <c r="E109" i="48"/>
  <c r="F109" i="48"/>
  <c r="F295" i="48" s="1"/>
  <c r="E122" i="48"/>
  <c r="F122" i="48"/>
  <c r="G122" i="48"/>
  <c r="H122" i="48"/>
  <c r="E127" i="48"/>
  <c r="F127" i="48"/>
  <c r="G127" i="48"/>
  <c r="J127" i="48"/>
  <c r="E134" i="48"/>
  <c r="F134" i="48"/>
  <c r="G134" i="48"/>
  <c r="E135" i="48"/>
  <c r="F135" i="48"/>
  <c r="G135" i="48"/>
  <c r="E136" i="48"/>
  <c r="F136" i="48"/>
  <c r="G136" i="48"/>
  <c r="H136" i="48"/>
  <c r="E137" i="48"/>
  <c r="F137" i="48"/>
  <c r="G137" i="48"/>
  <c r="H137" i="48"/>
  <c r="E143" i="48"/>
  <c r="F143" i="48"/>
  <c r="F414" i="48" s="1"/>
  <c r="G143" i="48"/>
  <c r="G414" i="48" s="1"/>
  <c r="H143" i="48"/>
  <c r="H414" i="48" s="1"/>
  <c r="E152" i="48"/>
  <c r="F152" i="48"/>
  <c r="E153" i="48"/>
  <c r="F153" i="48"/>
  <c r="F162" i="48"/>
  <c r="F260" i="48" s="1"/>
  <c r="G162" i="48"/>
  <c r="G260" i="48" s="1"/>
  <c r="H162" i="48"/>
  <c r="I162" i="48"/>
  <c r="I260" i="48" s="1"/>
  <c r="J162" i="48"/>
  <c r="J260" i="48" s="1"/>
  <c r="F163" i="48"/>
  <c r="F261" i="48" s="1"/>
  <c r="G163" i="48"/>
  <c r="G261" i="48" s="1"/>
  <c r="H163" i="48"/>
  <c r="H261" i="48" s="1"/>
  <c r="I163" i="48"/>
  <c r="I261" i="48" s="1"/>
  <c r="J163" i="48"/>
  <c r="J261" i="48" s="1"/>
  <c r="E166" i="48"/>
  <c r="F166" i="48"/>
  <c r="G166" i="48"/>
  <c r="E168" i="48"/>
  <c r="F168" i="48"/>
  <c r="G168" i="48"/>
  <c r="H168" i="48"/>
  <c r="E173" i="48"/>
  <c r="F173" i="48"/>
  <c r="G173" i="48"/>
  <c r="H173" i="48"/>
  <c r="E174" i="48"/>
  <c r="F174" i="48"/>
  <c r="E175" i="48"/>
  <c r="F175" i="48"/>
  <c r="E176" i="48"/>
  <c r="F176" i="48"/>
  <c r="E177" i="48"/>
  <c r="F177" i="48"/>
  <c r="G177" i="48"/>
  <c r="H177" i="48"/>
  <c r="E182" i="48"/>
  <c r="F182" i="48"/>
  <c r="G182" i="48"/>
  <c r="E189" i="48"/>
  <c r="F189" i="48"/>
  <c r="G189" i="48"/>
  <c r="E190" i="48"/>
  <c r="F190" i="48"/>
  <c r="G190" i="48"/>
  <c r="H190" i="48"/>
  <c r="E191" i="48"/>
  <c r="F191" i="48"/>
  <c r="G191" i="48"/>
  <c r="E194" i="48"/>
  <c r="F194" i="48"/>
  <c r="G194" i="48"/>
  <c r="E195" i="48"/>
  <c r="F195" i="48"/>
  <c r="E200" i="48"/>
  <c r="F200" i="48"/>
  <c r="G200" i="48"/>
  <c r="H200" i="48"/>
  <c r="F210" i="48"/>
  <c r="F338" i="48" s="1"/>
  <c r="G210" i="48"/>
  <c r="H210" i="48"/>
  <c r="I210" i="48"/>
  <c r="J210" i="48"/>
  <c r="H260" i="48"/>
  <c r="F264" i="48"/>
  <c r="G264" i="48"/>
  <c r="H264" i="48"/>
  <c r="I264" i="48"/>
  <c r="J264" i="48"/>
  <c r="F266" i="48"/>
  <c r="G266" i="48"/>
  <c r="H266" i="48"/>
  <c r="I266" i="48"/>
  <c r="J266" i="48"/>
  <c r="F324" i="48"/>
  <c r="G324" i="48"/>
  <c r="H324" i="48"/>
  <c r="I324" i="48"/>
  <c r="J324" i="48"/>
  <c r="F325" i="48"/>
  <c r="G325" i="48"/>
  <c r="H325" i="48"/>
  <c r="I325" i="48"/>
  <c r="J325" i="48"/>
  <c r="F344" i="48"/>
  <c r="G344" i="48"/>
  <c r="H344" i="48"/>
  <c r="I344" i="48"/>
  <c r="J344" i="48"/>
  <c r="F375" i="48"/>
  <c r="F403" i="48" s="1"/>
  <c r="G375" i="48"/>
  <c r="G403" i="48" s="1"/>
  <c r="H375" i="48"/>
  <c r="H403" i="48" s="1"/>
  <c r="I375" i="48"/>
  <c r="I403" i="48" s="1"/>
  <c r="J375" i="48"/>
  <c r="J403" i="48" s="1"/>
  <c r="F376" i="48"/>
  <c r="F404" i="48" s="1"/>
  <c r="G376" i="48"/>
  <c r="G404" i="48" s="1"/>
  <c r="H376" i="48"/>
  <c r="H404" i="48" s="1"/>
  <c r="I376" i="48"/>
  <c r="I404" i="48" s="1"/>
  <c r="J376" i="48"/>
  <c r="J404" i="48" s="1"/>
  <c r="F72" i="33"/>
  <c r="E72" i="33"/>
  <c r="G338" i="48" l="1"/>
  <c r="B63" i="35"/>
  <c r="I62" i="35"/>
  <c r="L62" i="35"/>
  <c r="S62" i="35" s="1"/>
  <c r="F348" i="48"/>
  <c r="F358" i="48"/>
  <c r="I338" i="48"/>
  <c r="F203" i="48"/>
  <c r="I245" i="48"/>
  <c r="F245" i="48"/>
  <c r="G72" i="48"/>
  <c r="G73" i="48" s="1"/>
  <c r="G407" i="48" s="1"/>
  <c r="H338" i="48"/>
  <c r="G192" i="48"/>
  <c r="G245" i="48"/>
  <c r="H245" i="48"/>
  <c r="E203" i="48"/>
  <c r="I72" i="48"/>
  <c r="I73" i="48" s="1"/>
  <c r="I407" i="48" s="1"/>
  <c r="F192" i="48"/>
  <c r="F72" i="48"/>
  <c r="F73" i="48" s="1"/>
  <c r="F407" i="48" s="1"/>
  <c r="E72" i="48"/>
  <c r="E73" i="48" s="1"/>
  <c r="F133" i="48"/>
  <c r="E192" i="48"/>
  <c r="F356" i="48"/>
  <c r="J72" i="48"/>
  <c r="J73" i="48" s="1"/>
  <c r="J407" i="48" s="1"/>
  <c r="E133" i="48"/>
  <c r="G358" i="48"/>
  <c r="F341" i="48"/>
  <c r="F271" i="48"/>
  <c r="H72" i="48"/>
  <c r="H73" i="48" s="1"/>
  <c r="H407" i="48" s="1"/>
  <c r="G133" i="48"/>
  <c r="F41" i="48"/>
  <c r="J245" i="48"/>
  <c r="J338" i="48"/>
  <c r="G341" i="48"/>
  <c r="F342" i="48" l="1"/>
  <c r="B64" i="35"/>
  <c r="I63" i="35"/>
  <c r="L63" i="35"/>
  <c r="S63" i="35" s="1"/>
  <c r="F177" i="1"/>
  <c r="F154" i="48" s="1"/>
  <c r="F161" i="1"/>
  <c r="F155" i="1"/>
  <c r="F144" i="48" s="1"/>
  <c r="E155" i="1"/>
  <c r="E144" i="48" s="1"/>
  <c r="F150" i="1"/>
  <c r="F151" i="48" s="1"/>
  <c r="E150" i="1"/>
  <c r="E151" i="48" s="1"/>
  <c r="F145" i="1"/>
  <c r="F150" i="48" s="1"/>
  <c r="E145" i="1"/>
  <c r="E150" i="48" s="1"/>
  <c r="F139" i="1"/>
  <c r="E139" i="1"/>
  <c r="E147" i="48" s="1"/>
  <c r="E118" i="48"/>
  <c r="F249" i="48" s="1"/>
  <c r="F118" i="48"/>
  <c r="G249" i="48" s="1"/>
  <c r="G118" i="48"/>
  <c r="H249" i="48" s="1"/>
  <c r="H118" i="48"/>
  <c r="I249" i="48" s="1"/>
  <c r="B65" i="35" l="1"/>
  <c r="L64" i="35"/>
  <c r="F147" i="48"/>
  <c r="E148" i="48"/>
  <c r="E155" i="48" s="1"/>
  <c r="E213" i="48" s="1"/>
  <c r="E179" i="1"/>
  <c r="F148" i="48"/>
  <c r="F179" i="1"/>
  <c r="B66" i="35" l="1"/>
  <c r="I65" i="35"/>
  <c r="L65" i="35"/>
  <c r="S65" i="35" s="1"/>
  <c r="F155" i="48"/>
  <c r="F157" i="48" s="1"/>
  <c r="F8" i="36"/>
  <c r="F244" i="48" l="1"/>
  <c r="B67" i="35"/>
  <c r="I66" i="35"/>
  <c r="L66" i="35"/>
  <c r="S66" i="35" s="1"/>
  <c r="F213" i="48"/>
  <c r="F415" i="48" s="1"/>
  <c r="F416" i="48" s="1"/>
  <c r="B68" i="35" l="1"/>
  <c r="L67" i="35"/>
  <c r="C45" i="27"/>
  <c r="E130" i="48" s="1"/>
  <c r="E140" i="48" s="1"/>
  <c r="F130" i="48"/>
  <c r="F140" i="48" s="1"/>
  <c r="F59" i="27"/>
  <c r="E59" i="27"/>
  <c r="D59" i="27"/>
  <c r="E58" i="27"/>
  <c r="D58" i="27"/>
  <c r="C59" i="27"/>
  <c r="C58" i="27"/>
  <c r="B42" i="11"/>
  <c r="B47" i="11" s="1"/>
  <c r="B43" i="11"/>
  <c r="B48" i="11" s="1"/>
  <c r="B44" i="11"/>
  <c r="B49" i="11" s="1"/>
  <c r="B45" i="11"/>
  <c r="B50" i="11" s="1"/>
  <c r="B37" i="11"/>
  <c r="B38" i="11"/>
  <c r="B39" i="11"/>
  <c r="B40" i="11"/>
  <c r="C65" i="31" l="1"/>
  <c r="F112" i="48"/>
  <c r="G112" i="48"/>
  <c r="D60" i="27"/>
  <c r="J60" i="10"/>
  <c r="J99" i="45" s="1"/>
  <c r="B69" i="35"/>
  <c r="I68" i="35"/>
  <c r="L68" i="35"/>
  <c r="S68" i="35" s="1"/>
  <c r="H130" i="48"/>
  <c r="G130" i="48"/>
  <c r="G140" i="48" s="1"/>
  <c r="G246" i="48" s="1"/>
  <c r="F390" i="48"/>
  <c r="F227" i="48"/>
  <c r="F246" i="48"/>
  <c r="C60" i="27"/>
  <c r="E112" i="48"/>
  <c r="E60" i="27"/>
  <c r="K61" i="10"/>
  <c r="B70" i="35" l="1"/>
  <c r="I69" i="35"/>
  <c r="L69" i="35"/>
  <c r="S69" i="35" s="1"/>
  <c r="L61" i="10"/>
  <c r="K60" i="10"/>
  <c r="K99" i="45" s="1"/>
  <c r="N86" i="10"/>
  <c r="O86" i="10" s="1"/>
  <c r="P86" i="10" s="1"/>
  <c r="Q86" i="10" s="1"/>
  <c r="R86" i="10" s="1"/>
  <c r="S86" i="10" s="1"/>
  <c r="B71" i="35" l="1"/>
  <c r="L70" i="35"/>
  <c r="M61" i="10"/>
  <c r="L60" i="10"/>
  <c r="L99" i="45" s="1"/>
  <c r="K22" i="4"/>
  <c r="L22" i="4" l="1"/>
  <c r="K23" i="4"/>
  <c r="B72" i="35"/>
  <c r="I71" i="35"/>
  <c r="L71" i="35"/>
  <c r="S71" i="35" s="1"/>
  <c r="N61" i="10"/>
  <c r="M60" i="10"/>
  <c r="M99" i="45" s="1"/>
  <c r="M22" i="4" l="1"/>
  <c r="L23" i="4"/>
  <c r="B73" i="35"/>
  <c r="I72" i="35"/>
  <c r="L72" i="35"/>
  <c r="S72" i="35" s="1"/>
  <c r="O61" i="10"/>
  <c r="N60" i="10"/>
  <c r="N99" i="45" s="1"/>
  <c r="F196" i="4"/>
  <c r="J48" i="10" s="1"/>
  <c r="F195" i="4"/>
  <c r="J50" i="10" l="1"/>
  <c r="N22" i="4"/>
  <c r="M23" i="4"/>
  <c r="B74" i="35"/>
  <c r="L73" i="35"/>
  <c r="P61" i="10"/>
  <c r="O60" i="10"/>
  <c r="O99" i="45" s="1"/>
  <c r="G148" i="32"/>
  <c r="F148" i="32"/>
  <c r="G48" i="32" s="1"/>
  <c r="C86" i="32"/>
  <c r="C85" i="32"/>
  <c r="C84" i="32"/>
  <c r="C83" i="32"/>
  <c r="C82" i="32"/>
  <c r="C81" i="32"/>
  <c r="C80" i="32"/>
  <c r="G65" i="32"/>
  <c r="G160" i="32"/>
  <c r="G70" i="32" s="1"/>
  <c r="B139" i="32"/>
  <c r="B138" i="32" s="1"/>
  <c r="B137" i="32" s="1"/>
  <c r="B136" i="32" s="1"/>
  <c r="B135" i="32" s="1"/>
  <c r="B134" i="32" s="1"/>
  <c r="B133" i="32" s="1"/>
  <c r="B132" i="32" s="1"/>
  <c r="B131" i="32" s="1"/>
  <c r="B130" i="32" s="1"/>
  <c r="B129" i="32" s="1"/>
  <c r="B128" i="32" s="1"/>
  <c r="B127" i="32" s="1"/>
  <c r="B126" i="32" s="1"/>
  <c r="B125" i="32" s="1"/>
  <c r="B124" i="32" s="1"/>
  <c r="B123" i="32" s="1"/>
  <c r="B122" i="32" s="1"/>
  <c r="C30" i="32"/>
  <c r="C29" i="32"/>
  <c r="C28" i="32"/>
  <c r="C27" i="32"/>
  <c r="C26" i="32"/>
  <c r="C25" i="32"/>
  <c r="C24" i="32"/>
  <c r="C23" i="32"/>
  <c r="O22" i="4" l="1"/>
  <c r="N23" i="4"/>
  <c r="I74" i="35"/>
  <c r="L74" i="35"/>
  <c r="B75" i="35"/>
  <c r="Q61" i="10"/>
  <c r="P60" i="10"/>
  <c r="P99" i="45" s="1"/>
  <c r="H200" i="45"/>
  <c r="G200" i="45"/>
  <c r="F200" i="45"/>
  <c r="H199" i="45"/>
  <c r="G199" i="45"/>
  <c r="F199" i="45"/>
  <c r="E200" i="45"/>
  <c r="E199" i="45"/>
  <c r="P22" i="4" l="1"/>
  <c r="O23" i="4"/>
  <c r="S74" i="35"/>
  <c r="M74" i="35"/>
  <c r="B76" i="35"/>
  <c r="I75" i="35"/>
  <c r="L75" i="35"/>
  <c r="C75" i="35"/>
  <c r="R61" i="10"/>
  <c r="Q60" i="10"/>
  <c r="Q99" i="45" s="1"/>
  <c r="H93" i="4"/>
  <c r="G93" i="4"/>
  <c r="F93" i="4"/>
  <c r="E93" i="4"/>
  <c r="H92" i="4"/>
  <c r="G92" i="4"/>
  <c r="F92" i="4"/>
  <c r="E92" i="4"/>
  <c r="H87" i="4"/>
  <c r="G87" i="4"/>
  <c r="F87" i="4"/>
  <c r="E87" i="4"/>
  <c r="Q22" i="4" l="1"/>
  <c r="P23" i="4"/>
  <c r="K86" i="4"/>
  <c r="L86" i="4" s="1"/>
  <c r="M86" i="4" s="1"/>
  <c r="N86" i="4" s="1"/>
  <c r="O86" i="4" s="1"/>
  <c r="P86" i="4" s="1"/>
  <c r="Q86" i="4" s="1"/>
  <c r="R86" i="4" s="1"/>
  <c r="S86" i="4" s="1"/>
  <c r="S187" i="45" s="1"/>
  <c r="K92" i="4"/>
  <c r="L92" i="4" s="1"/>
  <c r="M92" i="4" s="1"/>
  <c r="N92" i="4" s="1"/>
  <c r="O92" i="4" s="1"/>
  <c r="P92" i="4" s="1"/>
  <c r="Q92" i="4" s="1"/>
  <c r="R92" i="4" s="1"/>
  <c r="S92" i="4" s="1"/>
  <c r="S199" i="45" s="1"/>
  <c r="K87" i="4"/>
  <c r="L87" i="4" s="1"/>
  <c r="M87" i="4" s="1"/>
  <c r="N87" i="4" s="1"/>
  <c r="O87" i="4" s="1"/>
  <c r="P87" i="4" s="1"/>
  <c r="Q87" i="4" s="1"/>
  <c r="R87" i="4" s="1"/>
  <c r="S87" i="4" s="1"/>
  <c r="K93" i="4"/>
  <c r="L93" i="4" s="1"/>
  <c r="M93" i="4" s="1"/>
  <c r="N93" i="4" s="1"/>
  <c r="O93" i="4" s="1"/>
  <c r="P93" i="4" s="1"/>
  <c r="Q93" i="4" s="1"/>
  <c r="R93" i="4" s="1"/>
  <c r="S93" i="4" s="1"/>
  <c r="S200" i="45" s="1"/>
  <c r="B77" i="35"/>
  <c r="L76" i="35"/>
  <c r="M76" i="35" s="1"/>
  <c r="C76" i="35"/>
  <c r="S75" i="35"/>
  <c r="M75" i="35"/>
  <c r="S61" i="10"/>
  <c r="S60" i="10" s="1"/>
  <c r="S99" i="45" s="1"/>
  <c r="R60" i="10"/>
  <c r="R99" i="45" s="1"/>
  <c r="J187" i="45"/>
  <c r="S196" i="45"/>
  <c r="S111" i="45" s="1"/>
  <c r="J200" i="45"/>
  <c r="J206" i="45"/>
  <c r="J199" i="45"/>
  <c r="N199" i="45" l="1"/>
  <c r="K187" i="45"/>
  <c r="P199" i="45"/>
  <c r="N187" i="45"/>
  <c r="L187" i="45"/>
  <c r="M199" i="45"/>
  <c r="R199" i="45"/>
  <c r="M187" i="45"/>
  <c r="K199" i="45"/>
  <c r="R22" i="4"/>
  <c r="Q23" i="4"/>
  <c r="O187" i="45"/>
  <c r="R187" i="45"/>
  <c r="P187" i="45"/>
  <c r="Q187" i="45"/>
  <c r="M200" i="45"/>
  <c r="O200" i="45"/>
  <c r="P200" i="45"/>
  <c r="K200" i="45"/>
  <c r="N200" i="45"/>
  <c r="Q200" i="45"/>
  <c r="L200" i="45"/>
  <c r="R200" i="45"/>
  <c r="J196" i="45"/>
  <c r="J111" i="45" s="1"/>
  <c r="O199" i="45"/>
  <c r="Q199" i="45"/>
  <c r="L199" i="45"/>
  <c r="B78" i="35"/>
  <c r="I77" i="35"/>
  <c r="L77" i="35"/>
  <c r="C77" i="35"/>
  <c r="M206" i="45"/>
  <c r="R196" i="45"/>
  <c r="R111" i="45" s="1"/>
  <c r="R206" i="45"/>
  <c r="O196" i="45"/>
  <c r="O111" i="45" s="1"/>
  <c r="N206" i="45"/>
  <c r="P206" i="45"/>
  <c r="M196" i="45"/>
  <c r="M111" i="45" s="1"/>
  <c r="P196" i="45"/>
  <c r="P111" i="45" s="1"/>
  <c r="O206" i="45"/>
  <c r="L206" i="45"/>
  <c r="N196" i="45"/>
  <c r="N111" i="45" s="1"/>
  <c r="K196" i="45"/>
  <c r="K111" i="45" s="1"/>
  <c r="Q196" i="45"/>
  <c r="Q111" i="45" s="1"/>
  <c r="S206" i="45"/>
  <c r="K206" i="45"/>
  <c r="Q206" i="45"/>
  <c r="L196" i="45"/>
  <c r="L111" i="45" s="1"/>
  <c r="F115" i="19"/>
  <c r="F114" i="19"/>
  <c r="F113" i="19"/>
  <c r="F112" i="19"/>
  <c r="F111" i="19"/>
  <c r="F110" i="19"/>
  <c r="F109" i="19"/>
  <c r="F108" i="19"/>
  <c r="F107" i="19"/>
  <c r="F106" i="19"/>
  <c r="F105" i="19"/>
  <c r="F104" i="19"/>
  <c r="F103" i="19"/>
  <c r="F102" i="19"/>
  <c r="F101" i="19"/>
  <c r="F100" i="19"/>
  <c r="F99" i="19"/>
  <c r="F98" i="19"/>
  <c r="F97" i="19"/>
  <c r="F96" i="19"/>
  <c r="F95" i="19"/>
  <c r="F94" i="19"/>
  <c r="F93" i="19"/>
  <c r="F92" i="19"/>
  <c r="F91" i="19"/>
  <c r="F90" i="19"/>
  <c r="F89" i="19"/>
  <c r="F88" i="19"/>
  <c r="F87" i="19"/>
  <c r="F86" i="19"/>
  <c r="F85" i="19"/>
  <c r="F84" i="19"/>
  <c r="F83" i="19"/>
  <c r="F82" i="19"/>
  <c r="F81" i="19"/>
  <c r="F80" i="19"/>
  <c r="F79" i="19"/>
  <c r="F78" i="19"/>
  <c r="F77" i="19"/>
  <c r="F76" i="19"/>
  <c r="F75" i="19"/>
  <c r="F74" i="19"/>
  <c r="F73" i="19"/>
  <c r="F72" i="19"/>
  <c r="F71" i="19"/>
  <c r="F70" i="19"/>
  <c r="F69" i="19"/>
  <c r="F68" i="19"/>
  <c r="F67" i="19"/>
  <c r="F66" i="19"/>
  <c r="F65" i="19"/>
  <c r="F64" i="19"/>
  <c r="F63" i="19"/>
  <c r="F62" i="19"/>
  <c r="F61" i="19"/>
  <c r="F60" i="19"/>
  <c r="F59" i="19"/>
  <c r="F58" i="19"/>
  <c r="F57" i="19"/>
  <c r="F56" i="19"/>
  <c r="F55" i="19"/>
  <c r="F54" i="19"/>
  <c r="F53" i="19"/>
  <c r="F52" i="19"/>
  <c r="F51" i="19"/>
  <c r="F50" i="19"/>
  <c r="F49" i="19"/>
  <c r="F48" i="19"/>
  <c r="F47" i="19"/>
  <c r="F46" i="19"/>
  <c r="F45" i="19"/>
  <c r="F44" i="19"/>
  <c r="F43" i="19"/>
  <c r="F42" i="19"/>
  <c r="F41" i="19"/>
  <c r="F40" i="19"/>
  <c r="F39" i="19"/>
  <c r="F38" i="19"/>
  <c r="F37" i="19"/>
  <c r="F36" i="19"/>
  <c r="F35" i="19"/>
  <c r="F34" i="19"/>
  <c r="F33" i="19"/>
  <c r="F32" i="19"/>
  <c r="F31" i="19"/>
  <c r="F30" i="19"/>
  <c r="F29" i="19"/>
  <c r="F28" i="19"/>
  <c r="F27" i="19"/>
  <c r="F26" i="19"/>
  <c r="B115" i="19"/>
  <c r="B114" i="19"/>
  <c r="B113" i="19"/>
  <c r="B112" i="19"/>
  <c r="B111" i="19"/>
  <c r="B110" i="19"/>
  <c r="B109" i="19"/>
  <c r="B108" i="19"/>
  <c r="B107" i="19"/>
  <c r="B106" i="19"/>
  <c r="B105" i="19"/>
  <c r="B104" i="19"/>
  <c r="B103" i="19"/>
  <c r="B102" i="19"/>
  <c r="B101" i="19"/>
  <c r="B100" i="19"/>
  <c r="B99" i="19"/>
  <c r="B98" i="19"/>
  <c r="B97" i="19"/>
  <c r="B96" i="19"/>
  <c r="B95" i="19"/>
  <c r="B94" i="19"/>
  <c r="B93" i="19"/>
  <c r="B92" i="19"/>
  <c r="B91" i="19"/>
  <c r="B90" i="19"/>
  <c r="B89" i="19"/>
  <c r="B88" i="19"/>
  <c r="B87" i="19"/>
  <c r="B86" i="19"/>
  <c r="B85" i="19"/>
  <c r="B84" i="19"/>
  <c r="B83" i="19"/>
  <c r="B82" i="19"/>
  <c r="B81" i="19"/>
  <c r="B80" i="19"/>
  <c r="B79" i="19"/>
  <c r="B78" i="19"/>
  <c r="B77" i="19"/>
  <c r="B76" i="19"/>
  <c r="B75" i="19"/>
  <c r="B74" i="19"/>
  <c r="B73" i="19"/>
  <c r="B72" i="19"/>
  <c r="B71" i="19"/>
  <c r="B70" i="19"/>
  <c r="B69" i="19"/>
  <c r="B68" i="19"/>
  <c r="B67" i="19"/>
  <c r="B66" i="19"/>
  <c r="B65" i="19"/>
  <c r="B64" i="19"/>
  <c r="B63" i="19"/>
  <c r="B62" i="19"/>
  <c r="B61" i="19"/>
  <c r="B60" i="19"/>
  <c r="B59" i="19"/>
  <c r="B58" i="19"/>
  <c r="B57" i="19"/>
  <c r="B56" i="19"/>
  <c r="B55" i="19"/>
  <c r="B54" i="19"/>
  <c r="B53" i="19"/>
  <c r="B52" i="19"/>
  <c r="B51" i="19"/>
  <c r="B50" i="19"/>
  <c r="B49" i="19"/>
  <c r="B48" i="19"/>
  <c r="B47" i="19"/>
  <c r="B46" i="19"/>
  <c r="B45" i="19"/>
  <c r="B44" i="19"/>
  <c r="B43" i="19"/>
  <c r="B42" i="19"/>
  <c r="B41" i="19"/>
  <c r="B40" i="19"/>
  <c r="B39" i="19"/>
  <c r="B38" i="19"/>
  <c r="B37" i="19"/>
  <c r="B36" i="19"/>
  <c r="B35" i="19"/>
  <c r="B34" i="19"/>
  <c r="B33" i="19"/>
  <c r="B32" i="19"/>
  <c r="B31" i="19"/>
  <c r="B30" i="19"/>
  <c r="B29" i="19"/>
  <c r="B28" i="19"/>
  <c r="B27" i="19"/>
  <c r="B26" i="19"/>
  <c r="H26" i="19" s="1"/>
  <c r="S22" i="4" l="1"/>
  <c r="R23" i="4"/>
  <c r="K82" i="4"/>
  <c r="L82" i="4" s="1"/>
  <c r="M82" i="4" s="1"/>
  <c r="N82" i="4" s="1"/>
  <c r="O82" i="4" s="1"/>
  <c r="P82" i="4" s="1"/>
  <c r="Q82" i="4" s="1"/>
  <c r="R82" i="4" s="1"/>
  <c r="S82" i="4" s="1"/>
  <c r="S171" i="45" s="1"/>
  <c r="K78" i="4"/>
  <c r="L78" i="4" s="1"/>
  <c r="M78" i="4" s="1"/>
  <c r="N78" i="4" s="1"/>
  <c r="O78" i="4" s="1"/>
  <c r="P78" i="4" s="1"/>
  <c r="Q78" i="4" s="1"/>
  <c r="R78" i="4" s="1"/>
  <c r="S78" i="4" s="1"/>
  <c r="S159" i="45" s="1"/>
  <c r="K84" i="4"/>
  <c r="L84" i="4" s="1"/>
  <c r="M84" i="4" s="1"/>
  <c r="N84" i="4" s="1"/>
  <c r="O84" i="4" s="1"/>
  <c r="P84" i="4" s="1"/>
  <c r="Q84" i="4" s="1"/>
  <c r="R84" i="4" s="1"/>
  <c r="S84" i="4" s="1"/>
  <c r="S173" i="45" s="1"/>
  <c r="K80" i="4"/>
  <c r="L80" i="4" s="1"/>
  <c r="M80" i="4" s="1"/>
  <c r="N80" i="4" s="1"/>
  <c r="O80" i="4" s="1"/>
  <c r="P80" i="4" s="1"/>
  <c r="Q80" i="4" s="1"/>
  <c r="R80" i="4" s="1"/>
  <c r="S80" i="4" s="1"/>
  <c r="S161" i="45" s="1"/>
  <c r="K83" i="4"/>
  <c r="L83" i="4" s="1"/>
  <c r="M83" i="4" s="1"/>
  <c r="N83" i="4" s="1"/>
  <c r="O83" i="4" s="1"/>
  <c r="P83" i="4" s="1"/>
  <c r="Q83" i="4" s="1"/>
  <c r="R83" i="4" s="1"/>
  <c r="S83" i="4" s="1"/>
  <c r="S172" i="45" s="1"/>
  <c r="K79" i="4"/>
  <c r="L79" i="4" s="1"/>
  <c r="M79" i="4" s="1"/>
  <c r="N79" i="4" s="1"/>
  <c r="O79" i="4" s="1"/>
  <c r="P79" i="4" s="1"/>
  <c r="Q79" i="4" s="1"/>
  <c r="R79" i="4" s="1"/>
  <c r="S79" i="4" s="1"/>
  <c r="S160" i="45" s="1"/>
  <c r="S77" i="35"/>
  <c r="M77" i="35"/>
  <c r="B79" i="35"/>
  <c r="I78" i="35"/>
  <c r="L78" i="35"/>
  <c r="C78" i="35"/>
  <c r="H27" i="19"/>
  <c r="I26" i="19"/>
  <c r="J26" i="19"/>
  <c r="J159" i="45"/>
  <c r="J160" i="45"/>
  <c r="J171" i="45"/>
  <c r="J161" i="45"/>
  <c r="J172" i="45"/>
  <c r="J173" i="45"/>
  <c r="P173" i="45" l="1"/>
  <c r="Q159" i="45"/>
  <c r="R159" i="45"/>
  <c r="L159" i="45"/>
  <c r="N159" i="45"/>
  <c r="O159" i="45"/>
  <c r="K159" i="45"/>
  <c r="S23" i="4"/>
  <c r="Q171" i="45"/>
  <c r="L171" i="45"/>
  <c r="K171" i="45"/>
  <c r="Q172" i="45"/>
  <c r="P160" i="45"/>
  <c r="R160" i="45"/>
  <c r="L172" i="45"/>
  <c r="L160" i="45"/>
  <c r="N160" i="45"/>
  <c r="N172" i="45"/>
  <c r="P172" i="45"/>
  <c r="M172" i="45"/>
  <c r="R172" i="45"/>
  <c r="M173" i="45"/>
  <c r="L173" i="45"/>
  <c r="O173" i="45"/>
  <c r="R171" i="45"/>
  <c r="K173" i="45"/>
  <c r="N173" i="45"/>
  <c r="M171" i="45"/>
  <c r="P171" i="45"/>
  <c r="R173" i="45"/>
  <c r="O160" i="45"/>
  <c r="Q160" i="45"/>
  <c r="O171" i="45"/>
  <c r="N171" i="45"/>
  <c r="Q173" i="45"/>
  <c r="K172" i="45"/>
  <c r="P159" i="45"/>
  <c r="L161" i="45"/>
  <c r="K161" i="45"/>
  <c r="O172" i="45"/>
  <c r="O161" i="45"/>
  <c r="M161" i="45"/>
  <c r="N161" i="45"/>
  <c r="R161" i="45"/>
  <c r="K160" i="45"/>
  <c r="M159" i="45"/>
  <c r="P161" i="45"/>
  <c r="M160" i="45"/>
  <c r="Q161" i="45"/>
  <c r="S78" i="35"/>
  <c r="M78" i="35"/>
  <c r="B80" i="35"/>
  <c r="L79" i="35"/>
  <c r="M79" i="35" s="1"/>
  <c r="C79" i="35"/>
  <c r="K26" i="19"/>
  <c r="J27" i="19"/>
  <c r="I27" i="19"/>
  <c r="H28" i="19"/>
  <c r="G66" i="4"/>
  <c r="F66" i="4"/>
  <c r="H66" i="4"/>
  <c r="G65" i="4"/>
  <c r="F65" i="4"/>
  <c r="H65" i="4"/>
  <c r="H64" i="4"/>
  <c r="G64" i="4"/>
  <c r="F64" i="4"/>
  <c r="G63" i="4"/>
  <c r="F63" i="4"/>
  <c r="H63" i="4"/>
  <c r="G61" i="4"/>
  <c r="F61" i="4"/>
  <c r="H61" i="4"/>
  <c r="G59" i="4"/>
  <c r="H59" i="4"/>
  <c r="H58" i="4"/>
  <c r="K134" i="45"/>
  <c r="L134" i="45" s="1"/>
  <c r="M134" i="45" s="1"/>
  <c r="N134" i="45" s="1"/>
  <c r="O134" i="45" s="1"/>
  <c r="P134" i="45" s="1"/>
  <c r="Q134" i="45" s="1"/>
  <c r="R134" i="45" s="1"/>
  <c r="S134" i="45" s="1"/>
  <c r="H55" i="4"/>
  <c r="H47" i="46"/>
  <c r="G47" i="46"/>
  <c r="F47" i="46"/>
  <c r="E47" i="46"/>
  <c r="B81" i="35" l="1"/>
  <c r="I80" i="35"/>
  <c r="L80" i="35"/>
  <c r="C80" i="35"/>
  <c r="H29" i="19"/>
  <c r="J28" i="19"/>
  <c r="I28" i="19"/>
  <c r="K27" i="19"/>
  <c r="L27" i="19" s="1"/>
  <c r="H123" i="45"/>
  <c r="G123" i="45"/>
  <c r="F123" i="45"/>
  <c r="G126" i="46"/>
  <c r="F126" i="46"/>
  <c r="E126" i="46"/>
  <c r="E5" i="57" l="1"/>
  <c r="S80" i="35"/>
  <c r="M80" i="35"/>
  <c r="B82" i="35"/>
  <c r="I81" i="35"/>
  <c r="L81" i="35"/>
  <c r="C81" i="35"/>
  <c r="K28" i="19"/>
  <c r="L28" i="19" s="1"/>
  <c r="H30" i="19"/>
  <c r="I29" i="19"/>
  <c r="J29" i="19"/>
  <c r="E61" i="27" l="1"/>
  <c r="G123" i="48" s="1"/>
  <c r="F61" i="27"/>
  <c r="D61" i="27"/>
  <c r="F123" i="48" s="1"/>
  <c r="C61" i="27"/>
  <c r="E123" i="48" s="1"/>
  <c r="S81" i="35"/>
  <c r="M81" i="35"/>
  <c r="B83" i="35"/>
  <c r="L82" i="35"/>
  <c r="M82" i="35" s="1"/>
  <c r="C82" i="35"/>
  <c r="K29" i="19"/>
  <c r="L29" i="19" s="1"/>
  <c r="H31" i="19"/>
  <c r="J30" i="19"/>
  <c r="I30" i="19"/>
  <c r="I42" i="11"/>
  <c r="H123" i="48" l="1"/>
  <c r="B84" i="35"/>
  <c r="I83" i="35"/>
  <c r="L83" i="35"/>
  <c r="C83" i="35"/>
  <c r="K30" i="19"/>
  <c r="L30" i="19" s="1"/>
  <c r="H32" i="19"/>
  <c r="J31" i="19"/>
  <c r="I31" i="19"/>
  <c r="S83" i="35" l="1"/>
  <c r="M83" i="35"/>
  <c r="B85" i="35"/>
  <c r="I84" i="35"/>
  <c r="L84" i="35"/>
  <c r="C84" i="35"/>
  <c r="K31" i="19"/>
  <c r="L31" i="19" s="1"/>
  <c r="H33" i="19"/>
  <c r="J32" i="19"/>
  <c r="I32" i="19"/>
  <c r="G13" i="7"/>
  <c r="D182" i="4"/>
  <c r="C182" i="4"/>
  <c r="B86" i="35" l="1"/>
  <c r="L85" i="35"/>
  <c r="M85" i="35" s="1"/>
  <c r="C85" i="35"/>
  <c r="S84" i="35"/>
  <c r="M84" i="35"/>
  <c r="K32" i="19"/>
  <c r="L32" i="19" s="1"/>
  <c r="I33" i="19"/>
  <c r="J33" i="19"/>
  <c r="O760" i="40"/>
  <c r="N760" i="40"/>
  <c r="I785" i="40"/>
  <c r="H785" i="40"/>
  <c r="G785" i="40"/>
  <c r="F785" i="40"/>
  <c r="E785" i="40"/>
  <c r="D785" i="40"/>
  <c r="I782" i="40"/>
  <c r="H782" i="40"/>
  <c r="G782" i="40"/>
  <c r="F782" i="40"/>
  <c r="E782" i="40"/>
  <c r="D782" i="40"/>
  <c r="I777" i="40"/>
  <c r="H777" i="40"/>
  <c r="G777" i="40"/>
  <c r="F777" i="40"/>
  <c r="E777" i="40"/>
  <c r="D777" i="40"/>
  <c r="D786" i="40" l="1"/>
  <c r="B87" i="35"/>
  <c r="I86" i="35"/>
  <c r="L86" i="35"/>
  <c r="C86" i="35"/>
  <c r="K33" i="19"/>
  <c r="K34" i="19" s="1"/>
  <c r="E786" i="40"/>
  <c r="F786" i="40"/>
  <c r="G786" i="40"/>
  <c r="H786" i="40"/>
  <c r="I786" i="40"/>
  <c r="S86" i="35" l="1"/>
  <c r="M86" i="35"/>
  <c r="B88" i="35"/>
  <c r="I87" i="35"/>
  <c r="L87" i="35"/>
  <c r="C87" i="35"/>
  <c r="L33" i="19"/>
  <c r="W936" i="40"/>
  <c r="W935" i="40"/>
  <c r="W934" i="40"/>
  <c r="W933" i="40"/>
  <c r="W932" i="40"/>
  <c r="W931" i="40"/>
  <c r="W930" i="40"/>
  <c r="W929" i="40"/>
  <c r="W928" i="40"/>
  <c r="P921" i="40"/>
  <c r="O921" i="40"/>
  <c r="P920" i="40"/>
  <c r="O920" i="40"/>
  <c r="N920" i="40"/>
  <c r="M920" i="40"/>
  <c r="P918" i="40"/>
  <c r="O918" i="40"/>
  <c r="N918" i="40"/>
  <c r="M918" i="40"/>
  <c r="P917" i="40"/>
  <c r="O917" i="40"/>
  <c r="N917" i="40"/>
  <c r="M917" i="40"/>
  <c r="P916" i="40"/>
  <c r="O916" i="40"/>
  <c r="N916" i="40"/>
  <c r="M916" i="40"/>
  <c r="P915" i="40"/>
  <c r="O915" i="40"/>
  <c r="N915" i="40"/>
  <c r="M915" i="40"/>
  <c r="P913" i="40"/>
  <c r="O913" i="40"/>
  <c r="N913" i="40"/>
  <c r="M913" i="40"/>
  <c r="P912" i="40"/>
  <c r="O912" i="40"/>
  <c r="N912" i="40"/>
  <c r="M912" i="40"/>
  <c r="P936" i="40"/>
  <c r="O936" i="40"/>
  <c r="N936" i="40"/>
  <c r="M936" i="40"/>
  <c r="P935" i="40"/>
  <c r="V935" i="40" s="1"/>
  <c r="O935" i="40"/>
  <c r="N935" i="40"/>
  <c r="T935" i="40" s="1"/>
  <c r="M935" i="40"/>
  <c r="S935" i="40" s="1"/>
  <c r="P933" i="40"/>
  <c r="V933" i="40" s="1"/>
  <c r="O933" i="40"/>
  <c r="U933" i="40" s="1"/>
  <c r="N933" i="40"/>
  <c r="M933" i="40"/>
  <c r="P932" i="40"/>
  <c r="O932" i="40"/>
  <c r="N932" i="40"/>
  <c r="M932" i="40"/>
  <c r="P931" i="40"/>
  <c r="V931" i="40" s="1"/>
  <c r="O931" i="40"/>
  <c r="U931" i="40" s="1"/>
  <c r="N931" i="40"/>
  <c r="T931" i="40" s="1"/>
  <c r="M931" i="40"/>
  <c r="S931" i="40" s="1"/>
  <c r="P930" i="40"/>
  <c r="V930" i="40" s="1"/>
  <c r="O930" i="40"/>
  <c r="U930" i="40" s="1"/>
  <c r="N930" i="40"/>
  <c r="M930" i="40"/>
  <c r="P928" i="40"/>
  <c r="O928" i="40"/>
  <c r="N928" i="40"/>
  <c r="M928" i="40"/>
  <c r="P927" i="40"/>
  <c r="O927" i="40"/>
  <c r="U927" i="40" s="1"/>
  <c r="N927" i="40"/>
  <c r="T927" i="40" s="1"/>
  <c r="M927" i="40"/>
  <c r="S927" i="40" s="1"/>
  <c r="W927" i="40"/>
  <c r="E731" i="40"/>
  <c r="F731" i="40" s="1"/>
  <c r="G731" i="40" s="1"/>
  <c r="H731" i="40" s="1"/>
  <c r="I731" i="40" s="1"/>
  <c r="J731" i="40" s="1"/>
  <c r="E730" i="40"/>
  <c r="F730" i="40" s="1"/>
  <c r="G730" i="40" s="1"/>
  <c r="E736" i="40"/>
  <c r="F736" i="40" s="1"/>
  <c r="G736" i="40" s="1"/>
  <c r="H736" i="40" s="1"/>
  <c r="I736" i="40" s="1"/>
  <c r="J736" i="40" s="1"/>
  <c r="E735" i="40"/>
  <c r="F735" i="40" s="1"/>
  <c r="G735" i="40" s="1"/>
  <c r="H735" i="40" s="1"/>
  <c r="I735" i="40" s="1"/>
  <c r="J735" i="40" s="1"/>
  <c r="E734" i="40"/>
  <c r="E739" i="40"/>
  <c r="E740" i="40" s="1"/>
  <c r="D740" i="40"/>
  <c r="D737" i="40"/>
  <c r="D732" i="40"/>
  <c r="J117" i="4"/>
  <c r="J122" i="46" s="1"/>
  <c r="V927" i="40" l="1"/>
  <c r="B89" i="35"/>
  <c r="L88" i="35"/>
  <c r="M88" i="35" s="1"/>
  <c r="C88" i="35"/>
  <c r="S87" i="35"/>
  <c r="M87" i="35"/>
  <c r="U935" i="40"/>
  <c r="S932" i="40"/>
  <c r="U928" i="40"/>
  <c r="U932" i="40"/>
  <c r="T932" i="40"/>
  <c r="V928" i="40"/>
  <c r="V932" i="40"/>
  <c r="S928" i="40"/>
  <c r="T928" i="40"/>
  <c r="S930" i="40"/>
  <c r="S933" i="40"/>
  <c r="T930" i="40"/>
  <c r="T933" i="40"/>
  <c r="U936" i="40"/>
  <c r="V936" i="40"/>
  <c r="F739" i="40"/>
  <c r="H730" i="40"/>
  <c r="G732" i="40"/>
  <c r="E732" i="40"/>
  <c r="F732" i="40"/>
  <c r="E737" i="40"/>
  <c r="F734" i="40"/>
  <c r="D741" i="40"/>
  <c r="E741" i="40" l="1"/>
  <c r="B90" i="35"/>
  <c r="I89" i="35"/>
  <c r="L89" i="35"/>
  <c r="C89" i="35"/>
  <c r="G739" i="40"/>
  <c r="F740" i="40"/>
  <c r="H732" i="40"/>
  <c r="I730" i="40"/>
  <c r="G734" i="40"/>
  <c r="F737" i="40"/>
  <c r="I732" i="40" l="1"/>
  <c r="J730" i="40"/>
  <c r="J732" i="40" s="1"/>
  <c r="F741" i="40"/>
  <c r="S89" i="35"/>
  <c r="M89" i="35"/>
  <c r="B91" i="35"/>
  <c r="I90" i="35"/>
  <c r="L90" i="35"/>
  <c r="C90" i="35"/>
  <c r="G740" i="40"/>
  <c r="H739" i="40"/>
  <c r="H734" i="40"/>
  <c r="G737" i="40"/>
  <c r="B92" i="35" l="1"/>
  <c r="L91" i="35"/>
  <c r="M91" i="35" s="1"/>
  <c r="C91" i="35"/>
  <c r="S90" i="35"/>
  <c r="M90" i="35"/>
  <c r="G741" i="40"/>
  <c r="I739" i="40"/>
  <c r="H740" i="40"/>
  <c r="I734" i="40"/>
  <c r="H737" i="40"/>
  <c r="I740" i="40" l="1"/>
  <c r="J739" i="40"/>
  <c r="J740" i="40" s="1"/>
  <c r="I737" i="40"/>
  <c r="J734" i="40"/>
  <c r="J737" i="40" s="1"/>
  <c r="H741" i="40"/>
  <c r="B93" i="35"/>
  <c r="I92" i="35"/>
  <c r="L92" i="35"/>
  <c r="C92" i="35"/>
  <c r="G7" i="35"/>
  <c r="H14" i="35" s="1"/>
  <c r="C174" i="4"/>
  <c r="I184" i="4"/>
  <c r="C47" i="7"/>
  <c r="C41" i="7"/>
  <c r="C35" i="7"/>
  <c r="C29" i="7"/>
  <c r="C23" i="7"/>
  <c r="F12" i="7"/>
  <c r="G12" i="7" s="1"/>
  <c r="F11" i="7"/>
  <c r="F10" i="7"/>
  <c r="F9" i="7"/>
  <c r="F8" i="7"/>
  <c r="G8" i="7" s="1"/>
  <c r="I741" i="40" l="1"/>
  <c r="J741" i="40"/>
  <c r="G11" i="7"/>
  <c r="G9" i="7"/>
  <c r="G10" i="7"/>
  <c r="S92" i="35"/>
  <c r="M92" i="35"/>
  <c r="I93" i="35"/>
  <c r="L93" i="35"/>
  <c r="C93" i="35"/>
  <c r="B94" i="35"/>
  <c r="F14" i="7"/>
  <c r="D184" i="4"/>
  <c r="P10" i="35" s="1"/>
  <c r="D187" i="4"/>
  <c r="AT10" i="35" s="1"/>
  <c r="D185" i="4"/>
  <c r="Z10" i="35" s="1"/>
  <c r="D186" i="4"/>
  <c r="AJ10" i="35" s="1"/>
  <c r="C183" i="4"/>
  <c r="D183" i="4"/>
  <c r="F10" i="35" s="1"/>
  <c r="B95" i="35" l="1"/>
  <c r="L94" i="35"/>
  <c r="M94" i="35" s="1"/>
  <c r="C94" i="35"/>
  <c r="S93" i="35"/>
  <c r="O93" i="35" s="1"/>
  <c r="M93" i="35"/>
  <c r="AH11" i="35"/>
  <c r="X11" i="35"/>
  <c r="G14" i="7"/>
  <c r="AR11" i="35"/>
  <c r="N11" i="35"/>
  <c r="O92" i="35"/>
  <c r="O80" i="35"/>
  <c r="O89" i="35"/>
  <c r="O78" i="35"/>
  <c r="O84" i="35"/>
  <c r="O87" i="35"/>
  <c r="O77" i="35"/>
  <c r="O86" i="35"/>
  <c r="O81" i="35"/>
  <c r="O75" i="35"/>
  <c r="O83" i="35"/>
  <c r="O74" i="35"/>
  <c r="O90" i="35"/>
  <c r="B96" i="35" l="1"/>
  <c r="I95" i="35"/>
  <c r="E95" i="35" s="1"/>
  <c r="L95" i="35"/>
  <c r="C95" i="35"/>
  <c r="D11" i="35"/>
  <c r="E93" i="35"/>
  <c r="E77" i="35"/>
  <c r="E80" i="35"/>
  <c r="E92" i="35"/>
  <c r="E84" i="35"/>
  <c r="E83" i="35"/>
  <c r="E75" i="35"/>
  <c r="E90" i="35"/>
  <c r="E89" i="35"/>
  <c r="E81" i="35"/>
  <c r="E87" i="35"/>
  <c r="E86" i="35"/>
  <c r="E78" i="35"/>
  <c r="E12" i="26"/>
  <c r="S95" i="35" l="1"/>
  <c r="O95" i="35" s="1"/>
  <c r="M95" i="35"/>
  <c r="B97" i="35"/>
  <c r="I96" i="35"/>
  <c r="E96" i="35" s="1"/>
  <c r="L96" i="35"/>
  <c r="C96" i="35"/>
  <c r="E32" i="45"/>
  <c r="F32" i="45"/>
  <c r="G32" i="45"/>
  <c r="S96" i="35" l="1"/>
  <c r="O96" i="35" s="1"/>
  <c r="M96" i="35"/>
  <c r="B98" i="35"/>
  <c r="L97" i="35"/>
  <c r="M97" i="35" s="1"/>
  <c r="C97" i="35"/>
  <c r="G57" i="4"/>
  <c r="F57" i="4"/>
  <c r="F21" i="19"/>
  <c r="D21" i="19"/>
  <c r="F20" i="19"/>
  <c r="D20" i="19"/>
  <c r="J15" i="19"/>
  <c r="E15" i="19"/>
  <c r="J14" i="19"/>
  <c r="E14" i="19"/>
  <c r="J13" i="19"/>
  <c r="E13" i="19"/>
  <c r="J12" i="19"/>
  <c r="E12" i="19"/>
  <c r="J11" i="19"/>
  <c r="E11" i="19"/>
  <c r="J10" i="19"/>
  <c r="E10" i="19"/>
  <c r="J9" i="19"/>
  <c r="E9" i="19"/>
  <c r="J8" i="19"/>
  <c r="E8" i="19"/>
  <c r="J7" i="19"/>
  <c r="E7" i="19"/>
  <c r="E6" i="19"/>
  <c r="E5" i="19"/>
  <c r="D66" i="36"/>
  <c r="E62" i="36" s="1"/>
  <c r="F65" i="36"/>
  <c r="H65" i="36" s="1"/>
  <c r="E28" i="36"/>
  <c r="E27" i="36"/>
  <c r="F18" i="36"/>
  <c r="F11" i="36"/>
  <c r="F9" i="36"/>
  <c r="H60" i="11"/>
  <c r="E48" i="11"/>
  <c r="E49" i="11" s="1"/>
  <c r="E50" i="11" s="1"/>
  <c r="E43" i="11"/>
  <c r="E44" i="11" s="1"/>
  <c r="E45" i="11" s="1"/>
  <c r="E38" i="11"/>
  <c r="E39" i="11" s="1"/>
  <c r="E40" i="11" s="1"/>
  <c r="E33" i="11"/>
  <c r="E34" i="11" s="1"/>
  <c r="E35" i="11" s="1"/>
  <c r="C32" i="11"/>
  <c r="D32" i="11" s="1"/>
  <c r="F32" i="11" s="1"/>
  <c r="G31" i="11"/>
  <c r="G32" i="11" s="1"/>
  <c r="G33" i="11" s="1"/>
  <c r="G34" i="11" s="1"/>
  <c r="G35" i="11" s="1"/>
  <c r="G37" i="11" s="1"/>
  <c r="G38" i="11" s="1"/>
  <c r="G39" i="11" s="1"/>
  <c r="G40" i="11" s="1"/>
  <c r="G42" i="11" s="1"/>
  <c r="G43" i="11" s="1"/>
  <c r="G44" i="11" s="1"/>
  <c r="G45" i="11" s="1"/>
  <c r="G47" i="11" s="1"/>
  <c r="G48" i="11" s="1"/>
  <c r="G49" i="11" s="1"/>
  <c r="G50" i="11" s="1"/>
  <c r="G60" i="11" s="1"/>
  <c r="F30" i="11"/>
  <c r="F29" i="11"/>
  <c r="F28" i="11"/>
  <c r="F11" i="11"/>
  <c r="H28" i="11" s="1"/>
  <c r="C11" i="35"/>
  <c r="AX10" i="35"/>
  <c r="AN10" i="35"/>
  <c r="AD10" i="35"/>
  <c r="T10" i="35"/>
  <c r="L10" i="35"/>
  <c r="J10" i="35"/>
  <c r="C10" i="35"/>
  <c r="AV7" i="35"/>
  <c r="AV14" i="35" s="1"/>
  <c r="AL7" i="35"/>
  <c r="AB7" i="35"/>
  <c r="AB14" i="35" s="1"/>
  <c r="R7" i="35"/>
  <c r="R14" i="35" s="1"/>
  <c r="F72" i="18"/>
  <c r="C71" i="18"/>
  <c r="D66" i="18" s="1"/>
  <c r="F31" i="18"/>
  <c r="F43" i="18" s="1"/>
  <c r="F53" i="18" s="1"/>
  <c r="E31" i="18"/>
  <c r="E43" i="18" s="1"/>
  <c r="E53" i="18" s="1"/>
  <c r="F30" i="18"/>
  <c r="F42" i="18" s="1"/>
  <c r="F52" i="18" s="1"/>
  <c r="E30" i="18"/>
  <c r="E42" i="18" s="1"/>
  <c r="E52" i="18" s="1"/>
  <c r="F19" i="18"/>
  <c r="E19" i="18"/>
  <c r="F18" i="18"/>
  <c r="E18" i="18"/>
  <c r="F17" i="18"/>
  <c r="E17" i="18"/>
  <c r="F16" i="18"/>
  <c r="E16" i="18"/>
  <c r="F14" i="18"/>
  <c r="F15" i="18" s="1"/>
  <c r="E14" i="18"/>
  <c r="E15" i="18" s="1"/>
  <c r="E11" i="18"/>
  <c r="E9" i="18"/>
  <c r="F7" i="18"/>
  <c r="E7" i="18"/>
  <c r="F164" i="32"/>
  <c r="C164" i="32"/>
  <c r="G116" i="32"/>
  <c r="G117" i="32" s="1"/>
  <c r="B77" i="32"/>
  <c r="B26" i="32"/>
  <c r="B27" i="32" s="1"/>
  <c r="D14" i="7"/>
  <c r="C14" i="7"/>
  <c r="E13" i="7"/>
  <c r="E12" i="7"/>
  <c r="E11" i="7"/>
  <c r="E10" i="7"/>
  <c r="E9" i="7"/>
  <c r="E8" i="7"/>
  <c r="S136" i="33"/>
  <c r="S178" i="33" s="1"/>
  <c r="R136" i="33"/>
  <c r="R178" i="33" s="1"/>
  <c r="Q136" i="33"/>
  <c r="Q178" i="33" s="1"/>
  <c r="P136" i="33"/>
  <c r="P178" i="33" s="1"/>
  <c r="O136" i="33"/>
  <c r="O178" i="33" s="1"/>
  <c r="N136" i="33"/>
  <c r="N178" i="33" s="1"/>
  <c r="M136" i="33"/>
  <c r="M178" i="33" s="1"/>
  <c r="L136" i="33"/>
  <c r="L178" i="33" s="1"/>
  <c r="K136" i="33"/>
  <c r="K178" i="33" s="1"/>
  <c r="J136" i="33"/>
  <c r="J178" i="33" s="1"/>
  <c r="J130" i="33"/>
  <c r="H109" i="33"/>
  <c r="I109" i="33" s="1"/>
  <c r="J107" i="33"/>
  <c r="K105" i="33" s="1"/>
  <c r="K107" i="33" s="1"/>
  <c r="H101" i="33"/>
  <c r="I101" i="33" s="1"/>
  <c r="J99" i="33"/>
  <c r="K97" i="33" s="1"/>
  <c r="K99" i="33" s="1"/>
  <c r="H93" i="33"/>
  <c r="J91" i="33"/>
  <c r="H72" i="33"/>
  <c r="G72" i="33"/>
  <c r="H69" i="33"/>
  <c r="H63" i="33"/>
  <c r="I63" i="33" s="1"/>
  <c r="H53" i="33"/>
  <c r="I53" i="33" s="1"/>
  <c r="H43" i="33"/>
  <c r="I43" i="33" s="1"/>
  <c r="I44" i="33" s="1"/>
  <c r="S38" i="33"/>
  <c r="S68" i="33" s="1"/>
  <c r="R38" i="33"/>
  <c r="R68" i="33" s="1"/>
  <c r="Q38" i="33"/>
  <c r="Q68" i="33" s="1"/>
  <c r="P38" i="33"/>
  <c r="P68" i="33" s="1"/>
  <c r="O38" i="33"/>
  <c r="O68" i="33" s="1"/>
  <c r="N38" i="33"/>
  <c r="N68" i="33" s="1"/>
  <c r="M38" i="33"/>
  <c r="M68" i="33" s="1"/>
  <c r="L38" i="33"/>
  <c r="L68" i="33" s="1"/>
  <c r="K38" i="33"/>
  <c r="K68" i="33" s="1"/>
  <c r="J38" i="33"/>
  <c r="J68" i="33" s="1"/>
  <c r="H33" i="33"/>
  <c r="H23" i="33"/>
  <c r="I23" i="33" s="1"/>
  <c r="H14" i="33"/>
  <c r="H125" i="10"/>
  <c r="H125" i="4" s="1"/>
  <c r="H124" i="10"/>
  <c r="H104" i="10"/>
  <c r="K102" i="10"/>
  <c r="H80" i="10"/>
  <c r="S63" i="10"/>
  <c r="S66" i="10" s="1"/>
  <c r="R63" i="10"/>
  <c r="R66" i="10" s="1"/>
  <c r="Q63" i="10"/>
  <c r="Q66" i="10" s="1"/>
  <c r="P63" i="10"/>
  <c r="O63" i="10"/>
  <c r="O66" i="10" s="1"/>
  <c r="N63" i="10"/>
  <c r="N66" i="10" s="1"/>
  <c r="M63" i="10"/>
  <c r="M66" i="10" s="1"/>
  <c r="L63" i="10"/>
  <c r="K63" i="10"/>
  <c r="R55" i="10"/>
  <c r="Q55" i="10"/>
  <c r="L55" i="10"/>
  <c r="P55" i="10"/>
  <c r="O55" i="10"/>
  <c r="N55" i="10"/>
  <c r="H43" i="10"/>
  <c r="G43" i="10"/>
  <c r="F43" i="10"/>
  <c r="E43" i="10"/>
  <c r="E17" i="10"/>
  <c r="F16" i="10" s="1"/>
  <c r="H16" i="10"/>
  <c r="G16" i="10"/>
  <c r="E16" i="10"/>
  <c r="S301" i="45"/>
  <c r="R301" i="45"/>
  <c r="Q301" i="45"/>
  <c r="P301" i="45"/>
  <c r="O301" i="45"/>
  <c r="N301" i="45"/>
  <c r="M301" i="45"/>
  <c r="L301" i="45"/>
  <c r="K301" i="45"/>
  <c r="J301" i="45"/>
  <c r="H301" i="45"/>
  <c r="G301" i="45"/>
  <c r="F301" i="45"/>
  <c r="E301" i="45"/>
  <c r="S300" i="45"/>
  <c r="R300" i="45"/>
  <c r="Q300" i="45"/>
  <c r="P300" i="45"/>
  <c r="O300" i="45"/>
  <c r="N300" i="45"/>
  <c r="M300" i="45"/>
  <c r="L300" i="45"/>
  <c r="K300" i="45"/>
  <c r="J300" i="45"/>
  <c r="H300" i="45"/>
  <c r="G300" i="45"/>
  <c r="F300" i="45"/>
  <c r="E300" i="45"/>
  <c r="S299" i="45"/>
  <c r="R299" i="45"/>
  <c r="Q299" i="45"/>
  <c r="P299" i="45"/>
  <c r="O299" i="45"/>
  <c r="N299" i="45"/>
  <c r="M299" i="45"/>
  <c r="L299" i="45"/>
  <c r="K299" i="45"/>
  <c r="J299" i="45"/>
  <c r="H299" i="45"/>
  <c r="G299" i="45"/>
  <c r="F299" i="45"/>
  <c r="E299" i="45"/>
  <c r="S298" i="45"/>
  <c r="R298" i="45"/>
  <c r="Q298" i="45"/>
  <c r="P298" i="45"/>
  <c r="O298" i="45"/>
  <c r="N298" i="45"/>
  <c r="M298" i="45"/>
  <c r="L298" i="45"/>
  <c r="K298" i="45"/>
  <c r="J298" i="45"/>
  <c r="H298" i="45"/>
  <c r="G298" i="45"/>
  <c r="F298" i="45"/>
  <c r="E298" i="45"/>
  <c r="S295" i="45"/>
  <c r="R295" i="45"/>
  <c r="Q295" i="45"/>
  <c r="P295" i="45"/>
  <c r="O295" i="45"/>
  <c r="N295" i="45"/>
  <c r="M295" i="45"/>
  <c r="L295" i="45"/>
  <c r="K295" i="45"/>
  <c r="J295" i="45"/>
  <c r="H295" i="45"/>
  <c r="G295" i="45"/>
  <c r="F295" i="45"/>
  <c r="E295" i="45"/>
  <c r="S294" i="45"/>
  <c r="R294" i="45"/>
  <c r="Q294" i="45"/>
  <c r="P294" i="45"/>
  <c r="O294" i="45"/>
  <c r="N294" i="45"/>
  <c r="M294" i="45"/>
  <c r="L294" i="45"/>
  <c r="K294" i="45"/>
  <c r="J294" i="45"/>
  <c r="H294" i="45"/>
  <c r="G294" i="45"/>
  <c r="F294" i="45"/>
  <c r="E294" i="45"/>
  <c r="S293" i="45"/>
  <c r="R293" i="45"/>
  <c r="Q293" i="45"/>
  <c r="P293" i="45"/>
  <c r="O293" i="45"/>
  <c r="N293" i="45"/>
  <c r="M293" i="45"/>
  <c r="L293" i="45"/>
  <c r="K293" i="45"/>
  <c r="J293" i="45"/>
  <c r="H293" i="45"/>
  <c r="G293" i="45"/>
  <c r="F293" i="45"/>
  <c r="E293" i="45"/>
  <c r="S292" i="45"/>
  <c r="R292" i="45"/>
  <c r="Q292" i="45"/>
  <c r="P292" i="45"/>
  <c r="O292" i="45"/>
  <c r="N292" i="45"/>
  <c r="M292" i="45"/>
  <c r="L292" i="45"/>
  <c r="K292" i="45"/>
  <c r="J292" i="45"/>
  <c r="H292" i="45"/>
  <c r="G292" i="45"/>
  <c r="F292" i="45"/>
  <c r="E292" i="45"/>
  <c r="S291" i="45"/>
  <c r="R291" i="45"/>
  <c r="Q291" i="45"/>
  <c r="P291" i="45"/>
  <c r="O291" i="45"/>
  <c r="N291" i="45"/>
  <c r="M291" i="45"/>
  <c r="L291" i="45"/>
  <c r="K291" i="45"/>
  <c r="J291" i="45"/>
  <c r="H291" i="45"/>
  <c r="G291" i="45"/>
  <c r="F291" i="45"/>
  <c r="E291" i="45"/>
  <c r="S288" i="45"/>
  <c r="R288" i="45"/>
  <c r="Q288" i="45"/>
  <c r="P288" i="45"/>
  <c r="O288" i="45"/>
  <c r="N288" i="45"/>
  <c r="M288" i="45"/>
  <c r="L288" i="45"/>
  <c r="K288" i="45"/>
  <c r="J288" i="45"/>
  <c r="H288" i="45"/>
  <c r="G288" i="45"/>
  <c r="F288" i="45"/>
  <c r="E288" i="45"/>
  <c r="S287" i="45"/>
  <c r="R287" i="45"/>
  <c r="Q287" i="45"/>
  <c r="P287" i="45"/>
  <c r="O287" i="45"/>
  <c r="N287" i="45"/>
  <c r="M287" i="45"/>
  <c r="L287" i="45"/>
  <c r="K287" i="45"/>
  <c r="J287" i="45"/>
  <c r="H287" i="45"/>
  <c r="G287" i="45"/>
  <c r="F287" i="45"/>
  <c r="E287" i="45"/>
  <c r="S286" i="45"/>
  <c r="R286" i="45"/>
  <c r="Q286" i="45"/>
  <c r="P286" i="45"/>
  <c r="O286" i="45"/>
  <c r="N286" i="45"/>
  <c r="M286" i="45"/>
  <c r="L286" i="45"/>
  <c r="K286" i="45"/>
  <c r="J286" i="45"/>
  <c r="H286" i="45"/>
  <c r="G286" i="45"/>
  <c r="F286" i="45"/>
  <c r="E286" i="45"/>
  <c r="S285" i="45"/>
  <c r="R285" i="45"/>
  <c r="Q285" i="45"/>
  <c r="P285" i="45"/>
  <c r="O285" i="45"/>
  <c r="N285" i="45"/>
  <c r="M285" i="45"/>
  <c r="L285" i="45"/>
  <c r="K285" i="45"/>
  <c r="J285" i="45"/>
  <c r="H285" i="45"/>
  <c r="G285" i="45"/>
  <c r="F285" i="45"/>
  <c r="E285" i="45"/>
  <c r="S284" i="45"/>
  <c r="R284" i="45"/>
  <c r="Q284" i="45"/>
  <c r="P284" i="45"/>
  <c r="O284" i="45"/>
  <c r="N284" i="45"/>
  <c r="M284" i="45"/>
  <c r="L284" i="45"/>
  <c r="K284" i="45"/>
  <c r="J284" i="45"/>
  <c r="H284" i="45"/>
  <c r="G284" i="45"/>
  <c r="F284" i="45"/>
  <c r="E284" i="45"/>
  <c r="S254" i="45"/>
  <c r="R254" i="45"/>
  <c r="Q254" i="45"/>
  <c r="P254" i="45"/>
  <c r="O254" i="45"/>
  <c r="N254" i="45"/>
  <c r="M254" i="45"/>
  <c r="L254" i="45"/>
  <c r="K254" i="45"/>
  <c r="J254" i="45"/>
  <c r="H254" i="45"/>
  <c r="G254" i="45"/>
  <c r="F254" i="45"/>
  <c r="E254" i="45"/>
  <c r="S248" i="45"/>
  <c r="R248" i="45"/>
  <c r="Q248" i="45"/>
  <c r="P248" i="45"/>
  <c r="O248" i="45"/>
  <c r="N248" i="45"/>
  <c r="M248" i="45"/>
  <c r="L248" i="45"/>
  <c r="K248" i="45"/>
  <c r="J248" i="45"/>
  <c r="H248" i="45"/>
  <c r="G248" i="45"/>
  <c r="F248" i="45"/>
  <c r="E248" i="45"/>
  <c r="S241" i="45"/>
  <c r="R241" i="45"/>
  <c r="Q241" i="45"/>
  <c r="P241" i="45"/>
  <c r="O241" i="45"/>
  <c r="N241" i="45"/>
  <c r="M241" i="45"/>
  <c r="L241" i="45"/>
  <c r="K241" i="45"/>
  <c r="J241" i="45"/>
  <c r="H241" i="45"/>
  <c r="G241" i="45"/>
  <c r="F241" i="45"/>
  <c r="E241" i="45"/>
  <c r="S230" i="45"/>
  <c r="R230" i="45"/>
  <c r="Q230" i="45"/>
  <c r="P230" i="45"/>
  <c r="O230" i="45"/>
  <c r="N230" i="45"/>
  <c r="M230" i="45"/>
  <c r="L230" i="45"/>
  <c r="K230" i="45"/>
  <c r="J230" i="45"/>
  <c r="H230" i="45"/>
  <c r="G230" i="45"/>
  <c r="F230" i="45"/>
  <c r="E230" i="45"/>
  <c r="S224" i="45"/>
  <c r="R224" i="45"/>
  <c r="Q224" i="45"/>
  <c r="P224" i="45"/>
  <c r="O224" i="45"/>
  <c r="N224" i="45"/>
  <c r="M224" i="45"/>
  <c r="L224" i="45"/>
  <c r="K224" i="45"/>
  <c r="J224" i="45"/>
  <c r="H224" i="45"/>
  <c r="G224" i="45"/>
  <c r="F224" i="45"/>
  <c r="E224" i="45"/>
  <c r="S217" i="45"/>
  <c r="R217" i="45"/>
  <c r="Q217" i="45"/>
  <c r="P217" i="45"/>
  <c r="O217" i="45"/>
  <c r="N217" i="45"/>
  <c r="M217" i="45"/>
  <c r="L217" i="45"/>
  <c r="K217" i="45"/>
  <c r="J217" i="45"/>
  <c r="H217" i="45"/>
  <c r="G217" i="45"/>
  <c r="F217" i="45"/>
  <c r="E217" i="45"/>
  <c r="C169" i="45"/>
  <c r="S153" i="45"/>
  <c r="S163" i="45" s="1"/>
  <c r="R153" i="45"/>
  <c r="R163" i="45" s="1"/>
  <c r="Q153" i="45"/>
  <c r="Q164" i="45" s="1"/>
  <c r="P153" i="45"/>
  <c r="P165" i="45" s="1"/>
  <c r="P192" i="45" s="1"/>
  <c r="O153" i="45"/>
  <c r="O165" i="45" s="1"/>
  <c r="O192" i="45" s="1"/>
  <c r="N153" i="45"/>
  <c r="N165" i="45" s="1"/>
  <c r="N192" i="45" s="1"/>
  <c r="M153" i="45"/>
  <c r="L153" i="45"/>
  <c r="L163" i="45" s="1"/>
  <c r="K153" i="45"/>
  <c r="K163" i="45" s="1"/>
  <c r="J153" i="45"/>
  <c r="J163" i="45" s="1"/>
  <c r="H149" i="45"/>
  <c r="H25" i="45" s="1"/>
  <c r="G149" i="45"/>
  <c r="G25" i="45" s="1"/>
  <c r="K148" i="45"/>
  <c r="L148" i="45" s="1"/>
  <c r="M148" i="45" s="1"/>
  <c r="N148" i="45" s="1"/>
  <c r="O148" i="45" s="1"/>
  <c r="P148" i="45" s="1"/>
  <c r="Q148" i="45" s="1"/>
  <c r="R148" i="45" s="1"/>
  <c r="S148" i="45" s="1"/>
  <c r="K147" i="45"/>
  <c r="L147" i="45" s="1"/>
  <c r="M147" i="45" s="1"/>
  <c r="N147" i="45" s="1"/>
  <c r="O147" i="45" s="1"/>
  <c r="P147" i="45" s="1"/>
  <c r="Q147" i="45" s="1"/>
  <c r="R147" i="45" s="1"/>
  <c r="S147" i="45" s="1"/>
  <c r="F147" i="45"/>
  <c r="K146" i="45"/>
  <c r="L146" i="45" s="1"/>
  <c r="M146" i="45" s="1"/>
  <c r="N146" i="45" s="1"/>
  <c r="O146" i="45" s="1"/>
  <c r="P146" i="45" s="1"/>
  <c r="Q146" i="45" s="1"/>
  <c r="R146" i="45" s="1"/>
  <c r="S146" i="45" s="1"/>
  <c r="F146" i="45"/>
  <c r="K145" i="45"/>
  <c r="L145" i="45" s="1"/>
  <c r="M145" i="45" s="1"/>
  <c r="N145" i="45" s="1"/>
  <c r="O145" i="45" s="1"/>
  <c r="P145" i="45" s="1"/>
  <c r="Q145" i="45" s="1"/>
  <c r="R145" i="45" s="1"/>
  <c r="S145" i="45" s="1"/>
  <c r="F145" i="45"/>
  <c r="K144" i="45"/>
  <c r="L144" i="45" s="1"/>
  <c r="M144" i="45" s="1"/>
  <c r="N144" i="45" s="1"/>
  <c r="O144" i="45" s="1"/>
  <c r="P144" i="45" s="1"/>
  <c r="Q144" i="45" s="1"/>
  <c r="R144" i="45" s="1"/>
  <c r="S144" i="45" s="1"/>
  <c r="F144" i="45"/>
  <c r="E144" i="45"/>
  <c r="E149" i="45" s="1"/>
  <c r="E25" i="45" s="1"/>
  <c r="F143" i="45"/>
  <c r="F142" i="45"/>
  <c r="H139" i="45"/>
  <c r="H16" i="45" s="1"/>
  <c r="G139" i="45"/>
  <c r="G16" i="45" s="1"/>
  <c r="E139" i="45"/>
  <c r="E16" i="45" s="1"/>
  <c r="F138" i="45"/>
  <c r="K137" i="45"/>
  <c r="L137" i="45" s="1"/>
  <c r="M137" i="45" s="1"/>
  <c r="N137" i="45" s="1"/>
  <c r="O137" i="45" s="1"/>
  <c r="P137" i="45" s="1"/>
  <c r="Q137" i="45" s="1"/>
  <c r="R137" i="45" s="1"/>
  <c r="S137" i="45" s="1"/>
  <c r="F137" i="45"/>
  <c r="K136" i="45"/>
  <c r="L136" i="45" s="1"/>
  <c r="M136" i="45" s="1"/>
  <c r="N136" i="45" s="1"/>
  <c r="O136" i="45" s="1"/>
  <c r="P136" i="45" s="1"/>
  <c r="Q136" i="45" s="1"/>
  <c r="R136" i="45" s="1"/>
  <c r="S136" i="45" s="1"/>
  <c r="F136" i="45"/>
  <c r="K135" i="45"/>
  <c r="L135" i="45" s="1"/>
  <c r="M135" i="45" s="1"/>
  <c r="N135" i="45" s="1"/>
  <c r="O135" i="45" s="1"/>
  <c r="P135" i="45" s="1"/>
  <c r="Q135" i="45" s="1"/>
  <c r="R135" i="45" s="1"/>
  <c r="S135" i="45" s="1"/>
  <c r="F135" i="45"/>
  <c r="F133" i="45"/>
  <c r="K132" i="45"/>
  <c r="L132" i="45" s="1"/>
  <c r="M132" i="45" s="1"/>
  <c r="N132" i="45" s="1"/>
  <c r="O132" i="45" s="1"/>
  <c r="P132" i="45" s="1"/>
  <c r="Q132" i="45" s="1"/>
  <c r="R132" i="45" s="1"/>
  <c r="S132" i="45" s="1"/>
  <c r="F132" i="45"/>
  <c r="K131" i="45"/>
  <c r="L131" i="45" s="1"/>
  <c r="M131" i="45" s="1"/>
  <c r="N131" i="45" s="1"/>
  <c r="O131" i="45" s="1"/>
  <c r="P131" i="45" s="1"/>
  <c r="Q131" i="45" s="1"/>
  <c r="R131" i="45" s="1"/>
  <c r="S131" i="45" s="1"/>
  <c r="H110" i="45"/>
  <c r="H122" i="45" s="1"/>
  <c r="I73" i="45" s="1"/>
  <c r="G110" i="45"/>
  <c r="F110" i="45"/>
  <c r="H107" i="45"/>
  <c r="G107" i="45"/>
  <c r="F107" i="45"/>
  <c r="E100" i="45"/>
  <c r="E123" i="45" s="1"/>
  <c r="E99" i="45"/>
  <c r="E122" i="45" s="1"/>
  <c r="G98" i="45"/>
  <c r="G121" i="45" s="1"/>
  <c r="F98" i="45"/>
  <c r="F121" i="45" s="1"/>
  <c r="E98" i="45"/>
  <c r="E121" i="45" s="1"/>
  <c r="G96" i="45"/>
  <c r="F96" i="45"/>
  <c r="E96" i="45"/>
  <c r="E119" i="45" s="1"/>
  <c r="H93" i="45"/>
  <c r="H116" i="45" s="1"/>
  <c r="G93" i="45"/>
  <c r="G116" i="45" s="1"/>
  <c r="F93" i="45"/>
  <c r="F116" i="45" s="1"/>
  <c r="H81" i="45"/>
  <c r="G81" i="45"/>
  <c r="S74" i="45"/>
  <c r="R74" i="45"/>
  <c r="Q74" i="45"/>
  <c r="P74" i="45"/>
  <c r="O74" i="45"/>
  <c r="N74" i="45"/>
  <c r="M74" i="45"/>
  <c r="L74" i="45"/>
  <c r="K74" i="45"/>
  <c r="J74" i="45"/>
  <c r="H74" i="45"/>
  <c r="G74" i="45"/>
  <c r="E67" i="45"/>
  <c r="H64" i="45"/>
  <c r="G64" i="45"/>
  <c r="F64" i="45"/>
  <c r="E64" i="45"/>
  <c r="H63" i="45"/>
  <c r="G63" i="45"/>
  <c r="E63" i="45"/>
  <c r="H51" i="45"/>
  <c r="G51" i="45"/>
  <c r="G54" i="45" s="1"/>
  <c r="E51" i="45"/>
  <c r="E54" i="45" s="1"/>
  <c r="E65" i="45" s="1"/>
  <c r="H44" i="45"/>
  <c r="F44" i="45"/>
  <c r="F28" i="26" s="1"/>
  <c r="F38" i="48" s="1"/>
  <c r="H39" i="45"/>
  <c r="H25" i="26" s="1"/>
  <c r="F39" i="45"/>
  <c r="F25" i="26" s="1"/>
  <c r="F37" i="45"/>
  <c r="E35" i="45"/>
  <c r="H32" i="45"/>
  <c r="J32" i="45" s="1"/>
  <c r="H22" i="45"/>
  <c r="H82" i="45" s="1"/>
  <c r="G22" i="45"/>
  <c r="G82" i="45" s="1"/>
  <c r="F22" i="45"/>
  <c r="E22" i="45"/>
  <c r="H20" i="45"/>
  <c r="G20" i="45"/>
  <c r="F20" i="45"/>
  <c r="E20" i="45"/>
  <c r="H19" i="45"/>
  <c r="G19" i="45"/>
  <c r="F19" i="45"/>
  <c r="E19" i="45"/>
  <c r="F14" i="45"/>
  <c r="F12" i="45"/>
  <c r="F10" i="45"/>
  <c r="F68" i="45" s="1"/>
  <c r="AJ133" i="46"/>
  <c r="AI133" i="46"/>
  <c r="AH133" i="46"/>
  <c r="AG133" i="46"/>
  <c r="AF133" i="46"/>
  <c r="AE133" i="46"/>
  <c r="AD133" i="46"/>
  <c r="G133" i="46"/>
  <c r="F133" i="46"/>
  <c r="E133" i="46"/>
  <c r="H126" i="46"/>
  <c r="H133" i="46" s="1"/>
  <c r="G117" i="46"/>
  <c r="G131" i="46" s="1"/>
  <c r="F117" i="46"/>
  <c r="F131" i="46" s="1"/>
  <c r="E117" i="46"/>
  <c r="E131" i="46" s="1"/>
  <c r="G115" i="46"/>
  <c r="F115" i="46"/>
  <c r="E115" i="46"/>
  <c r="E129" i="46" s="1"/>
  <c r="H105" i="46"/>
  <c r="G105" i="46"/>
  <c r="E105" i="46"/>
  <c r="H103" i="46"/>
  <c r="G103" i="46"/>
  <c r="F103" i="46"/>
  <c r="E103" i="46"/>
  <c r="H102" i="46"/>
  <c r="G102" i="46"/>
  <c r="F102" i="46"/>
  <c r="E102" i="46"/>
  <c r="G99" i="46"/>
  <c r="F99" i="46"/>
  <c r="E99" i="46"/>
  <c r="H94" i="46"/>
  <c r="H17" i="46" s="1"/>
  <c r="G94" i="46"/>
  <c r="G17" i="46" s="1"/>
  <c r="E94" i="46"/>
  <c r="E17" i="46" s="1"/>
  <c r="K93" i="46"/>
  <c r="L93" i="46" s="1"/>
  <c r="M93" i="46" s="1"/>
  <c r="N93" i="46" s="1"/>
  <c r="O93" i="46" s="1"/>
  <c r="P93" i="46" s="1"/>
  <c r="Q93" i="46" s="1"/>
  <c r="R93" i="46" s="1"/>
  <c r="S93" i="46" s="1"/>
  <c r="K91" i="46"/>
  <c r="L91" i="46" s="1"/>
  <c r="M91" i="46" s="1"/>
  <c r="N91" i="46" s="1"/>
  <c r="O91" i="46" s="1"/>
  <c r="P91" i="46" s="1"/>
  <c r="Q91" i="46" s="1"/>
  <c r="R91" i="46" s="1"/>
  <c r="S91" i="46" s="1"/>
  <c r="K90" i="46"/>
  <c r="L90" i="46" s="1"/>
  <c r="M90" i="46" s="1"/>
  <c r="N90" i="46" s="1"/>
  <c r="O90" i="46" s="1"/>
  <c r="P90" i="46" s="1"/>
  <c r="Q90" i="46" s="1"/>
  <c r="R90" i="46" s="1"/>
  <c r="S90" i="46" s="1"/>
  <c r="F90" i="46"/>
  <c r="K89" i="46"/>
  <c r="L89" i="46" s="1"/>
  <c r="M89" i="46" s="1"/>
  <c r="N89" i="46" s="1"/>
  <c r="O89" i="46" s="1"/>
  <c r="P89" i="46" s="1"/>
  <c r="Q89" i="46" s="1"/>
  <c r="R89" i="46" s="1"/>
  <c r="S89" i="46" s="1"/>
  <c r="F89" i="46"/>
  <c r="K88" i="46"/>
  <c r="L88" i="46" s="1"/>
  <c r="M88" i="46" s="1"/>
  <c r="N88" i="46" s="1"/>
  <c r="O88" i="46" s="1"/>
  <c r="P88" i="46" s="1"/>
  <c r="Q88" i="46" s="1"/>
  <c r="R88" i="46" s="1"/>
  <c r="S88" i="46" s="1"/>
  <c r="F88" i="46"/>
  <c r="K87" i="46"/>
  <c r="H85" i="46"/>
  <c r="H16" i="46" s="1"/>
  <c r="G85" i="46"/>
  <c r="G16" i="46" s="1"/>
  <c r="E85" i="46"/>
  <c r="E16" i="46" s="1"/>
  <c r="K84" i="46"/>
  <c r="L84" i="46" s="1"/>
  <c r="M84" i="46" s="1"/>
  <c r="N84" i="46" s="1"/>
  <c r="O84" i="46" s="1"/>
  <c r="P84" i="46" s="1"/>
  <c r="Q84" i="46" s="1"/>
  <c r="R84" i="46" s="1"/>
  <c r="S84" i="46" s="1"/>
  <c r="F84" i="46"/>
  <c r="K83" i="46"/>
  <c r="L83" i="46" s="1"/>
  <c r="M83" i="46" s="1"/>
  <c r="N83" i="46" s="1"/>
  <c r="O83" i="46" s="1"/>
  <c r="P83" i="46" s="1"/>
  <c r="Q83" i="46" s="1"/>
  <c r="R83" i="46" s="1"/>
  <c r="S83" i="46" s="1"/>
  <c r="F83" i="46"/>
  <c r="K82" i="46"/>
  <c r="L82" i="46" s="1"/>
  <c r="M82" i="46" s="1"/>
  <c r="N82" i="46" s="1"/>
  <c r="O82" i="46" s="1"/>
  <c r="P82" i="46" s="1"/>
  <c r="Q82" i="46" s="1"/>
  <c r="R82" i="46" s="1"/>
  <c r="S82" i="46" s="1"/>
  <c r="F82" i="46"/>
  <c r="K81" i="46"/>
  <c r="L81" i="46" s="1"/>
  <c r="M81" i="46" s="1"/>
  <c r="N81" i="46" s="1"/>
  <c r="O81" i="46" s="1"/>
  <c r="P81" i="46" s="1"/>
  <c r="Q81" i="46" s="1"/>
  <c r="R81" i="46" s="1"/>
  <c r="S81" i="46" s="1"/>
  <c r="K80" i="46"/>
  <c r="L80" i="46" s="1"/>
  <c r="M80" i="46" s="1"/>
  <c r="N80" i="46" s="1"/>
  <c r="O80" i="46" s="1"/>
  <c r="P80" i="46" s="1"/>
  <c r="Q80" i="46" s="1"/>
  <c r="R80" i="46" s="1"/>
  <c r="S80" i="46" s="1"/>
  <c r="H63" i="46"/>
  <c r="H31" i="46" s="1"/>
  <c r="I134" i="4" s="1"/>
  <c r="G63" i="46"/>
  <c r="G31" i="46" s="1"/>
  <c r="F63" i="46"/>
  <c r="F31" i="46" s="1"/>
  <c r="E63" i="46"/>
  <c r="E31" i="46" s="1"/>
  <c r="H56" i="46"/>
  <c r="G56" i="46"/>
  <c r="F56" i="46"/>
  <c r="E56" i="46"/>
  <c r="H26" i="46"/>
  <c r="H99" i="46" s="1"/>
  <c r="E21" i="46"/>
  <c r="G20" i="46"/>
  <c r="F20" i="46"/>
  <c r="E20" i="46"/>
  <c r="F15" i="46"/>
  <c r="G132" i="4" s="1"/>
  <c r="F14" i="46"/>
  <c r="G131" i="4" s="1"/>
  <c r="F13" i="46"/>
  <c r="G130" i="4" s="1"/>
  <c r="F12" i="46"/>
  <c r="K228" i="1"/>
  <c r="L228" i="1" s="1"/>
  <c r="M228" i="1" s="1"/>
  <c r="N228" i="1" s="1"/>
  <c r="O228" i="1" s="1"/>
  <c r="P228" i="1" s="1"/>
  <c r="Q228" i="1" s="1"/>
  <c r="R228" i="1" s="1"/>
  <c r="S228" i="1" s="1"/>
  <c r="K227" i="1"/>
  <c r="L227" i="1" s="1"/>
  <c r="M227" i="1" s="1"/>
  <c r="N227" i="1" s="1"/>
  <c r="O227" i="1" s="1"/>
  <c r="P227" i="1" s="1"/>
  <c r="Q227" i="1" s="1"/>
  <c r="R227" i="1" s="1"/>
  <c r="S227" i="1" s="1"/>
  <c r="K225" i="1"/>
  <c r="L225" i="1" s="1"/>
  <c r="M225" i="1" s="1"/>
  <c r="N225" i="1" s="1"/>
  <c r="O225" i="1" s="1"/>
  <c r="P225" i="1" s="1"/>
  <c r="Q225" i="1" s="1"/>
  <c r="R225" i="1" s="1"/>
  <c r="S225" i="1" s="1"/>
  <c r="K224" i="1"/>
  <c r="L224" i="1" s="1"/>
  <c r="M224" i="1" s="1"/>
  <c r="N224" i="1" s="1"/>
  <c r="O224" i="1" s="1"/>
  <c r="P224" i="1" s="1"/>
  <c r="Q224" i="1" s="1"/>
  <c r="R224" i="1" s="1"/>
  <c r="S224" i="1" s="1"/>
  <c r="K223" i="1"/>
  <c r="L223" i="1" s="1"/>
  <c r="M223" i="1" s="1"/>
  <c r="N223" i="1" s="1"/>
  <c r="O223" i="1" s="1"/>
  <c r="P223" i="1" s="1"/>
  <c r="Q223" i="1" s="1"/>
  <c r="R223" i="1" s="1"/>
  <c r="S223" i="1" s="1"/>
  <c r="K222" i="1"/>
  <c r="L222" i="1" s="1"/>
  <c r="M222" i="1" s="1"/>
  <c r="N222" i="1" s="1"/>
  <c r="O222" i="1" s="1"/>
  <c r="P222" i="1" s="1"/>
  <c r="Q222" i="1" s="1"/>
  <c r="R222" i="1" s="1"/>
  <c r="S222" i="1" s="1"/>
  <c r="K221" i="1"/>
  <c r="L221" i="1" s="1"/>
  <c r="M221" i="1" s="1"/>
  <c r="N221" i="1" s="1"/>
  <c r="O221" i="1" s="1"/>
  <c r="P221" i="1" s="1"/>
  <c r="Q221" i="1" s="1"/>
  <c r="R221" i="1" s="1"/>
  <c r="S221" i="1" s="1"/>
  <c r="K220" i="1"/>
  <c r="L220" i="1" s="1"/>
  <c r="M220" i="1" s="1"/>
  <c r="N220" i="1" s="1"/>
  <c r="O220" i="1" s="1"/>
  <c r="P220" i="1" s="1"/>
  <c r="Q220" i="1" s="1"/>
  <c r="R220" i="1" s="1"/>
  <c r="S220" i="1" s="1"/>
  <c r="K219" i="1"/>
  <c r="L219" i="1" s="1"/>
  <c r="M219" i="1" s="1"/>
  <c r="N219" i="1" s="1"/>
  <c r="O219" i="1" s="1"/>
  <c r="P219" i="1" s="1"/>
  <c r="Q219" i="1" s="1"/>
  <c r="R219" i="1" s="1"/>
  <c r="S219" i="1" s="1"/>
  <c r="K218" i="1"/>
  <c r="L218" i="1" s="1"/>
  <c r="M218" i="1" s="1"/>
  <c r="N218" i="1" s="1"/>
  <c r="O218" i="1" s="1"/>
  <c r="P218" i="1" s="1"/>
  <c r="Q218" i="1" s="1"/>
  <c r="R218" i="1" s="1"/>
  <c r="S218" i="1" s="1"/>
  <c r="K217" i="1"/>
  <c r="L217" i="1" s="1"/>
  <c r="M217" i="1" s="1"/>
  <c r="N217" i="1" s="1"/>
  <c r="O217" i="1" s="1"/>
  <c r="P217" i="1" s="1"/>
  <c r="Q217" i="1" s="1"/>
  <c r="R217" i="1" s="1"/>
  <c r="S217" i="1" s="1"/>
  <c r="K216" i="1"/>
  <c r="L216" i="1" s="1"/>
  <c r="M216" i="1" s="1"/>
  <c r="N216" i="1" s="1"/>
  <c r="O216" i="1" s="1"/>
  <c r="P216" i="1" s="1"/>
  <c r="Q216" i="1" s="1"/>
  <c r="R216" i="1" s="1"/>
  <c r="S216" i="1" s="1"/>
  <c r="K215" i="1"/>
  <c r="L215" i="1" s="1"/>
  <c r="M215" i="1" s="1"/>
  <c r="N215" i="1" s="1"/>
  <c r="O215" i="1" s="1"/>
  <c r="P215" i="1" s="1"/>
  <c r="Q215" i="1" s="1"/>
  <c r="R215" i="1" s="1"/>
  <c r="S215" i="1" s="1"/>
  <c r="E210" i="1"/>
  <c r="K209" i="1"/>
  <c r="L209" i="1" s="1"/>
  <c r="M209" i="1" s="1"/>
  <c r="N209" i="1" s="1"/>
  <c r="O209" i="1" s="1"/>
  <c r="P209" i="1" s="1"/>
  <c r="Q209" i="1" s="1"/>
  <c r="R209" i="1" s="1"/>
  <c r="S209" i="1" s="1"/>
  <c r="K208" i="1"/>
  <c r="L208" i="1" s="1"/>
  <c r="M208" i="1" s="1"/>
  <c r="N208" i="1" s="1"/>
  <c r="O208" i="1" s="1"/>
  <c r="P208" i="1" s="1"/>
  <c r="Q208" i="1" s="1"/>
  <c r="R208" i="1" s="1"/>
  <c r="S208" i="1" s="1"/>
  <c r="K207" i="1"/>
  <c r="L207" i="1" s="1"/>
  <c r="M207" i="1" s="1"/>
  <c r="N207" i="1" s="1"/>
  <c r="O207" i="1" s="1"/>
  <c r="P207" i="1" s="1"/>
  <c r="Q207" i="1" s="1"/>
  <c r="R207" i="1" s="1"/>
  <c r="S207" i="1" s="1"/>
  <c r="K206" i="1"/>
  <c r="L206" i="1" s="1"/>
  <c r="M206" i="1" s="1"/>
  <c r="N206" i="1" s="1"/>
  <c r="O206" i="1" s="1"/>
  <c r="P206" i="1" s="1"/>
  <c r="Q206" i="1" s="1"/>
  <c r="R206" i="1" s="1"/>
  <c r="S206" i="1" s="1"/>
  <c r="K205" i="1"/>
  <c r="L205" i="1" s="1"/>
  <c r="M205" i="1" s="1"/>
  <c r="N205" i="1" s="1"/>
  <c r="O205" i="1" s="1"/>
  <c r="P205" i="1" s="1"/>
  <c r="Q205" i="1" s="1"/>
  <c r="R205" i="1" s="1"/>
  <c r="S205" i="1" s="1"/>
  <c r="S187" i="1"/>
  <c r="R187" i="1"/>
  <c r="Q187" i="1"/>
  <c r="P187" i="1"/>
  <c r="O187" i="1"/>
  <c r="N187" i="1"/>
  <c r="M187" i="1"/>
  <c r="L187" i="1"/>
  <c r="K187" i="1"/>
  <c r="J187" i="1"/>
  <c r="S186" i="1"/>
  <c r="O13" i="57" s="1"/>
  <c r="R186" i="1"/>
  <c r="N13" i="57" s="1"/>
  <c r="Q186" i="1"/>
  <c r="M13" i="57" s="1"/>
  <c r="P186" i="1"/>
  <c r="L13" i="57" s="1"/>
  <c r="O186" i="1"/>
  <c r="K13" i="57" s="1"/>
  <c r="N186" i="1"/>
  <c r="J13" i="57" s="1"/>
  <c r="M186" i="1"/>
  <c r="I13" i="57" s="1"/>
  <c r="L186" i="1"/>
  <c r="H13" i="57" s="1"/>
  <c r="G185" i="1"/>
  <c r="E24" i="18" s="1"/>
  <c r="F185" i="1"/>
  <c r="E185" i="1"/>
  <c r="H183" i="1"/>
  <c r="G171" i="1"/>
  <c r="G166" i="1"/>
  <c r="G161" i="1"/>
  <c r="G155" i="1"/>
  <c r="G150" i="1"/>
  <c r="G145" i="1"/>
  <c r="G139" i="1"/>
  <c r="H137" i="1" s="1"/>
  <c r="H139" i="1" s="1"/>
  <c r="G133" i="1"/>
  <c r="F133" i="1"/>
  <c r="E133" i="1"/>
  <c r="K130" i="1"/>
  <c r="S120" i="1"/>
  <c r="R120" i="1"/>
  <c r="Q120" i="1"/>
  <c r="P120" i="1"/>
  <c r="O120" i="1"/>
  <c r="N120" i="1"/>
  <c r="M120" i="1"/>
  <c r="L120" i="1"/>
  <c r="K120" i="1"/>
  <c r="J120" i="1"/>
  <c r="F115" i="1"/>
  <c r="E115" i="1"/>
  <c r="G105" i="1"/>
  <c r="G104" i="1"/>
  <c r="H104" i="1" s="1"/>
  <c r="G101" i="1"/>
  <c r="F101" i="1"/>
  <c r="E101" i="1"/>
  <c r="H100" i="1"/>
  <c r="H99" i="1"/>
  <c r="H98" i="1"/>
  <c r="H97" i="1"/>
  <c r="H94" i="1"/>
  <c r="I94" i="1" s="1"/>
  <c r="G90" i="1"/>
  <c r="F90" i="1"/>
  <c r="E90" i="1"/>
  <c r="H88" i="1"/>
  <c r="I88" i="1" s="1"/>
  <c r="J88" i="1" s="1"/>
  <c r="H86" i="1"/>
  <c r="H85" i="1"/>
  <c r="H83" i="1"/>
  <c r="I83" i="1" s="1"/>
  <c r="J83" i="1" s="1"/>
  <c r="H77" i="1"/>
  <c r="G77" i="1"/>
  <c r="F77" i="1"/>
  <c r="E77" i="1"/>
  <c r="K69" i="1"/>
  <c r="H62" i="1"/>
  <c r="H39" i="1" s="1"/>
  <c r="C101" i="58" s="1"/>
  <c r="K59" i="1"/>
  <c r="L59" i="1" s="1"/>
  <c r="M59" i="1" s="1"/>
  <c r="N59" i="1" s="1"/>
  <c r="O59" i="1" s="1"/>
  <c r="P59" i="1" s="1"/>
  <c r="Q59" i="1" s="1"/>
  <c r="R59" i="1" s="1"/>
  <c r="S59" i="1" s="1"/>
  <c r="H56" i="1"/>
  <c r="H37" i="1" s="1"/>
  <c r="C99" i="58" s="1"/>
  <c r="K55" i="1"/>
  <c r="L55" i="1" s="1"/>
  <c r="M55" i="1" s="1"/>
  <c r="N55" i="1" s="1"/>
  <c r="O55" i="1" s="1"/>
  <c r="P55" i="1" s="1"/>
  <c r="Q55" i="1" s="1"/>
  <c r="R55" i="1" s="1"/>
  <c r="S55" i="1" s="1"/>
  <c r="H51" i="1"/>
  <c r="H10" i="1" s="1"/>
  <c r="G51" i="1"/>
  <c r="G10" i="1" s="1"/>
  <c r="E51" i="1"/>
  <c r="E10" i="1" s="1"/>
  <c r="K50" i="1"/>
  <c r="L50" i="1" s="1"/>
  <c r="M50" i="1" s="1"/>
  <c r="N50" i="1" s="1"/>
  <c r="O50" i="1" s="1"/>
  <c r="P50" i="1" s="1"/>
  <c r="Q50" i="1" s="1"/>
  <c r="R50" i="1" s="1"/>
  <c r="S50" i="1" s="1"/>
  <c r="K49" i="1"/>
  <c r="L49" i="1" s="1"/>
  <c r="M49" i="1" s="1"/>
  <c r="N49" i="1" s="1"/>
  <c r="O49" i="1" s="1"/>
  <c r="P49" i="1" s="1"/>
  <c r="Q49" i="1" s="1"/>
  <c r="R49" i="1" s="1"/>
  <c r="S49" i="1" s="1"/>
  <c r="F49" i="1"/>
  <c r="K48" i="1"/>
  <c r="L48" i="1" s="1"/>
  <c r="M48" i="1" s="1"/>
  <c r="N48" i="1" s="1"/>
  <c r="O48" i="1" s="1"/>
  <c r="P48" i="1" s="1"/>
  <c r="Q48" i="1" s="1"/>
  <c r="R48" i="1" s="1"/>
  <c r="S48" i="1" s="1"/>
  <c r="F48" i="1"/>
  <c r="K47" i="1"/>
  <c r="L47" i="1" s="1"/>
  <c r="M47" i="1" s="1"/>
  <c r="N47" i="1" s="1"/>
  <c r="O47" i="1" s="1"/>
  <c r="P47" i="1" s="1"/>
  <c r="Q47" i="1" s="1"/>
  <c r="R47" i="1" s="1"/>
  <c r="S47" i="1" s="1"/>
  <c r="K46" i="1"/>
  <c r="L46" i="1" s="1"/>
  <c r="M46" i="1" s="1"/>
  <c r="N46" i="1" s="1"/>
  <c r="O46" i="1" s="1"/>
  <c r="P46" i="1" s="1"/>
  <c r="Q46" i="1" s="1"/>
  <c r="R46" i="1" s="1"/>
  <c r="S46" i="1" s="1"/>
  <c r="F46" i="1"/>
  <c r="K45" i="1"/>
  <c r="L45" i="1" s="1"/>
  <c r="M45" i="1" s="1"/>
  <c r="N45" i="1" s="1"/>
  <c r="O45" i="1" s="1"/>
  <c r="P45" i="1" s="1"/>
  <c r="Q45" i="1" s="1"/>
  <c r="R45" i="1" s="1"/>
  <c r="S45" i="1" s="1"/>
  <c r="F45" i="1"/>
  <c r="G39" i="1"/>
  <c r="F39" i="1"/>
  <c r="E39" i="1"/>
  <c r="G37" i="1"/>
  <c r="F37" i="1"/>
  <c r="E37" i="1"/>
  <c r="L35" i="1"/>
  <c r="G97" i="58" s="1"/>
  <c r="H27" i="1"/>
  <c r="G27" i="1"/>
  <c r="E27" i="1"/>
  <c r="E34" i="26" s="1"/>
  <c r="E52" i="48" s="1"/>
  <c r="F26" i="1"/>
  <c r="F14" i="1" s="1"/>
  <c r="K23" i="1"/>
  <c r="L23" i="1" s="1"/>
  <c r="M23" i="1" s="1"/>
  <c r="N23" i="1" s="1"/>
  <c r="O23" i="1" s="1"/>
  <c r="P23" i="1" s="1"/>
  <c r="Q23" i="1" s="1"/>
  <c r="R23" i="1" s="1"/>
  <c r="S23" i="1" s="1"/>
  <c r="K22" i="1"/>
  <c r="L22" i="1" s="1"/>
  <c r="M22" i="1" s="1"/>
  <c r="N22" i="1" s="1"/>
  <c r="O22" i="1" s="1"/>
  <c r="P22" i="1" s="1"/>
  <c r="Q22" i="1" s="1"/>
  <c r="R22" i="1" s="1"/>
  <c r="S22" i="1" s="1"/>
  <c r="K21" i="1"/>
  <c r="L21" i="1" s="1"/>
  <c r="M21" i="1" s="1"/>
  <c r="N21" i="1" s="1"/>
  <c r="O21" i="1" s="1"/>
  <c r="P21" i="1" s="1"/>
  <c r="Q21" i="1" s="1"/>
  <c r="R21" i="1" s="1"/>
  <c r="S21" i="1" s="1"/>
  <c r="K20" i="1"/>
  <c r="L20" i="1" s="1"/>
  <c r="M20" i="1" s="1"/>
  <c r="N20" i="1" s="1"/>
  <c r="O20" i="1" s="1"/>
  <c r="P20" i="1" s="1"/>
  <c r="Q20" i="1" s="1"/>
  <c r="R20" i="1" s="1"/>
  <c r="S20" i="1" s="1"/>
  <c r="K19" i="1"/>
  <c r="L19" i="1" s="1"/>
  <c r="M19" i="1" s="1"/>
  <c r="N19" i="1" s="1"/>
  <c r="O19" i="1" s="1"/>
  <c r="P19" i="1" s="1"/>
  <c r="Q19" i="1" s="1"/>
  <c r="R19" i="1" s="1"/>
  <c r="S19" i="1" s="1"/>
  <c r="H14" i="1"/>
  <c r="G14" i="1"/>
  <c r="E14" i="1"/>
  <c r="F13" i="1"/>
  <c r="H9" i="1"/>
  <c r="G9" i="1"/>
  <c r="E9" i="1"/>
  <c r="K8" i="1"/>
  <c r="L8" i="1" s="1"/>
  <c r="M8" i="1" s="1"/>
  <c r="N8" i="1" s="1"/>
  <c r="O8" i="1" s="1"/>
  <c r="P8" i="1" s="1"/>
  <c r="Q8" i="1" s="1"/>
  <c r="R8" i="1" s="1"/>
  <c r="S8" i="1" s="1"/>
  <c r="F8" i="1"/>
  <c r="F7" i="1"/>
  <c r="M55" i="28"/>
  <c r="L55" i="28"/>
  <c r="K55" i="28"/>
  <c r="J55" i="28"/>
  <c r="I55" i="28"/>
  <c r="H55" i="28"/>
  <c r="G55" i="28"/>
  <c r="F55" i="28"/>
  <c r="E55" i="28"/>
  <c r="D55" i="28"/>
  <c r="M24" i="28"/>
  <c r="L24" i="28"/>
  <c r="K24" i="28"/>
  <c r="J24" i="28"/>
  <c r="I24" i="28"/>
  <c r="H24" i="28"/>
  <c r="G24" i="28"/>
  <c r="F24" i="28"/>
  <c r="E24" i="28"/>
  <c r="D24" i="28"/>
  <c r="M21" i="28"/>
  <c r="M51" i="28" s="1"/>
  <c r="L21" i="28"/>
  <c r="K21" i="28"/>
  <c r="J21" i="28"/>
  <c r="I21" i="28"/>
  <c r="H21" i="28"/>
  <c r="G21" i="28"/>
  <c r="F21" i="28"/>
  <c r="E21" i="28"/>
  <c r="D21" i="28"/>
  <c r="E62" i="27"/>
  <c r="G120" i="48" s="1"/>
  <c r="G119" i="48" s="1"/>
  <c r="G124" i="48" s="1"/>
  <c r="D62" i="27"/>
  <c r="C62" i="27"/>
  <c r="E53" i="27"/>
  <c r="D53" i="27"/>
  <c r="C53" i="27"/>
  <c r="F47" i="27"/>
  <c r="F44" i="27"/>
  <c r="G44" i="27" s="1"/>
  <c r="E43" i="27"/>
  <c r="D43" i="27"/>
  <c r="C43" i="27"/>
  <c r="D40" i="27"/>
  <c r="C40" i="27"/>
  <c r="H182" i="48"/>
  <c r="F28" i="27"/>
  <c r="F24" i="27"/>
  <c r="C51" i="31" s="1"/>
  <c r="F23" i="27"/>
  <c r="C50" i="31" s="1"/>
  <c r="E23" i="27"/>
  <c r="G169" i="48" s="1"/>
  <c r="D23" i="27"/>
  <c r="F169" i="48" s="1"/>
  <c r="C23" i="27"/>
  <c r="E169" i="48" s="1"/>
  <c r="E22" i="27"/>
  <c r="G195" i="48" s="1"/>
  <c r="D22" i="27"/>
  <c r="F184" i="48" s="1"/>
  <c r="C22" i="27"/>
  <c r="E184" i="48" s="1"/>
  <c r="H33" i="26"/>
  <c r="G33" i="26"/>
  <c r="G29" i="48" s="1"/>
  <c r="F33" i="26"/>
  <c r="F29" i="48" s="1"/>
  <c r="E33" i="26"/>
  <c r="E29" i="48" s="1"/>
  <c r="H32" i="26"/>
  <c r="G32" i="26"/>
  <c r="G31" i="48" s="1"/>
  <c r="F32" i="26"/>
  <c r="F31" i="48" s="1"/>
  <c r="E32" i="26"/>
  <c r="E31" i="48" s="1"/>
  <c r="H31" i="26"/>
  <c r="G31" i="26"/>
  <c r="F31" i="26"/>
  <c r="E31" i="26"/>
  <c r="H30" i="26"/>
  <c r="G30" i="26"/>
  <c r="F30" i="26"/>
  <c r="E30" i="26"/>
  <c r="H29" i="26"/>
  <c r="H37" i="48" s="1"/>
  <c r="G29" i="26"/>
  <c r="G37" i="48" s="1"/>
  <c r="F29" i="26"/>
  <c r="F37" i="48" s="1"/>
  <c r="E29" i="26"/>
  <c r="E37" i="48" s="1"/>
  <c r="G28" i="26"/>
  <c r="G38" i="48" s="1"/>
  <c r="E28" i="26"/>
  <c r="E38" i="48" s="1"/>
  <c r="H27" i="26"/>
  <c r="G27" i="26"/>
  <c r="F27" i="26"/>
  <c r="F35" i="48" s="1"/>
  <c r="E27" i="26"/>
  <c r="E35" i="48" s="1"/>
  <c r="H26" i="26"/>
  <c r="G26" i="26"/>
  <c r="F26" i="26"/>
  <c r="E26" i="26"/>
  <c r="G25" i="26"/>
  <c r="E25" i="26"/>
  <c r="H23" i="26"/>
  <c r="H30" i="48" s="1"/>
  <c r="G23" i="26"/>
  <c r="G30" i="48" s="1"/>
  <c r="E23" i="26"/>
  <c r="E30" i="48" s="1"/>
  <c r="E22" i="26"/>
  <c r="E21" i="26"/>
  <c r="E21" i="48" s="1"/>
  <c r="S13" i="26"/>
  <c r="R13" i="26"/>
  <c r="Q13" i="26"/>
  <c r="P13" i="26"/>
  <c r="O13" i="26"/>
  <c r="N13" i="26"/>
  <c r="M13" i="26"/>
  <c r="L13" i="26"/>
  <c r="K13" i="26"/>
  <c r="J13" i="26"/>
  <c r="H13" i="26"/>
  <c r="G13" i="26"/>
  <c r="F13" i="26"/>
  <c r="E13" i="26"/>
  <c r="G12" i="26"/>
  <c r="H9" i="26"/>
  <c r="G9" i="26"/>
  <c r="F9" i="26"/>
  <c r="E9" i="26"/>
  <c r="G5" i="26"/>
  <c r="V188" i="4"/>
  <c r="U184" i="4"/>
  <c r="U185" i="4" s="1"/>
  <c r="U186" i="4" s="1"/>
  <c r="U187" i="4" s="1"/>
  <c r="T184" i="4"/>
  <c r="T185" i="4" s="1"/>
  <c r="T186" i="4" s="1"/>
  <c r="T187" i="4" s="1"/>
  <c r="S184" i="4"/>
  <c r="S185" i="4" s="1"/>
  <c r="S186" i="4" s="1"/>
  <c r="S187" i="4" s="1"/>
  <c r="P184" i="4"/>
  <c r="P185" i="4" s="1"/>
  <c r="P186" i="4" s="1"/>
  <c r="P187" i="4" s="1"/>
  <c r="O184" i="4"/>
  <c r="O185" i="4" s="1"/>
  <c r="O186" i="4" s="1"/>
  <c r="O187" i="4" s="1"/>
  <c r="N184" i="4"/>
  <c r="N185" i="4" s="1"/>
  <c r="N186" i="4" s="1"/>
  <c r="N187" i="4" s="1"/>
  <c r="M184" i="4"/>
  <c r="M185" i="4" s="1"/>
  <c r="M186" i="4" s="1"/>
  <c r="M187" i="4" s="1"/>
  <c r="L184" i="4"/>
  <c r="L185" i="4" s="1"/>
  <c r="L186" i="4" s="1"/>
  <c r="L187" i="4" s="1"/>
  <c r="K184" i="4"/>
  <c r="K185" i="4" s="1"/>
  <c r="K186" i="4" s="1"/>
  <c r="K187" i="4" s="1"/>
  <c r="J184" i="4"/>
  <c r="J185" i="4" s="1"/>
  <c r="J186" i="4" s="1"/>
  <c r="J187" i="4" s="1"/>
  <c r="I185" i="4"/>
  <c r="C179" i="4"/>
  <c r="C178" i="4"/>
  <c r="C177" i="4"/>
  <c r="C176" i="4"/>
  <c r="C175" i="4"/>
  <c r="H140" i="4"/>
  <c r="G140" i="4"/>
  <c r="F140" i="4"/>
  <c r="H139" i="4"/>
  <c r="G139" i="4"/>
  <c r="F139" i="4"/>
  <c r="H138" i="4"/>
  <c r="G138" i="4"/>
  <c r="F138" i="4"/>
  <c r="H135" i="4"/>
  <c r="G135" i="4"/>
  <c r="F135" i="4"/>
  <c r="H132" i="4"/>
  <c r="H131" i="4"/>
  <c r="H130" i="4"/>
  <c r="H18" i="18"/>
  <c r="H117" i="4"/>
  <c r="H122" i="46" s="1"/>
  <c r="G117" i="4"/>
  <c r="G122" i="46" s="1"/>
  <c r="F117" i="4"/>
  <c r="F122" i="46" s="1"/>
  <c r="K110" i="4"/>
  <c r="K109" i="4"/>
  <c r="G103" i="4"/>
  <c r="F103" i="4"/>
  <c r="F101" i="4" s="1"/>
  <c r="F169" i="45" s="1"/>
  <c r="E103" i="4"/>
  <c r="E101" i="4" s="1"/>
  <c r="E99" i="4"/>
  <c r="L98" i="4"/>
  <c r="F98" i="4"/>
  <c r="G98" i="4" s="1"/>
  <c r="H98" i="4" s="1"/>
  <c r="F97" i="4"/>
  <c r="G97" i="4" s="1"/>
  <c r="H97" i="4" s="1"/>
  <c r="I97" i="4" s="1"/>
  <c r="J47" i="45"/>
  <c r="J116" i="4"/>
  <c r="H35" i="4"/>
  <c r="I35" i="4" s="1"/>
  <c r="J35" i="4" s="1"/>
  <c r="H4" i="4"/>
  <c r="F4" i="4"/>
  <c r="F5" i="26" s="1"/>
  <c r="I1465" i="40"/>
  <c r="I1491" i="40" s="1"/>
  <c r="H1465" i="40"/>
  <c r="H1491" i="40" s="1"/>
  <c r="G85" i="33" s="1"/>
  <c r="H85" i="33" s="1"/>
  <c r="I85" i="33" s="1"/>
  <c r="G1465" i="40"/>
  <c r="G1487" i="40" s="1"/>
  <c r="F1465" i="40"/>
  <c r="F1483" i="40" s="1"/>
  <c r="E1465" i="40"/>
  <c r="D1465" i="40"/>
  <c r="D1487" i="40" s="1"/>
  <c r="I1464" i="40"/>
  <c r="I1490" i="40" s="1"/>
  <c r="H1464" i="40"/>
  <c r="H1490" i="40" s="1"/>
  <c r="G84" i="33" s="1"/>
  <c r="H84" i="33" s="1"/>
  <c r="G1464" i="40"/>
  <c r="G1482" i="40" s="1"/>
  <c r="F1464" i="40"/>
  <c r="F1490" i="40" s="1"/>
  <c r="E1464" i="40"/>
  <c r="E1486" i="40" s="1"/>
  <c r="D1464" i="40"/>
  <c r="D1482" i="40" s="1"/>
  <c r="I1463" i="40"/>
  <c r="H1463" i="40"/>
  <c r="H1485" i="40" s="1"/>
  <c r="G79" i="33" s="1"/>
  <c r="H79" i="33" s="1"/>
  <c r="I79" i="33" s="1"/>
  <c r="G1463" i="40"/>
  <c r="G1489" i="40" s="1"/>
  <c r="F1463" i="40"/>
  <c r="F1489" i="40" s="1"/>
  <c r="E1463" i="40"/>
  <c r="E1481" i="40" s="1"/>
  <c r="D1463" i="40"/>
  <c r="D1489" i="40" s="1"/>
  <c r="E1462" i="40"/>
  <c r="G1459" i="40"/>
  <c r="F1459" i="40"/>
  <c r="E1459" i="40"/>
  <c r="D1459" i="40"/>
  <c r="H1458" i="40"/>
  <c r="I1362" i="40" s="1"/>
  <c r="I1458" i="40" s="1"/>
  <c r="J1362" i="40" s="1"/>
  <c r="J1458" i="40" s="1"/>
  <c r="H1457" i="40"/>
  <c r="I1361" i="40" s="1"/>
  <c r="I1457" i="40" s="1"/>
  <c r="J1361" i="40" s="1"/>
  <c r="J1457" i="40" s="1"/>
  <c r="H1456" i="40"/>
  <c r="I1360" i="40" s="1"/>
  <c r="G1453" i="40"/>
  <c r="F1453" i="40"/>
  <c r="E1453" i="40"/>
  <c r="D1453" i="40"/>
  <c r="H1452" i="40"/>
  <c r="I1356" i="40" s="1"/>
  <c r="I1452" i="40" s="1"/>
  <c r="J1356" i="40" s="1"/>
  <c r="J1452" i="40" s="1"/>
  <c r="H1451" i="40"/>
  <c r="I1355" i="40" s="1"/>
  <c r="I1451" i="40" s="1"/>
  <c r="J1355" i="40" s="1"/>
  <c r="J1451" i="40" s="1"/>
  <c r="H1450" i="40"/>
  <c r="I1354" i="40" s="1"/>
  <c r="H1449" i="40"/>
  <c r="I1353" i="40" s="1"/>
  <c r="I1449" i="40" s="1"/>
  <c r="J1353" i="40" s="1"/>
  <c r="J1449" i="40" s="1"/>
  <c r="G1446" i="40"/>
  <c r="F1446" i="40"/>
  <c r="E1446" i="40"/>
  <c r="D1446" i="40"/>
  <c r="H1444" i="40"/>
  <c r="I1348" i="40" s="1"/>
  <c r="I1444" i="40" s="1"/>
  <c r="J1348" i="40" s="1"/>
  <c r="J1444" i="40" s="1"/>
  <c r="H1443" i="40"/>
  <c r="I1347" i="40" s="1"/>
  <c r="I1443" i="40" s="1"/>
  <c r="J1347" i="40" s="1"/>
  <c r="J1443" i="40" s="1"/>
  <c r="H1442" i="40"/>
  <c r="I1346" i="40" s="1"/>
  <c r="I1442" i="40" s="1"/>
  <c r="J1346" i="40" s="1"/>
  <c r="J1442" i="40" s="1"/>
  <c r="G1435" i="40"/>
  <c r="F1435" i="40"/>
  <c r="E1435" i="40"/>
  <c r="D1435" i="40"/>
  <c r="I1432" i="40"/>
  <c r="I1431" i="40"/>
  <c r="H1431" i="40"/>
  <c r="H1455" i="40" s="1"/>
  <c r="I1359" i="40" s="1"/>
  <c r="G1429" i="40"/>
  <c r="F1429" i="40"/>
  <c r="E1429" i="40"/>
  <c r="D1429" i="40"/>
  <c r="I1426" i="40"/>
  <c r="I1424" i="40"/>
  <c r="H1424" i="40"/>
  <c r="H1448" i="40" s="1"/>
  <c r="I1352" i="40" s="1"/>
  <c r="G1422" i="40"/>
  <c r="F1422" i="40"/>
  <c r="E1422" i="40"/>
  <c r="D1422" i="40"/>
  <c r="I1421" i="40"/>
  <c r="H1421" i="40"/>
  <c r="H1445" i="40" s="1"/>
  <c r="I1349" i="40" s="1"/>
  <c r="H1417" i="40"/>
  <c r="I1411" i="40"/>
  <c r="H1411" i="40"/>
  <c r="G1411" i="40"/>
  <c r="F1411" i="40"/>
  <c r="E1411" i="40"/>
  <c r="D1411" i="40"/>
  <c r="I1405" i="40"/>
  <c r="H1405" i="40"/>
  <c r="G1405" i="40"/>
  <c r="F1405" i="40"/>
  <c r="E1405" i="40"/>
  <c r="D1405" i="40"/>
  <c r="I1398" i="40"/>
  <c r="H1398" i="40"/>
  <c r="G1398" i="40"/>
  <c r="F1398" i="40"/>
  <c r="E1398" i="40"/>
  <c r="D1398" i="40"/>
  <c r="H1387" i="40"/>
  <c r="G1387" i="40"/>
  <c r="F1387" i="40"/>
  <c r="E1387" i="40"/>
  <c r="D1387" i="40"/>
  <c r="I1384" i="40"/>
  <c r="I1381" i="40"/>
  <c r="H1381" i="40"/>
  <c r="G1381" i="40"/>
  <c r="F1381" i="40"/>
  <c r="E1381" i="40"/>
  <c r="D1381" i="40"/>
  <c r="I1374" i="40"/>
  <c r="H1374" i="40"/>
  <c r="G1374" i="40"/>
  <c r="F1374" i="40"/>
  <c r="E1374" i="40"/>
  <c r="D1374" i="40"/>
  <c r="H1363" i="40"/>
  <c r="G1363" i="40"/>
  <c r="F1363" i="40"/>
  <c r="E1363" i="40"/>
  <c r="D1363" i="40"/>
  <c r="H1357" i="40"/>
  <c r="G1357" i="40"/>
  <c r="F1357" i="40"/>
  <c r="E1357" i="40"/>
  <c r="D1357" i="40"/>
  <c r="H1350" i="40"/>
  <c r="G1350" i="40"/>
  <c r="F1350" i="40"/>
  <c r="E1350" i="40"/>
  <c r="D1350" i="40"/>
  <c r="D1337" i="40"/>
  <c r="E1241" i="40" s="1"/>
  <c r="E1337" i="40" s="1"/>
  <c r="F1241" i="40" s="1"/>
  <c r="F1337" i="40" s="1"/>
  <c r="G1241" i="40" s="1"/>
  <c r="G1337" i="40" s="1"/>
  <c r="H1241" i="40" s="1"/>
  <c r="H1337" i="40" s="1"/>
  <c r="I1241" i="40" s="1"/>
  <c r="I1337" i="40" s="1"/>
  <c r="J1241" i="40" s="1"/>
  <c r="J1337" i="40" s="1"/>
  <c r="D1336" i="40"/>
  <c r="E1240" i="40" s="1"/>
  <c r="E1336" i="40" s="1"/>
  <c r="F1240" i="40" s="1"/>
  <c r="F1336" i="40" s="1"/>
  <c r="G1240" i="40" s="1"/>
  <c r="G1336" i="40" s="1"/>
  <c r="H1240" i="40" s="1"/>
  <c r="H1336" i="40" s="1"/>
  <c r="I1240" i="40" s="1"/>
  <c r="I1336" i="40" s="1"/>
  <c r="J1240" i="40" s="1"/>
  <c r="J1336" i="40" s="1"/>
  <c r="D1335" i="40"/>
  <c r="E1239" i="40" s="1"/>
  <c r="E1335" i="40" s="1"/>
  <c r="F1239" i="40" s="1"/>
  <c r="F1335" i="40" s="1"/>
  <c r="G1239" i="40" s="1"/>
  <c r="G1335" i="40" s="1"/>
  <c r="H1239" i="40" s="1"/>
  <c r="H1335" i="40" s="1"/>
  <c r="I1239" i="40" s="1"/>
  <c r="I1335" i="40" s="1"/>
  <c r="D1334" i="40"/>
  <c r="E1238" i="40" s="1"/>
  <c r="E1334" i="40" s="1"/>
  <c r="D1331" i="40"/>
  <c r="E1235" i="40" s="1"/>
  <c r="E1331" i="40" s="1"/>
  <c r="F1235" i="40" s="1"/>
  <c r="F1331" i="40" s="1"/>
  <c r="G1235" i="40" s="1"/>
  <c r="G1331" i="40" s="1"/>
  <c r="H1235" i="40" s="1"/>
  <c r="H1331" i="40" s="1"/>
  <c r="I1235" i="40" s="1"/>
  <c r="I1331" i="40" s="1"/>
  <c r="D1330" i="40"/>
  <c r="E1234" i="40" s="1"/>
  <c r="E1330" i="40" s="1"/>
  <c r="F1234" i="40" s="1"/>
  <c r="F1330" i="40" s="1"/>
  <c r="G1234" i="40" s="1"/>
  <c r="G1330" i="40" s="1"/>
  <c r="H1234" i="40" s="1"/>
  <c r="H1330" i="40" s="1"/>
  <c r="I1234" i="40" s="1"/>
  <c r="I1330" i="40" s="1"/>
  <c r="D1329" i="40"/>
  <c r="D1328" i="40"/>
  <c r="E1232" i="40" s="1"/>
  <c r="E1328" i="40" s="1"/>
  <c r="F1232" i="40" s="1"/>
  <c r="F1328" i="40" s="1"/>
  <c r="G1232" i="40" s="1"/>
  <c r="G1328" i="40" s="1"/>
  <c r="H1232" i="40" s="1"/>
  <c r="H1328" i="40" s="1"/>
  <c r="I1232" i="40" s="1"/>
  <c r="I1328" i="40" s="1"/>
  <c r="D1327" i="40"/>
  <c r="E1231" i="40" s="1"/>
  <c r="E1327" i="40" s="1"/>
  <c r="D1324" i="40"/>
  <c r="E1228" i="40" s="1"/>
  <c r="E1324" i="40" s="1"/>
  <c r="F1228" i="40" s="1"/>
  <c r="F1324" i="40" s="1"/>
  <c r="G1228" i="40" s="1"/>
  <c r="G1324" i="40" s="1"/>
  <c r="H1228" i="40" s="1"/>
  <c r="H1324" i="40" s="1"/>
  <c r="I1228" i="40" s="1"/>
  <c r="I1324" i="40" s="1"/>
  <c r="D1323" i="40"/>
  <c r="E1227" i="40" s="1"/>
  <c r="E1323" i="40" s="1"/>
  <c r="F1227" i="40" s="1"/>
  <c r="F1323" i="40" s="1"/>
  <c r="G1227" i="40" s="1"/>
  <c r="G1323" i="40" s="1"/>
  <c r="H1227" i="40" s="1"/>
  <c r="H1323" i="40" s="1"/>
  <c r="I1227" i="40" s="1"/>
  <c r="I1323" i="40" s="1"/>
  <c r="D1322" i="40"/>
  <c r="E1226" i="40" s="1"/>
  <c r="E1322" i="40" s="1"/>
  <c r="F1226" i="40" s="1"/>
  <c r="F1322" i="40" s="1"/>
  <c r="G1226" i="40" s="1"/>
  <c r="G1322" i="40" s="1"/>
  <c r="H1226" i="40" s="1"/>
  <c r="H1322" i="40" s="1"/>
  <c r="I1226" i="40" s="1"/>
  <c r="I1322" i="40" s="1"/>
  <c r="D1321" i="40"/>
  <c r="E1225" i="40" s="1"/>
  <c r="E1321" i="40" s="1"/>
  <c r="F1225" i="40" s="1"/>
  <c r="F1321" i="40" s="1"/>
  <c r="G1225" i="40" s="1"/>
  <c r="G1321" i="40" s="1"/>
  <c r="H1225" i="40" s="1"/>
  <c r="H1321" i="40" s="1"/>
  <c r="I1225" i="40" s="1"/>
  <c r="I1321" i="40" s="1"/>
  <c r="D1320" i="40"/>
  <c r="E1224" i="40" s="1"/>
  <c r="E1320" i="40" s="1"/>
  <c r="I1314" i="40"/>
  <c r="H1314" i="40"/>
  <c r="G1314" i="40"/>
  <c r="F1314" i="40"/>
  <c r="E1314" i="40"/>
  <c r="D1314" i="40"/>
  <c r="I1308" i="40"/>
  <c r="H1308" i="40"/>
  <c r="G1308" i="40"/>
  <c r="F1308" i="40"/>
  <c r="E1308" i="40"/>
  <c r="D1308" i="40"/>
  <c r="I1301" i="40"/>
  <c r="H1301" i="40"/>
  <c r="G1301" i="40"/>
  <c r="F1301" i="40"/>
  <c r="E1301" i="40"/>
  <c r="D1301" i="40"/>
  <c r="I1290" i="40"/>
  <c r="H1290" i="40"/>
  <c r="G1290" i="40"/>
  <c r="F1290" i="40"/>
  <c r="E1290" i="40"/>
  <c r="D1290" i="40"/>
  <c r="I1284" i="40"/>
  <c r="H1284" i="40"/>
  <c r="G1284" i="40"/>
  <c r="F1284" i="40"/>
  <c r="E1284" i="40"/>
  <c r="D1284" i="40"/>
  <c r="I1277" i="40"/>
  <c r="H1277" i="40"/>
  <c r="G1277" i="40"/>
  <c r="F1277" i="40"/>
  <c r="E1277" i="40"/>
  <c r="D1277" i="40"/>
  <c r="I1266" i="40"/>
  <c r="H1266" i="40"/>
  <c r="G1266" i="40"/>
  <c r="F1266" i="40"/>
  <c r="E1266" i="40"/>
  <c r="D1266" i="40"/>
  <c r="I1260" i="40"/>
  <c r="H1260" i="40"/>
  <c r="G1260" i="40"/>
  <c r="F1260" i="40"/>
  <c r="E1260" i="40"/>
  <c r="D1260" i="40"/>
  <c r="I1253" i="40"/>
  <c r="H1253" i="40"/>
  <c r="G1253" i="40"/>
  <c r="F1253" i="40"/>
  <c r="E1253" i="40"/>
  <c r="D1253" i="40"/>
  <c r="D1242" i="40"/>
  <c r="D1236" i="40"/>
  <c r="E1233" i="40"/>
  <c r="D1229" i="40"/>
  <c r="I1219" i="40"/>
  <c r="H1219" i="40"/>
  <c r="G1219" i="40"/>
  <c r="F1219" i="40"/>
  <c r="E1219" i="40"/>
  <c r="D1219" i="40"/>
  <c r="I1213" i="40"/>
  <c r="H1213" i="40"/>
  <c r="G1213" i="40"/>
  <c r="F1213" i="40"/>
  <c r="E1213" i="40"/>
  <c r="D1213" i="40"/>
  <c r="I1206" i="40"/>
  <c r="H1206" i="40"/>
  <c r="G1206" i="40"/>
  <c r="F1206" i="40"/>
  <c r="E1206" i="40"/>
  <c r="D1206" i="40"/>
  <c r="H1058" i="40"/>
  <c r="G1058" i="40"/>
  <c r="F1058" i="40"/>
  <c r="E1058" i="40"/>
  <c r="D1058" i="40"/>
  <c r="I1057" i="40"/>
  <c r="H1055" i="40"/>
  <c r="G1055" i="40"/>
  <c r="F1055" i="40"/>
  <c r="E1055" i="40"/>
  <c r="D1055" i="40"/>
  <c r="I1054" i="40"/>
  <c r="J1038" i="40" s="1"/>
  <c r="J1054" i="40" s="1"/>
  <c r="I1053" i="40"/>
  <c r="I1052" i="40"/>
  <c r="J1036" i="40" s="1"/>
  <c r="J1052" i="40" s="1"/>
  <c r="H1050" i="40"/>
  <c r="G1050" i="40"/>
  <c r="F1050" i="40"/>
  <c r="E1050" i="40"/>
  <c r="D1050" i="40"/>
  <c r="I1049" i="40"/>
  <c r="J1033" i="40" s="1"/>
  <c r="J1049" i="40" s="1"/>
  <c r="I1048" i="40"/>
  <c r="J1032" i="40" s="1"/>
  <c r="I1027" i="40"/>
  <c r="H1027" i="40"/>
  <c r="G1027" i="40"/>
  <c r="F1027" i="40"/>
  <c r="E1027" i="40"/>
  <c r="D1027" i="40"/>
  <c r="I1024" i="40"/>
  <c r="H1024" i="40"/>
  <c r="G1024" i="40"/>
  <c r="F1024" i="40"/>
  <c r="E1024" i="40"/>
  <c r="D1024" i="40"/>
  <c r="I1019" i="40"/>
  <c r="H1019" i="40"/>
  <c r="G1019" i="40"/>
  <c r="F1019" i="40"/>
  <c r="E1019" i="40"/>
  <c r="D1019" i="40"/>
  <c r="I1012" i="40"/>
  <c r="H1012" i="40"/>
  <c r="G1012" i="40"/>
  <c r="F1012" i="40"/>
  <c r="E1012" i="40"/>
  <c r="D1012" i="40"/>
  <c r="I1009" i="40"/>
  <c r="H1009" i="40"/>
  <c r="G1009" i="40"/>
  <c r="F1009" i="40"/>
  <c r="E1009" i="40"/>
  <c r="D1009" i="40"/>
  <c r="I1004" i="40"/>
  <c r="H1004" i="40"/>
  <c r="G1004" i="40"/>
  <c r="F1004" i="40"/>
  <c r="E1004" i="40"/>
  <c r="D1004" i="40"/>
  <c r="I997" i="40"/>
  <c r="H997" i="40"/>
  <c r="G997" i="40"/>
  <c r="F997" i="40"/>
  <c r="E997" i="40"/>
  <c r="D997" i="40"/>
  <c r="I994" i="40"/>
  <c r="H994" i="40"/>
  <c r="G994" i="40"/>
  <c r="F994" i="40"/>
  <c r="E994" i="40"/>
  <c r="D994" i="40"/>
  <c r="I989" i="40"/>
  <c r="H989" i="40"/>
  <c r="G989" i="40"/>
  <c r="F989" i="40"/>
  <c r="E989" i="40"/>
  <c r="D989" i="40"/>
  <c r="D981" i="40"/>
  <c r="D978" i="40"/>
  <c r="E918" i="40" s="1"/>
  <c r="E978" i="40" s="1"/>
  <c r="F918" i="40" s="1"/>
  <c r="F978" i="40" s="1"/>
  <c r="G918" i="40" s="1"/>
  <c r="G978" i="40" s="1"/>
  <c r="H918" i="40" s="1"/>
  <c r="H978" i="40" s="1"/>
  <c r="I918" i="40" s="1"/>
  <c r="D977" i="40"/>
  <c r="E917" i="40" s="1"/>
  <c r="E977" i="40" s="1"/>
  <c r="F917" i="40" s="1"/>
  <c r="F977" i="40" s="1"/>
  <c r="G917" i="40" s="1"/>
  <c r="G977" i="40" s="1"/>
  <c r="H917" i="40" s="1"/>
  <c r="H977" i="40" s="1"/>
  <c r="I917" i="40" s="1"/>
  <c r="I977" i="40" s="1"/>
  <c r="J917" i="40" s="1"/>
  <c r="J977" i="40" s="1"/>
  <c r="D976" i="40"/>
  <c r="D973" i="40"/>
  <c r="E913" i="40" s="1"/>
  <c r="E973" i="40" s="1"/>
  <c r="F913" i="40" s="1"/>
  <c r="F973" i="40" s="1"/>
  <c r="G913" i="40" s="1"/>
  <c r="G973" i="40" s="1"/>
  <c r="H913" i="40" s="1"/>
  <c r="H973" i="40" s="1"/>
  <c r="I913" i="40" s="1"/>
  <c r="D972" i="40"/>
  <c r="E912" i="40" s="1"/>
  <c r="I967" i="40"/>
  <c r="H967" i="40"/>
  <c r="G967" i="40"/>
  <c r="F967" i="40"/>
  <c r="E967" i="40"/>
  <c r="D967" i="40"/>
  <c r="I964" i="40"/>
  <c r="H964" i="40"/>
  <c r="G964" i="40"/>
  <c r="F964" i="40"/>
  <c r="E964" i="40"/>
  <c r="D964" i="40"/>
  <c r="I959" i="40"/>
  <c r="H959" i="40"/>
  <c r="G959" i="40"/>
  <c r="F959" i="40"/>
  <c r="E959" i="40"/>
  <c r="D959" i="40"/>
  <c r="I952" i="40"/>
  <c r="H952" i="40"/>
  <c r="G952" i="40"/>
  <c r="F952" i="40"/>
  <c r="E952" i="40"/>
  <c r="D952" i="40"/>
  <c r="H949" i="40"/>
  <c r="G949" i="40"/>
  <c r="F949" i="40"/>
  <c r="E949" i="40"/>
  <c r="D949" i="40"/>
  <c r="I948" i="40"/>
  <c r="I949" i="40" s="1"/>
  <c r="H944" i="40"/>
  <c r="G944" i="40"/>
  <c r="F944" i="40"/>
  <c r="E944" i="40"/>
  <c r="D944" i="40"/>
  <c r="I943" i="40"/>
  <c r="I944" i="40" s="1"/>
  <c r="I937" i="40"/>
  <c r="H937" i="40"/>
  <c r="G937" i="40"/>
  <c r="F937" i="40"/>
  <c r="E937" i="40"/>
  <c r="D937" i="40"/>
  <c r="I934" i="40"/>
  <c r="P934" i="40" s="1"/>
  <c r="H934" i="40"/>
  <c r="O934" i="40" s="1"/>
  <c r="G934" i="40"/>
  <c r="N934" i="40" s="1"/>
  <c r="F934" i="40"/>
  <c r="M934" i="40" s="1"/>
  <c r="E934" i="40"/>
  <c r="D934" i="40"/>
  <c r="I929" i="40"/>
  <c r="P929" i="40" s="1"/>
  <c r="H929" i="40"/>
  <c r="G929" i="40"/>
  <c r="N929" i="40" s="1"/>
  <c r="F929" i="40"/>
  <c r="M929" i="40" s="1"/>
  <c r="E929" i="40"/>
  <c r="D929" i="40"/>
  <c r="D922" i="40"/>
  <c r="D919" i="40"/>
  <c r="D914" i="40"/>
  <c r="H907" i="40"/>
  <c r="G907" i="40"/>
  <c r="F907" i="40"/>
  <c r="E907" i="40"/>
  <c r="D907" i="40"/>
  <c r="I906" i="40"/>
  <c r="H904" i="40"/>
  <c r="G904" i="40"/>
  <c r="F904" i="40"/>
  <c r="E904" i="40"/>
  <c r="D904" i="40"/>
  <c r="I903" i="40"/>
  <c r="J888" i="40" s="1"/>
  <c r="J903" i="40" s="1"/>
  <c r="I902" i="40"/>
  <c r="J887" i="40" s="1"/>
  <c r="J902" i="40" s="1"/>
  <c r="I901" i="40"/>
  <c r="J886" i="40" s="1"/>
  <c r="H899" i="40"/>
  <c r="G899" i="40"/>
  <c r="F899" i="40"/>
  <c r="E899" i="40"/>
  <c r="D899" i="40"/>
  <c r="I898" i="40"/>
  <c r="J883" i="40" s="1"/>
  <c r="J898" i="40" s="1"/>
  <c r="I897" i="40"/>
  <c r="J882" i="40" s="1"/>
  <c r="I877" i="40"/>
  <c r="H877" i="40"/>
  <c r="G877" i="40"/>
  <c r="F877" i="40"/>
  <c r="E877" i="40"/>
  <c r="D877" i="40"/>
  <c r="I874" i="40"/>
  <c r="H874" i="40"/>
  <c r="G874" i="40"/>
  <c r="F874" i="40"/>
  <c r="E874" i="40"/>
  <c r="D874" i="40"/>
  <c r="I869" i="40"/>
  <c r="H869" i="40"/>
  <c r="G869" i="40"/>
  <c r="F869" i="40"/>
  <c r="E869" i="40"/>
  <c r="D869" i="40"/>
  <c r="I862" i="40"/>
  <c r="H862" i="40"/>
  <c r="G862" i="40"/>
  <c r="F862" i="40"/>
  <c r="E862" i="40"/>
  <c r="D862" i="40"/>
  <c r="I859" i="40"/>
  <c r="H859" i="40"/>
  <c r="G859" i="40"/>
  <c r="F859" i="40"/>
  <c r="E859" i="40"/>
  <c r="D859" i="40"/>
  <c r="I854" i="40"/>
  <c r="H854" i="40"/>
  <c r="G854" i="40"/>
  <c r="F854" i="40"/>
  <c r="E854" i="40"/>
  <c r="D854" i="40"/>
  <c r="I847" i="40"/>
  <c r="H847" i="40"/>
  <c r="G847" i="40"/>
  <c r="F847" i="40"/>
  <c r="E847" i="40"/>
  <c r="D847" i="40"/>
  <c r="I844" i="40"/>
  <c r="H844" i="40"/>
  <c r="G844" i="40"/>
  <c r="F844" i="40"/>
  <c r="E844" i="40"/>
  <c r="D844" i="40"/>
  <c r="I839" i="40"/>
  <c r="H839" i="40"/>
  <c r="G839" i="40"/>
  <c r="F839" i="40"/>
  <c r="E839" i="40"/>
  <c r="D839" i="40"/>
  <c r="D828" i="40"/>
  <c r="E751" i="40" s="1"/>
  <c r="E828" i="40" s="1"/>
  <c r="F751" i="40" s="1"/>
  <c r="F828" i="40" s="1"/>
  <c r="G751" i="40" s="1"/>
  <c r="G828" i="40" s="1"/>
  <c r="H751" i="40" s="1"/>
  <c r="H828" i="40" s="1"/>
  <c r="I751" i="40" s="1"/>
  <c r="I828" i="40" s="1"/>
  <c r="J751" i="40" s="1"/>
  <c r="J828" i="40" s="1"/>
  <c r="D827" i="40"/>
  <c r="E750" i="40" s="1"/>
  <c r="E827" i="40" s="1"/>
  <c r="F750" i="40" s="1"/>
  <c r="F827" i="40" s="1"/>
  <c r="G750" i="40" s="1"/>
  <c r="G827" i="40" s="1"/>
  <c r="H750" i="40" s="1"/>
  <c r="H827" i="40" s="1"/>
  <c r="I750" i="40" s="1"/>
  <c r="I827" i="40" s="1"/>
  <c r="J750" i="40" s="1"/>
  <c r="J827" i="40" s="1"/>
  <c r="D826" i="40"/>
  <c r="E749" i="40" s="1"/>
  <c r="E826" i="40" s="1"/>
  <c r="F749" i="40" s="1"/>
  <c r="F826" i="40" s="1"/>
  <c r="D823" i="40"/>
  <c r="D822" i="40"/>
  <c r="E745" i="40" s="1"/>
  <c r="E822" i="40" s="1"/>
  <c r="F745" i="40" s="1"/>
  <c r="I817" i="40"/>
  <c r="H817" i="40"/>
  <c r="G817" i="40"/>
  <c r="F817" i="40"/>
  <c r="E817" i="40"/>
  <c r="D816" i="40"/>
  <c r="D817" i="40" s="1"/>
  <c r="I814" i="40"/>
  <c r="H814" i="40"/>
  <c r="G814" i="40"/>
  <c r="F814" i="40"/>
  <c r="E814" i="40"/>
  <c r="D814" i="40"/>
  <c r="I809" i="40"/>
  <c r="H809" i="40"/>
  <c r="G809" i="40"/>
  <c r="F809" i="40"/>
  <c r="E809" i="40"/>
  <c r="D809" i="40"/>
  <c r="I802" i="40"/>
  <c r="H802" i="40"/>
  <c r="G801" i="40"/>
  <c r="G802" i="40" s="1"/>
  <c r="F801" i="40"/>
  <c r="F802" i="40" s="1"/>
  <c r="E801" i="40"/>
  <c r="E802" i="40" s="1"/>
  <c r="D801" i="40"/>
  <c r="D802" i="40" s="1"/>
  <c r="I799" i="40"/>
  <c r="H799" i="40"/>
  <c r="G799" i="40"/>
  <c r="F799" i="40"/>
  <c r="E799" i="40"/>
  <c r="D799" i="40"/>
  <c r="I794" i="40"/>
  <c r="H794" i="40"/>
  <c r="G794" i="40"/>
  <c r="F794" i="40"/>
  <c r="E794" i="40"/>
  <c r="D794" i="40"/>
  <c r="I770" i="40"/>
  <c r="P922" i="40" s="1"/>
  <c r="H770" i="40"/>
  <c r="O922" i="40" s="1"/>
  <c r="G769" i="40"/>
  <c r="F769" i="40"/>
  <c r="E769" i="40"/>
  <c r="E770" i="40" s="1"/>
  <c r="D769" i="40"/>
  <c r="D770" i="40" s="1"/>
  <c r="I767" i="40"/>
  <c r="P919" i="40" s="1"/>
  <c r="H767" i="40"/>
  <c r="O919" i="40" s="1"/>
  <c r="G767" i="40"/>
  <c r="N919" i="40" s="1"/>
  <c r="F767" i="40"/>
  <c r="M919" i="40" s="1"/>
  <c r="E767" i="40"/>
  <c r="D767" i="40"/>
  <c r="I762" i="40"/>
  <c r="P914" i="40" s="1"/>
  <c r="H762" i="40"/>
  <c r="O914" i="40" s="1"/>
  <c r="G762" i="40"/>
  <c r="N914" i="40" s="1"/>
  <c r="F762" i="40"/>
  <c r="M914" i="40" s="1"/>
  <c r="E762" i="40"/>
  <c r="D762" i="40"/>
  <c r="D754" i="40"/>
  <c r="D755" i="40" s="1"/>
  <c r="D752" i="40"/>
  <c r="D747" i="40"/>
  <c r="I651" i="40"/>
  <c r="I544" i="40"/>
  <c r="I538" i="40"/>
  <c r="I531" i="40"/>
  <c r="I520" i="40"/>
  <c r="I514" i="40"/>
  <c r="I507" i="40"/>
  <c r="I496" i="40"/>
  <c r="H496" i="40"/>
  <c r="G496" i="40"/>
  <c r="F496" i="40"/>
  <c r="E496" i="40"/>
  <c r="D496" i="40"/>
  <c r="I490" i="40"/>
  <c r="H490" i="40"/>
  <c r="G490" i="40"/>
  <c r="F490" i="40"/>
  <c r="E490" i="40"/>
  <c r="D490" i="40"/>
  <c r="I483" i="40"/>
  <c r="H483" i="40"/>
  <c r="G483" i="40"/>
  <c r="F483" i="40"/>
  <c r="E483" i="40"/>
  <c r="D483" i="40"/>
  <c r="D472" i="40"/>
  <c r="I471" i="40"/>
  <c r="H471" i="40"/>
  <c r="G471" i="40"/>
  <c r="F471" i="40"/>
  <c r="E471" i="40"/>
  <c r="I470" i="40"/>
  <c r="H470" i="40"/>
  <c r="G470" i="40"/>
  <c r="F470" i="40"/>
  <c r="E470" i="40"/>
  <c r="I469" i="40"/>
  <c r="H469" i="40"/>
  <c r="G469" i="40"/>
  <c r="F469" i="40"/>
  <c r="E469" i="40"/>
  <c r="I468" i="40"/>
  <c r="H468" i="40"/>
  <c r="G468" i="40"/>
  <c r="F468" i="40"/>
  <c r="E468" i="40"/>
  <c r="D466" i="40"/>
  <c r="I465" i="40"/>
  <c r="H465" i="40"/>
  <c r="G465" i="40"/>
  <c r="F465" i="40"/>
  <c r="E465" i="40"/>
  <c r="I464" i="40"/>
  <c r="H464" i="40"/>
  <c r="G464" i="40"/>
  <c r="F464" i="40"/>
  <c r="E464" i="40"/>
  <c r="I463" i="40"/>
  <c r="H463" i="40"/>
  <c r="G463" i="40"/>
  <c r="F463" i="40"/>
  <c r="E463" i="40"/>
  <c r="I462" i="40"/>
  <c r="H462" i="40"/>
  <c r="G462" i="40"/>
  <c r="F462" i="40"/>
  <c r="E462" i="40"/>
  <c r="I461" i="40"/>
  <c r="H461" i="40"/>
  <c r="G461" i="40"/>
  <c r="F461" i="40"/>
  <c r="E461" i="40"/>
  <c r="D459" i="40"/>
  <c r="I458" i="40"/>
  <c r="H458" i="40"/>
  <c r="G458" i="40"/>
  <c r="F458" i="40"/>
  <c r="E458" i="40"/>
  <c r="I457" i="40"/>
  <c r="H457" i="40"/>
  <c r="G457" i="40"/>
  <c r="F457" i="40"/>
  <c r="E457" i="40"/>
  <c r="I456" i="40"/>
  <c r="H456" i="40"/>
  <c r="G456" i="40"/>
  <c r="F456" i="40"/>
  <c r="E456" i="40"/>
  <c r="I455" i="40"/>
  <c r="H455" i="40"/>
  <c r="G455" i="40"/>
  <c r="F455" i="40"/>
  <c r="E455" i="40"/>
  <c r="I454" i="40"/>
  <c r="H454" i="40"/>
  <c r="G454" i="40"/>
  <c r="F454" i="40"/>
  <c r="E454" i="40"/>
  <c r="I448" i="40"/>
  <c r="H448" i="40"/>
  <c r="G448" i="40"/>
  <c r="F448" i="40"/>
  <c r="E448" i="40"/>
  <c r="D448" i="40"/>
  <c r="I442" i="40"/>
  <c r="H442" i="40"/>
  <c r="G442" i="40"/>
  <c r="F442" i="40"/>
  <c r="E442" i="40"/>
  <c r="D442" i="40"/>
  <c r="I435" i="40"/>
  <c r="H435" i="40"/>
  <c r="G435" i="40"/>
  <c r="F435" i="40"/>
  <c r="E435" i="40"/>
  <c r="D435" i="40"/>
  <c r="I424" i="40"/>
  <c r="H424" i="40"/>
  <c r="G424" i="40"/>
  <c r="F424" i="40"/>
  <c r="E424" i="40"/>
  <c r="D424" i="40"/>
  <c r="I418" i="40"/>
  <c r="H418" i="40"/>
  <c r="G418" i="40"/>
  <c r="F418" i="40"/>
  <c r="E418" i="40"/>
  <c r="D418" i="40"/>
  <c r="I411" i="40"/>
  <c r="H411" i="40"/>
  <c r="G411" i="40"/>
  <c r="F411" i="40"/>
  <c r="E411" i="40"/>
  <c r="D411" i="40"/>
  <c r="I401" i="40"/>
  <c r="H401" i="40"/>
  <c r="G401" i="40"/>
  <c r="F401" i="40"/>
  <c r="E401" i="40"/>
  <c r="D401" i="40"/>
  <c r="I395" i="40"/>
  <c r="H395" i="40"/>
  <c r="G395" i="40"/>
  <c r="F395" i="40"/>
  <c r="E395" i="40"/>
  <c r="D395" i="40"/>
  <c r="I388" i="40"/>
  <c r="H388" i="40"/>
  <c r="G388" i="40"/>
  <c r="F388" i="40"/>
  <c r="E388" i="40"/>
  <c r="D388" i="40"/>
  <c r="D377" i="40"/>
  <c r="E353" i="40" s="1"/>
  <c r="E377" i="40" s="1"/>
  <c r="F353" i="40" s="1"/>
  <c r="F377" i="40" s="1"/>
  <c r="G353" i="40" s="1"/>
  <c r="G377" i="40" s="1"/>
  <c r="H353" i="40" s="1"/>
  <c r="H377" i="40" s="1"/>
  <c r="I353" i="40" s="1"/>
  <c r="I377" i="40" s="1"/>
  <c r="J353" i="40" s="1"/>
  <c r="J377" i="40" s="1"/>
  <c r="D376" i="40"/>
  <c r="E352" i="40" s="1"/>
  <c r="E376" i="40" s="1"/>
  <c r="F352" i="40" s="1"/>
  <c r="F376" i="40" s="1"/>
  <c r="G352" i="40" s="1"/>
  <c r="G376" i="40" s="1"/>
  <c r="H352" i="40" s="1"/>
  <c r="H376" i="40" s="1"/>
  <c r="I352" i="40" s="1"/>
  <c r="I376" i="40" s="1"/>
  <c r="J352" i="40" s="1"/>
  <c r="J376" i="40" s="1"/>
  <c r="D375" i="40"/>
  <c r="E351" i="40" s="1"/>
  <c r="E375" i="40" s="1"/>
  <c r="F351" i="40" s="1"/>
  <c r="F375" i="40" s="1"/>
  <c r="G351" i="40" s="1"/>
  <c r="G375" i="40" s="1"/>
  <c r="H351" i="40" s="1"/>
  <c r="H375" i="40" s="1"/>
  <c r="I351" i="40" s="1"/>
  <c r="I375" i="40" s="1"/>
  <c r="J351" i="40" s="1"/>
  <c r="J375" i="40" s="1"/>
  <c r="D374" i="40"/>
  <c r="E350" i="40" s="1"/>
  <c r="D371" i="40"/>
  <c r="E347" i="40" s="1"/>
  <c r="E371" i="40" s="1"/>
  <c r="F347" i="40" s="1"/>
  <c r="F371" i="40" s="1"/>
  <c r="G347" i="40" s="1"/>
  <c r="G371" i="40" s="1"/>
  <c r="H347" i="40" s="1"/>
  <c r="H371" i="40" s="1"/>
  <c r="I347" i="40" s="1"/>
  <c r="I371" i="40" s="1"/>
  <c r="J347" i="40" s="1"/>
  <c r="J371" i="40" s="1"/>
  <c r="D370" i="40"/>
  <c r="E346" i="40" s="1"/>
  <c r="E370" i="40" s="1"/>
  <c r="F346" i="40" s="1"/>
  <c r="F370" i="40" s="1"/>
  <c r="G346" i="40" s="1"/>
  <c r="G370" i="40" s="1"/>
  <c r="H346" i="40" s="1"/>
  <c r="H370" i="40" s="1"/>
  <c r="I346" i="40" s="1"/>
  <c r="I370" i="40" s="1"/>
  <c r="J346" i="40" s="1"/>
  <c r="J370" i="40" s="1"/>
  <c r="D369" i="40"/>
  <c r="E345" i="40" s="1"/>
  <c r="D368" i="40"/>
  <c r="E344" i="40" s="1"/>
  <c r="E368" i="40" s="1"/>
  <c r="F344" i="40" s="1"/>
  <c r="F368" i="40" s="1"/>
  <c r="G344" i="40" s="1"/>
  <c r="G368" i="40" s="1"/>
  <c r="H344" i="40" s="1"/>
  <c r="H368" i="40" s="1"/>
  <c r="I344" i="40" s="1"/>
  <c r="I368" i="40" s="1"/>
  <c r="J344" i="40" s="1"/>
  <c r="J368" i="40" s="1"/>
  <c r="D367" i="40"/>
  <c r="E343" i="40" s="1"/>
  <c r="E367" i="40" s="1"/>
  <c r="D364" i="40"/>
  <c r="E340" i="40" s="1"/>
  <c r="E364" i="40" s="1"/>
  <c r="F340" i="40" s="1"/>
  <c r="F364" i="40" s="1"/>
  <c r="G340" i="40" s="1"/>
  <c r="G364" i="40" s="1"/>
  <c r="H340" i="40" s="1"/>
  <c r="H364" i="40" s="1"/>
  <c r="I340" i="40" s="1"/>
  <c r="I364" i="40" s="1"/>
  <c r="J340" i="40" s="1"/>
  <c r="J364" i="40" s="1"/>
  <c r="D363" i="40"/>
  <c r="E339" i="40" s="1"/>
  <c r="E363" i="40" s="1"/>
  <c r="F339" i="40" s="1"/>
  <c r="F363" i="40" s="1"/>
  <c r="G339" i="40" s="1"/>
  <c r="G363" i="40" s="1"/>
  <c r="H339" i="40" s="1"/>
  <c r="H363" i="40" s="1"/>
  <c r="I339" i="40" s="1"/>
  <c r="I363" i="40" s="1"/>
  <c r="J339" i="40" s="1"/>
  <c r="J363" i="40" s="1"/>
  <c r="D362" i="40"/>
  <c r="E338" i="40" s="1"/>
  <c r="E362" i="40" s="1"/>
  <c r="F338" i="40" s="1"/>
  <c r="F362" i="40" s="1"/>
  <c r="G338" i="40" s="1"/>
  <c r="G362" i="40" s="1"/>
  <c r="H338" i="40" s="1"/>
  <c r="H362" i="40" s="1"/>
  <c r="I338" i="40" s="1"/>
  <c r="I362" i="40" s="1"/>
  <c r="J338" i="40" s="1"/>
  <c r="J362" i="40" s="1"/>
  <c r="D361" i="40"/>
  <c r="E337" i="40" s="1"/>
  <c r="E361" i="40" s="1"/>
  <c r="F337" i="40" s="1"/>
  <c r="F361" i="40" s="1"/>
  <c r="G337" i="40" s="1"/>
  <c r="G361" i="40" s="1"/>
  <c r="H337" i="40" s="1"/>
  <c r="H361" i="40" s="1"/>
  <c r="I337" i="40" s="1"/>
  <c r="I361" i="40" s="1"/>
  <c r="J337" i="40" s="1"/>
  <c r="D360" i="40"/>
  <c r="D354" i="40"/>
  <c r="D348" i="40"/>
  <c r="D341" i="40"/>
  <c r="I326" i="40"/>
  <c r="H326" i="40"/>
  <c r="G326" i="40"/>
  <c r="F326" i="40"/>
  <c r="E326" i="40"/>
  <c r="D326" i="40"/>
  <c r="I320" i="40"/>
  <c r="H320" i="40"/>
  <c r="G320" i="40"/>
  <c r="F320" i="40"/>
  <c r="E320" i="40"/>
  <c r="D320" i="40"/>
  <c r="I313" i="40"/>
  <c r="H313" i="40"/>
  <c r="G313" i="40"/>
  <c r="F313" i="40"/>
  <c r="E313" i="40"/>
  <c r="D313" i="40"/>
  <c r="I301" i="40"/>
  <c r="H301" i="40"/>
  <c r="G301" i="40"/>
  <c r="F301" i="40"/>
  <c r="E301" i="40"/>
  <c r="D301" i="40"/>
  <c r="I295" i="40"/>
  <c r="H295" i="40"/>
  <c r="G295" i="40"/>
  <c r="F295" i="40"/>
  <c r="E295" i="40"/>
  <c r="D295" i="40"/>
  <c r="I288" i="40"/>
  <c r="H288" i="40"/>
  <c r="G288" i="40"/>
  <c r="F288" i="40"/>
  <c r="E288" i="40"/>
  <c r="D288" i="40"/>
  <c r="D279" i="40"/>
  <c r="I278" i="40"/>
  <c r="H278" i="40"/>
  <c r="G278" i="40"/>
  <c r="F278" i="40"/>
  <c r="E278" i="40"/>
  <c r="I277" i="40"/>
  <c r="H277" i="40"/>
  <c r="G277" i="40"/>
  <c r="F277" i="40"/>
  <c r="E277" i="40"/>
  <c r="I276" i="40"/>
  <c r="H276" i="40"/>
  <c r="G276" i="40"/>
  <c r="F276" i="40"/>
  <c r="E276" i="40"/>
  <c r="I275" i="40"/>
  <c r="H275" i="40"/>
  <c r="G275" i="40"/>
  <c r="F275" i="40"/>
  <c r="E275" i="40"/>
  <c r="D273" i="40"/>
  <c r="I272" i="40"/>
  <c r="H272" i="40"/>
  <c r="G272" i="40"/>
  <c r="F272" i="40"/>
  <c r="E272" i="40"/>
  <c r="I271" i="40"/>
  <c r="H271" i="40"/>
  <c r="G271" i="40"/>
  <c r="F271" i="40"/>
  <c r="E271" i="40"/>
  <c r="I270" i="40"/>
  <c r="H270" i="40"/>
  <c r="G270" i="40"/>
  <c r="F270" i="40"/>
  <c r="E270" i="40"/>
  <c r="I269" i="40"/>
  <c r="H269" i="40"/>
  <c r="G269" i="40"/>
  <c r="F269" i="40"/>
  <c r="E269" i="40"/>
  <c r="I268" i="40"/>
  <c r="H268" i="40"/>
  <c r="G268" i="40"/>
  <c r="F268" i="40"/>
  <c r="E268" i="40"/>
  <c r="D266" i="40"/>
  <c r="I265" i="40"/>
  <c r="H265" i="40"/>
  <c r="G265" i="40"/>
  <c r="F265" i="40"/>
  <c r="I264" i="40"/>
  <c r="H264" i="40"/>
  <c r="G264" i="40"/>
  <c r="F264" i="40"/>
  <c r="E264" i="40"/>
  <c r="I263" i="40"/>
  <c r="H263" i="40"/>
  <c r="G263" i="40"/>
  <c r="F263" i="40"/>
  <c r="E263" i="40"/>
  <c r="I262" i="40"/>
  <c r="H262" i="40"/>
  <c r="G262" i="40"/>
  <c r="F262" i="40"/>
  <c r="E262" i="40"/>
  <c r="I261" i="40"/>
  <c r="H261" i="40"/>
  <c r="G261" i="40"/>
  <c r="F261" i="40"/>
  <c r="E261" i="40"/>
  <c r="D256" i="40"/>
  <c r="E146" i="40" s="1"/>
  <c r="E256" i="40" s="1"/>
  <c r="F146" i="40" s="1"/>
  <c r="F256" i="40" s="1"/>
  <c r="G146" i="40" s="1"/>
  <c r="G256" i="40" s="1"/>
  <c r="H146" i="40" s="1"/>
  <c r="H256" i="40" s="1"/>
  <c r="I146" i="40" s="1"/>
  <c r="I256" i="40" s="1"/>
  <c r="J146" i="40" s="1"/>
  <c r="J256" i="40" s="1"/>
  <c r="D255" i="40"/>
  <c r="E145" i="40" s="1"/>
  <c r="E255" i="40" s="1"/>
  <c r="F145" i="40" s="1"/>
  <c r="F255" i="40" s="1"/>
  <c r="G145" i="40" s="1"/>
  <c r="G255" i="40" s="1"/>
  <c r="H145" i="40" s="1"/>
  <c r="H255" i="40" s="1"/>
  <c r="I145" i="40" s="1"/>
  <c r="I255" i="40" s="1"/>
  <c r="J145" i="40" s="1"/>
  <c r="J255" i="40" s="1"/>
  <c r="D254" i="40"/>
  <c r="E144" i="40" s="1"/>
  <c r="E254" i="40" s="1"/>
  <c r="F144" i="40" s="1"/>
  <c r="F254" i="40" s="1"/>
  <c r="G144" i="40" s="1"/>
  <c r="G254" i="40" s="1"/>
  <c r="H144" i="40" s="1"/>
  <c r="H254" i="40" s="1"/>
  <c r="I144" i="40" s="1"/>
  <c r="I254" i="40" s="1"/>
  <c r="J144" i="40" s="1"/>
  <c r="D253" i="40"/>
  <c r="E143" i="40" s="1"/>
  <c r="E253" i="40" s="1"/>
  <c r="D250" i="40"/>
  <c r="E140" i="40" s="1"/>
  <c r="E250" i="40" s="1"/>
  <c r="F140" i="40" s="1"/>
  <c r="F250" i="40" s="1"/>
  <c r="G140" i="40" s="1"/>
  <c r="G250" i="40" s="1"/>
  <c r="H140" i="40" s="1"/>
  <c r="H250" i="40" s="1"/>
  <c r="I140" i="40" s="1"/>
  <c r="I250" i="40" s="1"/>
  <c r="J140" i="40" s="1"/>
  <c r="J250" i="40" s="1"/>
  <c r="D249" i="40"/>
  <c r="E139" i="40" s="1"/>
  <c r="E249" i="40" s="1"/>
  <c r="F139" i="40" s="1"/>
  <c r="F249" i="40" s="1"/>
  <c r="G139" i="40" s="1"/>
  <c r="G249" i="40" s="1"/>
  <c r="H139" i="40" s="1"/>
  <c r="H249" i="40" s="1"/>
  <c r="I139" i="40" s="1"/>
  <c r="I249" i="40" s="1"/>
  <c r="J139" i="40" s="1"/>
  <c r="J249" i="40" s="1"/>
  <c r="D248" i="40"/>
  <c r="E138" i="40" s="1"/>
  <c r="E248" i="40" s="1"/>
  <c r="F138" i="40" s="1"/>
  <c r="F248" i="40" s="1"/>
  <c r="G138" i="40" s="1"/>
  <c r="G248" i="40" s="1"/>
  <c r="H138" i="40" s="1"/>
  <c r="H248" i="40" s="1"/>
  <c r="I138" i="40" s="1"/>
  <c r="I248" i="40" s="1"/>
  <c r="J138" i="40" s="1"/>
  <c r="J248" i="40" s="1"/>
  <c r="D247" i="40"/>
  <c r="E137" i="40" s="1"/>
  <c r="E247" i="40" s="1"/>
  <c r="F137" i="40" s="1"/>
  <c r="F247" i="40" s="1"/>
  <c r="G137" i="40" s="1"/>
  <c r="G247" i="40" s="1"/>
  <c r="H137" i="40" s="1"/>
  <c r="H247" i="40" s="1"/>
  <c r="I137" i="40" s="1"/>
  <c r="I247" i="40" s="1"/>
  <c r="J137" i="40" s="1"/>
  <c r="J247" i="40" s="1"/>
  <c r="D246" i="40"/>
  <c r="D243" i="40"/>
  <c r="E133" i="40" s="1"/>
  <c r="E243" i="40" s="1"/>
  <c r="F133" i="40" s="1"/>
  <c r="F243" i="40" s="1"/>
  <c r="G133" i="40" s="1"/>
  <c r="G243" i="40" s="1"/>
  <c r="H133" i="40" s="1"/>
  <c r="H243" i="40" s="1"/>
  <c r="I133" i="40" s="1"/>
  <c r="I243" i="40" s="1"/>
  <c r="J133" i="40" s="1"/>
  <c r="J243" i="40" s="1"/>
  <c r="D242" i="40"/>
  <c r="E132" i="40" s="1"/>
  <c r="E242" i="40" s="1"/>
  <c r="F132" i="40" s="1"/>
  <c r="F242" i="40" s="1"/>
  <c r="G132" i="40" s="1"/>
  <c r="G242" i="40" s="1"/>
  <c r="H132" i="40" s="1"/>
  <c r="H242" i="40" s="1"/>
  <c r="I132" i="40" s="1"/>
  <c r="I242" i="40" s="1"/>
  <c r="J132" i="40" s="1"/>
  <c r="J242" i="40" s="1"/>
  <c r="D241" i="40"/>
  <c r="E131" i="40" s="1"/>
  <c r="E241" i="40" s="1"/>
  <c r="F131" i="40" s="1"/>
  <c r="F241" i="40" s="1"/>
  <c r="G131" i="40" s="1"/>
  <c r="G241" i="40" s="1"/>
  <c r="H131" i="40" s="1"/>
  <c r="H241" i="40" s="1"/>
  <c r="I131" i="40" s="1"/>
  <c r="I241" i="40" s="1"/>
  <c r="J131" i="40" s="1"/>
  <c r="J241" i="40" s="1"/>
  <c r="D240" i="40"/>
  <c r="E130" i="40" s="1"/>
  <c r="E240" i="40" s="1"/>
  <c r="F130" i="40" s="1"/>
  <c r="F240" i="40" s="1"/>
  <c r="G130" i="40" s="1"/>
  <c r="G240" i="40" s="1"/>
  <c r="H130" i="40" s="1"/>
  <c r="H240" i="40" s="1"/>
  <c r="I130" i="40" s="1"/>
  <c r="I240" i="40" s="1"/>
  <c r="J130" i="40" s="1"/>
  <c r="J240" i="40" s="1"/>
  <c r="D239" i="40"/>
  <c r="E129" i="40" s="1"/>
  <c r="E239" i="40" s="1"/>
  <c r="I235" i="40"/>
  <c r="H235" i="40"/>
  <c r="G235" i="40"/>
  <c r="F235" i="40"/>
  <c r="E235" i="40"/>
  <c r="D235" i="40"/>
  <c r="I229" i="40"/>
  <c r="H229" i="40"/>
  <c r="G229" i="40"/>
  <c r="F229" i="40"/>
  <c r="E229" i="40"/>
  <c r="D229" i="40"/>
  <c r="I222" i="40"/>
  <c r="H222" i="40"/>
  <c r="G222" i="40"/>
  <c r="F222" i="40"/>
  <c r="E222" i="40"/>
  <c r="D222" i="40"/>
  <c r="I213" i="40"/>
  <c r="H213" i="40"/>
  <c r="G213" i="40"/>
  <c r="F213" i="40"/>
  <c r="E213" i="40"/>
  <c r="D213" i="40"/>
  <c r="I207" i="40"/>
  <c r="H207" i="40"/>
  <c r="G207" i="40"/>
  <c r="F207" i="40"/>
  <c r="E207" i="40"/>
  <c r="D207" i="40"/>
  <c r="I200" i="40"/>
  <c r="H200" i="40"/>
  <c r="G200" i="40"/>
  <c r="F200" i="40"/>
  <c r="E200" i="40"/>
  <c r="D200" i="40"/>
  <c r="I191" i="40"/>
  <c r="H191" i="40"/>
  <c r="G191" i="40"/>
  <c r="F191" i="40"/>
  <c r="E191" i="40"/>
  <c r="D191" i="40"/>
  <c r="I185" i="40"/>
  <c r="H185" i="40"/>
  <c r="G185" i="40"/>
  <c r="F185" i="40"/>
  <c r="E185" i="40"/>
  <c r="D185" i="40"/>
  <c r="I178" i="40"/>
  <c r="H178" i="40"/>
  <c r="G178" i="40"/>
  <c r="F178" i="40"/>
  <c r="E178" i="40"/>
  <c r="D178" i="40"/>
  <c r="I169" i="40"/>
  <c r="H169" i="40"/>
  <c r="G169" i="40"/>
  <c r="F169" i="40"/>
  <c r="E169" i="40"/>
  <c r="D169" i="40"/>
  <c r="I163" i="40"/>
  <c r="H163" i="40"/>
  <c r="G163" i="40"/>
  <c r="F163" i="40"/>
  <c r="E163" i="40"/>
  <c r="D163" i="40"/>
  <c r="I156" i="40"/>
  <c r="H156" i="40"/>
  <c r="G156" i="40"/>
  <c r="F156" i="40"/>
  <c r="E156" i="40"/>
  <c r="D156" i="40"/>
  <c r="D147" i="40"/>
  <c r="D141" i="40"/>
  <c r="D134" i="40"/>
  <c r="I71" i="40"/>
  <c r="H71" i="40"/>
  <c r="G71" i="40"/>
  <c r="F71" i="40"/>
  <c r="E71" i="40"/>
  <c r="D71" i="40"/>
  <c r="I70" i="40"/>
  <c r="H70" i="40"/>
  <c r="G70" i="40"/>
  <c r="F70" i="40"/>
  <c r="E70" i="40"/>
  <c r="D70" i="40"/>
  <c r="I69" i="40"/>
  <c r="H69" i="40"/>
  <c r="G69" i="40"/>
  <c r="F69" i="40"/>
  <c r="E69" i="40"/>
  <c r="D69" i="40"/>
  <c r="I68" i="40"/>
  <c r="H68" i="40"/>
  <c r="G68" i="40"/>
  <c r="F68" i="40"/>
  <c r="E68" i="40"/>
  <c r="D68" i="40"/>
  <c r="I65" i="40"/>
  <c r="H65" i="40"/>
  <c r="G65" i="40"/>
  <c r="F65" i="40"/>
  <c r="E65" i="40"/>
  <c r="D65" i="40"/>
  <c r="I64" i="40"/>
  <c r="H64" i="40"/>
  <c r="G64" i="40"/>
  <c r="F64" i="40"/>
  <c r="E64" i="40"/>
  <c r="D64" i="40"/>
  <c r="I63" i="40"/>
  <c r="H63" i="40"/>
  <c r="G63" i="40"/>
  <c r="F63" i="40"/>
  <c r="E63" i="40"/>
  <c r="D63" i="40"/>
  <c r="I62" i="40"/>
  <c r="H62" i="40"/>
  <c r="G62" i="40"/>
  <c r="F62" i="40"/>
  <c r="E62" i="40"/>
  <c r="D62" i="40"/>
  <c r="I61" i="40"/>
  <c r="H61" i="40"/>
  <c r="G61" i="40"/>
  <c r="F61" i="40"/>
  <c r="E61" i="40"/>
  <c r="D61" i="40"/>
  <c r="I58" i="40"/>
  <c r="H58" i="40"/>
  <c r="G58" i="40"/>
  <c r="F58" i="40"/>
  <c r="E58" i="40"/>
  <c r="D58" i="40"/>
  <c r="I57" i="40"/>
  <c r="H57" i="40"/>
  <c r="G57" i="40"/>
  <c r="F57" i="40"/>
  <c r="E57" i="40"/>
  <c r="D57" i="40"/>
  <c r="I56" i="40"/>
  <c r="H56" i="40"/>
  <c r="G56" i="40"/>
  <c r="F56" i="40"/>
  <c r="E56" i="40"/>
  <c r="D56" i="40"/>
  <c r="I55" i="40"/>
  <c r="H55" i="40"/>
  <c r="G55" i="40"/>
  <c r="F55" i="40"/>
  <c r="E55" i="40"/>
  <c r="D55" i="40"/>
  <c r="I54" i="40"/>
  <c r="H54" i="40"/>
  <c r="G54" i="40"/>
  <c r="F54" i="40"/>
  <c r="E54" i="40"/>
  <c r="D54" i="40"/>
  <c r="I49" i="40"/>
  <c r="H8" i="4" s="1"/>
  <c r="H49" i="40"/>
  <c r="G8" i="4" s="1"/>
  <c r="G49" i="40"/>
  <c r="F8" i="4" s="1"/>
  <c r="F49" i="40"/>
  <c r="E8" i="4" s="1"/>
  <c r="E49" i="40"/>
  <c r="D49" i="40"/>
  <c r="I27" i="40"/>
  <c r="H27" i="40"/>
  <c r="G27" i="40"/>
  <c r="F27" i="40"/>
  <c r="E27" i="40"/>
  <c r="D27" i="40"/>
  <c r="I21" i="40"/>
  <c r="H21" i="40"/>
  <c r="G21" i="40"/>
  <c r="F21" i="40"/>
  <c r="E21" i="40"/>
  <c r="D21" i="40"/>
  <c r="I14" i="40"/>
  <c r="H14" i="40"/>
  <c r="G14" i="40"/>
  <c r="F14" i="40"/>
  <c r="E14" i="40"/>
  <c r="D14" i="40"/>
  <c r="F4" i="40"/>
  <c r="F1462" i="40" s="1"/>
  <c r="D4" i="40"/>
  <c r="D1462" i="40" s="1"/>
  <c r="I345" i="43"/>
  <c r="J321" i="43" s="1"/>
  <c r="H345" i="43"/>
  <c r="I321" i="43" s="1"/>
  <c r="G345" i="43"/>
  <c r="H321" i="43" s="1"/>
  <c r="F345" i="43"/>
  <c r="G321" i="43" s="1"/>
  <c r="E345" i="43"/>
  <c r="D345" i="43"/>
  <c r="H339" i="43"/>
  <c r="G339" i="43"/>
  <c r="F339" i="43"/>
  <c r="E339" i="43"/>
  <c r="D339" i="43"/>
  <c r="I337" i="43"/>
  <c r="H332" i="43"/>
  <c r="G332" i="43"/>
  <c r="F332" i="43"/>
  <c r="E332" i="43"/>
  <c r="D332" i="43"/>
  <c r="I331" i="43"/>
  <c r="J307" i="43" s="1"/>
  <c r="J355" i="43" s="1"/>
  <c r="J82" i="40" s="1"/>
  <c r="J106" i="40" s="1"/>
  <c r="I330" i="43"/>
  <c r="J306" i="43" s="1"/>
  <c r="J354" i="43" s="1"/>
  <c r="J81" i="40" s="1"/>
  <c r="J105" i="40" s="1"/>
  <c r="I329" i="43"/>
  <c r="J305" i="43" s="1"/>
  <c r="J353" i="43" s="1"/>
  <c r="J80" i="40" s="1"/>
  <c r="J104" i="40" s="1"/>
  <c r="I328" i="43"/>
  <c r="J304" i="43" s="1"/>
  <c r="J352" i="43" s="1"/>
  <c r="J79" i="40" s="1"/>
  <c r="J103" i="40" s="1"/>
  <c r="I327" i="43"/>
  <c r="J303" i="43" s="1"/>
  <c r="D321" i="43"/>
  <c r="I320" i="43"/>
  <c r="H320" i="43"/>
  <c r="G320" i="43"/>
  <c r="F320" i="43"/>
  <c r="E320" i="43"/>
  <c r="I319" i="43"/>
  <c r="H319" i="43"/>
  <c r="G319" i="43"/>
  <c r="F319" i="43"/>
  <c r="E319" i="43"/>
  <c r="I318" i="43"/>
  <c r="H318" i="43"/>
  <c r="G318" i="43"/>
  <c r="F318" i="43"/>
  <c r="E318" i="43"/>
  <c r="I317" i="43"/>
  <c r="H317" i="43"/>
  <c r="G317" i="43"/>
  <c r="F317" i="43"/>
  <c r="E317" i="43"/>
  <c r="D315" i="43"/>
  <c r="I314" i="43"/>
  <c r="H314" i="43"/>
  <c r="G314" i="43"/>
  <c r="F314" i="43"/>
  <c r="E314" i="43"/>
  <c r="I313" i="43"/>
  <c r="H313" i="43"/>
  <c r="G313" i="43"/>
  <c r="F313" i="43"/>
  <c r="E313" i="43"/>
  <c r="I312" i="43"/>
  <c r="H312" i="43"/>
  <c r="G312" i="43"/>
  <c r="F312" i="43"/>
  <c r="E312" i="43"/>
  <c r="I311" i="43"/>
  <c r="H311" i="43"/>
  <c r="G311" i="43"/>
  <c r="F311" i="43"/>
  <c r="E311" i="43"/>
  <c r="I310" i="43"/>
  <c r="H310" i="43"/>
  <c r="G310" i="43"/>
  <c r="F310" i="43"/>
  <c r="E310" i="43"/>
  <c r="D308" i="43"/>
  <c r="I307" i="43"/>
  <c r="H307" i="43"/>
  <c r="G307" i="43"/>
  <c r="F307" i="43"/>
  <c r="E307" i="43"/>
  <c r="I306" i="43"/>
  <c r="H306" i="43"/>
  <c r="G306" i="43"/>
  <c r="F306" i="43"/>
  <c r="E306" i="43"/>
  <c r="I305" i="43"/>
  <c r="H305" i="43"/>
  <c r="G305" i="43"/>
  <c r="F305" i="43"/>
  <c r="E305" i="43"/>
  <c r="I304" i="43"/>
  <c r="H304" i="43"/>
  <c r="G304" i="43"/>
  <c r="F304" i="43"/>
  <c r="E304" i="43"/>
  <c r="I303" i="43"/>
  <c r="H303" i="43"/>
  <c r="G303" i="43"/>
  <c r="F303" i="43"/>
  <c r="E303" i="43"/>
  <c r="I295" i="43"/>
  <c r="H295" i="43"/>
  <c r="G295" i="43"/>
  <c r="G368" i="43" s="1"/>
  <c r="G95" i="40" s="1"/>
  <c r="F295" i="43"/>
  <c r="E295" i="43"/>
  <c r="D295" i="43"/>
  <c r="D368" i="43" s="1"/>
  <c r="D95" i="40" s="1"/>
  <c r="I294" i="43"/>
  <c r="H294" i="43"/>
  <c r="G294" i="43"/>
  <c r="F294" i="43"/>
  <c r="E294" i="43"/>
  <c r="D294" i="43"/>
  <c r="D367" i="43" s="1"/>
  <c r="D94" i="40" s="1"/>
  <c r="I293" i="43"/>
  <c r="H293" i="43"/>
  <c r="G293" i="43"/>
  <c r="F293" i="43"/>
  <c r="E293" i="43"/>
  <c r="D293" i="43"/>
  <c r="D366" i="43" s="1"/>
  <c r="D93" i="40" s="1"/>
  <c r="I292" i="43"/>
  <c r="H292" i="43"/>
  <c r="G292" i="43"/>
  <c r="F292" i="43"/>
  <c r="E292" i="43"/>
  <c r="D292" i="43"/>
  <c r="I289" i="43"/>
  <c r="H289" i="43"/>
  <c r="G289" i="43"/>
  <c r="F289" i="43"/>
  <c r="E289" i="43"/>
  <c r="D289" i="43"/>
  <c r="D362" i="43" s="1"/>
  <c r="D89" i="40" s="1"/>
  <c r="I288" i="43"/>
  <c r="H288" i="43"/>
  <c r="G288" i="43"/>
  <c r="F288" i="43"/>
  <c r="E288" i="43"/>
  <c r="D288" i="43"/>
  <c r="D361" i="43" s="1"/>
  <c r="D88" i="40" s="1"/>
  <c r="I287" i="43"/>
  <c r="H287" i="43"/>
  <c r="G287" i="43"/>
  <c r="F287" i="43"/>
  <c r="E287" i="43"/>
  <c r="D287" i="43"/>
  <c r="D360" i="43" s="1"/>
  <c r="D87" i="40" s="1"/>
  <c r="I286" i="43"/>
  <c r="H286" i="43"/>
  <c r="G286" i="43"/>
  <c r="F286" i="43"/>
  <c r="E286" i="43"/>
  <c r="D286" i="43"/>
  <c r="I285" i="43"/>
  <c r="H285" i="43"/>
  <c r="G285" i="43"/>
  <c r="F285" i="43"/>
  <c r="E285" i="43"/>
  <c r="D285" i="43"/>
  <c r="D358" i="43" s="1"/>
  <c r="I282" i="43"/>
  <c r="H282" i="43"/>
  <c r="G282" i="43"/>
  <c r="F282" i="43"/>
  <c r="E282" i="43"/>
  <c r="D282" i="43"/>
  <c r="D355" i="43" s="1"/>
  <c r="D82" i="40" s="1"/>
  <c r="I281" i="43"/>
  <c r="H281" i="43"/>
  <c r="G281" i="43"/>
  <c r="F281" i="43"/>
  <c r="E281" i="43"/>
  <c r="D281" i="43"/>
  <c r="D354" i="43" s="1"/>
  <c r="D81" i="40" s="1"/>
  <c r="I280" i="43"/>
  <c r="H280" i="43"/>
  <c r="G280" i="43"/>
  <c r="F280" i="43"/>
  <c r="E280" i="43"/>
  <c r="D280" i="43"/>
  <c r="D353" i="43" s="1"/>
  <c r="D80" i="40" s="1"/>
  <c r="I279" i="43"/>
  <c r="H279" i="43"/>
  <c r="G279" i="43"/>
  <c r="F279" i="43"/>
  <c r="E279" i="43"/>
  <c r="D279" i="43"/>
  <c r="D352" i="43" s="1"/>
  <c r="D79" i="40" s="1"/>
  <c r="I278" i="43"/>
  <c r="H278" i="43"/>
  <c r="G278" i="43"/>
  <c r="F278" i="43"/>
  <c r="E278" i="43"/>
  <c r="D278" i="43"/>
  <c r="D351" i="43" s="1"/>
  <c r="I272" i="43"/>
  <c r="H272" i="43"/>
  <c r="G272" i="43"/>
  <c r="F272" i="43"/>
  <c r="E272" i="43"/>
  <c r="D272" i="43"/>
  <c r="I266" i="43"/>
  <c r="H266" i="43"/>
  <c r="G266" i="43"/>
  <c r="F266" i="43"/>
  <c r="E266" i="43"/>
  <c r="D266" i="43"/>
  <c r="I259" i="43"/>
  <c r="H259" i="43"/>
  <c r="G259" i="43"/>
  <c r="F259" i="43"/>
  <c r="E259" i="43"/>
  <c r="D259" i="43"/>
  <c r="I248" i="43"/>
  <c r="H248" i="43"/>
  <c r="G248" i="43"/>
  <c r="F248" i="43"/>
  <c r="E248" i="43"/>
  <c r="D248" i="43"/>
  <c r="I242" i="43"/>
  <c r="H242" i="43"/>
  <c r="G242" i="43"/>
  <c r="F242" i="43"/>
  <c r="E242" i="43"/>
  <c r="D242" i="43"/>
  <c r="I235" i="43"/>
  <c r="H235" i="43"/>
  <c r="G235" i="43"/>
  <c r="F235" i="43"/>
  <c r="E235" i="43"/>
  <c r="D235" i="43"/>
  <c r="I224" i="43"/>
  <c r="H224" i="43"/>
  <c r="G224" i="43"/>
  <c r="F224" i="43"/>
  <c r="E224" i="43"/>
  <c r="D224" i="43"/>
  <c r="I218" i="43"/>
  <c r="H218" i="43"/>
  <c r="G218" i="43"/>
  <c r="F218" i="43"/>
  <c r="E218" i="43"/>
  <c r="D218" i="43"/>
  <c r="I211" i="43"/>
  <c r="H211" i="43"/>
  <c r="G211" i="43"/>
  <c r="F211" i="43"/>
  <c r="E211" i="43"/>
  <c r="D211" i="43"/>
  <c r="I200" i="43"/>
  <c r="H200" i="43"/>
  <c r="G200" i="43"/>
  <c r="F200" i="43"/>
  <c r="E200" i="43"/>
  <c r="D200" i="43"/>
  <c r="I194" i="43"/>
  <c r="H194" i="43"/>
  <c r="G194" i="43"/>
  <c r="F194" i="43"/>
  <c r="E194" i="43"/>
  <c r="D194" i="43"/>
  <c r="I187" i="43"/>
  <c r="H187" i="43"/>
  <c r="G187" i="43"/>
  <c r="F187" i="43"/>
  <c r="E187" i="43"/>
  <c r="D187" i="43"/>
  <c r="I174" i="43"/>
  <c r="H174" i="43"/>
  <c r="G174" i="43"/>
  <c r="F174" i="43"/>
  <c r="E174" i="43"/>
  <c r="D174" i="43"/>
  <c r="I168" i="43"/>
  <c r="H168" i="43"/>
  <c r="G168" i="43"/>
  <c r="F168" i="43"/>
  <c r="E168" i="43"/>
  <c r="D168" i="43"/>
  <c r="I161" i="43"/>
  <c r="H161" i="43"/>
  <c r="G161" i="43"/>
  <c r="F161" i="43"/>
  <c r="E161" i="43"/>
  <c r="D161" i="43"/>
  <c r="I150" i="43"/>
  <c r="H150" i="43"/>
  <c r="G150" i="43"/>
  <c r="F150" i="43"/>
  <c r="E150" i="43"/>
  <c r="D150" i="43"/>
  <c r="I144" i="43"/>
  <c r="H144" i="43"/>
  <c r="G144" i="43"/>
  <c r="F144" i="43"/>
  <c r="E144" i="43"/>
  <c r="D144" i="43"/>
  <c r="I137" i="43"/>
  <c r="H137" i="43"/>
  <c r="G137" i="43"/>
  <c r="F137" i="43"/>
  <c r="E137" i="43"/>
  <c r="D137" i="43"/>
  <c r="I126" i="43"/>
  <c r="H126" i="43"/>
  <c r="G126" i="43"/>
  <c r="F126" i="43"/>
  <c r="E126" i="43"/>
  <c r="D126" i="43"/>
  <c r="I120" i="43"/>
  <c r="H120" i="43"/>
  <c r="G120" i="43"/>
  <c r="F120" i="43"/>
  <c r="E120" i="43"/>
  <c r="D120" i="43"/>
  <c r="I113" i="43"/>
  <c r="H113" i="43"/>
  <c r="G113" i="43"/>
  <c r="F113" i="43"/>
  <c r="E113" i="43"/>
  <c r="D113" i="43"/>
  <c r="I102" i="43"/>
  <c r="H102" i="43"/>
  <c r="G102" i="43"/>
  <c r="F102" i="43"/>
  <c r="E102" i="43"/>
  <c r="D102" i="43"/>
  <c r="I96" i="43"/>
  <c r="H96" i="43"/>
  <c r="G96" i="43"/>
  <c r="F96" i="43"/>
  <c r="E96" i="43"/>
  <c r="D96" i="43"/>
  <c r="I89" i="43"/>
  <c r="H89" i="43"/>
  <c r="G89" i="43"/>
  <c r="F89" i="43"/>
  <c r="E89" i="43"/>
  <c r="D89" i="43"/>
  <c r="I64" i="43"/>
  <c r="J63" i="43" s="1"/>
  <c r="H64" i="43"/>
  <c r="I63" i="43" s="1"/>
  <c r="G64" i="43"/>
  <c r="H63" i="43" s="1"/>
  <c r="F64" i="43"/>
  <c r="G63" i="43" s="1"/>
  <c r="E64" i="43"/>
  <c r="F63" i="43" s="1"/>
  <c r="D64" i="43"/>
  <c r="E63" i="43" s="1"/>
  <c r="D63" i="43"/>
  <c r="F57" i="43"/>
  <c r="E57" i="43"/>
  <c r="D57" i="43"/>
  <c r="F56" i="43"/>
  <c r="E56" i="43"/>
  <c r="D56" i="43"/>
  <c r="F55" i="43"/>
  <c r="E55" i="43"/>
  <c r="D55" i="43"/>
  <c r="F54" i="43"/>
  <c r="E54" i="43"/>
  <c r="D54" i="43"/>
  <c r="G50" i="43"/>
  <c r="G57" i="43" s="1"/>
  <c r="G49" i="43"/>
  <c r="G56" i="43" s="1"/>
  <c r="G48" i="43"/>
  <c r="H48" i="43" s="1"/>
  <c r="G47" i="43"/>
  <c r="E25" i="43"/>
  <c r="D25" i="43"/>
  <c r="I24" i="43"/>
  <c r="H24" i="43"/>
  <c r="G24" i="43"/>
  <c r="F24" i="43"/>
  <c r="E24" i="43"/>
  <c r="D24" i="43"/>
  <c r="I23" i="43"/>
  <c r="H23" i="43"/>
  <c r="G23" i="43"/>
  <c r="F23" i="43"/>
  <c r="E23" i="43"/>
  <c r="D23" i="43"/>
  <c r="I22" i="43"/>
  <c r="H22" i="43"/>
  <c r="G22" i="43"/>
  <c r="F22" i="43"/>
  <c r="E22" i="43"/>
  <c r="D22" i="43"/>
  <c r="I21" i="43"/>
  <c r="H21" i="43"/>
  <c r="G21" i="43"/>
  <c r="F21" i="43"/>
  <c r="E21" i="43"/>
  <c r="D21" i="43"/>
  <c r="I20" i="43"/>
  <c r="H20" i="43"/>
  <c r="D20" i="43"/>
  <c r="G19" i="43"/>
  <c r="F19" i="43"/>
  <c r="E19" i="43"/>
  <c r="D19" i="43"/>
  <c r="I18" i="43"/>
  <c r="H18" i="43"/>
  <c r="G18" i="43"/>
  <c r="F18" i="43"/>
  <c r="E18" i="43"/>
  <c r="D18" i="43"/>
  <c r="E17" i="43"/>
  <c r="D17" i="43"/>
  <c r="F16" i="43"/>
  <c r="E16" i="43"/>
  <c r="F15" i="43"/>
  <c r="E15" i="43"/>
  <c r="G14" i="43"/>
  <c r="F14" i="43"/>
  <c r="E14" i="43"/>
  <c r="I13" i="43"/>
  <c r="H13" i="43"/>
  <c r="G13" i="43"/>
  <c r="F13" i="43"/>
  <c r="E13" i="43"/>
  <c r="D13" i="43"/>
  <c r="I12" i="43"/>
  <c r="H12" i="43"/>
  <c r="G12" i="43"/>
  <c r="F12" i="43"/>
  <c r="E12" i="43"/>
  <c r="D12" i="43"/>
  <c r="I10" i="43"/>
  <c r="I9" i="43"/>
  <c r="I8" i="43"/>
  <c r="H8" i="43"/>
  <c r="G8" i="43"/>
  <c r="F8" i="43"/>
  <c r="E8" i="43"/>
  <c r="D8" i="43"/>
  <c r="I7" i="43"/>
  <c r="H7" i="43"/>
  <c r="G7" i="43"/>
  <c r="F7" i="43"/>
  <c r="E7" i="43"/>
  <c r="D7" i="43"/>
  <c r="I6" i="43"/>
  <c r="H6" i="43"/>
  <c r="G6" i="43"/>
  <c r="F6" i="43"/>
  <c r="E6" i="43"/>
  <c r="D6" i="43"/>
  <c r="E4" i="43"/>
  <c r="E79" i="43" s="1"/>
  <c r="D27" i="28" l="1"/>
  <c r="M98" i="4"/>
  <c r="L100" i="4"/>
  <c r="F14" i="36"/>
  <c r="I1357" i="40"/>
  <c r="I1456" i="40"/>
  <c r="J1360" i="40" s="1"/>
  <c r="J1456" i="40" s="1"/>
  <c r="I1363" i="40"/>
  <c r="H12" i="46"/>
  <c r="H12" i="26" s="1"/>
  <c r="H122" i="10"/>
  <c r="I57" i="4"/>
  <c r="K88" i="33"/>
  <c r="K91" i="33" s="1"/>
  <c r="L88" i="33" s="1"/>
  <c r="L91" i="33" s="1"/>
  <c r="J92" i="33"/>
  <c r="J93" i="33" s="1"/>
  <c r="I54" i="33"/>
  <c r="I102" i="33"/>
  <c r="G9" i="27" s="1"/>
  <c r="J100" i="33"/>
  <c r="J101" i="33" s="1"/>
  <c r="I64" i="33"/>
  <c r="I110" i="33"/>
  <c r="G11" i="27" s="1"/>
  <c r="J108" i="33"/>
  <c r="J109" i="33" s="1"/>
  <c r="G72" i="18"/>
  <c r="I99" i="4"/>
  <c r="I105" i="4" s="1"/>
  <c r="J97" i="4"/>
  <c r="G22" i="27"/>
  <c r="J94" i="1"/>
  <c r="J308" i="43"/>
  <c r="J351" i="43"/>
  <c r="H169" i="48"/>
  <c r="H357" i="48" s="1"/>
  <c r="I137" i="1"/>
  <c r="I139" i="1" s="1"/>
  <c r="J137" i="1" s="1"/>
  <c r="H28" i="26"/>
  <c r="H38" i="48" s="1"/>
  <c r="I60" i="4"/>
  <c r="I149" i="1"/>
  <c r="I29" i="45"/>
  <c r="J75" i="43"/>
  <c r="J77" i="43" s="1"/>
  <c r="I339" i="43"/>
  <c r="J313" i="43"/>
  <c r="I104" i="1"/>
  <c r="J104" i="1" s="1"/>
  <c r="I4" i="4"/>
  <c r="G53" i="27"/>
  <c r="G43" i="27"/>
  <c r="I85" i="1"/>
  <c r="I86" i="1"/>
  <c r="J86" i="1" s="1"/>
  <c r="K86" i="1" s="1"/>
  <c r="I98" i="1"/>
  <c r="J98" i="1" s="1"/>
  <c r="K98" i="1" s="1"/>
  <c r="L98" i="1" s="1"/>
  <c r="I24" i="33"/>
  <c r="I1450" i="40"/>
  <c r="J1354" i="40" s="1"/>
  <c r="J1450" i="40" s="1"/>
  <c r="I99" i="1"/>
  <c r="J99" i="1" s="1"/>
  <c r="K99" i="1" s="1"/>
  <c r="J30" i="33"/>
  <c r="K27" i="33" s="1"/>
  <c r="I33" i="33"/>
  <c r="J901" i="40"/>
  <c r="J904" i="40" s="1"/>
  <c r="J889" i="40"/>
  <c r="I907" i="40"/>
  <c r="J891" i="40"/>
  <c r="I1448" i="40"/>
  <c r="J1352" i="40" s="1"/>
  <c r="J1448" i="40" s="1"/>
  <c r="J884" i="40"/>
  <c r="J897" i="40"/>
  <c r="J899" i="40" s="1"/>
  <c r="I1058" i="40"/>
  <c r="J1041" i="40"/>
  <c r="I1445" i="40"/>
  <c r="J1349" i="40" s="1"/>
  <c r="J1445" i="40" s="1"/>
  <c r="J1034" i="40"/>
  <c r="J1048" i="40"/>
  <c r="J1050" i="40" s="1"/>
  <c r="J1037" i="40"/>
  <c r="I1455" i="40"/>
  <c r="J1359" i="40" s="1"/>
  <c r="J1455" i="40" s="1"/>
  <c r="J1239" i="40"/>
  <c r="J1234" i="40"/>
  <c r="J1330" i="40" s="1"/>
  <c r="J1235" i="40"/>
  <c r="J1331" i="40" s="1"/>
  <c r="J1232" i="40"/>
  <c r="J1328" i="40" s="1"/>
  <c r="J1228" i="40"/>
  <c r="J1324" i="40" s="1"/>
  <c r="J1225" i="40"/>
  <c r="J1321" i="40" s="1"/>
  <c r="J1226" i="40"/>
  <c r="J1322" i="40" s="1"/>
  <c r="J1227" i="40"/>
  <c r="J1323" i="40" s="1"/>
  <c r="J361" i="40"/>
  <c r="J254" i="40"/>
  <c r="G46" i="36"/>
  <c r="H31" i="48"/>
  <c r="C20" i="27"/>
  <c r="D31" i="27"/>
  <c r="F181" i="48" s="1"/>
  <c r="G49" i="26"/>
  <c r="C31" i="27"/>
  <c r="E181" i="48" s="1"/>
  <c r="D20" i="27"/>
  <c r="E31" i="27"/>
  <c r="G181" i="48" s="1"/>
  <c r="G180" i="48" s="1"/>
  <c r="F46" i="27"/>
  <c r="H134" i="48" s="1"/>
  <c r="F62" i="27"/>
  <c r="F33" i="36"/>
  <c r="F58" i="36" s="1"/>
  <c r="I143" i="1" s="1"/>
  <c r="F31" i="36"/>
  <c r="H30" i="31"/>
  <c r="I30" i="31"/>
  <c r="C30" i="31"/>
  <c r="J30" i="31"/>
  <c r="K30" i="31"/>
  <c r="D30" i="31"/>
  <c r="E30" i="31"/>
  <c r="F30" i="31"/>
  <c r="G30" i="31"/>
  <c r="H166" i="48"/>
  <c r="H358" i="48" s="1"/>
  <c r="F58" i="27"/>
  <c r="D8" i="57"/>
  <c r="G34" i="26"/>
  <c r="G52" i="48" s="1"/>
  <c r="H34" i="26"/>
  <c r="H52" i="48" s="1"/>
  <c r="E13" i="57"/>
  <c r="I978" i="40"/>
  <c r="J918" i="40" s="1"/>
  <c r="J978" i="40" s="1"/>
  <c r="G352" i="43"/>
  <c r="G79" i="40" s="1"/>
  <c r="G103" i="40" s="1"/>
  <c r="D60" i="18"/>
  <c r="D61" i="18"/>
  <c r="D62" i="18"/>
  <c r="D63" i="18"/>
  <c r="D64" i="18"/>
  <c r="D67" i="18"/>
  <c r="I49" i="27"/>
  <c r="I122" i="48"/>
  <c r="L40" i="10"/>
  <c r="M40" i="10" s="1"/>
  <c r="N40" i="10" s="1"/>
  <c r="L102" i="10"/>
  <c r="M102" i="10" s="1"/>
  <c r="N102" i="10" s="1"/>
  <c r="O102" i="10" s="1"/>
  <c r="P102" i="10" s="1"/>
  <c r="Q102" i="10" s="1"/>
  <c r="R102" i="10" s="1"/>
  <c r="S102" i="10" s="1"/>
  <c r="K66" i="10"/>
  <c r="L13" i="10"/>
  <c r="K64" i="4"/>
  <c r="L64" i="4" s="1"/>
  <c r="M64" i="4" s="1"/>
  <c r="N64" i="4" s="1"/>
  <c r="O64" i="4" s="1"/>
  <c r="P64" i="4" s="1"/>
  <c r="Q64" i="4" s="1"/>
  <c r="R64" i="4" s="1"/>
  <c r="S64" i="4" s="1"/>
  <c r="K135" i="4"/>
  <c r="L135" i="4" s="1"/>
  <c r="M135" i="4" s="1"/>
  <c r="O135" i="4" s="1"/>
  <c r="P135" i="4" s="1"/>
  <c r="Q135" i="4" s="1"/>
  <c r="R135" i="4" s="1"/>
  <c r="S135" i="4" s="1"/>
  <c r="K144" i="4"/>
  <c r="L144" i="4" s="1"/>
  <c r="K65" i="4"/>
  <c r="L65" i="4" s="1"/>
  <c r="M65" i="4" s="1"/>
  <c r="N65" i="4" s="1"/>
  <c r="O65" i="4" s="1"/>
  <c r="P65" i="4" s="1"/>
  <c r="Q65" i="4" s="1"/>
  <c r="R65" i="4" s="1"/>
  <c r="S65" i="4" s="1"/>
  <c r="K136" i="4"/>
  <c r="L136" i="4" s="1"/>
  <c r="M136" i="4" s="1"/>
  <c r="N136" i="4" s="1"/>
  <c r="O136" i="4" s="1"/>
  <c r="P136" i="4" s="1"/>
  <c r="Q136" i="4" s="1"/>
  <c r="R136" i="4" s="1"/>
  <c r="S136" i="4" s="1"/>
  <c r="K159" i="4"/>
  <c r="L159" i="4" s="1"/>
  <c r="M159" i="4" s="1"/>
  <c r="N159" i="4" s="1"/>
  <c r="O159" i="4" s="1"/>
  <c r="P159" i="4" s="1"/>
  <c r="Q159" i="4" s="1"/>
  <c r="R159" i="4" s="1"/>
  <c r="S159" i="4" s="1"/>
  <c r="K57" i="4"/>
  <c r="L57" i="4" s="1"/>
  <c r="M57" i="4" s="1"/>
  <c r="N57" i="4" s="1"/>
  <c r="O57" i="4" s="1"/>
  <c r="P57" i="4" s="1"/>
  <c r="Q57" i="4" s="1"/>
  <c r="R57" i="4" s="1"/>
  <c r="S57" i="4" s="1"/>
  <c r="K66" i="4"/>
  <c r="L66" i="4" s="1"/>
  <c r="M66" i="4" s="1"/>
  <c r="N66" i="4" s="1"/>
  <c r="O66" i="4" s="1"/>
  <c r="P66" i="4" s="1"/>
  <c r="Q66" i="4" s="1"/>
  <c r="R66" i="4" s="1"/>
  <c r="S66" i="4" s="1"/>
  <c r="J51" i="45"/>
  <c r="K152" i="4"/>
  <c r="L152" i="4" s="1"/>
  <c r="M152" i="4" s="1"/>
  <c r="N152" i="4" s="1"/>
  <c r="O152" i="4" s="1"/>
  <c r="P152" i="4" s="1"/>
  <c r="Q152" i="4" s="1"/>
  <c r="R152" i="4" s="1"/>
  <c r="S152" i="4" s="1"/>
  <c r="J122" i="10"/>
  <c r="K59" i="4"/>
  <c r="L59" i="4" s="1"/>
  <c r="M59" i="4" s="1"/>
  <c r="N59" i="4" s="1"/>
  <c r="O59" i="4" s="1"/>
  <c r="P59" i="4" s="1"/>
  <c r="Q59" i="4" s="1"/>
  <c r="R59" i="4" s="1"/>
  <c r="S59" i="4" s="1"/>
  <c r="K124" i="4"/>
  <c r="K134" i="4"/>
  <c r="L134" i="4" s="1"/>
  <c r="M134" i="4" s="1"/>
  <c r="N134" i="4" s="1"/>
  <c r="O134" i="4" s="1"/>
  <c r="P134" i="4" s="1"/>
  <c r="Q134" i="4" s="1"/>
  <c r="R134" i="4" s="1"/>
  <c r="S134" i="4" s="1"/>
  <c r="K154" i="4"/>
  <c r="L154" i="4" s="1"/>
  <c r="M154" i="4" s="1"/>
  <c r="N154" i="4" s="1"/>
  <c r="O154" i="4" s="1"/>
  <c r="P154" i="4" s="1"/>
  <c r="Q154" i="4" s="1"/>
  <c r="R154" i="4" s="1"/>
  <c r="S154" i="4" s="1"/>
  <c r="K60" i="4"/>
  <c r="L60" i="4" s="1"/>
  <c r="M60" i="4" s="1"/>
  <c r="N60" i="4" s="1"/>
  <c r="O60" i="4" s="1"/>
  <c r="P60" i="4" s="1"/>
  <c r="Q60" i="4" s="1"/>
  <c r="R60" i="4" s="1"/>
  <c r="S60" i="4" s="1"/>
  <c r="K61" i="4"/>
  <c r="L61" i="4" s="1"/>
  <c r="M61" i="4" s="1"/>
  <c r="N61" i="4" s="1"/>
  <c r="O61" i="4" s="1"/>
  <c r="P61" i="4" s="1"/>
  <c r="Q61" i="4" s="1"/>
  <c r="R61" i="4" s="1"/>
  <c r="S61" i="4" s="1"/>
  <c r="K138" i="4"/>
  <c r="L138" i="4" s="1"/>
  <c r="M138" i="4" s="1"/>
  <c r="N138" i="4" s="1"/>
  <c r="O138" i="4" s="1"/>
  <c r="P138" i="4" s="1"/>
  <c r="Q138" i="4" s="1"/>
  <c r="R138" i="4" s="1"/>
  <c r="S138" i="4" s="1"/>
  <c r="K140" i="4"/>
  <c r="L140" i="4" s="1"/>
  <c r="M140" i="4" s="1"/>
  <c r="N140" i="4" s="1"/>
  <c r="O140" i="4" s="1"/>
  <c r="P140" i="4" s="1"/>
  <c r="Q140" i="4" s="1"/>
  <c r="R140" i="4" s="1"/>
  <c r="S140" i="4" s="1"/>
  <c r="K156" i="4"/>
  <c r="L156" i="4" s="1"/>
  <c r="M156" i="4" s="1"/>
  <c r="N156" i="4" s="1"/>
  <c r="O156" i="4" s="1"/>
  <c r="P156" i="4" s="1"/>
  <c r="Q156" i="4" s="1"/>
  <c r="R156" i="4" s="1"/>
  <c r="S156" i="4" s="1"/>
  <c r="K63" i="4"/>
  <c r="L63" i="4" s="1"/>
  <c r="M63" i="4" s="1"/>
  <c r="N63" i="4" s="1"/>
  <c r="O63" i="4" s="1"/>
  <c r="P63" i="4" s="1"/>
  <c r="Q63" i="4" s="1"/>
  <c r="R63" i="4" s="1"/>
  <c r="S63" i="4" s="1"/>
  <c r="K143" i="4"/>
  <c r="L143" i="4" s="1"/>
  <c r="M143" i="4" s="1"/>
  <c r="N143" i="4" s="1"/>
  <c r="O143" i="4" s="1"/>
  <c r="P143" i="4" s="1"/>
  <c r="Q143" i="4" s="1"/>
  <c r="R143" i="4" s="1"/>
  <c r="S143" i="4" s="1"/>
  <c r="K157" i="4"/>
  <c r="L157" i="4" s="1"/>
  <c r="M157" i="4" s="1"/>
  <c r="N157" i="4" s="1"/>
  <c r="O157" i="4" s="1"/>
  <c r="P157" i="4" s="1"/>
  <c r="Q157" i="4" s="1"/>
  <c r="R157" i="4" s="1"/>
  <c r="S157" i="4" s="1"/>
  <c r="C188" i="4"/>
  <c r="D179" i="4"/>
  <c r="D188" i="4" s="1"/>
  <c r="D189" i="4" s="1"/>
  <c r="B99" i="35"/>
  <c r="I98" i="35"/>
  <c r="E98" i="35" s="1"/>
  <c r="L98" i="35"/>
  <c r="C98" i="35"/>
  <c r="G11" i="35"/>
  <c r="F51" i="48"/>
  <c r="D51" i="28"/>
  <c r="C164" i="31"/>
  <c r="K51" i="28"/>
  <c r="J164" i="31"/>
  <c r="F51" i="28"/>
  <c r="E164" i="31"/>
  <c r="G51" i="28"/>
  <c r="F164" i="31"/>
  <c r="L51" i="28"/>
  <c r="K164" i="31"/>
  <c r="H51" i="28"/>
  <c r="G164" i="31"/>
  <c r="E51" i="28"/>
  <c r="D164" i="31"/>
  <c r="I51" i="28"/>
  <c r="H164" i="31"/>
  <c r="J51" i="28"/>
  <c r="I164" i="31"/>
  <c r="AV15" i="35"/>
  <c r="AV16" i="35" s="1"/>
  <c r="AV17" i="35" s="1"/>
  <c r="AV18" i="35" s="1"/>
  <c r="AV19" i="35" s="1"/>
  <c r="AV20" i="35" s="1"/>
  <c r="AV21" i="35" s="1"/>
  <c r="AV22" i="35" s="1"/>
  <c r="AV23" i="35" s="1"/>
  <c r="AV24" i="35" s="1"/>
  <c r="AV25" i="35" s="1"/>
  <c r="AV26" i="35" s="1"/>
  <c r="AV27" i="35" s="1"/>
  <c r="AV28" i="35" s="1"/>
  <c r="AV29" i="35" s="1"/>
  <c r="AV30" i="35" s="1"/>
  <c r="AV31" i="35" s="1"/>
  <c r="AV32" i="35" s="1"/>
  <c r="AV33" i="35" s="1"/>
  <c r="AV34" i="35" s="1"/>
  <c r="AV35" i="35" s="1"/>
  <c r="AV36" i="35" s="1"/>
  <c r="AV37" i="35" s="1"/>
  <c r="AV38" i="35" s="1"/>
  <c r="AV39" i="35" s="1"/>
  <c r="AV40" i="35" s="1"/>
  <c r="AV41" i="35" s="1"/>
  <c r="AV42" i="35" s="1"/>
  <c r="AV43" i="35" s="1"/>
  <c r="AV44" i="35" s="1"/>
  <c r="AV45" i="35" s="1"/>
  <c r="AV46" i="35" s="1"/>
  <c r="AV47" i="35" s="1"/>
  <c r="AV48" i="35" s="1"/>
  <c r="AV49" i="35" s="1"/>
  <c r="AV50" i="35" s="1"/>
  <c r="AV51" i="35" s="1"/>
  <c r="AV52" i="35" s="1"/>
  <c r="AV53" i="35" s="1"/>
  <c r="AV54" i="35" s="1"/>
  <c r="AV55" i="35" s="1"/>
  <c r="AV56" i="35" s="1"/>
  <c r="AV57" i="35" s="1"/>
  <c r="AV58" i="35" s="1"/>
  <c r="AV59" i="35" s="1"/>
  <c r="AV60" i="35" s="1"/>
  <c r="AV61" i="35" s="1"/>
  <c r="AV62" i="35" s="1"/>
  <c r="AV63" i="35" s="1"/>
  <c r="AV64" i="35" s="1"/>
  <c r="AV65" i="35" s="1"/>
  <c r="AV66" i="35" s="1"/>
  <c r="AV67" i="35" s="1"/>
  <c r="AV68" i="35" s="1"/>
  <c r="AV69" i="35" s="1"/>
  <c r="AV70" i="35" s="1"/>
  <c r="AV71" i="35" s="1"/>
  <c r="AV72" i="35" s="1"/>
  <c r="AV73" i="35" s="1"/>
  <c r="AV74" i="35" s="1"/>
  <c r="AV75" i="35" s="1"/>
  <c r="AV76" i="35" s="1"/>
  <c r="AV77" i="35" s="1"/>
  <c r="AV78" i="35" s="1"/>
  <c r="AV79" i="35" s="1"/>
  <c r="AV80" i="35" s="1"/>
  <c r="AV81" i="35" s="1"/>
  <c r="AV82" i="35" s="1"/>
  <c r="AV83" i="35" s="1"/>
  <c r="AV84" i="35" s="1"/>
  <c r="AV85" i="35" s="1"/>
  <c r="AV86" i="35" s="1"/>
  <c r="AV87" i="35" s="1"/>
  <c r="AV88" i="35" s="1"/>
  <c r="AV89" i="35" s="1"/>
  <c r="AV90" i="35" s="1"/>
  <c r="AV91" i="35" s="1"/>
  <c r="AV92" i="35" s="1"/>
  <c r="AV93" i="35" s="1"/>
  <c r="AV94" i="35" s="1"/>
  <c r="AV95" i="35" s="1"/>
  <c r="AV96" i="35" s="1"/>
  <c r="AV97" i="35" s="1"/>
  <c r="AV98" i="35" s="1"/>
  <c r="AV99" i="35" s="1"/>
  <c r="AV100" i="35" s="1"/>
  <c r="AV101" i="35" s="1"/>
  <c r="AV102" i="35" s="1"/>
  <c r="AV103" i="35" s="1"/>
  <c r="AV104" i="35" s="1"/>
  <c r="AV105" i="35" s="1"/>
  <c r="AV106" i="35" s="1"/>
  <c r="AV107" i="35" s="1"/>
  <c r="AV108" i="35" s="1"/>
  <c r="AV109" i="35" s="1"/>
  <c r="AV110" i="35" s="1"/>
  <c r="AV111" i="35" s="1"/>
  <c r="AV112" i="35" s="1"/>
  <c r="AV113" i="35" s="1"/>
  <c r="AV114" i="35" s="1"/>
  <c r="AV115" i="35" s="1"/>
  <c r="AV116" i="35" s="1"/>
  <c r="AV117" i="35" s="1"/>
  <c r="AV118" i="35" s="1"/>
  <c r="AV119" i="35" s="1"/>
  <c r="AV120" i="35" s="1"/>
  <c r="AV121" i="35" s="1"/>
  <c r="AV122" i="35" s="1"/>
  <c r="AV123" i="35" s="1"/>
  <c r="AV124" i="35" s="1"/>
  <c r="AV125" i="35" s="1"/>
  <c r="AV126" i="35" s="1"/>
  <c r="AV127" i="35" s="1"/>
  <c r="AV128" i="35" s="1"/>
  <c r="AV129" i="35" s="1"/>
  <c r="AV130" i="35" s="1"/>
  <c r="AV131" i="35" s="1"/>
  <c r="AV132" i="35" s="1"/>
  <c r="AV133" i="35" s="1"/>
  <c r="AV134" i="35" s="1"/>
  <c r="AV135" i="35" s="1"/>
  <c r="AV136" i="35" s="1"/>
  <c r="R15" i="35"/>
  <c r="R16" i="35" s="1"/>
  <c r="R17" i="35" s="1"/>
  <c r="R18" i="35" s="1"/>
  <c r="R19" i="35" s="1"/>
  <c r="R20" i="35" s="1"/>
  <c r="R21" i="35" s="1"/>
  <c r="R22" i="35" s="1"/>
  <c r="R23" i="35" s="1"/>
  <c r="R24" i="35" s="1"/>
  <c r="R25" i="35" s="1"/>
  <c r="R26" i="35" s="1"/>
  <c r="R27" i="35" s="1"/>
  <c r="R28" i="35" s="1"/>
  <c r="R29" i="35" s="1"/>
  <c r="R30" i="35" s="1"/>
  <c r="R31" i="35" s="1"/>
  <c r="R32" i="35" s="1"/>
  <c r="R33" i="35" s="1"/>
  <c r="R34" i="35" s="1"/>
  <c r="R35" i="35" s="1"/>
  <c r="R36" i="35" s="1"/>
  <c r="R37" i="35" s="1"/>
  <c r="R38" i="35" s="1"/>
  <c r="R39" i="35" s="1"/>
  <c r="R40" i="35" s="1"/>
  <c r="R41" i="35" s="1"/>
  <c r="R42" i="35" s="1"/>
  <c r="R43" i="35" s="1"/>
  <c r="R44" i="35" s="1"/>
  <c r="R45" i="35" s="1"/>
  <c r="R46" i="35" s="1"/>
  <c r="R47" i="35" s="1"/>
  <c r="R48" i="35" s="1"/>
  <c r="R49" i="35" s="1"/>
  <c r="R50" i="35" s="1"/>
  <c r="R51" i="35" s="1"/>
  <c r="R52" i="35" s="1"/>
  <c r="R53" i="35" s="1"/>
  <c r="R54" i="35" s="1"/>
  <c r="R55" i="35" s="1"/>
  <c r="R56" i="35" s="1"/>
  <c r="R57" i="35" s="1"/>
  <c r="R58" i="35" s="1"/>
  <c r="R59" i="35" s="1"/>
  <c r="R60" i="35" s="1"/>
  <c r="R61" i="35" s="1"/>
  <c r="R62" i="35" s="1"/>
  <c r="R63" i="35" s="1"/>
  <c r="R64" i="35" s="1"/>
  <c r="R65" i="35" s="1"/>
  <c r="R66" i="35" s="1"/>
  <c r="R67" i="35" s="1"/>
  <c r="R68" i="35" s="1"/>
  <c r="R69" i="35" s="1"/>
  <c r="R70" i="35" s="1"/>
  <c r="R71" i="35" s="1"/>
  <c r="R72" i="35" s="1"/>
  <c r="R73" i="35" s="1"/>
  <c r="R74" i="35" s="1"/>
  <c r="R75" i="35" s="1"/>
  <c r="R76" i="35" s="1"/>
  <c r="R77" i="35" s="1"/>
  <c r="R78" i="35" s="1"/>
  <c r="R79" i="35" s="1"/>
  <c r="R80" i="35" s="1"/>
  <c r="R81" i="35" s="1"/>
  <c r="R82" i="35" s="1"/>
  <c r="R83" i="35" s="1"/>
  <c r="R84" i="35" s="1"/>
  <c r="R85" i="35" s="1"/>
  <c r="R86" i="35" s="1"/>
  <c r="R87" i="35" s="1"/>
  <c r="R88" i="35" s="1"/>
  <c r="R89" i="35" s="1"/>
  <c r="R90" i="35" s="1"/>
  <c r="R91" i="35" s="1"/>
  <c r="R92" i="35" s="1"/>
  <c r="R93" i="35" s="1"/>
  <c r="R94" i="35" s="1"/>
  <c r="R95" i="35" s="1"/>
  <c r="R96" i="35" s="1"/>
  <c r="R97" i="35" s="1"/>
  <c r="R98" i="35" s="1"/>
  <c r="R99" i="35" s="1"/>
  <c r="R100" i="35" s="1"/>
  <c r="R101" i="35" s="1"/>
  <c r="R102" i="35" s="1"/>
  <c r="R103" i="35" s="1"/>
  <c r="R104" i="35" s="1"/>
  <c r="R105" i="35" s="1"/>
  <c r="R106" i="35" s="1"/>
  <c r="R107" i="35" s="1"/>
  <c r="R108" i="35" s="1"/>
  <c r="R109" i="35" s="1"/>
  <c r="R110" i="35" s="1"/>
  <c r="R111" i="35" s="1"/>
  <c r="R112" i="35" s="1"/>
  <c r="R113" i="35" s="1"/>
  <c r="R114" i="35" s="1"/>
  <c r="R115" i="35" s="1"/>
  <c r="R116" i="35" s="1"/>
  <c r="R117" i="35" s="1"/>
  <c r="R118" i="35" s="1"/>
  <c r="R119" i="35" s="1"/>
  <c r="R120" i="35" s="1"/>
  <c r="R121" i="35" s="1"/>
  <c r="R122" i="35" s="1"/>
  <c r="R123" i="35" s="1"/>
  <c r="R124" i="35" s="1"/>
  <c r="R125" i="35" s="1"/>
  <c r="R126" i="35" s="1"/>
  <c r="R127" i="35" s="1"/>
  <c r="R128" i="35" s="1"/>
  <c r="R129" i="35" s="1"/>
  <c r="R130" i="35" s="1"/>
  <c r="R131" i="35" s="1"/>
  <c r="R132" i="35" s="1"/>
  <c r="R133" i="35" s="1"/>
  <c r="R134" i="35" s="1"/>
  <c r="R135" i="35" s="1"/>
  <c r="R136" i="35" s="1"/>
  <c r="Q11" i="35"/>
  <c r="AB15" i="35"/>
  <c r="AB16" i="35" s="1"/>
  <c r="AB17" i="35" s="1"/>
  <c r="AB18" i="35" s="1"/>
  <c r="AB19" i="35" s="1"/>
  <c r="AB20" i="35" s="1"/>
  <c r="AB21" i="35" s="1"/>
  <c r="AB22" i="35" s="1"/>
  <c r="AB23" i="35" s="1"/>
  <c r="AB24" i="35" s="1"/>
  <c r="AB25" i="35" s="1"/>
  <c r="AB26" i="35" s="1"/>
  <c r="AB27" i="35" s="1"/>
  <c r="AB28" i="35" s="1"/>
  <c r="AB29" i="35" s="1"/>
  <c r="AB30" i="35" s="1"/>
  <c r="AB31" i="35" s="1"/>
  <c r="AB32" i="35" s="1"/>
  <c r="AB33" i="35" s="1"/>
  <c r="AB34" i="35" s="1"/>
  <c r="AB35" i="35" s="1"/>
  <c r="AB36" i="35" s="1"/>
  <c r="AB37" i="35" s="1"/>
  <c r="AB38" i="35" s="1"/>
  <c r="AB39" i="35" s="1"/>
  <c r="AB40" i="35" s="1"/>
  <c r="AB41" i="35" s="1"/>
  <c r="AB42" i="35" s="1"/>
  <c r="AB43" i="35" s="1"/>
  <c r="AB44" i="35" s="1"/>
  <c r="AB45" i="35" s="1"/>
  <c r="AB46" i="35" s="1"/>
  <c r="AB47" i="35" s="1"/>
  <c r="AB48" i="35" s="1"/>
  <c r="AB49" i="35" s="1"/>
  <c r="AB50" i="35" s="1"/>
  <c r="AB51" i="35" s="1"/>
  <c r="AB52" i="35" s="1"/>
  <c r="AB53" i="35" s="1"/>
  <c r="AB54" i="35" s="1"/>
  <c r="AB55" i="35" s="1"/>
  <c r="AB56" i="35" s="1"/>
  <c r="AB57" i="35" s="1"/>
  <c r="AB58" i="35" s="1"/>
  <c r="AB59" i="35" s="1"/>
  <c r="AB60" i="35" s="1"/>
  <c r="AB61" i="35" s="1"/>
  <c r="AB62" i="35" s="1"/>
  <c r="AB63" i="35" s="1"/>
  <c r="AB64" i="35" s="1"/>
  <c r="AB65" i="35" s="1"/>
  <c r="AB66" i="35" s="1"/>
  <c r="AB67" i="35" s="1"/>
  <c r="AB68" i="35" s="1"/>
  <c r="AB69" i="35" s="1"/>
  <c r="AB70" i="35" s="1"/>
  <c r="AB71" i="35" s="1"/>
  <c r="AB72" i="35" s="1"/>
  <c r="AB73" i="35" s="1"/>
  <c r="AB74" i="35" s="1"/>
  <c r="AB75" i="35" s="1"/>
  <c r="AB76" i="35" s="1"/>
  <c r="AB77" i="35" s="1"/>
  <c r="AB78" i="35" s="1"/>
  <c r="AB79" i="35" s="1"/>
  <c r="AB80" i="35" s="1"/>
  <c r="AB81" i="35" s="1"/>
  <c r="AB82" i="35" s="1"/>
  <c r="AB83" i="35" s="1"/>
  <c r="AB84" i="35" s="1"/>
  <c r="AB85" i="35" s="1"/>
  <c r="AB86" i="35" s="1"/>
  <c r="AB87" i="35" s="1"/>
  <c r="AB88" i="35" s="1"/>
  <c r="AB89" i="35" s="1"/>
  <c r="AB90" i="35" s="1"/>
  <c r="AB91" i="35" s="1"/>
  <c r="AB92" i="35" s="1"/>
  <c r="AB93" i="35" s="1"/>
  <c r="AB94" i="35" s="1"/>
  <c r="AB95" i="35" s="1"/>
  <c r="AB96" i="35" s="1"/>
  <c r="AB97" i="35" s="1"/>
  <c r="AB98" i="35" s="1"/>
  <c r="AB99" i="35" s="1"/>
  <c r="AB100" i="35" s="1"/>
  <c r="AB101" i="35" s="1"/>
  <c r="AB102" i="35" s="1"/>
  <c r="AB103" i="35" s="1"/>
  <c r="AB104" i="35" s="1"/>
  <c r="AB105" i="35" s="1"/>
  <c r="AB106" i="35" s="1"/>
  <c r="AB107" i="35" s="1"/>
  <c r="AB108" i="35" s="1"/>
  <c r="AB109" i="35" s="1"/>
  <c r="AB110" i="35" s="1"/>
  <c r="AB111" i="35" s="1"/>
  <c r="AB112" i="35" s="1"/>
  <c r="AB113" i="35" s="1"/>
  <c r="AB114" i="35" s="1"/>
  <c r="AB115" i="35" s="1"/>
  <c r="AB116" i="35" s="1"/>
  <c r="AB117" i="35" s="1"/>
  <c r="AB118" i="35" s="1"/>
  <c r="AB119" i="35" s="1"/>
  <c r="AB120" i="35" s="1"/>
  <c r="AB121" i="35" s="1"/>
  <c r="AB122" i="35" s="1"/>
  <c r="AB123" i="35" s="1"/>
  <c r="AB124" i="35" s="1"/>
  <c r="AB125" i="35" s="1"/>
  <c r="AB126" i="35" s="1"/>
  <c r="AB127" i="35" s="1"/>
  <c r="AB128" i="35" s="1"/>
  <c r="AB129" i="35" s="1"/>
  <c r="AB130" i="35" s="1"/>
  <c r="AB131" i="35" s="1"/>
  <c r="AB132" i="35" s="1"/>
  <c r="AB133" i="35" s="1"/>
  <c r="AB134" i="35" s="1"/>
  <c r="AB135" i="35" s="1"/>
  <c r="AB136" i="35" s="1"/>
  <c r="G249" i="43"/>
  <c r="G201" i="43"/>
  <c r="D59" i="18"/>
  <c r="E36" i="48"/>
  <c r="E34" i="48" s="1"/>
  <c r="H29" i="48"/>
  <c r="I177" i="48"/>
  <c r="H148" i="1"/>
  <c r="H150" i="1" s="1"/>
  <c r="I148" i="1" s="1"/>
  <c r="G151" i="48"/>
  <c r="G1220" i="40"/>
  <c r="F56" i="10" s="1"/>
  <c r="G35" i="48"/>
  <c r="E51" i="48"/>
  <c r="I168" i="48"/>
  <c r="H142" i="1"/>
  <c r="H145" i="1" s="1"/>
  <c r="I142" i="1" s="1"/>
  <c r="G150" i="48"/>
  <c r="H169" i="1"/>
  <c r="H171" i="1" s="1"/>
  <c r="I169" i="1" s="1"/>
  <c r="I171" i="1" s="1"/>
  <c r="J169" i="1" s="1"/>
  <c r="G153" i="48"/>
  <c r="F36" i="48"/>
  <c r="F34" i="48" s="1"/>
  <c r="H189" i="48"/>
  <c r="H71" i="33"/>
  <c r="H191" i="48" s="1"/>
  <c r="F327" i="40"/>
  <c r="E23" i="10" s="1"/>
  <c r="G36" i="48"/>
  <c r="H35" i="48"/>
  <c r="H164" i="1"/>
  <c r="H166" i="1" s="1"/>
  <c r="I164" i="1" s="1"/>
  <c r="I166" i="1" s="1"/>
  <c r="J164" i="1" s="1"/>
  <c r="G152" i="48"/>
  <c r="H36" i="48"/>
  <c r="G170" i="40"/>
  <c r="F9" i="10" s="1"/>
  <c r="F70" i="4" s="1"/>
  <c r="I236" i="40"/>
  <c r="G51" i="48"/>
  <c r="H127" i="48"/>
  <c r="C64" i="27"/>
  <c r="E120" i="48"/>
  <c r="E119" i="48" s="1"/>
  <c r="E124" i="48" s="1"/>
  <c r="H194" i="48"/>
  <c r="H158" i="1"/>
  <c r="H161" i="1" s="1"/>
  <c r="I158" i="1" s="1"/>
  <c r="I161" i="1" s="1"/>
  <c r="J158" i="1" s="1"/>
  <c r="G147" i="48"/>
  <c r="I402" i="40"/>
  <c r="H25" i="10" s="1"/>
  <c r="H51" i="48"/>
  <c r="H135" i="48"/>
  <c r="D64" i="27"/>
  <c r="F120" i="48"/>
  <c r="F119" i="48" s="1"/>
  <c r="F124" i="48" s="1"/>
  <c r="F277" i="48"/>
  <c r="F357" i="48"/>
  <c r="G292" i="48"/>
  <c r="G302" i="48"/>
  <c r="G277" i="48"/>
  <c r="G357" i="48"/>
  <c r="I50" i="27"/>
  <c r="I137" i="48"/>
  <c r="H153" i="1"/>
  <c r="H155" i="1" s="1"/>
  <c r="I153" i="1" s="1"/>
  <c r="I155" i="1" s="1"/>
  <c r="J153" i="1" s="1"/>
  <c r="G144" i="48"/>
  <c r="I200" i="48"/>
  <c r="J173" i="48"/>
  <c r="I173" i="48"/>
  <c r="E327" i="40"/>
  <c r="I1315" i="40"/>
  <c r="H59" i="10" s="1"/>
  <c r="E353" i="43"/>
  <c r="E80" i="40" s="1"/>
  <c r="E104" i="40" s="1"/>
  <c r="E192" i="40"/>
  <c r="D68" i="18"/>
  <c r="G134" i="4"/>
  <c r="D70" i="18"/>
  <c r="I968" i="40"/>
  <c r="H100" i="10" s="1"/>
  <c r="F27" i="1"/>
  <c r="E914" i="40"/>
  <c r="G361" i="43"/>
  <c r="G88" i="40" s="1"/>
  <c r="G112" i="40" s="1"/>
  <c r="H30" i="46"/>
  <c r="H100" i="46" s="1"/>
  <c r="H143" i="4"/>
  <c r="D106" i="40"/>
  <c r="D112" i="40"/>
  <c r="D118" i="40"/>
  <c r="E803" i="40"/>
  <c r="D824" i="40"/>
  <c r="I973" i="40"/>
  <c r="J913" i="40" s="1"/>
  <c r="J973" i="40" s="1"/>
  <c r="F953" i="40"/>
  <c r="E99" i="10" s="1"/>
  <c r="E8" i="46" s="1"/>
  <c r="G1291" i="40"/>
  <c r="F58" i="10" s="1"/>
  <c r="E30" i="46"/>
  <c r="E100" i="46" s="1"/>
  <c r="E143" i="4"/>
  <c r="F134" i="4"/>
  <c r="E170" i="40"/>
  <c r="I214" i="40"/>
  <c r="H10" i="10" s="1"/>
  <c r="H72" i="4" s="1"/>
  <c r="G236" i="40"/>
  <c r="H998" i="40"/>
  <c r="H1059" i="40"/>
  <c r="F30" i="46"/>
  <c r="F100" i="46" s="1"/>
  <c r="F143" i="4"/>
  <c r="D103" i="40"/>
  <c r="D105" i="40"/>
  <c r="D111" i="40"/>
  <c r="H360" i="43"/>
  <c r="H87" i="40" s="1"/>
  <c r="H111" i="40" s="1"/>
  <c r="D113" i="40"/>
  <c r="D117" i="40"/>
  <c r="D119" i="40"/>
  <c r="I899" i="40"/>
  <c r="G1315" i="40"/>
  <c r="F59" i="10" s="1"/>
  <c r="H185" i="1"/>
  <c r="F24" i="18" s="1"/>
  <c r="G30" i="46"/>
  <c r="G100" i="46" s="1"/>
  <c r="G143" i="4"/>
  <c r="D69" i="18"/>
  <c r="D4" i="27"/>
  <c r="F49" i="26"/>
  <c r="J29" i="45"/>
  <c r="J189" i="1" s="1"/>
  <c r="Z191" i="1" s="1"/>
  <c r="K40" i="4"/>
  <c r="L40" i="4" s="1"/>
  <c r="M40" i="4" s="1"/>
  <c r="N40" i="4" s="1"/>
  <c r="O40" i="4" s="1"/>
  <c r="P40" i="4" s="1"/>
  <c r="Q40" i="4" s="1"/>
  <c r="R40" i="4" s="1"/>
  <c r="S40" i="4" s="1"/>
  <c r="E14" i="7"/>
  <c r="K54" i="4"/>
  <c r="L54" i="4" s="1"/>
  <c r="M54" i="4" s="1"/>
  <c r="N54" i="4" s="1"/>
  <c r="O54" i="4" s="1"/>
  <c r="P54" i="4" s="1"/>
  <c r="Q54" i="4" s="1"/>
  <c r="R54" i="4" s="1"/>
  <c r="S54" i="4" s="1"/>
  <c r="E29" i="18"/>
  <c r="E41" i="18" s="1"/>
  <c r="E51" i="18" s="1"/>
  <c r="M55" i="10"/>
  <c r="F173" i="45"/>
  <c r="F84" i="4" s="1"/>
  <c r="F171" i="45"/>
  <c r="F82" i="4" s="1"/>
  <c r="F172" i="45"/>
  <c r="F83" i="4" s="1"/>
  <c r="E69" i="45"/>
  <c r="H296" i="45"/>
  <c r="F55" i="4"/>
  <c r="G55" i="4"/>
  <c r="H57" i="4"/>
  <c r="G60" i="4"/>
  <c r="F60" i="4"/>
  <c r="H60" i="4"/>
  <c r="P296" i="45"/>
  <c r="F63" i="45"/>
  <c r="G58" i="4"/>
  <c r="F58" i="4"/>
  <c r="P231" i="45"/>
  <c r="Q296" i="45"/>
  <c r="L302" i="45"/>
  <c r="F119" i="45"/>
  <c r="F122" i="45"/>
  <c r="G73" i="45" s="1"/>
  <c r="G122" i="45"/>
  <c r="H73" i="45" s="1"/>
  <c r="G119" i="45"/>
  <c r="G255" i="45"/>
  <c r="O255" i="45"/>
  <c r="E231" i="45"/>
  <c r="M231" i="45"/>
  <c r="F22" i="27"/>
  <c r="G15" i="26"/>
  <c r="G91" i="1"/>
  <c r="H134" i="4"/>
  <c r="F131" i="4"/>
  <c r="E11" i="46"/>
  <c r="H20" i="46"/>
  <c r="G11" i="46"/>
  <c r="H11" i="1"/>
  <c r="H28" i="1" s="1"/>
  <c r="H29" i="1" s="1"/>
  <c r="F9" i="1"/>
  <c r="H15" i="26"/>
  <c r="H19" i="48" s="1"/>
  <c r="F106" i="1"/>
  <c r="F107" i="1" s="1"/>
  <c r="E15" i="26"/>
  <c r="E19" i="48" s="1"/>
  <c r="AL14" i="35"/>
  <c r="AL15" i="35" s="1"/>
  <c r="AL16" i="35" s="1"/>
  <c r="AL17" i="35" s="1"/>
  <c r="AL18" i="35" s="1"/>
  <c r="AL19" i="35" s="1"/>
  <c r="AL20" i="35" s="1"/>
  <c r="AL21" i="35" s="1"/>
  <c r="AL22" i="35" s="1"/>
  <c r="AL23" i="35" s="1"/>
  <c r="AL24" i="35" s="1"/>
  <c r="AL25" i="35" s="1"/>
  <c r="AL26" i="35" s="1"/>
  <c r="AL27" i="35" s="1"/>
  <c r="AL28" i="35" s="1"/>
  <c r="AL29" i="35" s="1"/>
  <c r="AL30" i="35" s="1"/>
  <c r="AL31" i="35" s="1"/>
  <c r="AL32" i="35" s="1"/>
  <c r="AL33" i="35" s="1"/>
  <c r="AL34" i="35" s="1"/>
  <c r="AL35" i="35" s="1"/>
  <c r="AL36" i="35" s="1"/>
  <c r="AL37" i="35" s="1"/>
  <c r="AL38" i="35" s="1"/>
  <c r="AL39" i="35" s="1"/>
  <c r="AL40" i="35" s="1"/>
  <c r="AL41" i="35" s="1"/>
  <c r="AL42" i="35" s="1"/>
  <c r="AL43" i="35" s="1"/>
  <c r="AL44" i="35" s="1"/>
  <c r="AL45" i="35" s="1"/>
  <c r="AL46" i="35" s="1"/>
  <c r="AL47" i="35" s="1"/>
  <c r="AL48" i="35" s="1"/>
  <c r="AL49" i="35" s="1"/>
  <c r="AL50" i="35" s="1"/>
  <c r="AL51" i="35" s="1"/>
  <c r="AL52" i="35" s="1"/>
  <c r="AL53" i="35" s="1"/>
  <c r="AL54" i="35" s="1"/>
  <c r="AL55" i="35" s="1"/>
  <c r="AL56" i="35" s="1"/>
  <c r="AL57" i="35" s="1"/>
  <c r="AL58" i="35" s="1"/>
  <c r="AL59" i="35" s="1"/>
  <c r="AL60" i="35" s="1"/>
  <c r="AL61" i="35" s="1"/>
  <c r="AL62" i="35" s="1"/>
  <c r="AL63" i="35" s="1"/>
  <c r="AL64" i="35" s="1"/>
  <c r="AL65" i="35" s="1"/>
  <c r="AL66" i="35" s="1"/>
  <c r="AL67" i="35" s="1"/>
  <c r="AL68" i="35" s="1"/>
  <c r="AL69" i="35" s="1"/>
  <c r="AL70" i="35" s="1"/>
  <c r="AL71" i="35" s="1"/>
  <c r="AL72" i="35" s="1"/>
  <c r="AL73" i="35" s="1"/>
  <c r="AL74" i="35" s="1"/>
  <c r="AL75" i="35" s="1"/>
  <c r="AL76" i="35" s="1"/>
  <c r="AL77" i="35" s="1"/>
  <c r="AL78" i="35" s="1"/>
  <c r="AL79" i="35" s="1"/>
  <c r="AL80" i="35" s="1"/>
  <c r="AL81" i="35" s="1"/>
  <c r="AL82" i="35" s="1"/>
  <c r="AL83" i="35" s="1"/>
  <c r="AL84" i="35" s="1"/>
  <c r="AL85" i="35" s="1"/>
  <c r="AL86" i="35" s="1"/>
  <c r="AL87" i="35" s="1"/>
  <c r="AL88" i="35" s="1"/>
  <c r="AL89" i="35" s="1"/>
  <c r="AL90" i="35" s="1"/>
  <c r="AL91" i="35" s="1"/>
  <c r="AL92" i="35" s="1"/>
  <c r="AL93" i="35" s="1"/>
  <c r="AL94" i="35" s="1"/>
  <c r="AL95" i="35" s="1"/>
  <c r="AL96" i="35" s="1"/>
  <c r="AL97" i="35" s="1"/>
  <c r="AL98" i="35" s="1"/>
  <c r="AL99" i="35" s="1"/>
  <c r="AL100" i="35" s="1"/>
  <c r="AL101" i="35" s="1"/>
  <c r="AL102" i="35" s="1"/>
  <c r="AL103" i="35" s="1"/>
  <c r="AL104" i="35" s="1"/>
  <c r="AL105" i="35" s="1"/>
  <c r="AL106" i="35" s="1"/>
  <c r="AL107" i="35" s="1"/>
  <c r="AL108" i="35" s="1"/>
  <c r="AL109" i="35" s="1"/>
  <c r="AL110" i="35" s="1"/>
  <c r="AL111" i="35" s="1"/>
  <c r="AL112" i="35" s="1"/>
  <c r="AL113" i="35" s="1"/>
  <c r="AL114" i="35" s="1"/>
  <c r="AL115" i="35" s="1"/>
  <c r="AL116" i="35" s="1"/>
  <c r="AL117" i="35" s="1"/>
  <c r="AL118" i="35" s="1"/>
  <c r="AL119" i="35" s="1"/>
  <c r="AL120" i="35" s="1"/>
  <c r="AL121" i="35" s="1"/>
  <c r="AL122" i="35" s="1"/>
  <c r="AL123" i="35" s="1"/>
  <c r="AL124" i="35" s="1"/>
  <c r="AL125" i="35" s="1"/>
  <c r="AL126" i="35" s="1"/>
  <c r="AL127" i="35" s="1"/>
  <c r="AL128" i="35" s="1"/>
  <c r="AL129" i="35" s="1"/>
  <c r="AL130" i="35" s="1"/>
  <c r="AL131" i="35" s="1"/>
  <c r="AL132" i="35" s="1"/>
  <c r="AL133" i="35" s="1"/>
  <c r="AL134" i="35" s="1"/>
  <c r="AL135" i="35" s="1"/>
  <c r="AL136" i="35" s="1"/>
  <c r="K137" i="4"/>
  <c r="L137" i="4" s="1"/>
  <c r="M137" i="4" s="1"/>
  <c r="N137" i="4" s="1"/>
  <c r="O137" i="4" s="1"/>
  <c r="P137" i="4" s="1"/>
  <c r="Q137" i="4" s="1"/>
  <c r="R137" i="4" s="1"/>
  <c r="S137" i="4" s="1"/>
  <c r="C187" i="4"/>
  <c r="E105" i="4"/>
  <c r="E169" i="45"/>
  <c r="C184" i="4"/>
  <c r="F193" i="45"/>
  <c r="C185" i="4"/>
  <c r="C186" i="4"/>
  <c r="F130" i="4"/>
  <c r="V929" i="40"/>
  <c r="I1486" i="40"/>
  <c r="I863" i="40"/>
  <c r="H83" i="10" s="1"/>
  <c r="G878" i="40"/>
  <c r="D1243" i="40"/>
  <c r="H1364" i="40"/>
  <c r="G63" i="10" s="1"/>
  <c r="G1460" i="40"/>
  <c r="F67" i="10" s="1"/>
  <c r="G1059" i="40"/>
  <c r="F770" i="40"/>
  <c r="M922" i="40" s="1"/>
  <c r="M921" i="40"/>
  <c r="S936" i="40" s="1"/>
  <c r="S934" i="40"/>
  <c r="D979" i="40"/>
  <c r="D170" i="40"/>
  <c r="H214" i="40"/>
  <c r="G10" i="10" s="1"/>
  <c r="G72" i="4" s="1"/>
  <c r="F236" i="40"/>
  <c r="F302" i="40"/>
  <c r="E20" i="10" s="1"/>
  <c r="E94" i="45" s="1"/>
  <c r="E117" i="45" s="1"/>
  <c r="G770" i="40"/>
  <c r="N922" i="40" s="1"/>
  <c r="N921" i="40"/>
  <c r="T936" i="40" s="1"/>
  <c r="T934" i="40"/>
  <c r="G302" i="40"/>
  <c r="F20" i="10" s="1"/>
  <c r="F94" i="45" s="1"/>
  <c r="F117" i="45" s="1"/>
  <c r="S929" i="40"/>
  <c r="U934" i="40"/>
  <c r="D4" i="43"/>
  <c r="D79" i="43" s="1"/>
  <c r="T929" i="40"/>
  <c r="V934" i="40"/>
  <c r="D1481" i="40"/>
  <c r="I818" i="40"/>
  <c r="H75" i="10" s="1"/>
  <c r="E878" i="40"/>
  <c r="H938" i="40"/>
  <c r="G98" i="10" s="1"/>
  <c r="G145" i="4" s="1"/>
  <c r="O929" i="40"/>
  <c r="U929" i="40" s="1"/>
  <c r="E953" i="40"/>
  <c r="E1460" i="40"/>
  <c r="F1482" i="40"/>
  <c r="H466" i="40"/>
  <c r="I279" i="40"/>
  <c r="I355" i="43"/>
  <c r="I82" i="40" s="1"/>
  <c r="I106" i="40" s="1"/>
  <c r="E290" i="43"/>
  <c r="E296" i="43"/>
  <c r="G359" i="43"/>
  <c r="G86" i="40" s="1"/>
  <c r="G110" i="40" s="1"/>
  <c r="E366" i="43"/>
  <c r="E93" i="40" s="1"/>
  <c r="E117" i="40" s="1"/>
  <c r="H367" i="43"/>
  <c r="H94" i="40" s="1"/>
  <c r="H118" i="40" s="1"/>
  <c r="G351" i="43"/>
  <c r="I362" i="43"/>
  <c r="I89" i="40" s="1"/>
  <c r="I113" i="40" s="1"/>
  <c r="F366" i="43"/>
  <c r="F93" i="40" s="1"/>
  <c r="F117" i="40" s="1"/>
  <c r="I367" i="43"/>
  <c r="I94" i="40" s="1"/>
  <c r="I118" i="40" s="1"/>
  <c r="D346" i="43"/>
  <c r="E103" i="43"/>
  <c r="E127" i="43"/>
  <c r="E365" i="43"/>
  <c r="E92" i="40" s="1"/>
  <c r="G225" i="43"/>
  <c r="H352" i="43"/>
  <c r="H79" i="40" s="1"/>
  <c r="H103" i="40" s="1"/>
  <c r="G355" i="43"/>
  <c r="G82" i="40" s="1"/>
  <c r="G106" i="40" s="1"/>
  <c r="I358" i="43"/>
  <c r="I85" i="40" s="1"/>
  <c r="I109" i="40" s="1"/>
  <c r="G365" i="43"/>
  <c r="G92" i="40" s="1"/>
  <c r="G367" i="43"/>
  <c r="G94" i="40" s="1"/>
  <c r="G118" i="40" s="1"/>
  <c r="I351" i="43"/>
  <c r="I78" i="40" s="1"/>
  <c r="E321" i="43"/>
  <c r="D365" i="40"/>
  <c r="H99" i="4"/>
  <c r="F23" i="26"/>
  <c r="F30" i="48" s="1"/>
  <c r="F91" i="1"/>
  <c r="Q255" i="45"/>
  <c r="J255" i="45"/>
  <c r="R255" i="45"/>
  <c r="H273" i="43"/>
  <c r="H359" i="43"/>
  <c r="H86" i="40" s="1"/>
  <c r="H110" i="40" s="1"/>
  <c r="E66" i="40"/>
  <c r="E72" i="40"/>
  <c r="G273" i="40"/>
  <c r="E273" i="40"/>
  <c r="E279" i="40"/>
  <c r="I302" i="40"/>
  <c r="H20" i="10" s="1"/>
  <c r="I592" i="40"/>
  <c r="E1028" i="40"/>
  <c r="I1055" i="40"/>
  <c r="D1315" i="40"/>
  <c r="D1460" i="40"/>
  <c r="R164" i="45"/>
  <c r="R166" i="45" s="1"/>
  <c r="K255" i="45"/>
  <c r="S255" i="45"/>
  <c r="F4" i="43"/>
  <c r="F79" i="43" s="1"/>
  <c r="F296" i="43"/>
  <c r="E151" i="43"/>
  <c r="G273" i="43"/>
  <c r="G353" i="43"/>
  <c r="G80" i="40" s="1"/>
  <c r="G104" i="40" s="1"/>
  <c r="D59" i="40"/>
  <c r="F72" i="40"/>
  <c r="F170" i="40"/>
  <c r="E9" i="10" s="1"/>
  <c r="E70" i="4" s="1"/>
  <c r="D192" i="40"/>
  <c r="H236" i="40"/>
  <c r="G466" i="40"/>
  <c r="I497" i="40"/>
  <c r="H32" i="10" s="1"/>
  <c r="H771" i="40"/>
  <c r="F878" i="40"/>
  <c r="H878" i="40"/>
  <c r="I904" i="40"/>
  <c r="D923" i="40"/>
  <c r="D953" i="40"/>
  <c r="H1013" i="40"/>
  <c r="H1028" i="40"/>
  <c r="D1388" i="40"/>
  <c r="S164" i="45"/>
  <c r="S166" i="45" s="1"/>
  <c r="E175" i="43"/>
  <c r="G290" i="43"/>
  <c r="I290" i="43"/>
  <c r="I296" i="43"/>
  <c r="G119" i="40"/>
  <c r="E352" i="43"/>
  <c r="E79" i="40" s="1"/>
  <c r="E103" i="40" s="1"/>
  <c r="I366" i="43"/>
  <c r="I93" i="40" s="1"/>
  <c r="I117" i="40" s="1"/>
  <c r="E346" i="43"/>
  <c r="H170" i="40"/>
  <c r="G9" i="10" s="1"/>
  <c r="F192" i="40"/>
  <c r="E11" i="10" s="1"/>
  <c r="D214" i="40"/>
  <c r="D449" i="40"/>
  <c r="F449" i="40"/>
  <c r="E27" i="10" s="1"/>
  <c r="I466" i="40"/>
  <c r="I545" i="40"/>
  <c r="H36" i="10" s="1"/>
  <c r="H81" i="10" s="1"/>
  <c r="E818" i="40"/>
  <c r="D848" i="40"/>
  <c r="I938" i="40"/>
  <c r="H98" i="10" s="1"/>
  <c r="H102" i="4" s="1"/>
  <c r="D998" i="40"/>
  <c r="F998" i="40"/>
  <c r="I1267" i="40"/>
  <c r="H57" i="10" s="1"/>
  <c r="I1412" i="40"/>
  <c r="H65" i="10" s="1"/>
  <c r="H1489" i="40"/>
  <c r="G83" i="33" s="1"/>
  <c r="H83" i="33" s="1"/>
  <c r="I83" i="33" s="1"/>
  <c r="F132" i="4"/>
  <c r="E93" i="45"/>
  <c r="E116" i="45" s="1"/>
  <c r="F139" i="45"/>
  <c r="F16" i="45" s="1"/>
  <c r="L255" i="45"/>
  <c r="H302" i="45"/>
  <c r="P302" i="45"/>
  <c r="F352" i="43"/>
  <c r="F79" i="40" s="1"/>
  <c r="F103" i="40" s="1"/>
  <c r="E28" i="40"/>
  <c r="F9" i="4" s="1"/>
  <c r="G28" i="40"/>
  <c r="H9" i="4" s="1"/>
  <c r="G66" i="40"/>
  <c r="I66" i="40"/>
  <c r="I72" i="40"/>
  <c r="I170" i="40"/>
  <c r="G192" i="40"/>
  <c r="F11" i="10" s="1"/>
  <c r="E214" i="40"/>
  <c r="D251" i="40"/>
  <c r="I273" i="40"/>
  <c r="E302" i="40"/>
  <c r="I425" i="40"/>
  <c r="F818" i="40"/>
  <c r="E75" i="10" s="1"/>
  <c r="E848" i="40"/>
  <c r="G953" i="40"/>
  <c r="F99" i="10" s="1"/>
  <c r="F8" i="46" s="1"/>
  <c r="G968" i="40"/>
  <c r="F100" i="10" s="1"/>
  <c r="E1059" i="40"/>
  <c r="D1267" i="40"/>
  <c r="D1491" i="40"/>
  <c r="H290" i="43"/>
  <c r="H11" i="43"/>
  <c r="G29" i="45" s="1"/>
  <c r="D26" i="43"/>
  <c r="E360" i="43"/>
  <c r="E87" i="40" s="1"/>
  <c r="E111" i="40" s="1"/>
  <c r="F59" i="40"/>
  <c r="H59" i="40"/>
  <c r="H192" i="40"/>
  <c r="G11" i="10" s="1"/>
  <c r="F214" i="40"/>
  <c r="E10" i="10" s="1"/>
  <c r="D236" i="40"/>
  <c r="E497" i="40"/>
  <c r="D803" i="40"/>
  <c r="D863" i="40"/>
  <c r="E908" i="40"/>
  <c r="H953" i="40"/>
  <c r="G99" i="10" s="1"/>
  <c r="G8" i="46" s="1"/>
  <c r="F968" i="40"/>
  <c r="E100" i="10" s="1"/>
  <c r="D974" i="40"/>
  <c r="D1013" i="40"/>
  <c r="F1013" i="40"/>
  <c r="G1267" i="40"/>
  <c r="F57" i="10" s="1"/>
  <c r="I1291" i="40"/>
  <c r="H58" i="10" s="1"/>
  <c r="G1388" i="40"/>
  <c r="F64" i="10" s="1"/>
  <c r="G1412" i="40"/>
  <c r="F65" i="10" s="1"/>
  <c r="G1491" i="40"/>
  <c r="E40" i="1"/>
  <c r="E57" i="48" s="1"/>
  <c r="E58" i="48" s="1"/>
  <c r="H69" i="45"/>
  <c r="F231" i="45"/>
  <c r="F23" i="18"/>
  <c r="C55" i="18"/>
  <c r="D65" i="18"/>
  <c r="H249" i="43"/>
  <c r="D104" i="40"/>
  <c r="I192" i="40"/>
  <c r="H11" i="10" s="1"/>
  <c r="G214" i="40"/>
  <c r="F10" i="10" s="1"/>
  <c r="E236" i="40"/>
  <c r="G449" i="40"/>
  <c r="F27" i="10" s="1"/>
  <c r="E746" i="40"/>
  <c r="E823" i="40" s="1"/>
  <c r="F746" i="40" s="1"/>
  <c r="F823" i="40" s="1"/>
  <c r="G746" i="40" s="1"/>
  <c r="G823" i="40" s="1"/>
  <c r="H746" i="40" s="1"/>
  <c r="H823" i="40" s="1"/>
  <c r="I746" i="40" s="1"/>
  <c r="I823" i="40" s="1"/>
  <c r="J746" i="40" s="1"/>
  <c r="J823" i="40" s="1"/>
  <c r="G848" i="40"/>
  <c r="G998" i="40"/>
  <c r="I998" i="40"/>
  <c r="H105" i="10" s="1"/>
  <c r="E1013" i="40"/>
  <c r="E1220" i="40"/>
  <c r="D1291" i="40"/>
  <c r="D1338" i="40"/>
  <c r="D1412" i="40"/>
  <c r="K130" i="4"/>
  <c r="L130" i="4" s="1"/>
  <c r="M130" i="4" s="1"/>
  <c r="N130" i="4" s="1"/>
  <c r="O130" i="4" s="1"/>
  <c r="P130" i="4" s="1"/>
  <c r="Q130" i="4" s="1"/>
  <c r="R130" i="4" s="1"/>
  <c r="S130" i="4" s="1"/>
  <c r="F40" i="1"/>
  <c r="F57" i="48" s="1"/>
  <c r="E106" i="1"/>
  <c r="E107" i="1" s="1"/>
  <c r="J289" i="45"/>
  <c r="R289" i="45"/>
  <c r="D58" i="18"/>
  <c r="D11" i="43"/>
  <c r="F201" i="43"/>
  <c r="I11" i="43"/>
  <c r="I103" i="43"/>
  <c r="F175" i="43"/>
  <c r="H225" i="43"/>
  <c r="E249" i="43"/>
  <c r="I249" i="43"/>
  <c r="F273" i="43"/>
  <c r="F103" i="43"/>
  <c r="I273" i="43"/>
  <c r="E11" i="43"/>
  <c r="E26" i="43"/>
  <c r="I26" i="43"/>
  <c r="F11" i="43"/>
  <c r="E29" i="45" s="1"/>
  <c r="F26" i="43"/>
  <c r="H26" i="43"/>
  <c r="H103" i="43"/>
  <c r="D103" i="43"/>
  <c r="F151" i="43"/>
  <c r="H201" i="43"/>
  <c r="E225" i="43"/>
  <c r="I225" i="43"/>
  <c r="F249" i="43"/>
  <c r="E355" i="43"/>
  <c r="E82" i="40" s="1"/>
  <c r="E106" i="40" s="1"/>
  <c r="G11" i="43"/>
  <c r="F29" i="45" s="1"/>
  <c r="G26" i="43"/>
  <c r="F127" i="43"/>
  <c r="E201" i="43"/>
  <c r="I201" i="43"/>
  <c r="F225" i="43"/>
  <c r="E273" i="43"/>
  <c r="I353" i="43"/>
  <c r="I80" i="40" s="1"/>
  <c r="I104" i="40" s="1"/>
  <c r="H354" i="43"/>
  <c r="H81" i="40" s="1"/>
  <c r="H105" i="40" s="1"/>
  <c r="G360" i="43"/>
  <c r="G87" i="40" s="1"/>
  <c r="G111" i="40" s="1"/>
  <c r="G103" i="43"/>
  <c r="I127" i="43"/>
  <c r="G127" i="43"/>
  <c r="I151" i="43"/>
  <c r="G151" i="43"/>
  <c r="I175" i="43"/>
  <c r="G175" i="43"/>
  <c r="G283" i="43"/>
  <c r="E283" i="43"/>
  <c r="I283" i="43"/>
  <c r="E358" i="43"/>
  <c r="E85" i="40" s="1"/>
  <c r="E362" i="43"/>
  <c r="E89" i="40" s="1"/>
  <c r="E113" i="40" s="1"/>
  <c r="G296" i="43"/>
  <c r="H351" i="43"/>
  <c r="H78" i="40" s="1"/>
  <c r="F353" i="43"/>
  <c r="F80" i="40" s="1"/>
  <c r="F104" i="40" s="1"/>
  <c r="E354" i="43"/>
  <c r="E81" i="40" s="1"/>
  <c r="E105" i="40" s="1"/>
  <c r="I354" i="43"/>
  <c r="I81" i="40" s="1"/>
  <c r="I105" i="40" s="1"/>
  <c r="H355" i="43"/>
  <c r="H82" i="40" s="1"/>
  <c r="H106" i="40" s="1"/>
  <c r="F358" i="43"/>
  <c r="F85" i="40" s="1"/>
  <c r="E359" i="43"/>
  <c r="E86" i="40" s="1"/>
  <c r="E110" i="40" s="1"/>
  <c r="I359" i="43"/>
  <c r="I86" i="40" s="1"/>
  <c r="I110" i="40" s="1"/>
  <c r="F362" i="43"/>
  <c r="F89" i="40" s="1"/>
  <c r="F113" i="40" s="1"/>
  <c r="D322" i="43"/>
  <c r="D70" i="43" s="1"/>
  <c r="H365" i="43"/>
  <c r="H92" i="40" s="1"/>
  <c r="G366" i="43"/>
  <c r="G93" i="40" s="1"/>
  <c r="G117" i="40" s="1"/>
  <c r="F367" i="43"/>
  <c r="F94" i="40" s="1"/>
  <c r="F118" i="40" s="1"/>
  <c r="E368" i="43"/>
  <c r="E95" i="40" s="1"/>
  <c r="E119" i="40" s="1"/>
  <c r="I368" i="43"/>
  <c r="I95" i="40" s="1"/>
  <c r="I119" i="40" s="1"/>
  <c r="G346" i="43"/>
  <c r="G59" i="40"/>
  <c r="E59" i="40"/>
  <c r="I59" i="40"/>
  <c r="G72" i="40"/>
  <c r="D257" i="40"/>
  <c r="E266" i="40"/>
  <c r="I266" i="40"/>
  <c r="H266" i="40"/>
  <c r="D280" i="40"/>
  <c r="H273" i="40"/>
  <c r="F273" i="40"/>
  <c r="F279" i="40"/>
  <c r="D302" i="40"/>
  <c r="H302" i="40"/>
  <c r="G20" i="10" s="1"/>
  <c r="G94" i="45" s="1"/>
  <c r="G117" i="45" s="1"/>
  <c r="D327" i="40"/>
  <c r="H327" i="40"/>
  <c r="G23" i="10" s="1"/>
  <c r="E348" i="40"/>
  <c r="D378" i="40"/>
  <c r="G402" i="40"/>
  <c r="F25" i="10" s="1"/>
  <c r="F425" i="40"/>
  <c r="D425" i="40"/>
  <c r="H425" i="40"/>
  <c r="E449" i="40"/>
  <c r="I449" i="40"/>
  <c r="H27" i="10" s="1"/>
  <c r="H459" i="40"/>
  <c r="F466" i="40"/>
  <c r="E466" i="40"/>
  <c r="E472" i="40"/>
  <c r="D497" i="40"/>
  <c r="I664" i="40"/>
  <c r="H818" i="40"/>
  <c r="G75" i="10" s="1"/>
  <c r="E863" i="40"/>
  <c r="F908" i="40"/>
  <c r="E916" i="40"/>
  <c r="E976" i="40" s="1"/>
  <c r="F916" i="40" s="1"/>
  <c r="F919" i="40" s="1"/>
  <c r="H127" i="43"/>
  <c r="D127" i="43"/>
  <c r="H151" i="43"/>
  <c r="D151" i="43"/>
  <c r="H175" i="43"/>
  <c r="D175" i="43"/>
  <c r="D201" i="43"/>
  <c r="D225" i="43"/>
  <c r="D249" i="43"/>
  <c r="D273" i="43"/>
  <c r="H283" i="43"/>
  <c r="F283" i="43"/>
  <c r="F290" i="43"/>
  <c r="D290" i="43"/>
  <c r="F360" i="43"/>
  <c r="F87" i="40" s="1"/>
  <c r="F111" i="40" s="1"/>
  <c r="D296" i="43"/>
  <c r="H296" i="43"/>
  <c r="E308" i="43"/>
  <c r="F354" i="43"/>
  <c r="F81" i="40" s="1"/>
  <c r="F105" i="40" s="1"/>
  <c r="G358" i="43"/>
  <c r="G85" i="40" s="1"/>
  <c r="F359" i="43"/>
  <c r="F86" i="40" s="1"/>
  <c r="F110" i="40" s="1"/>
  <c r="E315" i="43"/>
  <c r="I315" i="43"/>
  <c r="H361" i="43"/>
  <c r="H88" i="40" s="1"/>
  <c r="H112" i="40" s="1"/>
  <c r="G362" i="43"/>
  <c r="G89" i="40" s="1"/>
  <c r="G113" i="40" s="1"/>
  <c r="H366" i="43"/>
  <c r="H93" i="40" s="1"/>
  <c r="H117" i="40" s="1"/>
  <c r="F368" i="43"/>
  <c r="F95" i="40" s="1"/>
  <c r="F119" i="40" s="1"/>
  <c r="F346" i="43"/>
  <c r="H346" i="43"/>
  <c r="E351" i="43"/>
  <c r="E78" i="40" s="1"/>
  <c r="E102" i="40" s="1"/>
  <c r="F28" i="40"/>
  <c r="G9" i="4" s="1"/>
  <c r="D28" i="40"/>
  <c r="E9" i="4" s="1"/>
  <c r="H28" i="40"/>
  <c r="F66" i="40"/>
  <c r="D66" i="40"/>
  <c r="H66" i="40"/>
  <c r="D72" i="40"/>
  <c r="H72" i="40"/>
  <c r="D148" i="40"/>
  <c r="F266" i="40"/>
  <c r="I327" i="40"/>
  <c r="H23" i="10" s="1"/>
  <c r="F402" i="40"/>
  <c r="E25" i="10" s="1"/>
  <c r="D402" i="40"/>
  <c r="H402" i="40"/>
  <c r="G25" i="10" s="1"/>
  <c r="E425" i="40"/>
  <c r="G472" i="40"/>
  <c r="F472" i="40"/>
  <c r="I579" i="40"/>
  <c r="D938" i="40"/>
  <c r="D982" i="40"/>
  <c r="E921" i="40"/>
  <c r="E922" i="40" s="1"/>
  <c r="L109" i="4"/>
  <c r="E367" i="43"/>
  <c r="E94" i="40" s="1"/>
  <c r="E118" i="40" s="1"/>
  <c r="F351" i="43"/>
  <c r="F78" i="40" s="1"/>
  <c r="I352" i="43"/>
  <c r="I79" i="40" s="1"/>
  <c r="I103" i="40" s="1"/>
  <c r="H308" i="43"/>
  <c r="G354" i="43"/>
  <c r="G81" i="40" s="1"/>
  <c r="G105" i="40" s="1"/>
  <c r="F355" i="43"/>
  <c r="F82" i="40" s="1"/>
  <c r="F106" i="40" s="1"/>
  <c r="H358" i="43"/>
  <c r="H85" i="40" s="1"/>
  <c r="E361" i="43"/>
  <c r="E88" i="40" s="1"/>
  <c r="E112" i="40" s="1"/>
  <c r="I361" i="43"/>
  <c r="I88" i="40" s="1"/>
  <c r="I112" i="40" s="1"/>
  <c r="H362" i="43"/>
  <c r="H89" i="40" s="1"/>
  <c r="H113" i="40" s="1"/>
  <c r="I332" i="43"/>
  <c r="I28" i="40"/>
  <c r="D244" i="40"/>
  <c r="G266" i="40"/>
  <c r="H279" i="40"/>
  <c r="G279" i="40"/>
  <c r="D355" i="40"/>
  <c r="D372" i="40"/>
  <c r="E402" i="40"/>
  <c r="F459" i="40"/>
  <c r="I459" i="40"/>
  <c r="G459" i="40"/>
  <c r="D473" i="40"/>
  <c r="H472" i="40"/>
  <c r="F361" i="43"/>
  <c r="F88" i="40" s="1"/>
  <c r="F112" i="40" s="1"/>
  <c r="H368" i="43"/>
  <c r="H95" i="40" s="1"/>
  <c r="H119" i="40" s="1"/>
  <c r="G327" i="40"/>
  <c r="G425" i="40"/>
  <c r="H449" i="40"/>
  <c r="G27" i="10" s="1"/>
  <c r="D771" i="40"/>
  <c r="D756" i="40"/>
  <c r="H803" i="40"/>
  <c r="G74" i="10" s="1"/>
  <c r="D818" i="40"/>
  <c r="D829" i="40"/>
  <c r="F848" i="40"/>
  <c r="H848" i="40"/>
  <c r="G863" i="40"/>
  <c r="D908" i="40"/>
  <c r="H908" i="40"/>
  <c r="D968" i="40"/>
  <c r="H968" i="40"/>
  <c r="G100" i="10" s="1"/>
  <c r="D1028" i="40"/>
  <c r="F1028" i="40"/>
  <c r="D1220" i="40"/>
  <c r="F1220" i="40"/>
  <c r="E56" i="10" s="1"/>
  <c r="F1267" i="40"/>
  <c r="E57" i="10" s="1"/>
  <c r="H1267" i="40"/>
  <c r="G57" i="10" s="1"/>
  <c r="F1291" i="40"/>
  <c r="E58" i="10" s="1"/>
  <c r="H1291" i="40"/>
  <c r="G58" i="10" s="1"/>
  <c r="H1315" i="40"/>
  <c r="G59" i="10" s="1"/>
  <c r="D1325" i="40"/>
  <c r="D1332" i="40"/>
  <c r="D1364" i="40"/>
  <c r="F1364" i="40"/>
  <c r="E63" i="10" s="1"/>
  <c r="F1388" i="40"/>
  <c r="E64" i="10" s="1"/>
  <c r="H1453" i="40"/>
  <c r="H1459" i="40"/>
  <c r="E1436" i="40"/>
  <c r="G1481" i="40"/>
  <c r="H1483" i="40"/>
  <c r="G77" i="33" s="1"/>
  <c r="H77" i="33" s="1"/>
  <c r="I77" i="33" s="1"/>
  <c r="D1486" i="40"/>
  <c r="I1487" i="40"/>
  <c r="G1490" i="40"/>
  <c r="G99" i="4"/>
  <c r="L130" i="1"/>
  <c r="H76" i="45"/>
  <c r="E302" i="45"/>
  <c r="M302" i="45"/>
  <c r="D1059" i="40"/>
  <c r="E1267" i="40"/>
  <c r="E1291" i="40"/>
  <c r="E1315" i="40"/>
  <c r="G1364" i="40"/>
  <c r="F63" i="10" s="1"/>
  <c r="H1412" i="40"/>
  <c r="G65" i="10" s="1"/>
  <c r="F1436" i="40"/>
  <c r="E66" i="10" s="1"/>
  <c r="I1483" i="40"/>
  <c r="G1486" i="40"/>
  <c r="E1489" i="40"/>
  <c r="H5" i="26"/>
  <c r="E24" i="26"/>
  <c r="E11" i="1"/>
  <c r="E28" i="1" s="1"/>
  <c r="E91" i="1"/>
  <c r="K55" i="10"/>
  <c r="S55" i="10"/>
  <c r="L66" i="10"/>
  <c r="P66" i="10"/>
  <c r="H1220" i="40"/>
  <c r="G56" i="10" s="1"/>
  <c r="F1315" i="40"/>
  <c r="E59" i="10" s="1"/>
  <c r="H1388" i="40"/>
  <c r="G64" i="10" s="1"/>
  <c r="E1412" i="40"/>
  <c r="G1436" i="40"/>
  <c r="F66" i="10" s="1"/>
  <c r="E1485" i="40"/>
  <c r="K29" i="4"/>
  <c r="L69" i="1"/>
  <c r="M69" i="1" s="1"/>
  <c r="G65" i="45"/>
  <c r="M165" i="45"/>
  <c r="M192" i="45" s="1"/>
  <c r="M163" i="45"/>
  <c r="J123" i="33"/>
  <c r="I771" i="40"/>
  <c r="G803" i="40"/>
  <c r="F74" i="10" s="1"/>
  <c r="I803" i="40"/>
  <c r="H74" i="10" s="1"/>
  <c r="G818" i="40"/>
  <c r="F75" i="10" s="1"/>
  <c r="F863" i="40"/>
  <c r="H863" i="40"/>
  <c r="D878" i="40"/>
  <c r="G908" i="40"/>
  <c r="F938" i="40"/>
  <c r="E98" i="10" s="1"/>
  <c r="E144" i="4" s="1"/>
  <c r="I953" i="40"/>
  <c r="H99" i="10" s="1"/>
  <c r="H8" i="46" s="1"/>
  <c r="E998" i="40"/>
  <c r="F1059" i="40"/>
  <c r="E1242" i="40"/>
  <c r="E1364" i="40"/>
  <c r="I1387" i="40"/>
  <c r="I1388" i="40" s="1"/>
  <c r="H64" i="10" s="1"/>
  <c r="I1422" i="40"/>
  <c r="H1429" i="40"/>
  <c r="D1436" i="40"/>
  <c r="I1435" i="40"/>
  <c r="F1460" i="40"/>
  <c r="E67" i="10" s="1"/>
  <c r="I1482" i="40"/>
  <c r="G1485" i="40"/>
  <c r="F1487" i="40"/>
  <c r="E1490" i="40"/>
  <c r="K139" i="4"/>
  <c r="L139" i="4" s="1"/>
  <c r="M139" i="4" s="1"/>
  <c r="N139" i="4" s="1"/>
  <c r="O139" i="4" s="1"/>
  <c r="P139" i="4" s="1"/>
  <c r="Q139" i="4" s="1"/>
  <c r="R139" i="4" s="1"/>
  <c r="S139" i="4" s="1"/>
  <c r="K161" i="4"/>
  <c r="L161" i="4" s="1"/>
  <c r="M161" i="4" s="1"/>
  <c r="N161" i="4" s="1"/>
  <c r="O161" i="4" s="1"/>
  <c r="P161" i="4" s="1"/>
  <c r="Q161" i="4" s="1"/>
  <c r="R161" i="4" s="1"/>
  <c r="S161" i="4" s="1"/>
  <c r="I63" i="27"/>
  <c r="F149" i="45"/>
  <c r="F25" i="45" s="1"/>
  <c r="Q163" i="45"/>
  <c r="Q166" i="45" s="1"/>
  <c r="J172" i="33"/>
  <c r="J173" i="33" s="1"/>
  <c r="J174" i="33" s="1"/>
  <c r="K170" i="33" s="1"/>
  <c r="K172" i="33" s="1"/>
  <c r="J164" i="45"/>
  <c r="J166" i="45" s="1"/>
  <c r="H231" i="45"/>
  <c r="K289" i="45"/>
  <c r="S289" i="45"/>
  <c r="F296" i="45"/>
  <c r="J296" i="45"/>
  <c r="N296" i="45"/>
  <c r="R296" i="45"/>
  <c r="Q302" i="45"/>
  <c r="K302" i="45"/>
  <c r="S302" i="45"/>
  <c r="H90" i="1"/>
  <c r="H91" i="1" s="1"/>
  <c r="J201" i="1"/>
  <c r="H61" i="27" s="1"/>
  <c r="H11" i="46"/>
  <c r="F85" i="46"/>
  <c r="F16" i="46" s="1"/>
  <c r="F94" i="46"/>
  <c r="F17" i="46" s="1"/>
  <c r="H54" i="45"/>
  <c r="K52" i="45"/>
  <c r="K164" i="45"/>
  <c r="K166" i="45" s="1"/>
  <c r="G231" i="45"/>
  <c r="O231" i="45"/>
  <c r="H255" i="45"/>
  <c r="P255" i="45"/>
  <c r="L289" i="45"/>
  <c r="G296" i="45"/>
  <c r="K296" i="45"/>
  <c r="O296" i="45"/>
  <c r="S296" i="45"/>
  <c r="F302" i="45"/>
  <c r="J302" i="45"/>
  <c r="N302" i="45"/>
  <c r="R302" i="45"/>
  <c r="K100" i="45"/>
  <c r="K123" i="45" s="1"/>
  <c r="N163" i="45"/>
  <c r="N164" i="45"/>
  <c r="K231" i="45"/>
  <c r="S231" i="45"/>
  <c r="L231" i="45"/>
  <c r="E289" i="45"/>
  <c r="M289" i="45"/>
  <c r="F289" i="45"/>
  <c r="N289" i="45"/>
  <c r="G302" i="45"/>
  <c r="O302" i="45"/>
  <c r="E23" i="18"/>
  <c r="D78" i="40"/>
  <c r="D356" i="43"/>
  <c r="E244" i="40"/>
  <c r="F129" i="40"/>
  <c r="H9" i="10"/>
  <c r="I48" i="43"/>
  <c r="H55" i="43"/>
  <c r="E257" i="40"/>
  <c r="F143" i="40"/>
  <c r="D85" i="40"/>
  <c r="E354" i="40"/>
  <c r="F343" i="40"/>
  <c r="G55" i="43"/>
  <c r="I360" i="43"/>
  <c r="I87" i="40" s="1"/>
  <c r="I111" i="40" s="1"/>
  <c r="I365" i="43"/>
  <c r="G497" i="40"/>
  <c r="F32" i="10" s="1"/>
  <c r="F97" i="45" s="1"/>
  <c r="F120" i="45" s="1"/>
  <c r="F803" i="40"/>
  <c r="E74" i="10" s="1"/>
  <c r="I848" i="40"/>
  <c r="I878" i="40"/>
  <c r="H84" i="10" s="1"/>
  <c r="E968" i="40"/>
  <c r="G1013" i="40"/>
  <c r="I1013" i="40"/>
  <c r="H106" i="10" s="1"/>
  <c r="H9" i="46" s="1"/>
  <c r="E1338" i="40"/>
  <c r="F1238" i="40"/>
  <c r="L8" i="4"/>
  <c r="H47" i="43"/>
  <c r="H49" i="43"/>
  <c r="F315" i="43"/>
  <c r="G4" i="40"/>
  <c r="E136" i="40"/>
  <c r="E1388" i="40"/>
  <c r="H101" i="1"/>
  <c r="G54" i="43"/>
  <c r="F308" i="43"/>
  <c r="G315" i="43"/>
  <c r="E369" i="40"/>
  <c r="F345" i="40" s="1"/>
  <c r="F369" i="40" s="1"/>
  <c r="G345" i="40" s="1"/>
  <c r="G369" i="40" s="1"/>
  <c r="H345" i="40" s="1"/>
  <c r="H369" i="40" s="1"/>
  <c r="I345" i="40" s="1"/>
  <c r="I369" i="40" s="1"/>
  <c r="J345" i="40" s="1"/>
  <c r="J369" i="40" s="1"/>
  <c r="E374" i="40"/>
  <c r="I521" i="40"/>
  <c r="H35" i="10" s="1"/>
  <c r="F752" i="40"/>
  <c r="E1236" i="40"/>
  <c r="H1441" i="40"/>
  <c r="H1422" i="40"/>
  <c r="L110" i="4"/>
  <c r="D283" i="43"/>
  <c r="G308" i="43"/>
  <c r="H315" i="43"/>
  <c r="F321" i="43"/>
  <c r="H353" i="43"/>
  <c r="H80" i="40" s="1"/>
  <c r="H104" i="40" s="1"/>
  <c r="D365" i="43"/>
  <c r="E336" i="40"/>
  <c r="E459" i="40"/>
  <c r="I472" i="40"/>
  <c r="E829" i="40"/>
  <c r="E938" i="40"/>
  <c r="G938" i="40"/>
  <c r="F98" i="10" s="1"/>
  <c r="G1028" i="40"/>
  <c r="I1028" i="40"/>
  <c r="H107" i="10" s="1"/>
  <c r="I1050" i="40"/>
  <c r="I1220" i="40"/>
  <c r="H56" i="10" s="1"/>
  <c r="H19" i="18"/>
  <c r="W11" i="46"/>
  <c r="W12" i="46" s="1"/>
  <c r="I186" i="4"/>
  <c r="E134" i="40"/>
  <c r="G749" i="40"/>
  <c r="F829" i="40"/>
  <c r="I1459" i="40"/>
  <c r="L124" i="4"/>
  <c r="K131" i="4"/>
  <c r="L131" i="4" s="1"/>
  <c r="M131" i="4" s="1"/>
  <c r="N131" i="4" s="1"/>
  <c r="O131" i="4" s="1"/>
  <c r="P131" i="4" s="1"/>
  <c r="Q131" i="4" s="1"/>
  <c r="R131" i="4" s="1"/>
  <c r="S131" i="4" s="1"/>
  <c r="H50" i="43"/>
  <c r="I308" i="43"/>
  <c r="D359" i="43"/>
  <c r="D86" i="40" s="1"/>
  <c r="D110" i="40" s="1"/>
  <c r="F365" i="43"/>
  <c r="E147" i="40"/>
  <c r="F822" i="40"/>
  <c r="P760" i="40" s="1"/>
  <c r="F1224" i="40"/>
  <c r="E1325" i="40"/>
  <c r="F1412" i="40"/>
  <c r="E65" i="10" s="1"/>
  <c r="J121" i="46"/>
  <c r="D26" i="7"/>
  <c r="F1231" i="40"/>
  <c r="K146" i="4"/>
  <c r="F497" i="40"/>
  <c r="E32" i="10" s="1"/>
  <c r="E97" i="45" s="1"/>
  <c r="E120" i="45" s="1"/>
  <c r="H497" i="40"/>
  <c r="G32" i="10" s="1"/>
  <c r="G97" i="45" s="1"/>
  <c r="I658" i="40"/>
  <c r="E771" i="40"/>
  <c r="I1489" i="40"/>
  <c r="I1485" i="40"/>
  <c r="I1481" i="40"/>
  <c r="E1491" i="40"/>
  <c r="E1487" i="40"/>
  <c r="E1483" i="40"/>
  <c r="K30" i="4"/>
  <c r="K55" i="4"/>
  <c r="L55" i="4" s="1"/>
  <c r="M55" i="4" s="1"/>
  <c r="N55" i="4" s="1"/>
  <c r="O55" i="4" s="1"/>
  <c r="P55" i="4" s="1"/>
  <c r="Q55" i="4" s="1"/>
  <c r="R55" i="4" s="1"/>
  <c r="S55" i="4" s="1"/>
  <c r="K158" i="4"/>
  <c r="L158" i="4" s="1"/>
  <c r="M158" i="4" s="1"/>
  <c r="N158" i="4" s="1"/>
  <c r="O158" i="4" s="1"/>
  <c r="P158" i="4" s="1"/>
  <c r="Q158" i="4" s="1"/>
  <c r="R158" i="4" s="1"/>
  <c r="S158" i="4" s="1"/>
  <c r="E1229" i="40"/>
  <c r="F1481" i="40"/>
  <c r="H1482" i="40"/>
  <c r="G76" i="33" s="1"/>
  <c r="H76" i="33" s="1"/>
  <c r="D1485" i="40"/>
  <c r="F1486" i="40"/>
  <c r="H1487" i="40"/>
  <c r="G81" i="33" s="1"/>
  <c r="H81" i="33" s="1"/>
  <c r="I81" i="33" s="1"/>
  <c r="D1490" i="40"/>
  <c r="F1491" i="40"/>
  <c r="K35" i="4"/>
  <c r="F99" i="4"/>
  <c r="F105" i="4" s="1"/>
  <c r="G4" i="10"/>
  <c r="G5" i="1"/>
  <c r="C3" i="57" s="1"/>
  <c r="E4" i="27"/>
  <c r="E752" i="40"/>
  <c r="I1429" i="40"/>
  <c r="H1435" i="40"/>
  <c r="H1481" i="40"/>
  <c r="G75" i="33" s="1"/>
  <c r="H75" i="33" s="1"/>
  <c r="I75" i="33" s="1"/>
  <c r="D1483" i="40"/>
  <c r="F1485" i="40"/>
  <c r="H1486" i="40"/>
  <c r="G80" i="33" s="1"/>
  <c r="H80" i="33" s="1"/>
  <c r="AD136" i="46"/>
  <c r="H17" i="18"/>
  <c r="J107" i="45"/>
  <c r="J26" i="46"/>
  <c r="C180" i="4"/>
  <c r="I586" i="40"/>
  <c r="D831" i="40"/>
  <c r="K47" i="4"/>
  <c r="K50" i="4"/>
  <c r="AD135" i="46"/>
  <c r="K145" i="4"/>
  <c r="K160" i="4"/>
  <c r="L160" i="4" s="1"/>
  <c r="M160" i="4" s="1"/>
  <c r="N160" i="4" s="1"/>
  <c r="O160" i="4" s="1"/>
  <c r="P160" i="4" s="1"/>
  <c r="Q160" i="4" s="1"/>
  <c r="R160" i="4" s="1"/>
  <c r="S160" i="4" s="1"/>
  <c r="D38" i="7"/>
  <c r="E972" i="40"/>
  <c r="E1329" i="40"/>
  <c r="F1233" i="40" s="1"/>
  <c r="F1329" i="40" s="1"/>
  <c r="G1233" i="40" s="1"/>
  <c r="G1329" i="40" s="1"/>
  <c r="H1233" i="40" s="1"/>
  <c r="H1329" i="40" s="1"/>
  <c r="I1233" i="40" s="1"/>
  <c r="I1329" i="40" s="1"/>
  <c r="E1482" i="40"/>
  <c r="G1483" i="40"/>
  <c r="E4" i="4"/>
  <c r="E5" i="26" s="1"/>
  <c r="J25" i="10"/>
  <c r="K58" i="4"/>
  <c r="D32" i="7"/>
  <c r="B2" i="10"/>
  <c r="B2" i="18" s="1"/>
  <c r="B2" i="1"/>
  <c r="B2" i="27"/>
  <c r="B2" i="28" s="1"/>
  <c r="B2" i="33" s="1"/>
  <c r="B2" i="35" s="1"/>
  <c r="D99" i="58"/>
  <c r="K71" i="1"/>
  <c r="H16" i="18"/>
  <c r="J106" i="45"/>
  <c r="L120" i="4"/>
  <c r="F12" i="31" s="1"/>
  <c r="K132" i="4"/>
  <c r="L132" i="4" s="1"/>
  <c r="M132" i="4" s="1"/>
  <c r="N132" i="4" s="1"/>
  <c r="O132" i="4" s="1"/>
  <c r="P132" i="4" s="1"/>
  <c r="Q132" i="4" s="1"/>
  <c r="R132" i="4" s="1"/>
  <c r="S132" i="4" s="1"/>
  <c r="K155" i="4"/>
  <c r="L155" i="4" s="1"/>
  <c r="M155" i="4" s="1"/>
  <c r="N155" i="4" s="1"/>
  <c r="O155" i="4" s="1"/>
  <c r="P155" i="4" s="1"/>
  <c r="Q155" i="4" s="1"/>
  <c r="R155" i="4" s="1"/>
  <c r="S155" i="4" s="1"/>
  <c r="D20" i="7"/>
  <c r="G11" i="1"/>
  <c r="G28" i="1" s="1"/>
  <c r="G29" i="1" s="1"/>
  <c r="H105" i="1"/>
  <c r="I105" i="1" s="1"/>
  <c r="J105" i="1" s="1"/>
  <c r="G106" i="1"/>
  <c r="G107" i="1" s="1"/>
  <c r="F51" i="1"/>
  <c r="F10" i="1" s="1"/>
  <c r="F105" i="46"/>
  <c r="F51" i="45"/>
  <c r="F54" i="45" s="1"/>
  <c r="F65" i="45" s="1"/>
  <c r="D101" i="58"/>
  <c r="K61" i="1"/>
  <c r="L61" i="1" s="1"/>
  <c r="M61" i="1" s="1"/>
  <c r="N61" i="1" s="1"/>
  <c r="O61" i="1" s="1"/>
  <c r="P61" i="1" s="1"/>
  <c r="Q61" i="1" s="1"/>
  <c r="R61" i="1" s="1"/>
  <c r="S61" i="1" s="1"/>
  <c r="K94" i="46"/>
  <c r="K17" i="46" s="1"/>
  <c r="J177" i="48"/>
  <c r="L87" i="46"/>
  <c r="K131" i="1"/>
  <c r="J210" i="1"/>
  <c r="J132" i="1" s="1"/>
  <c r="K204" i="1"/>
  <c r="K58" i="1"/>
  <c r="F12" i="26"/>
  <c r="F129" i="46"/>
  <c r="G129" i="46"/>
  <c r="J94" i="46"/>
  <c r="J17" i="46" s="1"/>
  <c r="F69" i="45"/>
  <c r="G69" i="45"/>
  <c r="O163" i="45"/>
  <c r="L164" i="45"/>
  <c r="L166" i="45" s="1"/>
  <c r="Q165" i="45"/>
  <c r="Q192" i="45" s="1"/>
  <c r="N231" i="45"/>
  <c r="P163" i="45"/>
  <c r="M164" i="45"/>
  <c r="J165" i="45"/>
  <c r="J192" i="45" s="1"/>
  <c r="R165" i="45"/>
  <c r="R192" i="45" s="1"/>
  <c r="G289" i="45"/>
  <c r="O289" i="45"/>
  <c r="K165" i="45"/>
  <c r="K192" i="45" s="1"/>
  <c r="S165" i="45"/>
  <c r="S192" i="45" s="1"/>
  <c r="H289" i="45"/>
  <c r="P289" i="45"/>
  <c r="L105" i="33"/>
  <c r="L107" i="33" s="1"/>
  <c r="O164" i="45"/>
  <c r="L165" i="45"/>
  <c r="L192" i="45" s="1"/>
  <c r="Q231" i="45"/>
  <c r="Q289" i="45"/>
  <c r="L296" i="45"/>
  <c r="P164" i="45"/>
  <c r="J231" i="45"/>
  <c r="R231" i="45"/>
  <c r="E296" i="45"/>
  <c r="M296" i="45"/>
  <c r="E255" i="45"/>
  <c r="M255" i="45"/>
  <c r="L97" i="33"/>
  <c r="L99" i="33" s="1"/>
  <c r="F255" i="45"/>
  <c r="N255" i="45"/>
  <c r="J131" i="33"/>
  <c r="J132" i="33" s="1"/>
  <c r="K128" i="33" s="1"/>
  <c r="K130" i="33" s="1"/>
  <c r="J50" i="33"/>
  <c r="J51" i="33" s="1"/>
  <c r="J53" i="33" s="1"/>
  <c r="J165" i="33"/>
  <c r="J144" i="33"/>
  <c r="J60" i="33"/>
  <c r="J61" i="33" s="1"/>
  <c r="J63" i="33" s="1"/>
  <c r="J158" i="33"/>
  <c r="B28" i="32"/>
  <c r="J151" i="33"/>
  <c r="C165" i="32"/>
  <c r="C166" i="32" s="1"/>
  <c r="B78" i="32"/>
  <c r="F165" i="32"/>
  <c r="F166" i="32" s="1"/>
  <c r="A63" i="32" s="1"/>
  <c r="E27" i="18"/>
  <c r="E39" i="18" s="1"/>
  <c r="E49" i="18" s="1"/>
  <c r="C12" i="35"/>
  <c r="M10" i="35"/>
  <c r="V10" i="35"/>
  <c r="V11" i="35" s="1"/>
  <c r="AC11" i="35" s="1"/>
  <c r="F24" i="36"/>
  <c r="E63" i="36"/>
  <c r="E61" i="36" s="1"/>
  <c r="F61" i="36"/>
  <c r="H29" i="11"/>
  <c r="J28" i="11"/>
  <c r="E64" i="36"/>
  <c r="F10" i="36"/>
  <c r="F13" i="36" s="1"/>
  <c r="G8" i="36" s="1"/>
  <c r="E65" i="36"/>
  <c r="C33" i="11"/>
  <c r="D33" i="11" s="1"/>
  <c r="C5" i="57" l="1"/>
  <c r="C7" i="57" s="1"/>
  <c r="C64" i="31"/>
  <c r="C66" i="31" s="1"/>
  <c r="J49" i="27"/>
  <c r="D60" i="31"/>
  <c r="D49" i="31"/>
  <c r="D65" i="27"/>
  <c r="C65" i="27"/>
  <c r="I665" i="40"/>
  <c r="H44" i="10" s="1"/>
  <c r="I43" i="10" s="1"/>
  <c r="I346" i="43"/>
  <c r="N98" i="4"/>
  <c r="M100" i="4"/>
  <c r="I1453" i="40"/>
  <c r="I5" i="26"/>
  <c r="I5" i="1" s="1"/>
  <c r="I64" i="1" s="1"/>
  <c r="J4" i="4"/>
  <c r="I145" i="1"/>
  <c r="J142" i="1" s="1"/>
  <c r="H277" i="48"/>
  <c r="J124" i="10"/>
  <c r="J125" i="10" s="1"/>
  <c r="J28" i="46" s="1"/>
  <c r="I34" i="33"/>
  <c r="I72" i="33" s="1"/>
  <c r="I76" i="33" s="1"/>
  <c r="J31" i="33"/>
  <c r="J33" i="33" s="1"/>
  <c r="H72" i="18"/>
  <c r="I72" i="18" s="1"/>
  <c r="J72" i="18" s="1"/>
  <c r="K72" i="18" s="1"/>
  <c r="L72" i="18" s="1"/>
  <c r="M72" i="18" s="1"/>
  <c r="N72" i="18" s="1"/>
  <c r="O72" i="18" s="1"/>
  <c r="P72" i="18" s="1"/>
  <c r="Q72" i="18" s="1"/>
  <c r="I90" i="1"/>
  <c r="I91" i="1" s="1"/>
  <c r="G13" i="27" s="1"/>
  <c r="J85" i="1"/>
  <c r="J90" i="1" s="1"/>
  <c r="H195" i="48"/>
  <c r="C49" i="31"/>
  <c r="H120" i="48"/>
  <c r="H119" i="48" s="1"/>
  <c r="C67" i="31"/>
  <c r="K49" i="45"/>
  <c r="L49" i="45" s="1"/>
  <c r="M49" i="45" s="1"/>
  <c r="N49" i="45" s="1"/>
  <c r="O49" i="45" s="1"/>
  <c r="P49" i="45" s="1"/>
  <c r="Q49" i="45" s="1"/>
  <c r="R49" i="45" s="1"/>
  <c r="S49" i="45" s="1"/>
  <c r="I150" i="1"/>
  <c r="J148" i="1" s="1"/>
  <c r="I101" i="1"/>
  <c r="J1459" i="40"/>
  <c r="H7" i="46"/>
  <c r="J361" i="43"/>
  <c r="J315" i="43"/>
  <c r="J322" i="43" s="1"/>
  <c r="I71" i="33"/>
  <c r="G34" i="43"/>
  <c r="I106" i="1"/>
  <c r="J356" i="43"/>
  <c r="J78" i="40"/>
  <c r="K30" i="33"/>
  <c r="L27" i="33" s="1"/>
  <c r="L30" i="33" s="1"/>
  <c r="M27" i="33" s="1"/>
  <c r="M30" i="33" s="1"/>
  <c r="N27" i="33" s="1"/>
  <c r="N30" i="33" s="1"/>
  <c r="J20" i="33"/>
  <c r="K17" i="33" s="1"/>
  <c r="F976" i="40"/>
  <c r="G916" i="40" s="1"/>
  <c r="F747" i="40"/>
  <c r="E979" i="40"/>
  <c r="E824" i="40"/>
  <c r="J1039" i="40"/>
  <c r="J1053" i="40"/>
  <c r="J1055" i="40" s="1"/>
  <c r="J1357" i="40"/>
  <c r="H1446" i="40"/>
  <c r="H1460" i="40" s="1"/>
  <c r="G67" i="10" s="1"/>
  <c r="I1345" i="40"/>
  <c r="J1057" i="40"/>
  <c r="J1058" i="40" s="1"/>
  <c r="J1042" i="40"/>
  <c r="J1363" i="40"/>
  <c r="J906" i="40"/>
  <c r="J907" i="40" s="1"/>
  <c r="J908" i="40" s="1"/>
  <c r="I85" i="10" s="1"/>
  <c r="J892" i="40"/>
  <c r="J893" i="40" s="1"/>
  <c r="J1453" i="40"/>
  <c r="J1335" i="40"/>
  <c r="J1233" i="40"/>
  <c r="J1329" i="40" s="1"/>
  <c r="E297" i="43"/>
  <c r="I52" i="48"/>
  <c r="I14" i="27"/>
  <c r="E331" i="40"/>
  <c r="K73" i="46"/>
  <c r="L73" i="46" s="1"/>
  <c r="M73" i="46" s="1"/>
  <c r="N73" i="46" s="1"/>
  <c r="O73" i="46" s="1"/>
  <c r="P73" i="46" s="1"/>
  <c r="Q73" i="46" s="1"/>
  <c r="R73" i="46" s="1"/>
  <c r="S73" i="46" s="1"/>
  <c r="D331" i="40"/>
  <c r="E34" i="43"/>
  <c r="F53" i="27"/>
  <c r="F43" i="27"/>
  <c r="C60" i="31" s="1"/>
  <c r="H133" i="48"/>
  <c r="I127" i="48"/>
  <c r="H24" i="26"/>
  <c r="H112" i="48"/>
  <c r="H124" i="48" s="1"/>
  <c r="H349" i="48" s="1"/>
  <c r="F60" i="27"/>
  <c r="G363" i="43"/>
  <c r="H22" i="27"/>
  <c r="G771" i="40"/>
  <c r="N923" i="40" s="1"/>
  <c r="D13" i="27"/>
  <c r="D16" i="27" s="1"/>
  <c r="F13" i="27"/>
  <c r="J108" i="45"/>
  <c r="I331" i="40"/>
  <c r="G331" i="40"/>
  <c r="H27" i="43"/>
  <c r="H75" i="43" s="1"/>
  <c r="D27" i="27"/>
  <c r="F185" i="48" s="1"/>
  <c r="F180" i="48" s="1"/>
  <c r="F186" i="48" s="1"/>
  <c r="F282" i="48" s="1"/>
  <c r="E13" i="27"/>
  <c r="E16" i="27" s="1"/>
  <c r="J109" i="45"/>
  <c r="G36" i="43"/>
  <c r="K24" i="1"/>
  <c r="L24" i="1" s="1"/>
  <c r="M24" i="1" s="1"/>
  <c r="N24" i="1" s="1"/>
  <c r="O24" i="1" s="1"/>
  <c r="P24" i="1" s="1"/>
  <c r="Q24" i="1" s="1"/>
  <c r="R24" i="1" s="1"/>
  <c r="S24" i="1" s="1"/>
  <c r="K17" i="1"/>
  <c r="L17" i="1" s="1"/>
  <c r="M17" i="1" s="1"/>
  <c r="N17" i="1" s="1"/>
  <c r="O17" i="1" s="1"/>
  <c r="P17" i="1" s="1"/>
  <c r="Q17" i="1" s="1"/>
  <c r="R17" i="1" s="1"/>
  <c r="S17" i="1" s="1"/>
  <c r="E747" i="40"/>
  <c r="E919" i="40"/>
  <c r="E923" i="40" s="1"/>
  <c r="C13" i="27"/>
  <c r="C16" i="27" s="1"/>
  <c r="C27" i="27"/>
  <c r="E185" i="48" s="1"/>
  <c r="E180" i="48" s="1"/>
  <c r="M13" i="10"/>
  <c r="I31" i="31"/>
  <c r="F31" i="31"/>
  <c r="K31" i="31"/>
  <c r="E31" i="31"/>
  <c r="H31" i="31"/>
  <c r="D31" i="31"/>
  <c r="J31" i="31"/>
  <c r="G31" i="31"/>
  <c r="G27" i="31"/>
  <c r="I77" i="58"/>
  <c r="J27" i="31"/>
  <c r="L77" i="58"/>
  <c r="I27" i="31"/>
  <c r="K77" i="58"/>
  <c r="K27" i="31"/>
  <c r="M77" i="58"/>
  <c r="K75" i="46"/>
  <c r="L75" i="46" s="1"/>
  <c r="M75" i="46" s="1"/>
  <c r="N75" i="46" s="1"/>
  <c r="O75" i="46" s="1"/>
  <c r="P75" i="46" s="1"/>
  <c r="Q75" i="46" s="1"/>
  <c r="R75" i="46" s="1"/>
  <c r="S75" i="46" s="1"/>
  <c r="H27" i="31"/>
  <c r="J77" i="58"/>
  <c r="F27" i="31"/>
  <c r="H77" i="58"/>
  <c r="C27" i="31"/>
  <c r="E77" i="58"/>
  <c r="D27" i="31"/>
  <c r="F77" i="58"/>
  <c r="E27" i="31"/>
  <c r="G77" i="58"/>
  <c r="E4" i="57"/>
  <c r="L119" i="4"/>
  <c r="G24" i="26"/>
  <c r="K16" i="1"/>
  <c r="L16" i="1" s="1"/>
  <c r="M16" i="1" s="1"/>
  <c r="N16" i="1" s="1"/>
  <c r="O16" i="1" s="1"/>
  <c r="P16" i="1" s="1"/>
  <c r="Q16" i="1" s="1"/>
  <c r="R16" i="1" s="1"/>
  <c r="S16" i="1" s="1"/>
  <c r="F5" i="57"/>
  <c r="E8" i="57"/>
  <c r="F34" i="26"/>
  <c r="F52" i="48" s="1"/>
  <c r="K110" i="1"/>
  <c r="L110" i="1" s="1"/>
  <c r="F23" i="10"/>
  <c r="D258" i="40"/>
  <c r="D124" i="40" s="1"/>
  <c r="K45" i="45"/>
  <c r="L45" i="45" s="1"/>
  <c r="H29" i="45"/>
  <c r="F771" i="40"/>
  <c r="F788" i="40" s="1"/>
  <c r="H37" i="43"/>
  <c r="D379" i="40"/>
  <c r="D330" i="40" s="1"/>
  <c r="I176" i="43"/>
  <c r="I30" i="43" s="1"/>
  <c r="K195" i="1"/>
  <c r="E27" i="28" s="1"/>
  <c r="J137" i="48"/>
  <c r="I195" i="48"/>
  <c r="J168" i="48"/>
  <c r="E53" i="31"/>
  <c r="C123" i="31"/>
  <c r="I52" i="27"/>
  <c r="I26" i="27"/>
  <c r="J10" i="45"/>
  <c r="J17" i="10"/>
  <c r="E146" i="4"/>
  <c r="H71" i="4"/>
  <c r="H94" i="45"/>
  <c r="H117" i="45" s="1"/>
  <c r="K48" i="45"/>
  <c r="L48" i="45" s="1"/>
  <c r="M48" i="45" s="1"/>
  <c r="N48" i="45" s="1"/>
  <c r="O48" i="45" s="1"/>
  <c r="P48" i="45" s="1"/>
  <c r="Q48" i="45" s="1"/>
  <c r="R48" i="45" s="1"/>
  <c r="S48" i="45" s="1"/>
  <c r="K31" i="46"/>
  <c r="L31" i="46" s="1"/>
  <c r="M31" i="46" s="1"/>
  <c r="N31" i="46" s="1"/>
  <c r="O31" i="46" s="1"/>
  <c r="P31" i="46" s="1"/>
  <c r="Q31" i="46" s="1"/>
  <c r="R31" i="46" s="1"/>
  <c r="S31" i="46" s="1"/>
  <c r="V12" i="35"/>
  <c r="AC12" i="35" s="1"/>
  <c r="S98" i="35"/>
  <c r="O98" i="35" s="1"/>
  <c r="M98" i="35"/>
  <c r="AA11" i="35"/>
  <c r="B100" i="35"/>
  <c r="I99" i="35"/>
  <c r="E99" i="35" s="1"/>
  <c r="L99" i="35"/>
  <c r="C99" i="35"/>
  <c r="H65" i="45"/>
  <c r="I30" i="48"/>
  <c r="C116" i="31"/>
  <c r="I38" i="27"/>
  <c r="C131" i="31"/>
  <c r="I593" i="40"/>
  <c r="H39" i="10" s="1"/>
  <c r="I34" i="10" s="1"/>
  <c r="D73" i="40"/>
  <c r="E36" i="43"/>
  <c r="M130" i="1"/>
  <c r="N130" i="1" s="1"/>
  <c r="H331" i="40"/>
  <c r="E369" i="43"/>
  <c r="I1436" i="40"/>
  <c r="H66" i="10" s="1"/>
  <c r="I194" i="48"/>
  <c r="H140" i="48"/>
  <c r="H246" i="48" s="1"/>
  <c r="I29" i="48"/>
  <c r="I38" i="48"/>
  <c r="H144" i="48"/>
  <c r="F360" i="48"/>
  <c r="F292" i="48"/>
  <c r="F302" i="48"/>
  <c r="G349" i="48"/>
  <c r="F125" i="48"/>
  <c r="G360" i="48"/>
  <c r="H73" i="40"/>
  <c r="G10" i="4" s="1"/>
  <c r="H152" i="48"/>
  <c r="H192" i="48"/>
  <c r="H341" i="48"/>
  <c r="H151" i="48"/>
  <c r="F297" i="43"/>
  <c r="H147" i="48"/>
  <c r="E35" i="43"/>
  <c r="G19" i="48"/>
  <c r="I135" i="48"/>
  <c r="K67" i="1"/>
  <c r="J122" i="48"/>
  <c r="H176" i="43"/>
  <c r="H30" i="43" s="1"/>
  <c r="H34" i="48"/>
  <c r="F11" i="46"/>
  <c r="I34" i="43"/>
  <c r="F58" i="48"/>
  <c r="F91" i="48"/>
  <c r="F349" i="48"/>
  <c r="E125" i="48"/>
  <c r="E141" i="48" s="1"/>
  <c r="H153" i="48"/>
  <c r="G34" i="48"/>
  <c r="E37" i="43"/>
  <c r="I37" i="48"/>
  <c r="G148" i="48"/>
  <c r="H150" i="48"/>
  <c r="D27" i="43"/>
  <c r="D75" i="43" s="1"/>
  <c r="I908" i="40"/>
  <c r="H85" i="10" s="1"/>
  <c r="H88" i="10" s="1"/>
  <c r="E981" i="40"/>
  <c r="E982" i="40" s="1"/>
  <c r="F73" i="40"/>
  <c r="E10" i="4" s="1"/>
  <c r="D37" i="43"/>
  <c r="H280" i="40"/>
  <c r="G19" i="10" s="1"/>
  <c r="G60" i="45" s="1"/>
  <c r="G297" i="43"/>
  <c r="F36" i="43"/>
  <c r="I473" i="40"/>
  <c r="H31" i="10" s="1"/>
  <c r="I280" i="40"/>
  <c r="H19" i="10" s="1"/>
  <c r="H60" i="45" s="1"/>
  <c r="G356" i="43"/>
  <c r="D983" i="40"/>
  <c r="F27" i="43"/>
  <c r="F75" i="43" s="1"/>
  <c r="I36" i="43"/>
  <c r="K25" i="10"/>
  <c r="G146" i="4"/>
  <c r="A19" i="32"/>
  <c r="L86" i="1"/>
  <c r="D297" i="43"/>
  <c r="E176" i="43"/>
  <c r="E30" i="43" s="1"/>
  <c r="E788" i="40"/>
  <c r="I274" i="43"/>
  <c r="I31" i="43" s="1"/>
  <c r="L58" i="4"/>
  <c r="M58" i="4" s="1"/>
  <c r="O58" i="4" s="1"/>
  <c r="P58" i="4" s="1"/>
  <c r="Q58" i="4" s="1"/>
  <c r="R58" i="4" s="1"/>
  <c r="S58" i="4" s="1"/>
  <c r="E1243" i="40"/>
  <c r="E97" i="46"/>
  <c r="E356" i="43"/>
  <c r="G71" i="4"/>
  <c r="F331" i="40"/>
  <c r="G78" i="40"/>
  <c r="G83" i="40" s="1"/>
  <c r="G107" i="40" s="1"/>
  <c r="G473" i="40"/>
  <c r="F31" i="10" s="1"/>
  <c r="H788" i="40"/>
  <c r="G35" i="43"/>
  <c r="J22" i="45"/>
  <c r="J82" i="45" s="1"/>
  <c r="I788" i="40"/>
  <c r="H322" i="43"/>
  <c r="E363" i="43"/>
  <c r="F274" i="43"/>
  <c r="F31" i="43" s="1"/>
  <c r="H36" i="43"/>
  <c r="D788" i="40"/>
  <c r="I37" i="43"/>
  <c r="I35" i="43"/>
  <c r="E27" i="43"/>
  <c r="E75" i="43" s="1"/>
  <c r="F37" i="43"/>
  <c r="K126" i="4"/>
  <c r="L126" i="4" s="1"/>
  <c r="J63" i="45"/>
  <c r="C4" i="27"/>
  <c r="E49" i="26"/>
  <c r="H4" i="10"/>
  <c r="F4" i="18" s="1"/>
  <c r="H49" i="26"/>
  <c r="K72" i="46"/>
  <c r="L72" i="46" s="1"/>
  <c r="M72" i="46" s="1"/>
  <c r="N72" i="46" s="1"/>
  <c r="O72" i="46" s="1"/>
  <c r="P72" i="46" s="1"/>
  <c r="Q72" i="46" s="1"/>
  <c r="R72" i="46" s="1"/>
  <c r="S72" i="46" s="1"/>
  <c r="K29" i="45"/>
  <c r="K189" i="1" s="1"/>
  <c r="AA191" i="1" s="1"/>
  <c r="G144" i="4"/>
  <c r="G102" i="4"/>
  <c r="G101" i="4" s="1"/>
  <c r="G169" i="45" s="1"/>
  <c r="E69" i="10"/>
  <c r="H97" i="46"/>
  <c r="G97" i="46"/>
  <c r="K72" i="1"/>
  <c r="L72" i="1" s="1"/>
  <c r="K74" i="46"/>
  <c r="L74" i="46" s="1"/>
  <c r="M74" i="46" s="1"/>
  <c r="N74" i="46" s="1"/>
  <c r="O74" i="46" s="1"/>
  <c r="P74" i="46" s="1"/>
  <c r="Q74" i="46" s="1"/>
  <c r="R74" i="46" s="1"/>
  <c r="S74" i="46" s="1"/>
  <c r="K13" i="46"/>
  <c r="L13" i="46" s="1"/>
  <c r="M13" i="46" s="1"/>
  <c r="N13" i="46" s="1"/>
  <c r="O13" i="46" s="1"/>
  <c r="P13" i="46" s="1"/>
  <c r="Q13" i="46" s="1"/>
  <c r="R13" i="46" s="1"/>
  <c r="S13" i="46" s="1"/>
  <c r="J105" i="46"/>
  <c r="J137" i="33"/>
  <c r="J138" i="33" s="1"/>
  <c r="J139" i="33" s="1"/>
  <c r="K135" i="33" s="1"/>
  <c r="K137" i="33" s="1"/>
  <c r="J40" i="33"/>
  <c r="J41" i="33" s="1"/>
  <c r="J43" i="33" s="1"/>
  <c r="F4" i="27"/>
  <c r="H5" i="1"/>
  <c r="K44" i="45"/>
  <c r="H303" i="45"/>
  <c r="M166" i="45"/>
  <c r="K32" i="45"/>
  <c r="N166" i="45"/>
  <c r="P166" i="45"/>
  <c r="O166" i="45"/>
  <c r="E173" i="45"/>
  <c r="E84" i="4" s="1"/>
  <c r="E171" i="45"/>
  <c r="E82" i="4" s="1"/>
  <c r="E172" i="45"/>
  <c r="E83" i="4" s="1"/>
  <c r="Q303" i="45"/>
  <c r="P303" i="45"/>
  <c r="G303" i="45"/>
  <c r="L303" i="45"/>
  <c r="K303" i="45"/>
  <c r="S303" i="45"/>
  <c r="O303" i="45"/>
  <c r="M303" i="45"/>
  <c r="E303" i="45"/>
  <c r="J123" i="45"/>
  <c r="G76" i="45"/>
  <c r="G120" i="45"/>
  <c r="G114" i="1" s="1"/>
  <c r="J303" i="45"/>
  <c r="R303" i="45"/>
  <c r="H50" i="26"/>
  <c r="N69" i="1"/>
  <c r="O69" i="1" s="1"/>
  <c r="E27" i="27"/>
  <c r="G201" i="48" s="1"/>
  <c r="G203" i="48" s="1"/>
  <c r="F15" i="26"/>
  <c r="K76" i="1"/>
  <c r="K193" i="1"/>
  <c r="E31" i="28" s="1"/>
  <c r="E67" i="28" s="1"/>
  <c r="K89" i="1"/>
  <c r="E193" i="45"/>
  <c r="J33" i="26"/>
  <c r="K14" i="46"/>
  <c r="L14" i="46" s="1"/>
  <c r="M14" i="46" s="1"/>
  <c r="N14" i="46" s="1"/>
  <c r="O14" i="46" s="1"/>
  <c r="P14" i="46" s="1"/>
  <c r="Q14" i="46" s="1"/>
  <c r="R14" i="46" s="1"/>
  <c r="S14" i="46" s="1"/>
  <c r="O923" i="40"/>
  <c r="H24" i="10"/>
  <c r="H73" i="10" s="1"/>
  <c r="I73" i="40"/>
  <c r="H10" i="4" s="1"/>
  <c r="E73" i="40"/>
  <c r="P923" i="40"/>
  <c r="G24" i="10"/>
  <c r="G73" i="10" s="1"/>
  <c r="F24" i="10"/>
  <c r="F73" i="10" s="1"/>
  <c r="E24" i="10"/>
  <c r="E73" i="10" s="1"/>
  <c r="E473" i="40"/>
  <c r="F473" i="40"/>
  <c r="E31" i="10" s="1"/>
  <c r="F280" i="40"/>
  <c r="E19" i="10" s="1"/>
  <c r="E60" i="45" s="1"/>
  <c r="E96" i="40"/>
  <c r="E120" i="40" s="1"/>
  <c r="F146" i="4"/>
  <c r="E116" i="40"/>
  <c r="E280" i="40"/>
  <c r="E145" i="4"/>
  <c r="E83" i="40"/>
  <c r="E107" i="40" s="1"/>
  <c r="F71" i="4"/>
  <c r="F72" i="4"/>
  <c r="E72" i="4"/>
  <c r="E71" i="4"/>
  <c r="F69" i="10"/>
  <c r="G280" i="40"/>
  <c r="F19" i="10" s="1"/>
  <c r="F60" i="45" s="1"/>
  <c r="G176" i="43"/>
  <c r="G369" i="43"/>
  <c r="F356" i="43"/>
  <c r="H369" i="43"/>
  <c r="D176" i="43"/>
  <c r="D274" i="43"/>
  <c r="D31" i="43" s="1"/>
  <c r="H34" i="43"/>
  <c r="H363" i="43"/>
  <c r="I297" i="43"/>
  <c r="G37" i="43"/>
  <c r="E274" i="43"/>
  <c r="E31" i="43" s="1"/>
  <c r="H274" i="43"/>
  <c r="H31" i="43" s="1"/>
  <c r="B2" i="32"/>
  <c r="B3" i="7" s="1"/>
  <c r="B2" i="45" s="1"/>
  <c r="B2" i="46" s="1"/>
  <c r="I1059" i="40"/>
  <c r="H108" i="10" s="1"/>
  <c r="H97" i="45"/>
  <c r="F303" i="45"/>
  <c r="E322" i="43"/>
  <c r="J77" i="1"/>
  <c r="F363" i="43"/>
  <c r="I27" i="43"/>
  <c r="I75" i="43" s="1"/>
  <c r="G27" i="43"/>
  <c r="G75" i="43" s="1"/>
  <c r="H145" i="4"/>
  <c r="G274" i="43"/>
  <c r="G31" i="43" s="1"/>
  <c r="H1436" i="40"/>
  <c r="G66" i="10" s="1"/>
  <c r="H144" i="4"/>
  <c r="K94" i="1"/>
  <c r="H103" i="4"/>
  <c r="H101" i="4" s="1"/>
  <c r="I322" i="43"/>
  <c r="I356" i="43"/>
  <c r="H297" i="43"/>
  <c r="H35" i="43"/>
  <c r="I363" i="43"/>
  <c r="J124" i="33"/>
  <c r="J125" i="33" s="1"/>
  <c r="K121" i="33" s="1"/>
  <c r="K123" i="33" s="1"/>
  <c r="G322" i="43"/>
  <c r="M109" i="4"/>
  <c r="F34" i="43"/>
  <c r="I18" i="18"/>
  <c r="L29" i="4"/>
  <c r="D1339" i="40"/>
  <c r="D36" i="43"/>
  <c r="F176" i="43"/>
  <c r="F30" i="43" s="1"/>
  <c r="N303" i="45"/>
  <c r="E29" i="1"/>
  <c r="E50" i="26"/>
  <c r="H473" i="40"/>
  <c r="G31" i="10" s="1"/>
  <c r="K15" i="1"/>
  <c r="K138" i="45"/>
  <c r="L138" i="45" s="1"/>
  <c r="M138" i="45" s="1"/>
  <c r="N138" i="45" s="1"/>
  <c r="O138" i="45" s="1"/>
  <c r="P138" i="45" s="1"/>
  <c r="Q138" i="45" s="1"/>
  <c r="R138" i="45" s="1"/>
  <c r="S138" i="45" s="1"/>
  <c r="H356" i="43"/>
  <c r="E372" i="40"/>
  <c r="C171" i="31"/>
  <c r="K26" i="1"/>
  <c r="L26" i="1" s="1"/>
  <c r="M26" i="1" s="1"/>
  <c r="N26" i="1" s="1"/>
  <c r="O26" i="1" s="1"/>
  <c r="P26" i="1" s="1"/>
  <c r="Q26" i="1" s="1"/>
  <c r="R26" i="1" s="1"/>
  <c r="S26" i="1" s="1"/>
  <c r="D35" i="43"/>
  <c r="G73" i="40"/>
  <c r="F10" i="4" s="1"/>
  <c r="F35" i="43"/>
  <c r="D34" i="43"/>
  <c r="K173" i="33"/>
  <c r="K174" i="33" s="1"/>
  <c r="L170" i="33" s="1"/>
  <c r="L172" i="33" s="1"/>
  <c r="H98" i="45"/>
  <c r="J145" i="33"/>
  <c r="J146" i="33" s="1"/>
  <c r="K142" i="33" s="1"/>
  <c r="K144" i="33" s="1"/>
  <c r="J166" i="33"/>
  <c r="J167" i="33" s="1"/>
  <c r="K163" i="33" s="1"/>
  <c r="K165" i="33" s="1"/>
  <c r="K131" i="33"/>
  <c r="K132" i="33" s="1"/>
  <c r="L128" i="33" s="1"/>
  <c r="L130" i="33" s="1"/>
  <c r="L58" i="1"/>
  <c r="K62" i="1"/>
  <c r="K39" i="1" s="1"/>
  <c r="F101" i="58" s="1"/>
  <c r="K122" i="10"/>
  <c r="L35" i="4"/>
  <c r="M11" i="35"/>
  <c r="K130" i="45"/>
  <c r="L131" i="1"/>
  <c r="L99" i="1"/>
  <c r="J14" i="1"/>
  <c r="J50" i="27"/>
  <c r="F912" i="40"/>
  <c r="E974" i="40"/>
  <c r="K18" i="1"/>
  <c r="L18" i="1" s="1"/>
  <c r="M18" i="1" s="1"/>
  <c r="N18" i="1" s="1"/>
  <c r="O18" i="1" s="1"/>
  <c r="P18" i="1" s="1"/>
  <c r="Q18" i="1" s="1"/>
  <c r="R18" i="1" s="1"/>
  <c r="S18" i="1" s="1"/>
  <c r="AE135" i="46"/>
  <c r="G826" i="40"/>
  <c r="G752" i="40"/>
  <c r="M110" i="4"/>
  <c r="G4" i="43"/>
  <c r="G79" i="43" s="1"/>
  <c r="H4" i="40"/>
  <c r="G1462" i="40"/>
  <c r="H102" i="40"/>
  <c r="H83" i="40"/>
  <c r="H107" i="40" s="1"/>
  <c r="K47" i="33"/>
  <c r="K50" i="33" s="1"/>
  <c r="J110" i="45"/>
  <c r="J122" i="45" s="1"/>
  <c r="J126" i="46"/>
  <c r="K123" i="4"/>
  <c r="C52" i="7"/>
  <c r="D44" i="7"/>
  <c r="E341" i="40"/>
  <c r="E355" i="40" s="1"/>
  <c r="E360" i="40"/>
  <c r="G7" i="46"/>
  <c r="G10" i="26"/>
  <c r="I102" i="40"/>
  <c r="I83" i="40"/>
  <c r="I107" i="40" s="1"/>
  <c r="J48" i="43"/>
  <c r="J55" i="43" s="1"/>
  <c r="I55" i="43"/>
  <c r="H116" i="40"/>
  <c r="H96" i="40"/>
  <c r="E66" i="36"/>
  <c r="F28" i="36"/>
  <c r="D96" i="58" s="1"/>
  <c r="F20" i="36"/>
  <c r="F23" i="36" s="1"/>
  <c r="J27" i="1"/>
  <c r="J34" i="26" s="1"/>
  <c r="K13" i="1"/>
  <c r="L94" i="46"/>
  <c r="L17" i="46" s="1"/>
  <c r="M87" i="46"/>
  <c r="J133" i="1"/>
  <c r="K44" i="1"/>
  <c r="J51" i="1"/>
  <c r="J10" i="1" s="1"/>
  <c r="J18" i="18"/>
  <c r="M120" i="4"/>
  <c r="G12" i="31" s="1"/>
  <c r="K15" i="46"/>
  <c r="K37" i="45"/>
  <c r="D832" i="40"/>
  <c r="D833" i="40" s="1"/>
  <c r="E754" i="40"/>
  <c r="I16" i="18"/>
  <c r="K106" i="45"/>
  <c r="K116" i="4"/>
  <c r="F369" i="43"/>
  <c r="F92" i="40"/>
  <c r="H56" i="43"/>
  <c r="I49" i="43"/>
  <c r="F147" i="40"/>
  <c r="F253" i="40"/>
  <c r="F134" i="40"/>
  <c r="F239" i="40"/>
  <c r="G90" i="40"/>
  <c r="G114" i="40" s="1"/>
  <c r="G109" i="40"/>
  <c r="M98" i="1"/>
  <c r="J149" i="45"/>
  <c r="J25" i="45" s="1"/>
  <c r="K143" i="45"/>
  <c r="L100" i="45"/>
  <c r="J85" i="46"/>
  <c r="J16" i="46" s="1"/>
  <c r="K79" i="46"/>
  <c r="K214" i="1"/>
  <c r="K210" i="1"/>
  <c r="K132" i="1" s="1"/>
  <c r="L204" i="1"/>
  <c r="J62" i="1"/>
  <c r="J39" i="1" s="1"/>
  <c r="E101" i="58" s="1"/>
  <c r="J63" i="27"/>
  <c r="K104" i="1"/>
  <c r="I17" i="18"/>
  <c r="K107" i="45"/>
  <c r="K26" i="46"/>
  <c r="L50" i="4"/>
  <c r="K117" i="4"/>
  <c r="F1327" i="40"/>
  <c r="F1236" i="40"/>
  <c r="H146" i="4"/>
  <c r="F97" i="46"/>
  <c r="F144" i="4"/>
  <c r="F145" i="4"/>
  <c r="D92" i="40"/>
  <c r="D369" i="43"/>
  <c r="H54" i="43"/>
  <c r="I47" i="43"/>
  <c r="E109" i="40"/>
  <c r="E90" i="40"/>
  <c r="E114" i="40" s="1"/>
  <c r="D109" i="40"/>
  <c r="D90" i="40"/>
  <c r="D114" i="40" s="1"/>
  <c r="H70" i="4"/>
  <c r="K57" i="33"/>
  <c r="K60" i="33" s="1"/>
  <c r="J152" i="33"/>
  <c r="J153" i="33" s="1"/>
  <c r="K149" i="33" s="1"/>
  <c r="K151" i="33" s="1"/>
  <c r="M105" i="33"/>
  <c r="M107" i="33" s="1"/>
  <c r="F11" i="1"/>
  <c r="F28" i="1" s="1"/>
  <c r="F29" i="1" s="1"/>
  <c r="K75" i="1"/>
  <c r="I28" i="27"/>
  <c r="K100" i="1"/>
  <c r="H106" i="1"/>
  <c r="H107" i="1" s="1"/>
  <c r="L145" i="4"/>
  <c r="L47" i="4"/>
  <c r="K49" i="27"/>
  <c r="D6" i="36"/>
  <c r="G5" i="46"/>
  <c r="G64" i="1"/>
  <c r="F5" i="1"/>
  <c r="E1332" i="40"/>
  <c r="E1339" i="40" s="1"/>
  <c r="J5" i="26"/>
  <c r="K4" i="4"/>
  <c r="H10" i="26"/>
  <c r="E378" i="40"/>
  <c r="F350" i="40"/>
  <c r="I92" i="40"/>
  <c r="I369" i="43"/>
  <c r="D363" i="43"/>
  <c r="I90" i="40"/>
  <c r="I114" i="40" s="1"/>
  <c r="D83" i="40"/>
  <c r="D107" i="40" s="1"/>
  <c r="D102" i="40"/>
  <c r="O40" i="10"/>
  <c r="J133" i="45"/>
  <c r="J139" i="45" s="1"/>
  <c r="J16" i="45" s="1"/>
  <c r="K43" i="45"/>
  <c r="J26" i="26"/>
  <c r="J102" i="46"/>
  <c r="K32" i="46"/>
  <c r="J23" i="26"/>
  <c r="AD145" i="46"/>
  <c r="AD139" i="46"/>
  <c r="L71" i="1"/>
  <c r="K47" i="45"/>
  <c r="L73" i="4"/>
  <c r="M73" i="4" s="1"/>
  <c r="N73" i="4" s="1"/>
  <c r="O73" i="4" s="1"/>
  <c r="P73" i="4" s="1"/>
  <c r="Q73" i="4" s="1"/>
  <c r="R73" i="4" s="1"/>
  <c r="S73" i="4" s="1"/>
  <c r="K25" i="1"/>
  <c r="L25" i="1" s="1"/>
  <c r="M25" i="1" s="1"/>
  <c r="N25" i="1" s="1"/>
  <c r="O25" i="1" s="1"/>
  <c r="P25" i="1" s="1"/>
  <c r="Q25" i="1" s="1"/>
  <c r="R25" i="1" s="1"/>
  <c r="S25" i="1" s="1"/>
  <c r="E4" i="18"/>
  <c r="F4" i="10"/>
  <c r="E4" i="10" s="1"/>
  <c r="L30" i="4"/>
  <c r="G745" i="40"/>
  <c r="F824" i="40"/>
  <c r="I50" i="43"/>
  <c r="H57" i="43"/>
  <c r="I187" i="4"/>
  <c r="F322" i="43"/>
  <c r="M8" i="4"/>
  <c r="F7" i="46"/>
  <c r="F10" i="26"/>
  <c r="H90" i="40"/>
  <c r="H114" i="40" s="1"/>
  <c r="H109" i="40"/>
  <c r="G116" i="40"/>
  <c r="G96" i="40"/>
  <c r="G14" i="36"/>
  <c r="G10" i="36" s="1"/>
  <c r="G13" i="36" s="1"/>
  <c r="H8" i="36" s="1"/>
  <c r="K7" i="1"/>
  <c r="J9" i="1"/>
  <c r="F33" i="11"/>
  <c r="C34" i="11"/>
  <c r="D34" i="11" s="1"/>
  <c r="B79" i="32"/>
  <c r="J29" i="11"/>
  <c r="H30" i="11"/>
  <c r="J30" i="11" s="1"/>
  <c r="W10" i="35"/>
  <c r="AF10" i="35"/>
  <c r="AF11" i="35" s="1"/>
  <c r="AM11" i="35" s="1"/>
  <c r="M88" i="33"/>
  <c r="M91" i="33" s="1"/>
  <c r="K53" i="45"/>
  <c r="H31" i="18"/>
  <c r="H43" i="18" s="1"/>
  <c r="H53" i="18" s="1"/>
  <c r="K111" i="1"/>
  <c r="G50" i="26"/>
  <c r="AE136" i="46"/>
  <c r="L146" i="4"/>
  <c r="C189" i="4"/>
  <c r="C190" i="4" s="1"/>
  <c r="L52" i="45"/>
  <c r="E246" i="40"/>
  <c r="E141" i="40"/>
  <c r="E148" i="40" s="1"/>
  <c r="F90" i="40"/>
  <c r="F114" i="40" s="1"/>
  <c r="F109" i="40"/>
  <c r="F367" i="40"/>
  <c r="F348" i="40"/>
  <c r="F83" i="40"/>
  <c r="F107" i="40" s="1"/>
  <c r="F102" i="40"/>
  <c r="D30" i="43"/>
  <c r="D32" i="43" s="1"/>
  <c r="D298" i="43"/>
  <c r="J159" i="33"/>
  <c r="J160" i="33" s="1"/>
  <c r="K156" i="33" s="1"/>
  <c r="K158" i="33" s="1"/>
  <c r="B29" i="32"/>
  <c r="M97" i="33"/>
  <c r="M99" i="33" s="1"/>
  <c r="K68" i="1"/>
  <c r="K83" i="1"/>
  <c r="M144" i="4"/>
  <c r="K54" i="1"/>
  <c r="J56" i="1"/>
  <c r="J37" i="1" s="1"/>
  <c r="E99" i="58" s="1"/>
  <c r="E7" i="46"/>
  <c r="E10" i="26"/>
  <c r="F1320" i="40"/>
  <c r="F1229" i="40"/>
  <c r="M124" i="4"/>
  <c r="I19" i="18"/>
  <c r="L121" i="4"/>
  <c r="F13" i="31" s="1"/>
  <c r="J29" i="26"/>
  <c r="F1334" i="40"/>
  <c r="F1242" i="40"/>
  <c r="G70" i="4"/>
  <c r="J52" i="27" l="1"/>
  <c r="L195" i="1"/>
  <c r="F27" i="28" s="1"/>
  <c r="D5" i="57"/>
  <c r="D7" i="57" s="1"/>
  <c r="J14" i="27"/>
  <c r="D45" i="31"/>
  <c r="I4" i="10"/>
  <c r="G4" i="18" s="1"/>
  <c r="D116" i="31"/>
  <c r="O98" i="4"/>
  <c r="N100" i="4"/>
  <c r="I49" i="26"/>
  <c r="G4" i="27"/>
  <c r="H7" i="18"/>
  <c r="J12" i="45"/>
  <c r="J81" i="45" s="1"/>
  <c r="J194" i="48"/>
  <c r="J126" i="10"/>
  <c r="J101" i="45" s="1"/>
  <c r="J124" i="45" s="1"/>
  <c r="K85" i="1"/>
  <c r="L85" i="1" s="1"/>
  <c r="I115" i="46"/>
  <c r="I129" i="46" s="1"/>
  <c r="J80" i="10"/>
  <c r="G9" i="18"/>
  <c r="G27" i="18" s="1"/>
  <c r="G39" i="18" s="1"/>
  <c r="G49" i="18" s="1"/>
  <c r="K124" i="10"/>
  <c r="K125" i="10" s="1"/>
  <c r="K28" i="46" s="1"/>
  <c r="K22" i="45" s="1"/>
  <c r="K82" i="45" s="1"/>
  <c r="I107" i="1"/>
  <c r="G27" i="27" s="1"/>
  <c r="C32" i="27"/>
  <c r="F16" i="27"/>
  <c r="C45" i="31"/>
  <c r="C47" i="31" s="1"/>
  <c r="F32" i="43"/>
  <c r="K201" i="1"/>
  <c r="I61" i="27" s="1"/>
  <c r="J21" i="33"/>
  <c r="I4" i="33"/>
  <c r="G4" i="32" s="1"/>
  <c r="J102" i="40"/>
  <c r="J83" i="40"/>
  <c r="J107" i="40" s="1"/>
  <c r="J88" i="40"/>
  <c r="J363" i="43"/>
  <c r="J370" i="43" s="1"/>
  <c r="J72" i="43" s="1"/>
  <c r="I17" i="4" s="1"/>
  <c r="I30" i="45" s="1"/>
  <c r="G8" i="27"/>
  <c r="I84" i="33"/>
  <c r="I80" i="33"/>
  <c r="K20" i="33"/>
  <c r="K21" i="33" s="1"/>
  <c r="J10" i="33"/>
  <c r="K7" i="33" s="1"/>
  <c r="K10" i="33" s="1"/>
  <c r="F979" i="40"/>
  <c r="J1043" i="40"/>
  <c r="I86" i="10"/>
  <c r="I87" i="10"/>
  <c r="I1350" i="40"/>
  <c r="I1364" i="40" s="1"/>
  <c r="H63" i="10" s="1"/>
  <c r="I1441" i="40"/>
  <c r="J1059" i="40"/>
  <c r="I108" i="10" s="1"/>
  <c r="F11" i="18"/>
  <c r="F29" i="18" s="1"/>
  <c r="F41" i="18" s="1"/>
  <c r="F51" i="18" s="1"/>
  <c r="I104" i="10"/>
  <c r="H87" i="10"/>
  <c r="I80" i="10"/>
  <c r="I88" i="10" s="1"/>
  <c r="M923" i="40"/>
  <c r="F921" i="40"/>
  <c r="F981" i="40" s="1"/>
  <c r="E3" i="57"/>
  <c r="H4" i="33"/>
  <c r="G102" i="40"/>
  <c r="G370" i="43"/>
  <c r="G72" i="43" s="1"/>
  <c r="F17" i="4" s="1"/>
  <c r="E38" i="43"/>
  <c r="E71" i="43" s="1"/>
  <c r="E76" i="43" s="1"/>
  <c r="E77" i="43" s="1"/>
  <c r="H360" i="48"/>
  <c r="C120" i="31"/>
  <c r="H115" i="46"/>
  <c r="H129" i="46" s="1"/>
  <c r="E32" i="43"/>
  <c r="E60" i="43" s="1"/>
  <c r="G788" i="40"/>
  <c r="H302" i="48"/>
  <c r="C88" i="58"/>
  <c r="F24" i="26"/>
  <c r="H292" i="48"/>
  <c r="E49" i="31"/>
  <c r="I22" i="27"/>
  <c r="K108" i="45"/>
  <c r="F214" i="48"/>
  <c r="F421" i="48" s="1"/>
  <c r="F211" i="48"/>
  <c r="F394" i="48" s="1"/>
  <c r="D32" i="27"/>
  <c r="K109" i="45"/>
  <c r="I120" i="48"/>
  <c r="F291" i="48"/>
  <c r="F293" i="48" s="1"/>
  <c r="F294" i="48" s="1"/>
  <c r="F306" i="48" s="1"/>
  <c r="F316" i="48" s="1"/>
  <c r="F300" i="48"/>
  <c r="F305" i="48" s="1"/>
  <c r="F396" i="48"/>
  <c r="F426" i="48" s="1"/>
  <c r="I190" i="48"/>
  <c r="J49" i="26"/>
  <c r="N13" i="10"/>
  <c r="D23" i="57"/>
  <c r="E23" i="57" s="1"/>
  <c r="E7" i="57"/>
  <c r="G5" i="57"/>
  <c r="F4" i="57"/>
  <c r="H64" i="1"/>
  <c r="D3" i="57"/>
  <c r="J93" i="45"/>
  <c r="K16" i="10"/>
  <c r="K17" i="10" s="1"/>
  <c r="I7" i="18" s="1"/>
  <c r="J11" i="1"/>
  <c r="J28" i="1" s="1"/>
  <c r="J29" i="1" s="1"/>
  <c r="L94" i="1"/>
  <c r="M94" i="1" s="1"/>
  <c r="E298" i="43"/>
  <c r="H38" i="43"/>
  <c r="H43" i="43" s="1"/>
  <c r="C98" i="31"/>
  <c r="F53" i="31"/>
  <c r="D123" i="31"/>
  <c r="J26" i="27"/>
  <c r="H86" i="10"/>
  <c r="F9" i="18"/>
  <c r="F27" i="18" s="1"/>
  <c r="F39" i="18" s="1"/>
  <c r="F49" i="18" s="1"/>
  <c r="J32" i="10"/>
  <c r="K31" i="10" s="1"/>
  <c r="J12" i="46"/>
  <c r="J20" i="10"/>
  <c r="J60" i="45" s="1"/>
  <c r="K10" i="45"/>
  <c r="H96" i="45"/>
  <c r="H119" i="45" s="1"/>
  <c r="H40" i="10"/>
  <c r="I181" i="48"/>
  <c r="J99" i="4"/>
  <c r="AF12" i="35"/>
  <c r="AM12" i="35" s="1"/>
  <c r="S99" i="35"/>
  <c r="O99" i="35" s="1"/>
  <c r="M99" i="35"/>
  <c r="V13" i="35"/>
  <c r="B101" i="35"/>
  <c r="L100" i="35"/>
  <c r="M100" i="35" s="1"/>
  <c r="C100" i="35"/>
  <c r="I8" i="48"/>
  <c r="I19" i="48"/>
  <c r="E116" i="31"/>
  <c r="J38" i="27"/>
  <c r="D131" i="31"/>
  <c r="G298" i="43"/>
  <c r="L89" i="1"/>
  <c r="M89" i="1" s="1"/>
  <c r="H148" i="48"/>
  <c r="J52" i="48"/>
  <c r="J29" i="48"/>
  <c r="G174" i="48"/>
  <c r="G43" i="48"/>
  <c r="H41" i="48" s="1"/>
  <c r="J195" i="48"/>
  <c r="J30" i="48"/>
  <c r="I47" i="27"/>
  <c r="J135" i="48"/>
  <c r="J37" i="48"/>
  <c r="L67" i="1"/>
  <c r="F19" i="48"/>
  <c r="E370" i="43"/>
  <c r="E72" i="43" s="1"/>
  <c r="E186" i="48"/>
  <c r="F285" i="48"/>
  <c r="F286" i="48"/>
  <c r="F284" i="48"/>
  <c r="F226" i="48"/>
  <c r="F393" i="48"/>
  <c r="F420" i="48" s="1"/>
  <c r="F392" i="48"/>
  <c r="F419" i="48" s="1"/>
  <c r="F141" i="48"/>
  <c r="E42" i="43"/>
  <c r="G342" i="48"/>
  <c r="K37" i="33"/>
  <c r="J67" i="33"/>
  <c r="G30" i="43"/>
  <c r="M86" i="1"/>
  <c r="D171" i="31"/>
  <c r="H370" i="43"/>
  <c r="H72" i="43" s="1"/>
  <c r="G17" i="4" s="1"/>
  <c r="L193" i="1"/>
  <c r="H109" i="10"/>
  <c r="K97" i="4"/>
  <c r="L97" i="4" s="1"/>
  <c r="I38" i="43"/>
  <c r="L76" i="1"/>
  <c r="M76" i="1" s="1"/>
  <c r="F298" i="43"/>
  <c r="H32" i="43"/>
  <c r="H59" i="43" s="1"/>
  <c r="I32" i="43"/>
  <c r="I59" i="43" s="1"/>
  <c r="G38" i="43"/>
  <c r="G41" i="43" s="1"/>
  <c r="G32" i="43"/>
  <c r="G60" i="43" s="1"/>
  <c r="H298" i="43"/>
  <c r="I298" i="43"/>
  <c r="G105" i="4"/>
  <c r="H5" i="46"/>
  <c r="L29" i="45"/>
  <c r="L189" i="1" s="1"/>
  <c r="AB191" i="1" s="1"/>
  <c r="H117" i="46"/>
  <c r="H131" i="46" s="1"/>
  <c r="C2" i="11"/>
  <c r="E6" i="36"/>
  <c r="F6" i="36" s="1"/>
  <c r="I173" i="4" s="1"/>
  <c r="J28" i="26"/>
  <c r="F24" i="45"/>
  <c r="F69" i="46" s="1"/>
  <c r="F204" i="45"/>
  <c r="G173" i="45"/>
  <c r="G84" i="4" s="1"/>
  <c r="G171" i="45"/>
  <c r="G82" i="4" s="1"/>
  <c r="G172" i="45"/>
  <c r="G83" i="4" s="1"/>
  <c r="F18" i="46"/>
  <c r="E18" i="46"/>
  <c r="H120" i="45"/>
  <c r="H121" i="45"/>
  <c r="D37" i="28"/>
  <c r="F27" i="27"/>
  <c r="K14" i="1"/>
  <c r="L15" i="1"/>
  <c r="M15" i="1" s="1"/>
  <c r="J31" i="11"/>
  <c r="J52" i="11" s="1"/>
  <c r="H105" i="4"/>
  <c r="H169" i="45"/>
  <c r="G193" i="45"/>
  <c r="K29" i="26"/>
  <c r="B2" i="36"/>
  <c r="B2" i="51" s="1"/>
  <c r="K33" i="26"/>
  <c r="F1243" i="40"/>
  <c r="E55" i="10" s="1"/>
  <c r="E97" i="40"/>
  <c r="M28" i="19" s="1"/>
  <c r="F370" i="43"/>
  <c r="F72" i="43" s="1"/>
  <c r="E17" i="4" s="1"/>
  <c r="E30" i="45" s="1"/>
  <c r="I370" i="43"/>
  <c r="I72" i="43" s="1"/>
  <c r="H17" i="4" s="1"/>
  <c r="H30" i="45" s="1"/>
  <c r="H31" i="45" s="1"/>
  <c r="H42" i="4" s="1"/>
  <c r="K124" i="33"/>
  <c r="K125" i="33" s="1"/>
  <c r="L121" i="33" s="1"/>
  <c r="L123" i="33" s="1"/>
  <c r="H71" i="43"/>
  <c r="H76" i="43" s="1"/>
  <c r="H77" i="43" s="1"/>
  <c r="K133" i="1"/>
  <c r="G112" i="32"/>
  <c r="D38" i="43"/>
  <c r="F38" i="43"/>
  <c r="F40" i="43" s="1"/>
  <c r="M29" i="4"/>
  <c r="N109" i="4"/>
  <c r="M126" i="4"/>
  <c r="L173" i="33"/>
  <c r="L174" i="33" s="1"/>
  <c r="M170" i="33" s="1"/>
  <c r="M172" i="33" s="1"/>
  <c r="K100" i="33"/>
  <c r="K101" i="33" s="1"/>
  <c r="J102" i="33"/>
  <c r="K61" i="33"/>
  <c r="K63" i="33" s="1"/>
  <c r="K64" i="33" s="1"/>
  <c r="J64" i="33"/>
  <c r="K51" i="33"/>
  <c r="K53" i="33" s="1"/>
  <c r="K54" i="33" s="1"/>
  <c r="J54" i="33"/>
  <c r="K166" i="33"/>
  <c r="K167" i="33" s="1"/>
  <c r="L163" i="33" s="1"/>
  <c r="L165" i="33" s="1"/>
  <c r="K138" i="33"/>
  <c r="K139" i="33" s="1"/>
  <c r="L135" i="33" s="1"/>
  <c r="L137" i="33" s="1"/>
  <c r="L131" i="33"/>
  <c r="L132" i="33" s="1"/>
  <c r="M128" i="33" s="1"/>
  <c r="M130" i="33" s="1"/>
  <c r="K145" i="33"/>
  <c r="K146" i="33" s="1"/>
  <c r="L142" i="33" s="1"/>
  <c r="L144" i="33" s="1"/>
  <c r="K108" i="33"/>
  <c r="K109" i="33" s="1"/>
  <c r="J110" i="33"/>
  <c r="L7" i="1"/>
  <c r="K9" i="1"/>
  <c r="M195" i="1"/>
  <c r="M110" i="1"/>
  <c r="N144" i="4"/>
  <c r="J15" i="26"/>
  <c r="F60" i="43"/>
  <c r="F59" i="43"/>
  <c r="F354" i="40"/>
  <c r="F374" i="40"/>
  <c r="J4" i="10"/>
  <c r="H4" i="18" s="1"/>
  <c r="H4" i="27"/>
  <c r="J5" i="1"/>
  <c r="F3" i="57" s="1"/>
  <c r="M145" i="4"/>
  <c r="F50" i="26"/>
  <c r="E59" i="43"/>
  <c r="F257" i="40"/>
  <c r="G143" i="40"/>
  <c r="F116" i="40"/>
  <c r="F96" i="40"/>
  <c r="N87" i="46"/>
  <c r="M94" i="46"/>
  <c r="M17" i="46" s="1"/>
  <c r="G18" i="36"/>
  <c r="F27" i="36"/>
  <c r="K72" i="4"/>
  <c r="H1462" i="40"/>
  <c r="H4" i="43"/>
  <c r="H79" i="43" s="1"/>
  <c r="I4" i="40"/>
  <c r="J4" i="40" s="1"/>
  <c r="M131" i="1"/>
  <c r="F1325" i="40"/>
  <c r="G1224" i="40"/>
  <c r="C13" i="35"/>
  <c r="L214" i="1"/>
  <c r="G919" i="40"/>
  <c r="G976" i="40"/>
  <c r="G18" i="46"/>
  <c r="J19" i="18"/>
  <c r="M121" i="4"/>
  <c r="G13" i="31" s="1"/>
  <c r="L83" i="1"/>
  <c r="B30" i="32"/>
  <c r="M72" i="1"/>
  <c r="D60" i="43"/>
  <c r="D59" i="43"/>
  <c r="I31" i="18"/>
  <c r="I43" i="18" s="1"/>
  <c r="I53" i="18" s="1"/>
  <c r="L111" i="1"/>
  <c r="AG10" i="35"/>
  <c r="AP10" i="35"/>
  <c r="AP11" i="35" s="1"/>
  <c r="P40" i="10"/>
  <c r="J28" i="27"/>
  <c r="D370" i="43"/>
  <c r="D72" i="43" s="1"/>
  <c r="F922" i="40"/>
  <c r="K122" i="46"/>
  <c r="AF136" i="46" s="1"/>
  <c r="N98" i="1"/>
  <c r="G129" i="40"/>
  <c r="F244" i="40"/>
  <c r="J16" i="18"/>
  <c r="L106" i="45"/>
  <c r="L116" i="4"/>
  <c r="K18" i="18"/>
  <c r="N120" i="4"/>
  <c r="H12" i="31" s="1"/>
  <c r="K27" i="1"/>
  <c r="K34" i="26" s="1"/>
  <c r="L13" i="1"/>
  <c r="H120" i="40"/>
  <c r="H97" i="40"/>
  <c r="F336" i="40"/>
  <c r="E365" i="40"/>
  <c r="E379" i="40" s="1"/>
  <c r="E330" i="40" s="1"/>
  <c r="J76" i="45"/>
  <c r="K73" i="45"/>
  <c r="L130" i="45"/>
  <c r="I43" i="11"/>
  <c r="I44" i="11" s="1"/>
  <c r="I45" i="11" s="1"/>
  <c r="F14" i="11"/>
  <c r="H42" i="11" s="1"/>
  <c r="M58" i="1"/>
  <c r="L62" i="1"/>
  <c r="L39" i="1" s="1"/>
  <c r="G101" i="58" s="1"/>
  <c r="N97" i="33"/>
  <c r="N99" i="33" s="1"/>
  <c r="O27" i="33"/>
  <c r="O30" i="33" s="1"/>
  <c r="J91" i="1"/>
  <c r="E251" i="40"/>
  <c r="E258" i="40" s="1"/>
  <c r="E124" i="40" s="1"/>
  <c r="F136" i="40"/>
  <c r="K88" i="1"/>
  <c r="N88" i="33"/>
  <c r="N91" i="33" s="1"/>
  <c r="G747" i="40"/>
  <c r="G822" i="40"/>
  <c r="L47" i="45"/>
  <c r="K102" i="46"/>
  <c r="L32" i="46"/>
  <c r="K23" i="26"/>
  <c r="F5" i="46"/>
  <c r="F64" i="1"/>
  <c r="E5" i="1"/>
  <c r="K52" i="27"/>
  <c r="K152" i="33"/>
  <c r="K153" i="33" s="1"/>
  <c r="L149" i="33" s="1"/>
  <c r="L151" i="33" s="1"/>
  <c r="D96" i="40"/>
  <c r="D116" i="40"/>
  <c r="J17" i="18"/>
  <c r="L107" i="45"/>
  <c r="L26" i="46"/>
  <c r="M50" i="4"/>
  <c r="L117" i="4"/>
  <c r="K85" i="46"/>
  <c r="K16" i="46" s="1"/>
  <c r="L79" i="46"/>
  <c r="E755" i="40"/>
  <c r="E756" i="40" s="1"/>
  <c r="E831" i="40"/>
  <c r="K71" i="4"/>
  <c r="M45" i="45"/>
  <c r="L29" i="26"/>
  <c r="F15" i="11"/>
  <c r="H47" i="11" s="1"/>
  <c r="I47" i="11"/>
  <c r="I48" i="11" s="1"/>
  <c r="I49" i="11" s="1"/>
  <c r="I50" i="11" s="1"/>
  <c r="K31" i="33"/>
  <c r="K33" i="33" s="1"/>
  <c r="J34" i="33"/>
  <c r="J50" i="43"/>
  <c r="J57" i="43" s="1"/>
  <c r="I57" i="43"/>
  <c r="L100" i="1"/>
  <c r="K51" i="45"/>
  <c r="K105" i="46"/>
  <c r="L15" i="46"/>
  <c r="W11" i="35"/>
  <c r="B80" i="32"/>
  <c r="N8" i="4"/>
  <c r="I116" i="40"/>
  <c r="I96" i="40"/>
  <c r="H18" i="46"/>
  <c r="L75" i="1"/>
  <c r="J47" i="43"/>
  <c r="I54" i="43"/>
  <c r="K121" i="46"/>
  <c r="L44" i="45"/>
  <c r="K28" i="26"/>
  <c r="N110" i="4"/>
  <c r="H749" i="40"/>
  <c r="G829" i="40"/>
  <c r="I32" i="11"/>
  <c r="I33" i="11" s="1"/>
  <c r="I34" i="11" s="1"/>
  <c r="I35" i="11" s="1"/>
  <c r="F12" i="11"/>
  <c r="H32" i="11" s="1"/>
  <c r="K92" i="33"/>
  <c r="K93" i="33" s="1"/>
  <c r="J94" i="33"/>
  <c r="L68" i="1"/>
  <c r="K77" i="1"/>
  <c r="M52" i="45"/>
  <c r="L33" i="26"/>
  <c r="M146" i="4"/>
  <c r="K14" i="27"/>
  <c r="H14" i="36"/>
  <c r="H10" i="36" s="1"/>
  <c r="H13" i="36" s="1"/>
  <c r="I8" i="36" s="1"/>
  <c r="G97" i="40"/>
  <c r="G120" i="40"/>
  <c r="M71" i="1"/>
  <c r="G5" i="45"/>
  <c r="G151" i="45" s="1"/>
  <c r="G38" i="46"/>
  <c r="M47" i="4"/>
  <c r="L57" i="33"/>
  <c r="L60" i="33" s="1"/>
  <c r="G1231" i="40"/>
  <c r="F1332" i="40"/>
  <c r="L104" i="1"/>
  <c r="L123" i="45"/>
  <c r="M100" i="45"/>
  <c r="K63" i="45"/>
  <c r="L37" i="45"/>
  <c r="L32" i="45"/>
  <c r="E983" i="40"/>
  <c r="M99" i="1"/>
  <c r="F13" i="11"/>
  <c r="H37" i="11" s="1"/>
  <c r="I37" i="11"/>
  <c r="I38" i="11" s="1"/>
  <c r="I39" i="11" s="1"/>
  <c r="I40" i="11" s="1"/>
  <c r="J133" i="46"/>
  <c r="AE145" i="46" s="1"/>
  <c r="AE139" i="46"/>
  <c r="K50" i="27"/>
  <c r="L54" i="1"/>
  <c r="K56" i="1"/>
  <c r="K37" i="1" s="1"/>
  <c r="F1338" i="40"/>
  <c r="G1238" i="40"/>
  <c r="F372" i="40"/>
  <c r="G343" i="40"/>
  <c r="F34" i="11"/>
  <c r="C35" i="11"/>
  <c r="D35" i="11" s="1"/>
  <c r="M30" i="4"/>
  <c r="L25" i="10"/>
  <c r="K133" i="45"/>
  <c r="K139" i="45" s="1"/>
  <c r="K16" i="45" s="1"/>
  <c r="L43" i="45"/>
  <c r="K26" i="26"/>
  <c r="K97" i="1"/>
  <c r="J101" i="1"/>
  <c r="J49" i="43"/>
  <c r="J56" i="43" s="1"/>
  <c r="I56" i="43"/>
  <c r="L44" i="1"/>
  <c r="K51" i="1"/>
  <c r="K10" i="1" s="1"/>
  <c r="L47" i="33"/>
  <c r="L50" i="33" s="1"/>
  <c r="F972" i="40"/>
  <c r="F914" i="40"/>
  <c r="M12" i="35"/>
  <c r="L122" i="10"/>
  <c r="M35" i="4"/>
  <c r="N124" i="4"/>
  <c r="J139" i="1"/>
  <c r="K159" i="33"/>
  <c r="K160" i="33" s="1"/>
  <c r="L156" i="33" s="1"/>
  <c r="L158" i="33" s="1"/>
  <c r="P69" i="1"/>
  <c r="Q69" i="1" s="1"/>
  <c r="R69" i="1" s="1"/>
  <c r="S69" i="1" s="1"/>
  <c r="L53" i="45"/>
  <c r="K5" i="26"/>
  <c r="L4" i="4"/>
  <c r="L49" i="27"/>
  <c r="N105" i="33"/>
  <c r="N107" i="33" s="1"/>
  <c r="K63" i="27"/>
  <c r="L210" i="1"/>
  <c r="L132" i="1" s="1"/>
  <c r="M204" i="1"/>
  <c r="K149" i="45"/>
  <c r="K25" i="45" s="1"/>
  <c r="L143" i="45"/>
  <c r="O130" i="1"/>
  <c r="H31" i="27"/>
  <c r="K110" i="45"/>
  <c r="K122" i="45" s="1"/>
  <c r="K126" i="46"/>
  <c r="L123" i="4"/>
  <c r="E31" i="45" l="1"/>
  <c r="E189" i="1"/>
  <c r="G122" i="10"/>
  <c r="G30" i="45"/>
  <c r="H190" i="1"/>
  <c r="X192" i="1" s="1"/>
  <c r="F7" i="48"/>
  <c r="F30" i="45"/>
  <c r="H189" i="1"/>
  <c r="H33" i="45"/>
  <c r="H20" i="26" s="1"/>
  <c r="H26" i="48" s="1"/>
  <c r="I31" i="45"/>
  <c r="I33" i="45"/>
  <c r="I189" i="1"/>
  <c r="J47" i="27"/>
  <c r="C33" i="27"/>
  <c r="D54" i="31"/>
  <c r="D33" i="27"/>
  <c r="P98" i="4"/>
  <c r="O100" i="4"/>
  <c r="K121" i="10"/>
  <c r="K126" i="10" s="1"/>
  <c r="L121" i="10" s="1"/>
  <c r="L201" i="1"/>
  <c r="J61" i="27" s="1"/>
  <c r="F31" i="28"/>
  <c r="F67" i="28" s="1"/>
  <c r="C17" i="7"/>
  <c r="G6" i="51" s="1"/>
  <c r="D15" i="28"/>
  <c r="I14" i="4"/>
  <c r="I25" i="4" s="1"/>
  <c r="I122" i="10"/>
  <c r="I123" i="10" s="1"/>
  <c r="K90" i="1"/>
  <c r="K91" i="1" s="1"/>
  <c r="H5" i="45"/>
  <c r="H128" i="45" s="1"/>
  <c r="I5" i="46"/>
  <c r="I38" i="46" s="1"/>
  <c r="G11" i="18"/>
  <c r="G29" i="18" s="1"/>
  <c r="G41" i="18" s="1"/>
  <c r="G51" i="18" s="1"/>
  <c r="J104" i="10"/>
  <c r="L124" i="10"/>
  <c r="L125" i="10" s="1"/>
  <c r="L28" i="46" s="1"/>
  <c r="L22" i="45" s="1"/>
  <c r="L82" i="45" s="1"/>
  <c r="J23" i="33"/>
  <c r="J24" i="33" s="1"/>
  <c r="J11" i="33"/>
  <c r="J13" i="33" s="1"/>
  <c r="J14" i="33" s="1"/>
  <c r="H201" i="48"/>
  <c r="H203" i="48" s="1"/>
  <c r="H342" i="48" s="1"/>
  <c r="C54" i="31"/>
  <c r="G16" i="27"/>
  <c r="D44" i="31"/>
  <c r="D47" i="31" s="1"/>
  <c r="G73" i="4"/>
  <c r="E40" i="43"/>
  <c r="E43" i="43"/>
  <c r="I73" i="4"/>
  <c r="I153" i="45"/>
  <c r="I69" i="4"/>
  <c r="J69" i="4" s="1"/>
  <c r="I33" i="4"/>
  <c r="I11" i="4"/>
  <c r="I109" i="10"/>
  <c r="I117" i="46"/>
  <c r="I131" i="46" s="1"/>
  <c r="J112" i="40"/>
  <c r="J90" i="40"/>
  <c r="J54" i="43"/>
  <c r="J51" i="43"/>
  <c r="E41" i="43"/>
  <c r="K40" i="33"/>
  <c r="L37" i="33" s="1"/>
  <c r="L40" i="33" s="1"/>
  <c r="M37" i="33" s="1"/>
  <c r="M40" i="33" s="1"/>
  <c r="L17" i="33"/>
  <c r="L20" i="33" s="1"/>
  <c r="F229" i="48"/>
  <c r="G4" i="33"/>
  <c r="F4" i="33" s="1"/>
  <c r="E4" i="33" s="1"/>
  <c r="H62" i="45"/>
  <c r="J4" i="43"/>
  <c r="J79" i="43" s="1"/>
  <c r="J1462" i="40"/>
  <c r="J1345" i="40"/>
  <c r="I1446" i="40"/>
  <c r="I1460" i="40" s="1"/>
  <c r="H67" i="10" s="1"/>
  <c r="F69" i="4"/>
  <c r="F11" i="4"/>
  <c r="F14" i="4"/>
  <c r="F33" i="4" s="1"/>
  <c r="F73" i="4"/>
  <c r="J11" i="46"/>
  <c r="F153" i="45"/>
  <c r="F161" i="45" s="1"/>
  <c r="F80" i="4" s="1"/>
  <c r="D61" i="43"/>
  <c r="K26" i="27"/>
  <c r="I189" i="48"/>
  <c r="I341" i="48" s="1"/>
  <c r="D120" i="31"/>
  <c r="F49" i="31"/>
  <c r="H42" i="43"/>
  <c r="H40" i="43"/>
  <c r="I60" i="43"/>
  <c r="I61" i="43" s="1"/>
  <c r="H41" i="43"/>
  <c r="J22" i="27"/>
  <c r="F304" i="48"/>
  <c r="F307" i="48" s="1"/>
  <c r="L109" i="45"/>
  <c r="L108" i="45"/>
  <c r="H9" i="27"/>
  <c r="L10" i="45"/>
  <c r="H10" i="27"/>
  <c r="K99" i="4"/>
  <c r="J97" i="45"/>
  <c r="J120" i="45" s="1"/>
  <c r="F428" i="48"/>
  <c r="F422" i="48"/>
  <c r="K49" i="26"/>
  <c r="F287" i="48"/>
  <c r="E37" i="28"/>
  <c r="E58" i="28" s="1"/>
  <c r="F99" i="58"/>
  <c r="H11" i="27"/>
  <c r="O13" i="10"/>
  <c r="G11" i="4"/>
  <c r="D88" i="58"/>
  <c r="D26" i="57"/>
  <c r="E26" i="57" s="1"/>
  <c r="H5" i="57"/>
  <c r="K93" i="45"/>
  <c r="L16" i="10"/>
  <c r="L17" i="10" s="1"/>
  <c r="M16" i="10" s="1"/>
  <c r="M17" i="10" s="1"/>
  <c r="E51" i="43"/>
  <c r="M193" i="1"/>
  <c r="E171" i="31"/>
  <c r="G14" i="4"/>
  <c r="G33" i="4" s="1"/>
  <c r="G153" i="45"/>
  <c r="G166" i="45" s="1"/>
  <c r="E44" i="43"/>
  <c r="N86" i="1"/>
  <c r="O86" i="1" s="1"/>
  <c r="C93" i="31"/>
  <c r="D98" i="31"/>
  <c r="E123" i="31"/>
  <c r="G53" i="31"/>
  <c r="J94" i="45"/>
  <c r="J44" i="10"/>
  <c r="K19" i="10"/>
  <c r="K20" i="10" s="1"/>
  <c r="K12" i="45"/>
  <c r="K81" i="45" s="1"/>
  <c r="K32" i="10"/>
  <c r="G69" i="4"/>
  <c r="V14" i="35"/>
  <c r="AC14" i="35" s="1"/>
  <c r="AW11" i="35"/>
  <c r="AP12" i="35"/>
  <c r="AU11" i="35"/>
  <c r="H15" i="35"/>
  <c r="AF13" i="35"/>
  <c r="AI12" i="35"/>
  <c r="AG12" i="35"/>
  <c r="B102" i="35"/>
  <c r="I101" i="35"/>
  <c r="E101" i="35" s="1"/>
  <c r="L101" i="35"/>
  <c r="C101" i="35"/>
  <c r="D58" i="28"/>
  <c r="C176" i="31"/>
  <c r="K38" i="27"/>
  <c r="E131" i="31"/>
  <c r="F116" i="31"/>
  <c r="J69" i="33"/>
  <c r="J79" i="33" s="1"/>
  <c r="J44" i="33"/>
  <c r="K67" i="33"/>
  <c r="H38" i="46"/>
  <c r="E155" i="45"/>
  <c r="E76" i="4" s="1"/>
  <c r="E7" i="48"/>
  <c r="J38" i="48"/>
  <c r="I144" i="48"/>
  <c r="H265" i="48"/>
  <c r="H280" i="48"/>
  <c r="H40" i="48"/>
  <c r="H42" i="48" s="1"/>
  <c r="J123" i="48"/>
  <c r="I152" i="48"/>
  <c r="M67" i="1"/>
  <c r="I153" i="48"/>
  <c r="E211" i="48"/>
  <c r="E214" i="48"/>
  <c r="I151" i="48"/>
  <c r="J19" i="48"/>
  <c r="G7" i="48"/>
  <c r="V60" i="43"/>
  <c r="F156" i="48"/>
  <c r="F391" i="48"/>
  <c r="F417" i="48" s="1"/>
  <c r="F228" i="48"/>
  <c r="F418" i="48"/>
  <c r="F288" i="48"/>
  <c r="J181" i="48"/>
  <c r="H69" i="4"/>
  <c r="H7" i="48"/>
  <c r="I147" i="48"/>
  <c r="G59" i="43"/>
  <c r="G61" i="43" s="1"/>
  <c r="F923" i="40"/>
  <c r="E97" i="10" s="1"/>
  <c r="I31" i="27"/>
  <c r="I40" i="43"/>
  <c r="I42" i="43"/>
  <c r="I41" i="43"/>
  <c r="H60" i="43"/>
  <c r="H61" i="43" s="1"/>
  <c r="I71" i="43"/>
  <c r="I76" i="43" s="1"/>
  <c r="I77" i="43" s="1"/>
  <c r="G71" i="43"/>
  <c r="G76" i="43" s="1"/>
  <c r="G77" i="43" s="1"/>
  <c r="G43" i="43"/>
  <c r="G40" i="43"/>
  <c r="G42" i="43"/>
  <c r="I43" i="43"/>
  <c r="M29" i="45"/>
  <c r="M189" i="1" s="1"/>
  <c r="AC191" i="1" s="1"/>
  <c r="M30" i="19"/>
  <c r="F36" i="4"/>
  <c r="E123" i="40"/>
  <c r="E329" i="40"/>
  <c r="M31" i="19"/>
  <c r="G36" i="4"/>
  <c r="E121" i="40"/>
  <c r="H14" i="4"/>
  <c r="H73" i="4"/>
  <c r="K9" i="4"/>
  <c r="L9" i="4" s="1"/>
  <c r="J10" i="4"/>
  <c r="L14" i="1"/>
  <c r="H11" i="4"/>
  <c r="E14" i="4"/>
  <c r="E33" i="4" s="1"/>
  <c r="E24" i="45"/>
  <c r="E69" i="46" s="1"/>
  <c r="F136" i="4" s="1"/>
  <c r="E204" i="45"/>
  <c r="H172" i="45"/>
  <c r="H83" i="4" s="1"/>
  <c r="H173" i="45"/>
  <c r="H84" i="4" s="1"/>
  <c r="H171" i="45"/>
  <c r="H82" i="4" s="1"/>
  <c r="F155" i="45"/>
  <c r="F76" i="4" s="1"/>
  <c r="G155" i="45"/>
  <c r="G76" i="4" s="1"/>
  <c r="H114" i="1"/>
  <c r="K11" i="1"/>
  <c r="K28" i="1" s="1"/>
  <c r="K29" i="1" s="1"/>
  <c r="E153" i="45"/>
  <c r="G192" i="45"/>
  <c r="G194" i="45" s="1"/>
  <c r="G183" i="45"/>
  <c r="G182" i="45"/>
  <c r="G186" i="45" s="1"/>
  <c r="F192" i="45"/>
  <c r="F194" i="45" s="1"/>
  <c r="F183" i="45"/>
  <c r="F182" i="45"/>
  <c r="F186" i="45" s="1"/>
  <c r="H193" i="45"/>
  <c r="H153" i="45"/>
  <c r="E69" i="4"/>
  <c r="E73" i="4"/>
  <c r="E11" i="4"/>
  <c r="L124" i="33"/>
  <c r="L125" i="33" s="1"/>
  <c r="M121" i="33" s="1"/>
  <c r="M123" i="33" s="1"/>
  <c r="M124" i="33" s="1"/>
  <c r="M125" i="33" s="1"/>
  <c r="N121" i="33" s="1"/>
  <c r="N123" i="33" s="1"/>
  <c r="D71" i="43"/>
  <c r="D76" i="43" s="1"/>
  <c r="D77" i="43" s="1"/>
  <c r="D42" i="43"/>
  <c r="D41" i="43"/>
  <c r="D40" i="43"/>
  <c r="D43" i="43"/>
  <c r="N89" i="1"/>
  <c r="F71" i="43"/>
  <c r="F76" i="43" s="1"/>
  <c r="F77" i="43" s="1"/>
  <c r="F42" i="43"/>
  <c r="F43" i="43"/>
  <c r="N76" i="1"/>
  <c r="N126" i="4"/>
  <c r="F41" i="43"/>
  <c r="O109" i="4"/>
  <c r="N29" i="4"/>
  <c r="L108" i="33"/>
  <c r="L109" i="33" s="1"/>
  <c r="K110" i="33"/>
  <c r="M131" i="33"/>
  <c r="M132" i="33" s="1"/>
  <c r="N128" i="33" s="1"/>
  <c r="N130" i="33" s="1"/>
  <c r="L159" i="33"/>
  <c r="L160" i="33" s="1"/>
  <c r="M156" i="33" s="1"/>
  <c r="M158" i="33" s="1"/>
  <c r="L92" i="33"/>
  <c r="L93" i="33" s="1"/>
  <c r="K94" i="33"/>
  <c r="K34" i="33"/>
  <c r="L31" i="33"/>
  <c r="L33" i="33" s="1"/>
  <c r="L166" i="33"/>
  <c r="L167" i="33" s="1"/>
  <c r="M163" i="33" s="1"/>
  <c r="M165" i="33" s="1"/>
  <c r="L100" i="33"/>
  <c r="L101" i="33" s="1"/>
  <c r="K102" i="33"/>
  <c r="M173" i="33"/>
  <c r="M174" i="33" s="1"/>
  <c r="N170" i="33" s="1"/>
  <c r="N172" i="33" s="1"/>
  <c r="K70" i="4"/>
  <c r="O105" i="33"/>
  <c r="O107" i="33" s="1"/>
  <c r="O124" i="4"/>
  <c r="N30" i="4"/>
  <c r="M25" i="10"/>
  <c r="AF139" i="46"/>
  <c r="K133" i="46"/>
  <c r="AF145" i="46" s="1"/>
  <c r="P130" i="1"/>
  <c r="Q130" i="1" s="1"/>
  <c r="R130" i="1" s="1"/>
  <c r="S130" i="1" s="1"/>
  <c r="N204" i="1"/>
  <c r="M210" i="1"/>
  <c r="M132" i="1" s="1"/>
  <c r="L26" i="27"/>
  <c r="M47" i="33"/>
  <c r="M50" i="33" s="1"/>
  <c r="G348" i="40"/>
  <c r="G367" i="40"/>
  <c r="G1334" i="40"/>
  <c r="G1242" i="40"/>
  <c r="O110" i="4"/>
  <c r="B81" i="32"/>
  <c r="L51" i="45"/>
  <c r="L105" i="46"/>
  <c r="M15" i="46"/>
  <c r="H745" i="40"/>
  <c r="G824" i="40"/>
  <c r="F246" i="40"/>
  <c r="F141" i="40"/>
  <c r="F148" i="40" s="1"/>
  <c r="E8" i="10" s="1"/>
  <c r="E12" i="48" s="1"/>
  <c r="F341" i="40"/>
  <c r="F355" i="40" s="1"/>
  <c r="E22" i="10" s="1"/>
  <c r="F360" i="40"/>
  <c r="K19" i="18"/>
  <c r="N121" i="4"/>
  <c r="H13" i="31" s="1"/>
  <c r="F1339" i="40"/>
  <c r="E60" i="10" s="1"/>
  <c r="E61" i="43"/>
  <c r="K15" i="26"/>
  <c r="K76" i="45"/>
  <c r="L73" i="45"/>
  <c r="M85" i="1"/>
  <c r="G912" i="40"/>
  <c r="F974" i="40"/>
  <c r="L99" i="4"/>
  <c r="M97" i="4"/>
  <c r="N99" i="1"/>
  <c r="M123" i="45"/>
  <c r="N100" i="45"/>
  <c r="G1327" i="40"/>
  <c r="G1236" i="40"/>
  <c r="N71" i="1"/>
  <c r="G121" i="40"/>
  <c r="G123" i="40"/>
  <c r="G329" i="40"/>
  <c r="L14" i="27"/>
  <c r="M75" i="1"/>
  <c r="E5" i="46"/>
  <c r="E64" i="1"/>
  <c r="N58" i="1"/>
  <c r="M62" i="1"/>
  <c r="M39" i="1" s="1"/>
  <c r="H101" i="58" s="1"/>
  <c r="H121" i="40"/>
  <c r="H329" i="40"/>
  <c r="H123" i="40"/>
  <c r="K16" i="18"/>
  <c r="M106" i="45"/>
  <c r="M116" i="4"/>
  <c r="AG11" i="35"/>
  <c r="E40" i="4"/>
  <c r="F61" i="43"/>
  <c r="L9" i="1"/>
  <c r="M7" i="1"/>
  <c r="L145" i="33"/>
  <c r="L146" i="33" s="1"/>
  <c r="M142" i="33" s="1"/>
  <c r="M144" i="33" s="1"/>
  <c r="L51" i="33"/>
  <c r="L53" i="33" s="1"/>
  <c r="M143" i="45"/>
  <c r="L149" i="45"/>
  <c r="L25" i="45" s="1"/>
  <c r="M37" i="45"/>
  <c r="L63" i="45"/>
  <c r="L5" i="26"/>
  <c r="M4" i="4"/>
  <c r="L133" i="1"/>
  <c r="J177" i="33"/>
  <c r="J116" i="33"/>
  <c r="G40" i="4"/>
  <c r="M57" i="33"/>
  <c r="M60" i="33" s="1"/>
  <c r="G128" i="45"/>
  <c r="I14" i="36"/>
  <c r="I10" i="36" s="1"/>
  <c r="I13" i="36" s="1"/>
  <c r="J8" i="36" s="1"/>
  <c r="N146" i="4"/>
  <c r="H33" i="11"/>
  <c r="AF135" i="46"/>
  <c r="N94" i="1"/>
  <c r="K22" i="27"/>
  <c r="L85" i="46"/>
  <c r="L16" i="46" s="1"/>
  <c r="M79" i="46"/>
  <c r="H43" i="11"/>
  <c r="H40" i="4"/>
  <c r="F982" i="40"/>
  <c r="G921" i="40"/>
  <c r="K28" i="27"/>
  <c r="Q40" i="10"/>
  <c r="AQ10" i="35"/>
  <c r="C14" i="35"/>
  <c r="L110" i="45"/>
  <c r="L122" i="45" s="1"/>
  <c r="L126" i="46"/>
  <c r="M123" i="4"/>
  <c r="L63" i="27"/>
  <c r="K105" i="1"/>
  <c r="J106" i="1"/>
  <c r="K4" i="10"/>
  <c r="I4" i="18" s="1"/>
  <c r="K5" i="1"/>
  <c r="G3" i="57" s="1"/>
  <c r="I4" i="27"/>
  <c r="M122" i="10"/>
  <c r="N35" i="4"/>
  <c r="L133" i="45"/>
  <c r="L139" i="45" s="1"/>
  <c r="L16" i="45" s="1"/>
  <c r="M43" i="45"/>
  <c r="L26" i="26"/>
  <c r="F35" i="11"/>
  <c r="F36" i="11" s="1"/>
  <c r="J32" i="11" s="1"/>
  <c r="C37" i="11"/>
  <c r="D37" i="11" s="1"/>
  <c r="M54" i="1"/>
  <c r="L56" i="1"/>
  <c r="L37" i="1" s="1"/>
  <c r="M44" i="45"/>
  <c r="L28" i="26"/>
  <c r="G6" i="36"/>
  <c r="F30" i="36"/>
  <c r="F5" i="45"/>
  <c r="F38" i="46"/>
  <c r="L121" i="46"/>
  <c r="N72" i="1"/>
  <c r="L72" i="4"/>
  <c r="M72" i="4" s="1"/>
  <c r="N72" i="4" s="1"/>
  <c r="O72" i="4" s="1"/>
  <c r="P72" i="4" s="1"/>
  <c r="Q72" i="4" s="1"/>
  <c r="R72" i="4" s="1"/>
  <c r="S72" i="4" s="1"/>
  <c r="F97" i="40"/>
  <c r="F120" i="40"/>
  <c r="J5" i="46"/>
  <c r="J64" i="1"/>
  <c r="K137" i="1"/>
  <c r="O8" i="4"/>
  <c r="H48" i="11"/>
  <c r="F754" i="40"/>
  <c r="E832" i="40"/>
  <c r="E833" i="40" s="1"/>
  <c r="D97" i="40"/>
  <c r="M27" i="19" s="1"/>
  <c r="N27" i="19" s="1"/>
  <c r="D120" i="40"/>
  <c r="L102" i="46"/>
  <c r="M32" i="46"/>
  <c r="L23" i="26"/>
  <c r="H13" i="27"/>
  <c r="P27" i="33"/>
  <c r="P30" i="33" s="1"/>
  <c r="M13" i="1"/>
  <c r="L27" i="1"/>
  <c r="L34" i="26" s="1"/>
  <c r="G134" i="40"/>
  <c r="G239" i="40"/>
  <c r="M83" i="1"/>
  <c r="J4" i="33"/>
  <c r="D4" i="28"/>
  <c r="O144" i="4"/>
  <c r="N195" i="1"/>
  <c r="G27" i="28"/>
  <c r="L138" i="33"/>
  <c r="L139" i="33" s="1"/>
  <c r="M135" i="33" s="1"/>
  <c r="M137" i="33" s="1"/>
  <c r="U5" i="46"/>
  <c r="AD5" i="46" s="1"/>
  <c r="L97" i="1"/>
  <c r="K101" i="1"/>
  <c r="N15" i="1"/>
  <c r="M14" i="1"/>
  <c r="L50" i="27"/>
  <c r="H38" i="11"/>
  <c r="M32" i="45"/>
  <c r="M104" i="1"/>
  <c r="N52" i="45"/>
  <c r="M33" i="26"/>
  <c r="L122" i="46"/>
  <c r="AG136" i="46" s="1"/>
  <c r="O88" i="33"/>
  <c r="O91" i="33" s="1"/>
  <c r="O98" i="1"/>
  <c r="J31" i="18"/>
  <c r="J43" i="18" s="1"/>
  <c r="J53" i="18" s="1"/>
  <c r="M111" i="1"/>
  <c r="B31" i="32"/>
  <c r="H916" i="40"/>
  <c r="G979" i="40"/>
  <c r="G147" i="40"/>
  <c r="G253" i="40"/>
  <c r="N145" i="4"/>
  <c r="M53" i="45"/>
  <c r="M49" i="27"/>
  <c r="W12" i="35"/>
  <c r="M100" i="1"/>
  <c r="N45" i="45"/>
  <c r="M29" i="26"/>
  <c r="K17" i="18"/>
  <c r="M107" i="45"/>
  <c r="M26" i="46"/>
  <c r="N50" i="4"/>
  <c r="M117" i="4"/>
  <c r="L152" i="33"/>
  <c r="L153" i="33" s="1"/>
  <c r="M149" i="33" s="1"/>
  <c r="M151" i="33" s="1"/>
  <c r="M47" i="45"/>
  <c r="L88" i="1"/>
  <c r="L90" i="1" s="1"/>
  <c r="L18" i="18"/>
  <c r="O120" i="4"/>
  <c r="I12" i="31" s="1"/>
  <c r="I1462" i="40"/>
  <c r="I4" i="43"/>
  <c r="I79" i="43" s="1"/>
  <c r="G24" i="36"/>
  <c r="N94" i="46"/>
  <c r="N17" i="46" s="1"/>
  <c r="O87" i="46"/>
  <c r="J50" i="26"/>
  <c r="L61" i="33"/>
  <c r="L63" i="33" s="1"/>
  <c r="M13" i="35"/>
  <c r="M44" i="1"/>
  <c r="L51" i="1"/>
  <c r="L10" i="1" s="1"/>
  <c r="N193" i="1"/>
  <c r="H31" i="28" s="1"/>
  <c r="H67" i="28" s="1"/>
  <c r="N47" i="4"/>
  <c r="M68" i="1"/>
  <c r="L77" i="1"/>
  <c r="H752" i="40"/>
  <c r="H826" i="40"/>
  <c r="I120" i="40"/>
  <c r="I97" i="40"/>
  <c r="L71" i="4"/>
  <c r="M71" i="4" s="1"/>
  <c r="N71" i="4" s="1"/>
  <c r="O71" i="4" s="1"/>
  <c r="P71" i="4" s="1"/>
  <c r="Q71" i="4" s="1"/>
  <c r="R71" i="4" s="1"/>
  <c r="S71" i="4" s="1"/>
  <c r="K69" i="33"/>
  <c r="L7" i="33"/>
  <c r="L10" i="33" s="1"/>
  <c r="K11" i="33"/>
  <c r="L52" i="27"/>
  <c r="O97" i="33"/>
  <c r="O99" i="33" s="1"/>
  <c r="M130" i="45"/>
  <c r="M214" i="1"/>
  <c r="G1320" i="40"/>
  <c r="G1229" i="40"/>
  <c r="N131" i="1"/>
  <c r="F378" i="40"/>
  <c r="G350" i="40"/>
  <c r="N110" i="1"/>
  <c r="J190" i="48" l="1"/>
  <c r="K47" i="27"/>
  <c r="I39" i="4"/>
  <c r="H43" i="4"/>
  <c r="Y191" i="1"/>
  <c r="I186" i="1"/>
  <c r="I166" i="4" s="1"/>
  <c r="G189" i="1"/>
  <c r="G31" i="45"/>
  <c r="G33" i="45" s="1"/>
  <c r="I62" i="45"/>
  <c r="I20" i="26"/>
  <c r="I42" i="4"/>
  <c r="I190" i="1"/>
  <c r="F123" i="31"/>
  <c r="U191" i="1"/>
  <c r="E186" i="1"/>
  <c r="E166" i="4" s="1"/>
  <c r="X191" i="1"/>
  <c r="H186" i="1"/>
  <c r="E42" i="4"/>
  <c r="E43" i="4" s="1"/>
  <c r="E190" i="1"/>
  <c r="U192" i="1" s="1"/>
  <c r="F31" i="45"/>
  <c r="F189" i="1"/>
  <c r="F33" i="45"/>
  <c r="E33" i="45"/>
  <c r="D67" i="27"/>
  <c r="G49" i="31"/>
  <c r="C67" i="27"/>
  <c r="E88" i="58"/>
  <c r="G210" i="51"/>
  <c r="F210" i="51" s="1"/>
  <c r="G142" i="51"/>
  <c r="G176" i="51"/>
  <c r="F176" i="51" s="1"/>
  <c r="E176" i="51" s="1"/>
  <c r="D176" i="51" s="1"/>
  <c r="G108" i="51"/>
  <c r="G40" i="51"/>
  <c r="H40" i="51" s="1"/>
  <c r="I40" i="51" s="1"/>
  <c r="J40" i="51" s="1"/>
  <c r="K40" i="51" s="1"/>
  <c r="L40" i="51" s="1"/>
  <c r="M40" i="51" s="1"/>
  <c r="N40" i="51" s="1"/>
  <c r="O40" i="51" s="1"/>
  <c r="P40" i="51" s="1"/>
  <c r="Q40" i="51" s="1"/>
  <c r="R40" i="51" s="1"/>
  <c r="S40" i="51" s="1"/>
  <c r="T40" i="51" s="1"/>
  <c r="U40" i="51" s="1"/>
  <c r="V40" i="51" s="1"/>
  <c r="W40" i="51" s="1"/>
  <c r="G125" i="51"/>
  <c r="F125" i="51" s="1"/>
  <c r="E125" i="51" s="1"/>
  <c r="D125" i="51" s="1"/>
  <c r="D126" i="51" s="1"/>
  <c r="E126" i="51" s="1"/>
  <c r="F126" i="51" s="1"/>
  <c r="G126" i="51" s="1"/>
  <c r="H126" i="51" s="1"/>
  <c r="I126" i="51" s="1"/>
  <c r="J126" i="51" s="1"/>
  <c r="K126" i="51" s="1"/>
  <c r="L126" i="51" s="1"/>
  <c r="M126" i="51" s="1"/>
  <c r="N126" i="51" s="1"/>
  <c r="O126" i="51" s="1"/>
  <c r="P126" i="51" s="1"/>
  <c r="Q126" i="51" s="1"/>
  <c r="R126" i="51" s="1"/>
  <c r="S126" i="51" s="1"/>
  <c r="T126" i="51" s="1"/>
  <c r="U126" i="51" s="1"/>
  <c r="V126" i="51" s="1"/>
  <c r="W126" i="51" s="1"/>
  <c r="G23" i="51"/>
  <c r="H23" i="51" s="1"/>
  <c r="I23" i="51" s="1"/>
  <c r="J23" i="51" s="1"/>
  <c r="K23" i="51" s="1"/>
  <c r="L23" i="51" s="1"/>
  <c r="M23" i="51" s="1"/>
  <c r="N23" i="51" s="1"/>
  <c r="O23" i="51" s="1"/>
  <c r="P23" i="51" s="1"/>
  <c r="Q23" i="51" s="1"/>
  <c r="R23" i="51" s="1"/>
  <c r="S23" i="51" s="1"/>
  <c r="T23" i="51" s="1"/>
  <c r="U23" i="51" s="1"/>
  <c r="V23" i="51" s="1"/>
  <c r="W23" i="51" s="1"/>
  <c r="G159" i="51"/>
  <c r="F159" i="51" s="1"/>
  <c r="E159" i="51" s="1"/>
  <c r="D159" i="51" s="1"/>
  <c r="D160" i="51" s="1"/>
  <c r="E160" i="51" s="1"/>
  <c r="F160" i="51" s="1"/>
  <c r="G160" i="51" s="1"/>
  <c r="H160" i="51" s="1"/>
  <c r="I160" i="51" s="1"/>
  <c r="J160" i="51" s="1"/>
  <c r="K160" i="51" s="1"/>
  <c r="L160" i="51" s="1"/>
  <c r="M160" i="51" s="1"/>
  <c r="N160" i="51" s="1"/>
  <c r="O160" i="51" s="1"/>
  <c r="P160" i="51" s="1"/>
  <c r="Q160" i="51" s="1"/>
  <c r="R160" i="51" s="1"/>
  <c r="S160" i="51" s="1"/>
  <c r="T160" i="51" s="1"/>
  <c r="U160" i="51" s="1"/>
  <c r="V160" i="51" s="1"/>
  <c r="W160" i="51" s="1"/>
  <c r="Q98" i="4"/>
  <c r="P100" i="4"/>
  <c r="G193" i="51"/>
  <c r="F193" i="51" s="1"/>
  <c r="E193" i="51" s="1"/>
  <c r="D193" i="51" s="1"/>
  <c r="G74" i="51"/>
  <c r="H74" i="51" s="1"/>
  <c r="I74" i="51" s="1"/>
  <c r="J74" i="51" s="1"/>
  <c r="K74" i="51" s="1"/>
  <c r="L74" i="51" s="1"/>
  <c r="M74" i="51" s="1"/>
  <c r="N74" i="51" s="1"/>
  <c r="O74" i="51" s="1"/>
  <c r="P74" i="51" s="1"/>
  <c r="Q74" i="51" s="1"/>
  <c r="R74" i="51" s="1"/>
  <c r="S74" i="51" s="1"/>
  <c r="T74" i="51" s="1"/>
  <c r="U74" i="51" s="1"/>
  <c r="V74" i="51" s="1"/>
  <c r="W74" i="51" s="1"/>
  <c r="G57" i="51"/>
  <c r="H57" i="51" s="1"/>
  <c r="I57" i="51" s="1"/>
  <c r="J57" i="51" s="1"/>
  <c r="K57" i="51" s="1"/>
  <c r="L57" i="51" s="1"/>
  <c r="M57" i="51" s="1"/>
  <c r="N57" i="51" s="1"/>
  <c r="O57" i="51" s="1"/>
  <c r="P57" i="51" s="1"/>
  <c r="Q57" i="51" s="1"/>
  <c r="R57" i="51" s="1"/>
  <c r="S57" i="51" s="1"/>
  <c r="T57" i="51" s="1"/>
  <c r="U57" i="51" s="1"/>
  <c r="V57" i="51" s="1"/>
  <c r="W57" i="51" s="1"/>
  <c r="G91" i="51"/>
  <c r="H91" i="51" s="1"/>
  <c r="I91" i="51" s="1"/>
  <c r="J91" i="51" s="1"/>
  <c r="K91" i="51" s="1"/>
  <c r="L91" i="51" s="1"/>
  <c r="M91" i="51" s="1"/>
  <c r="N91" i="51" s="1"/>
  <c r="O91" i="51" s="1"/>
  <c r="P91" i="51" s="1"/>
  <c r="Q91" i="51" s="1"/>
  <c r="R91" i="51" s="1"/>
  <c r="S91" i="51" s="1"/>
  <c r="T91" i="51" s="1"/>
  <c r="U91" i="51" s="1"/>
  <c r="V91" i="51" s="1"/>
  <c r="W91" i="51" s="1"/>
  <c r="K101" i="45"/>
  <c r="K124" i="45" s="1"/>
  <c r="F6" i="51"/>
  <c r="G140" i="51" s="1"/>
  <c r="G133" i="51" s="1"/>
  <c r="G134" i="51" s="1"/>
  <c r="H6" i="51"/>
  <c r="H21" i="51" s="1"/>
  <c r="M201" i="1"/>
  <c r="K61" i="27" s="1"/>
  <c r="G31" i="28"/>
  <c r="G67" i="28" s="1"/>
  <c r="L12" i="45"/>
  <c r="L81" i="45" s="1"/>
  <c r="E15" i="28"/>
  <c r="L126" i="10"/>
  <c r="M121" i="10" s="1"/>
  <c r="F25" i="4"/>
  <c r="F8" i="48" s="1"/>
  <c r="H151" i="45"/>
  <c r="I5" i="45"/>
  <c r="M124" i="10"/>
  <c r="M125" i="10" s="1"/>
  <c r="M28" i="46" s="1"/>
  <c r="M22" i="45" s="1"/>
  <c r="M82" i="45" s="1"/>
  <c r="K23" i="33"/>
  <c r="K24" i="33" s="1"/>
  <c r="E120" i="31"/>
  <c r="F308" i="48"/>
  <c r="F309" i="48" s="1"/>
  <c r="H53" i="31"/>
  <c r="J7" i="18"/>
  <c r="J114" i="40"/>
  <c r="J97" i="40"/>
  <c r="J123" i="40" s="1"/>
  <c r="I166" i="45"/>
  <c r="I159" i="45"/>
  <c r="I78" i="4" s="1"/>
  <c r="I160" i="45"/>
  <c r="I79" i="4" s="1"/>
  <c r="I161" i="45"/>
  <c r="I80" i="4" s="1"/>
  <c r="M17" i="33"/>
  <c r="M20" i="33" s="1"/>
  <c r="L21" i="33"/>
  <c r="L23" i="33" s="1"/>
  <c r="F23" i="51"/>
  <c r="E23" i="51" s="1"/>
  <c r="D23" i="51" s="1"/>
  <c r="D27" i="51" s="1"/>
  <c r="H176" i="51"/>
  <c r="I176" i="51" s="1"/>
  <c r="J176" i="51" s="1"/>
  <c r="K176" i="51" s="1"/>
  <c r="L176" i="51" s="1"/>
  <c r="M176" i="51" s="1"/>
  <c r="N176" i="51" s="1"/>
  <c r="O176" i="51" s="1"/>
  <c r="P176" i="51" s="1"/>
  <c r="Q176" i="51" s="1"/>
  <c r="R176" i="51" s="1"/>
  <c r="S176" i="51" s="1"/>
  <c r="T176" i="51" s="1"/>
  <c r="U176" i="51" s="1"/>
  <c r="V176" i="51" s="1"/>
  <c r="W176" i="51" s="1"/>
  <c r="F91" i="51"/>
  <c r="E91" i="51" s="1"/>
  <c r="D91" i="51" s="1"/>
  <c r="D95" i="51" s="1"/>
  <c r="H210" i="51"/>
  <c r="I210" i="51" s="1"/>
  <c r="G227" i="51"/>
  <c r="J1441" i="40"/>
  <c r="J1446" i="40" s="1"/>
  <c r="J1460" i="40" s="1"/>
  <c r="I67" i="10" s="1"/>
  <c r="J1350" i="40"/>
  <c r="J1364" i="40" s="1"/>
  <c r="I63" i="10" s="1"/>
  <c r="H51" i="43"/>
  <c r="I35" i="48"/>
  <c r="F160" i="45"/>
  <c r="F79" i="4" s="1"/>
  <c r="F166" i="45"/>
  <c r="F159" i="45"/>
  <c r="F78" i="4" s="1"/>
  <c r="H44" i="43"/>
  <c r="D176" i="31"/>
  <c r="F314" i="48"/>
  <c r="F315" i="48" s="1"/>
  <c r="F317" i="48" s="1"/>
  <c r="N201" i="1"/>
  <c r="L61" i="27" s="1"/>
  <c r="L93" i="45"/>
  <c r="J173" i="4"/>
  <c r="G30" i="36"/>
  <c r="M109" i="45"/>
  <c r="L49" i="26"/>
  <c r="M10" i="45"/>
  <c r="I11" i="27"/>
  <c r="L183" i="1"/>
  <c r="I13" i="48"/>
  <c r="I51" i="43"/>
  <c r="I134" i="48"/>
  <c r="I10" i="27"/>
  <c r="F37" i="28"/>
  <c r="E176" i="31" s="1"/>
  <c r="G99" i="58"/>
  <c r="M108" i="45"/>
  <c r="I9" i="27"/>
  <c r="P13" i="10"/>
  <c r="C33" i="31"/>
  <c r="E79" i="58"/>
  <c r="D33" i="31"/>
  <c r="F79" i="58"/>
  <c r="D48" i="28"/>
  <c r="D10" i="58"/>
  <c r="I5" i="57"/>
  <c r="J39" i="45"/>
  <c r="G159" i="45"/>
  <c r="G78" i="4" s="1"/>
  <c r="F40" i="4"/>
  <c r="G160" i="45"/>
  <c r="G79" i="4" s="1"/>
  <c r="G161" i="45"/>
  <c r="G80" i="4" s="1"/>
  <c r="G25" i="4"/>
  <c r="G8" i="48" s="1"/>
  <c r="N31" i="19"/>
  <c r="D93" i="31"/>
  <c r="E98" i="31"/>
  <c r="G123" i="31"/>
  <c r="I53" i="31"/>
  <c r="L19" i="10"/>
  <c r="L20" i="10" s="1"/>
  <c r="M19" i="10" s="1"/>
  <c r="M20" i="10" s="1"/>
  <c r="K94" i="45"/>
  <c r="K97" i="45"/>
  <c r="K120" i="45" s="1"/>
  <c r="L31" i="10"/>
  <c r="L32" i="10" s="1"/>
  <c r="M31" i="10" s="1"/>
  <c r="M32" i="10" s="1"/>
  <c r="J98" i="45"/>
  <c r="J121" i="45" s="1"/>
  <c r="K43" i="10"/>
  <c r="K12" i="46"/>
  <c r="J75" i="33"/>
  <c r="J11" i="4"/>
  <c r="J189" i="48"/>
  <c r="J341" i="48" s="1"/>
  <c r="J83" i="33"/>
  <c r="G89" i="51"/>
  <c r="G82" i="51" s="1"/>
  <c r="G83" i="51" s="1"/>
  <c r="AF14" i="35"/>
  <c r="AM14" i="35" s="1"/>
  <c r="AG13" i="35"/>
  <c r="H16" i="35"/>
  <c r="S101" i="35"/>
  <c r="O101" i="35" s="1"/>
  <c r="M101" i="35"/>
  <c r="AP13" i="35"/>
  <c r="AP14" i="35" s="1"/>
  <c r="AW14" i="35" s="1"/>
  <c r="AW12" i="35"/>
  <c r="AS12" i="35" s="1"/>
  <c r="B103" i="35"/>
  <c r="I102" i="35"/>
  <c r="E102" i="35" s="1"/>
  <c r="L102" i="35"/>
  <c r="C102" i="35"/>
  <c r="V15" i="35"/>
  <c r="AC15" i="35" s="1"/>
  <c r="G157" i="51"/>
  <c r="G150" i="51" s="1"/>
  <c r="G151" i="51" s="1"/>
  <c r="E210" i="51"/>
  <c r="F227" i="51"/>
  <c r="I6" i="51"/>
  <c r="H38" i="51"/>
  <c r="H31" i="51" s="1"/>
  <c r="H32" i="51" s="1"/>
  <c r="H55" i="51"/>
  <c r="H48" i="51" s="1"/>
  <c r="H49" i="51" s="1"/>
  <c r="H72" i="51"/>
  <c r="H65" i="51" s="1"/>
  <c r="H66" i="51" s="1"/>
  <c r="H140" i="51"/>
  <c r="H133" i="51" s="1"/>
  <c r="H134" i="51" s="1"/>
  <c r="H174" i="51"/>
  <c r="H167" i="51" s="1"/>
  <c r="H168" i="51" s="1"/>
  <c r="H191" i="51"/>
  <c r="H184" i="51" s="1"/>
  <c r="H185" i="51" s="1"/>
  <c r="H225" i="51"/>
  <c r="H218" i="51" s="1"/>
  <c r="H219" i="51" s="1"/>
  <c r="E6" i="51"/>
  <c r="F21" i="51" s="1"/>
  <c r="G208" i="51"/>
  <c r="G201" i="51" s="1"/>
  <c r="G202" i="51" s="1"/>
  <c r="D177" i="51"/>
  <c r="E177" i="51" s="1"/>
  <c r="F177" i="51" s="1"/>
  <c r="G177" i="51" s="1"/>
  <c r="H177" i="51" s="1"/>
  <c r="I177" i="51" s="1"/>
  <c r="J177" i="51" s="1"/>
  <c r="K177" i="51" s="1"/>
  <c r="L177" i="51" s="1"/>
  <c r="M177" i="51" s="1"/>
  <c r="N177" i="51" s="1"/>
  <c r="O177" i="51" s="1"/>
  <c r="P177" i="51" s="1"/>
  <c r="Q177" i="51" s="1"/>
  <c r="R177" i="51" s="1"/>
  <c r="S177" i="51" s="1"/>
  <c r="T177" i="51" s="1"/>
  <c r="U177" i="51" s="1"/>
  <c r="V177" i="51" s="1"/>
  <c r="W177" i="51" s="1"/>
  <c r="D180" i="51"/>
  <c r="D194" i="51"/>
  <c r="E194" i="51" s="1"/>
  <c r="F194" i="51" s="1"/>
  <c r="G194" i="51" s="1"/>
  <c r="H194" i="51" s="1"/>
  <c r="I194" i="51" s="1"/>
  <c r="J194" i="51" s="1"/>
  <c r="K194" i="51" s="1"/>
  <c r="L194" i="51" s="1"/>
  <c r="M194" i="51" s="1"/>
  <c r="N194" i="51" s="1"/>
  <c r="O194" i="51" s="1"/>
  <c r="P194" i="51" s="1"/>
  <c r="Q194" i="51" s="1"/>
  <c r="R194" i="51" s="1"/>
  <c r="S194" i="51" s="1"/>
  <c r="T194" i="51" s="1"/>
  <c r="U194" i="51" s="1"/>
  <c r="V194" i="51" s="1"/>
  <c r="W194" i="51" s="1"/>
  <c r="D197" i="51"/>
  <c r="J72" i="33"/>
  <c r="J71" i="33"/>
  <c r="J191" i="48" s="1"/>
  <c r="J70" i="33"/>
  <c r="J81" i="33" s="1"/>
  <c r="J103" i="46" s="1"/>
  <c r="G116" i="31"/>
  <c r="E45" i="31"/>
  <c r="C115" i="31"/>
  <c r="F120" i="31"/>
  <c r="H49" i="31"/>
  <c r="L38" i="27"/>
  <c r="F131" i="31"/>
  <c r="K41" i="33"/>
  <c r="K43" i="33" s="1"/>
  <c r="K44" i="33" s="1"/>
  <c r="J161" i="1"/>
  <c r="J166" i="1"/>
  <c r="J155" i="1"/>
  <c r="F243" i="48"/>
  <c r="F216" i="48"/>
  <c r="J150" i="1"/>
  <c r="J171" i="1"/>
  <c r="H174" i="48"/>
  <c r="H43" i="48"/>
  <c r="I41" i="48" s="1"/>
  <c r="N67" i="1"/>
  <c r="I33" i="48"/>
  <c r="I191" i="48"/>
  <c r="J107" i="1"/>
  <c r="W60" i="43"/>
  <c r="F51" i="43"/>
  <c r="I44" i="43"/>
  <c r="X60" i="43"/>
  <c r="N28" i="19"/>
  <c r="G44" i="43"/>
  <c r="G51" i="43"/>
  <c r="H25" i="4"/>
  <c r="H33" i="4"/>
  <c r="N29" i="45"/>
  <c r="N189" i="1" s="1"/>
  <c r="AD191" i="1" s="1"/>
  <c r="M29" i="19"/>
  <c r="N29" i="19" s="1"/>
  <c r="E36" i="4"/>
  <c r="K10" i="4"/>
  <c r="K11" i="4" s="1"/>
  <c r="M32" i="19"/>
  <c r="H36" i="4"/>
  <c r="G79" i="32"/>
  <c r="G23" i="32"/>
  <c r="F128" i="45"/>
  <c r="F151" i="45"/>
  <c r="E25" i="4"/>
  <c r="E8" i="48" s="1"/>
  <c r="G28" i="32"/>
  <c r="G30" i="32"/>
  <c r="G27" i="32"/>
  <c r="G26" i="32"/>
  <c r="G25" i="32"/>
  <c r="G78" i="32"/>
  <c r="G204" i="45"/>
  <c r="G24" i="45"/>
  <c r="H166" i="45"/>
  <c r="H160" i="45"/>
  <c r="H79" i="4" s="1"/>
  <c r="H159" i="45"/>
  <c r="H78" i="4" s="1"/>
  <c r="H161" i="45"/>
  <c r="H80" i="4" s="1"/>
  <c r="E161" i="45"/>
  <c r="E80" i="4" s="1"/>
  <c r="E159" i="45"/>
  <c r="E78" i="4" s="1"/>
  <c r="E166" i="45"/>
  <c r="E160" i="45"/>
  <c r="E79" i="4" s="1"/>
  <c r="H155" i="45"/>
  <c r="H76" i="4" s="1"/>
  <c r="L11" i="1"/>
  <c r="L28" i="1" s="1"/>
  <c r="L29" i="1" s="1"/>
  <c r="H192" i="45"/>
  <c r="H194" i="45" s="1"/>
  <c r="H182" i="45"/>
  <c r="H186" i="45" s="1"/>
  <c r="H183" i="45"/>
  <c r="E192" i="45"/>
  <c r="E194" i="45" s="1"/>
  <c r="E182" i="45"/>
  <c r="E186" i="45" s="1"/>
  <c r="E183" i="45"/>
  <c r="G29" i="32"/>
  <c r="G24" i="32"/>
  <c r="G77" i="32"/>
  <c r="G76" i="32"/>
  <c r="G80" i="32"/>
  <c r="H4" i="32"/>
  <c r="M133" i="1"/>
  <c r="D73" i="43"/>
  <c r="E70" i="43" s="1"/>
  <c r="E73" i="43" s="1"/>
  <c r="F70" i="43" s="1"/>
  <c r="F73" i="43" s="1"/>
  <c r="G70" i="43" s="1"/>
  <c r="G73" i="43" s="1"/>
  <c r="H70" i="43" s="1"/>
  <c r="H73" i="43" s="1"/>
  <c r="I70" i="43" s="1"/>
  <c r="I73" i="43" s="1"/>
  <c r="J70" i="43" s="1"/>
  <c r="J73" i="43" s="1"/>
  <c r="D44" i="43"/>
  <c r="D51" i="43"/>
  <c r="P109" i="4"/>
  <c r="O76" i="1"/>
  <c r="F44" i="43"/>
  <c r="O29" i="4"/>
  <c r="F983" i="40"/>
  <c r="E101" i="10" s="1"/>
  <c r="O126" i="4"/>
  <c r="O89" i="1"/>
  <c r="L91" i="1"/>
  <c r="M138" i="33"/>
  <c r="M139" i="33" s="1"/>
  <c r="N135" i="33" s="1"/>
  <c r="N137" i="33" s="1"/>
  <c r="M159" i="33"/>
  <c r="M160" i="33" s="1"/>
  <c r="N156" i="33" s="1"/>
  <c r="N158" i="33" s="1"/>
  <c r="N131" i="33"/>
  <c r="N132" i="33" s="1"/>
  <c r="O128" i="33" s="1"/>
  <c r="O130" i="33" s="1"/>
  <c r="M145" i="33"/>
  <c r="M146" i="33" s="1"/>
  <c r="N142" i="33" s="1"/>
  <c r="N144" i="33" s="1"/>
  <c r="M61" i="33"/>
  <c r="M63" i="33" s="1"/>
  <c r="M64" i="33" s="1"/>
  <c r="L64" i="33"/>
  <c r="M108" i="33"/>
  <c r="M109" i="33" s="1"/>
  <c r="L110" i="33"/>
  <c r="H49" i="11"/>
  <c r="M63" i="45"/>
  <c r="N37" i="45"/>
  <c r="O110" i="1"/>
  <c r="G374" i="40"/>
  <c r="G354" i="40"/>
  <c r="M52" i="27"/>
  <c r="O45" i="45"/>
  <c r="N29" i="26"/>
  <c r="O52" i="45"/>
  <c r="N33" i="26"/>
  <c r="H39" i="11"/>
  <c r="M97" i="1"/>
  <c r="L101" i="1"/>
  <c r="F755" i="40"/>
  <c r="F756" i="40" s="1"/>
  <c r="E72" i="10" s="1"/>
  <c r="F831" i="40"/>
  <c r="K139" i="1"/>
  <c r="H6" i="36"/>
  <c r="K173" i="4" s="1"/>
  <c r="C38" i="11"/>
  <c r="D38" i="11" s="1"/>
  <c r="F37" i="11"/>
  <c r="L105" i="1"/>
  <c r="K106" i="1"/>
  <c r="AG139" i="46"/>
  <c r="L133" i="46"/>
  <c r="AG145" i="46" s="1"/>
  <c r="C15" i="35"/>
  <c r="M9" i="1"/>
  <c r="N7" i="1"/>
  <c r="M121" i="46"/>
  <c r="E5" i="45"/>
  <c r="E38" i="46"/>
  <c r="M14" i="27"/>
  <c r="N123" i="45"/>
  <c r="O100" i="45"/>
  <c r="G1243" i="40"/>
  <c r="F55" i="10" s="1"/>
  <c r="O204" i="1"/>
  <c r="N210" i="1"/>
  <c r="N132" i="1" s="1"/>
  <c r="P105" i="33"/>
  <c r="P107" i="33" s="1"/>
  <c r="G28" i="36"/>
  <c r="J34" i="1" s="1"/>
  <c r="E96" i="58" s="1"/>
  <c r="G20" i="36"/>
  <c r="G23" i="36" s="1"/>
  <c r="I13" i="27"/>
  <c r="G1325" i="40"/>
  <c r="H1224" i="40"/>
  <c r="N130" i="45"/>
  <c r="N100" i="1"/>
  <c r="N49" i="27"/>
  <c r="O145" i="4"/>
  <c r="P98" i="1"/>
  <c r="Q98" i="1" s="1"/>
  <c r="R98" i="1" s="1"/>
  <c r="S98" i="1" s="1"/>
  <c r="N37" i="33"/>
  <c r="N40" i="33" s="1"/>
  <c r="M50" i="27"/>
  <c r="K4" i="33"/>
  <c r="E4" i="28"/>
  <c r="M63" i="27"/>
  <c r="AQ11" i="35"/>
  <c r="O94" i="1"/>
  <c r="L22" i="27"/>
  <c r="N75" i="1"/>
  <c r="G972" i="40"/>
  <c r="G914" i="40"/>
  <c r="N124" i="33"/>
  <c r="N125" i="33" s="1"/>
  <c r="O121" i="33" s="1"/>
  <c r="O123" i="33" s="1"/>
  <c r="L19" i="18"/>
  <c r="O121" i="4"/>
  <c r="I13" i="31" s="1"/>
  <c r="F251" i="40"/>
  <c r="F258" i="40" s="1"/>
  <c r="G136" i="40"/>
  <c r="B82" i="32"/>
  <c r="G81" i="32"/>
  <c r="M166" i="33"/>
  <c r="M167" i="33" s="1"/>
  <c r="N163" i="33" s="1"/>
  <c r="N165" i="33" s="1"/>
  <c r="M73" i="45"/>
  <c r="L76" i="45"/>
  <c r="G1338" i="40"/>
  <c r="H1238" i="40"/>
  <c r="M92" i="33"/>
  <c r="M93" i="33" s="1"/>
  <c r="L94" i="33"/>
  <c r="I121" i="40"/>
  <c r="I123" i="40"/>
  <c r="I329" i="40"/>
  <c r="N68" i="1"/>
  <c r="M77" i="1"/>
  <c r="N44" i="1"/>
  <c r="M51" i="1"/>
  <c r="M10" i="1" s="1"/>
  <c r="W13" i="35"/>
  <c r="N104" i="1"/>
  <c r="N83" i="1"/>
  <c r="M133" i="45"/>
  <c r="M139" i="45" s="1"/>
  <c r="M16" i="45" s="1"/>
  <c r="N43" i="45"/>
  <c r="M26" i="26"/>
  <c r="K5" i="46"/>
  <c r="K64" i="1"/>
  <c r="R40" i="10"/>
  <c r="O146" i="4"/>
  <c r="N143" i="45"/>
  <c r="M149" i="45"/>
  <c r="M25" i="45" s="1"/>
  <c r="K13" i="33"/>
  <c r="M26" i="27"/>
  <c r="O30" i="4"/>
  <c r="N25" i="10"/>
  <c r="L70" i="4"/>
  <c r="M70" i="4" s="1"/>
  <c r="N70" i="4" s="1"/>
  <c r="O70" i="4" s="1"/>
  <c r="P70" i="4" s="1"/>
  <c r="Q70" i="4" s="1"/>
  <c r="R70" i="4" s="1"/>
  <c r="S70" i="4" s="1"/>
  <c r="F121" i="40"/>
  <c r="F123" i="40"/>
  <c r="F329" i="40"/>
  <c r="P97" i="33"/>
  <c r="P99" i="33" s="1"/>
  <c r="L67" i="33"/>
  <c r="M14" i="35"/>
  <c r="M152" i="33"/>
  <c r="M153" i="33" s="1"/>
  <c r="N149" i="33" s="1"/>
  <c r="N151" i="33" s="1"/>
  <c r="G257" i="40"/>
  <c r="H143" i="40"/>
  <c r="L12" i="46"/>
  <c r="O195" i="1"/>
  <c r="H27" i="28"/>
  <c r="N54" i="1"/>
  <c r="M56" i="1"/>
  <c r="M37" i="1" s="1"/>
  <c r="N122" i="10"/>
  <c r="O35" i="4"/>
  <c r="H44" i="11"/>
  <c r="M5" i="26"/>
  <c r="N4" i="4"/>
  <c r="M51" i="33"/>
  <c r="M53" i="33" s="1"/>
  <c r="O71" i="1"/>
  <c r="O99" i="1"/>
  <c r="N85" i="1"/>
  <c r="H822" i="40"/>
  <c r="H747" i="40"/>
  <c r="G372" i="40"/>
  <c r="H343" i="40"/>
  <c r="Q27" i="33"/>
  <c r="Q30" i="33" s="1"/>
  <c r="P86" i="1"/>
  <c r="Q86" i="1" s="1"/>
  <c r="R86" i="1" s="1"/>
  <c r="S86" i="1" s="1"/>
  <c r="K75" i="33"/>
  <c r="K79" i="33"/>
  <c r="K83" i="33"/>
  <c r="I749" i="40"/>
  <c r="H829" i="40"/>
  <c r="O193" i="1"/>
  <c r="I31" i="28" s="1"/>
  <c r="I67" i="28" s="1"/>
  <c r="G171" i="31"/>
  <c r="N53" i="45"/>
  <c r="B32" i="32"/>
  <c r="O15" i="1"/>
  <c r="N14" i="1"/>
  <c r="N44" i="45"/>
  <c r="M28" i="26"/>
  <c r="J117" i="33"/>
  <c r="J180" i="33" s="1"/>
  <c r="J179" i="33"/>
  <c r="L4" i="10"/>
  <c r="J4" i="18" s="1"/>
  <c r="L5" i="1"/>
  <c r="H3" i="57" s="1"/>
  <c r="J4" i="27"/>
  <c r="M99" i="4"/>
  <c r="N97" i="4"/>
  <c r="K50" i="26"/>
  <c r="M105" i="46"/>
  <c r="M51" i="45"/>
  <c r="N15" i="46"/>
  <c r="P110" i="4"/>
  <c r="P124" i="4"/>
  <c r="N47" i="45"/>
  <c r="O72" i="1"/>
  <c r="N57" i="33"/>
  <c r="N60" i="33" s="1"/>
  <c r="L15" i="26"/>
  <c r="N62" i="1"/>
  <c r="N39" i="1" s="1"/>
  <c r="I101" i="58" s="1"/>
  <c r="O58" i="1"/>
  <c r="M100" i="33"/>
  <c r="M101" i="33" s="1"/>
  <c r="L102" i="33"/>
  <c r="O47" i="4"/>
  <c r="M122" i="46"/>
  <c r="AH136" i="46" s="1"/>
  <c r="K31" i="18"/>
  <c r="K43" i="18" s="1"/>
  <c r="K53" i="18" s="1"/>
  <c r="N111" i="1"/>
  <c r="P88" i="33"/>
  <c r="P91" i="33" s="1"/>
  <c r="P144" i="4"/>
  <c r="H129" i="40"/>
  <c r="G244" i="40"/>
  <c r="M102" i="46"/>
  <c r="N32" i="46"/>
  <c r="M23" i="26"/>
  <c r="D121" i="40"/>
  <c r="D329" i="40"/>
  <c r="D123" i="40"/>
  <c r="P8" i="4"/>
  <c r="I182" i="4"/>
  <c r="D17" i="7" s="1"/>
  <c r="M12" i="45"/>
  <c r="M81" i="45" s="1"/>
  <c r="M110" i="45"/>
  <c r="M122" i="45" s="1"/>
  <c r="M126" i="46"/>
  <c r="N123" i="4"/>
  <c r="L28" i="27"/>
  <c r="M85" i="46"/>
  <c r="M16" i="46" s="1"/>
  <c r="N79" i="46"/>
  <c r="J14" i="36"/>
  <c r="J10" i="36" s="1"/>
  <c r="J13" i="36" s="1"/>
  <c r="K8" i="36" s="1"/>
  <c r="N47" i="33"/>
  <c r="N50" i="33" s="1"/>
  <c r="N173" i="33"/>
  <c r="N174" i="33" s="1"/>
  <c r="O170" i="33" s="1"/>
  <c r="O172" i="33" s="1"/>
  <c r="M31" i="33"/>
  <c r="M33" i="33" s="1"/>
  <c r="L34" i="33"/>
  <c r="M27" i="1"/>
  <c r="M34" i="26" s="1"/>
  <c r="N13" i="1"/>
  <c r="AG135" i="46"/>
  <c r="J31" i="27"/>
  <c r="L16" i="18"/>
  <c r="N106" i="45"/>
  <c r="N116" i="4"/>
  <c r="N214" i="1"/>
  <c r="O131" i="1"/>
  <c r="L10" i="4"/>
  <c r="L11" i="4" s="1"/>
  <c r="M9" i="4"/>
  <c r="O94" i="46"/>
  <c r="O17" i="46" s="1"/>
  <c r="P87" i="46"/>
  <c r="M18" i="18"/>
  <c r="P120" i="4"/>
  <c r="J12" i="31" s="1"/>
  <c r="M88" i="1"/>
  <c r="L17" i="18"/>
  <c r="N107" i="45"/>
  <c r="N26" i="46"/>
  <c r="N117" i="4"/>
  <c r="O50" i="4"/>
  <c r="H919" i="40"/>
  <c r="H976" i="40"/>
  <c r="N32" i="45"/>
  <c r="K7" i="18"/>
  <c r="N16" i="10"/>
  <c r="N17" i="10" s="1"/>
  <c r="M93" i="45"/>
  <c r="J5" i="45"/>
  <c r="J151" i="45" s="1"/>
  <c r="J38" i="46"/>
  <c r="V5" i="46"/>
  <c r="AE5" i="46" s="1"/>
  <c r="G981" i="40"/>
  <c r="G922" i="40"/>
  <c r="H34" i="11"/>
  <c r="J33" i="11"/>
  <c r="H1231" i="40"/>
  <c r="G1332" i="40"/>
  <c r="G336" i="40"/>
  <c r="F365" i="40"/>
  <c r="F379" i="40" s="1"/>
  <c r="L54" i="33"/>
  <c r="G62" i="45" l="1"/>
  <c r="G20" i="26"/>
  <c r="G26" i="48" s="1"/>
  <c r="I187" i="1"/>
  <c r="I167" i="4" s="1"/>
  <c r="Y192" i="1"/>
  <c r="D13" i="57"/>
  <c r="H166" i="4"/>
  <c r="J42" i="4"/>
  <c r="J43" i="4" s="1"/>
  <c r="D10" i="31" s="1"/>
  <c r="I43" i="4"/>
  <c r="E62" i="45"/>
  <c r="E55" i="45"/>
  <c r="E20" i="26"/>
  <c r="F62" i="45"/>
  <c r="F20" i="26"/>
  <c r="F26" i="48" s="1"/>
  <c r="D92" i="51"/>
  <c r="E92" i="51" s="1"/>
  <c r="F92" i="51" s="1"/>
  <c r="G92" i="51" s="1"/>
  <c r="H92" i="51" s="1"/>
  <c r="I92" i="51" s="1"/>
  <c r="J92" i="51" s="1"/>
  <c r="K92" i="51" s="1"/>
  <c r="L92" i="51" s="1"/>
  <c r="M92" i="51" s="1"/>
  <c r="N92" i="51" s="1"/>
  <c r="O92" i="51" s="1"/>
  <c r="P92" i="51" s="1"/>
  <c r="Q92" i="51" s="1"/>
  <c r="R92" i="51" s="1"/>
  <c r="S92" i="51" s="1"/>
  <c r="T92" i="51" s="1"/>
  <c r="U92" i="51" s="1"/>
  <c r="V92" i="51" s="1"/>
  <c r="W92" i="51" s="1"/>
  <c r="V191" i="1"/>
  <c r="F186" i="1"/>
  <c r="F166" i="4" s="1"/>
  <c r="L47" i="27"/>
  <c r="F42" i="4"/>
  <c r="F190" i="1"/>
  <c r="V192" i="1" s="1"/>
  <c r="G42" i="4"/>
  <c r="G43" i="4" s="1"/>
  <c r="G190" i="1"/>
  <c r="W192" i="1" s="1"/>
  <c r="F43" i="4"/>
  <c r="W191" i="1"/>
  <c r="G186" i="1"/>
  <c r="H125" i="51"/>
  <c r="I125" i="51" s="1"/>
  <c r="J125" i="51" s="1"/>
  <c r="K125" i="51" s="1"/>
  <c r="L125" i="51" s="1"/>
  <c r="M125" i="51" s="1"/>
  <c r="N125" i="51" s="1"/>
  <c r="O125" i="51" s="1"/>
  <c r="P125" i="51" s="1"/>
  <c r="Q125" i="51" s="1"/>
  <c r="R125" i="51" s="1"/>
  <c r="S125" i="51" s="1"/>
  <c r="T125" i="51" s="1"/>
  <c r="U125" i="51" s="1"/>
  <c r="V125" i="51" s="1"/>
  <c r="W125" i="51" s="1"/>
  <c r="G191" i="51"/>
  <c r="G184" i="51" s="1"/>
  <c r="G185" i="51" s="1"/>
  <c r="D129" i="51"/>
  <c r="L101" i="45"/>
  <c r="L124" i="45" s="1"/>
  <c r="F88" i="58"/>
  <c r="F40" i="51"/>
  <c r="E40" i="51" s="1"/>
  <c r="D40" i="51" s="1"/>
  <c r="D44" i="51" s="1"/>
  <c r="E44" i="51" s="1"/>
  <c r="F44" i="51" s="1"/>
  <c r="G72" i="51"/>
  <c r="G65" i="51" s="1"/>
  <c r="G66" i="51" s="1"/>
  <c r="G174" i="51"/>
  <c r="G167" i="51" s="1"/>
  <c r="G168" i="51" s="1"/>
  <c r="G225" i="51"/>
  <c r="G218" i="51" s="1"/>
  <c r="G219" i="51" s="1"/>
  <c r="G123" i="51"/>
  <c r="G116" i="51" s="1"/>
  <c r="G117" i="51" s="1"/>
  <c r="G55" i="51"/>
  <c r="G48" i="51" s="1"/>
  <c r="G49" i="51" s="1"/>
  <c r="F108" i="51"/>
  <c r="E108" i="51" s="1"/>
  <c r="D108" i="51" s="1"/>
  <c r="H108" i="51"/>
  <c r="I108" i="51" s="1"/>
  <c r="J108" i="51" s="1"/>
  <c r="K108" i="51" s="1"/>
  <c r="L108" i="51" s="1"/>
  <c r="M108" i="51" s="1"/>
  <c r="N108" i="51" s="1"/>
  <c r="O108" i="51" s="1"/>
  <c r="P108" i="51" s="1"/>
  <c r="Q108" i="51" s="1"/>
  <c r="R108" i="51" s="1"/>
  <c r="S108" i="51" s="1"/>
  <c r="T108" i="51" s="1"/>
  <c r="U108" i="51" s="1"/>
  <c r="V108" i="51" s="1"/>
  <c r="W108" i="51" s="1"/>
  <c r="G106" i="51"/>
  <c r="G99" i="51" s="1"/>
  <c r="G100" i="51" s="1"/>
  <c r="G21" i="51"/>
  <c r="G14" i="51" s="1"/>
  <c r="G15" i="51" s="1"/>
  <c r="H159" i="51"/>
  <c r="I159" i="51" s="1"/>
  <c r="J159" i="51" s="1"/>
  <c r="K159" i="51" s="1"/>
  <c r="L159" i="51" s="1"/>
  <c r="M159" i="51" s="1"/>
  <c r="N159" i="51" s="1"/>
  <c r="O159" i="51" s="1"/>
  <c r="P159" i="51" s="1"/>
  <c r="Q159" i="51" s="1"/>
  <c r="R159" i="51" s="1"/>
  <c r="S159" i="51" s="1"/>
  <c r="T159" i="51" s="1"/>
  <c r="U159" i="51" s="1"/>
  <c r="V159" i="51" s="1"/>
  <c r="W159" i="51" s="1"/>
  <c r="D163" i="51"/>
  <c r="G38" i="51"/>
  <c r="G31" i="51" s="1"/>
  <c r="G32" i="51" s="1"/>
  <c r="F142" i="51"/>
  <c r="E142" i="51" s="1"/>
  <c r="D142" i="51" s="1"/>
  <c r="H142" i="51"/>
  <c r="I142" i="51" s="1"/>
  <c r="J142" i="51" s="1"/>
  <c r="K142" i="51" s="1"/>
  <c r="L142" i="51" s="1"/>
  <c r="M142" i="51" s="1"/>
  <c r="N142" i="51" s="1"/>
  <c r="O142" i="51" s="1"/>
  <c r="P142" i="51" s="1"/>
  <c r="Q142" i="51" s="1"/>
  <c r="R142" i="51" s="1"/>
  <c r="S142" i="51" s="1"/>
  <c r="T142" i="51" s="1"/>
  <c r="U142" i="51" s="1"/>
  <c r="V142" i="51" s="1"/>
  <c r="W142" i="51" s="1"/>
  <c r="F57" i="51"/>
  <c r="E57" i="51" s="1"/>
  <c r="D57" i="51" s="1"/>
  <c r="D58" i="51" s="1"/>
  <c r="E58" i="51" s="1"/>
  <c r="F58" i="51" s="1"/>
  <c r="G58" i="51" s="1"/>
  <c r="H58" i="51" s="1"/>
  <c r="I58" i="51" s="1"/>
  <c r="J58" i="51" s="1"/>
  <c r="K58" i="51" s="1"/>
  <c r="L58" i="51" s="1"/>
  <c r="M58" i="51" s="1"/>
  <c r="N58" i="51" s="1"/>
  <c r="O58" i="51" s="1"/>
  <c r="P58" i="51" s="1"/>
  <c r="Q58" i="51" s="1"/>
  <c r="R58" i="51" s="1"/>
  <c r="S58" i="51" s="1"/>
  <c r="T58" i="51" s="1"/>
  <c r="U58" i="51" s="1"/>
  <c r="V58" i="51" s="1"/>
  <c r="W58" i="51" s="1"/>
  <c r="R98" i="4"/>
  <c r="Q100" i="4"/>
  <c r="F74" i="51"/>
  <c r="E74" i="51" s="1"/>
  <c r="D74" i="51" s="1"/>
  <c r="H193" i="51"/>
  <c r="I193" i="51" s="1"/>
  <c r="J193" i="51" s="1"/>
  <c r="K193" i="51" s="1"/>
  <c r="L193" i="51" s="1"/>
  <c r="M193" i="51" s="1"/>
  <c r="N193" i="51" s="1"/>
  <c r="O193" i="51" s="1"/>
  <c r="P193" i="51" s="1"/>
  <c r="Q193" i="51" s="1"/>
  <c r="R193" i="51" s="1"/>
  <c r="S193" i="51" s="1"/>
  <c r="T193" i="51" s="1"/>
  <c r="U193" i="51" s="1"/>
  <c r="V193" i="51" s="1"/>
  <c r="W193" i="51" s="1"/>
  <c r="H123" i="51"/>
  <c r="H116" i="51" s="1"/>
  <c r="H117" i="51" s="1"/>
  <c r="H106" i="51"/>
  <c r="H99" i="51" s="1"/>
  <c r="H100" i="51" s="1"/>
  <c r="H208" i="51"/>
  <c r="H201" i="51" s="1"/>
  <c r="H202" i="51" s="1"/>
  <c r="H89" i="51"/>
  <c r="H82" i="51" s="1"/>
  <c r="H83" i="51" s="1"/>
  <c r="H157" i="51"/>
  <c r="H150" i="51" s="1"/>
  <c r="H151" i="51" s="1"/>
  <c r="F171" i="31"/>
  <c r="F15" i="28"/>
  <c r="M126" i="10"/>
  <c r="N121" i="10" s="1"/>
  <c r="I151" i="45"/>
  <c r="I128" i="45"/>
  <c r="N124" i="10"/>
  <c r="N125" i="10" s="1"/>
  <c r="N28" i="46" s="1"/>
  <c r="N22" i="45" s="1"/>
  <c r="N82" i="45" s="1"/>
  <c r="I69" i="10"/>
  <c r="J63" i="10"/>
  <c r="J66" i="10" s="1"/>
  <c r="D24" i="51"/>
  <c r="E24" i="51" s="1"/>
  <c r="F24" i="51" s="1"/>
  <c r="G24" i="51" s="1"/>
  <c r="H24" i="51" s="1"/>
  <c r="I24" i="51" s="1"/>
  <c r="J24" i="51" s="1"/>
  <c r="K24" i="51" s="1"/>
  <c r="L24" i="51" s="1"/>
  <c r="M24" i="51" s="1"/>
  <c r="N24" i="51" s="1"/>
  <c r="O24" i="51" s="1"/>
  <c r="P24" i="51" s="1"/>
  <c r="Q24" i="51" s="1"/>
  <c r="R24" i="51" s="1"/>
  <c r="S24" i="51" s="1"/>
  <c r="T24" i="51" s="1"/>
  <c r="U24" i="51" s="1"/>
  <c r="V24" i="51" s="1"/>
  <c r="W24" i="51" s="1"/>
  <c r="O201" i="1"/>
  <c r="M61" i="27" s="1"/>
  <c r="I36" i="4"/>
  <c r="J36" i="4" s="1"/>
  <c r="J329" i="40"/>
  <c r="J121" i="40"/>
  <c r="L24" i="33"/>
  <c r="N17" i="33"/>
  <c r="N20" i="33" s="1"/>
  <c r="M21" i="33"/>
  <c r="M23" i="33" s="1"/>
  <c r="H227" i="51"/>
  <c r="L94" i="45"/>
  <c r="F58" i="28"/>
  <c r="G79" i="58" s="1"/>
  <c r="K69" i="4"/>
  <c r="L69" i="4" s="1"/>
  <c r="M69" i="4" s="1"/>
  <c r="N69" i="4" s="1"/>
  <c r="O69" i="4" s="1"/>
  <c r="P69" i="4" s="1"/>
  <c r="Q69" i="4" s="1"/>
  <c r="R69" i="4" s="1"/>
  <c r="S69" i="4" s="1"/>
  <c r="K11" i="46"/>
  <c r="F318" i="48"/>
  <c r="F319" i="48" s="1"/>
  <c r="J10" i="27"/>
  <c r="N108" i="45"/>
  <c r="H27" i="27"/>
  <c r="N10" i="45"/>
  <c r="G37" i="28"/>
  <c r="G58" i="28" s="1"/>
  <c r="H99" i="58"/>
  <c r="L97" i="45"/>
  <c r="L120" i="45" s="1"/>
  <c r="M49" i="26"/>
  <c r="N109" i="45"/>
  <c r="J76" i="33"/>
  <c r="J58" i="27"/>
  <c r="J9" i="27"/>
  <c r="J11" i="27"/>
  <c r="H8" i="57"/>
  <c r="I4" i="57" s="1"/>
  <c r="Q13" i="10"/>
  <c r="E48" i="28"/>
  <c r="J5" i="57"/>
  <c r="L41" i="33"/>
  <c r="L43" i="33" s="1"/>
  <c r="M41" i="33" s="1"/>
  <c r="M43" i="33" s="1"/>
  <c r="M44" i="33" s="1"/>
  <c r="F98" i="31"/>
  <c r="E93" i="31"/>
  <c r="J192" i="48"/>
  <c r="J53" i="31"/>
  <c r="H123" i="31"/>
  <c r="K44" i="10"/>
  <c r="J85" i="33"/>
  <c r="J77" i="33"/>
  <c r="J64" i="45" s="1"/>
  <c r="J39" i="26"/>
  <c r="AP15" i="35"/>
  <c r="AW15" i="35" s="1"/>
  <c r="AS14" i="35"/>
  <c r="V16" i="35"/>
  <c r="S102" i="35"/>
  <c r="O102" i="35" s="1"/>
  <c r="M102" i="35"/>
  <c r="H17" i="35"/>
  <c r="B104" i="35"/>
  <c r="L103" i="35"/>
  <c r="M103" i="35" s="1"/>
  <c r="C103" i="35"/>
  <c r="AI14" i="35"/>
  <c r="AF15" i="35"/>
  <c r="AM15" i="35" s="1"/>
  <c r="AG14" i="35"/>
  <c r="F55" i="51"/>
  <c r="F48" i="51" s="1"/>
  <c r="F49" i="51" s="1"/>
  <c r="F38" i="51"/>
  <c r="F31" i="51" s="1"/>
  <c r="F32" i="51" s="1"/>
  <c r="F208" i="51"/>
  <c r="F201" i="51" s="1"/>
  <c r="F202" i="51" s="1"/>
  <c r="F191" i="51"/>
  <c r="F184" i="51" s="1"/>
  <c r="F185" i="51" s="1"/>
  <c r="F174" i="51"/>
  <c r="F167" i="51" s="1"/>
  <c r="F168" i="51" s="1"/>
  <c r="F140" i="51"/>
  <c r="F133" i="51" s="1"/>
  <c r="F134" i="51" s="1"/>
  <c r="F72" i="51"/>
  <c r="F65" i="51" s="1"/>
  <c r="F66" i="51" s="1"/>
  <c r="F14" i="51"/>
  <c r="F15" i="51" s="1"/>
  <c r="D183" i="51"/>
  <c r="E179" i="51" s="1"/>
  <c r="E180" i="51"/>
  <c r="F180" i="51" s="1"/>
  <c r="D30" i="51"/>
  <c r="E26" i="51" s="1"/>
  <c r="E27" i="51"/>
  <c r="F27" i="51" s="1"/>
  <c r="F157" i="51"/>
  <c r="F150" i="51" s="1"/>
  <c r="F151" i="51" s="1"/>
  <c r="H14" i="51"/>
  <c r="H15" i="51" s="1"/>
  <c r="D98" i="51"/>
  <c r="E94" i="51" s="1"/>
  <c r="E95" i="51"/>
  <c r="F95" i="51" s="1"/>
  <c r="D132" i="51"/>
  <c r="E128" i="51" s="1"/>
  <c r="E129" i="51"/>
  <c r="F129" i="51" s="1"/>
  <c r="D6" i="51"/>
  <c r="E89" i="51" s="1"/>
  <c r="E82" i="51" s="1"/>
  <c r="E83" i="51" s="1"/>
  <c r="J6" i="51"/>
  <c r="I21" i="51"/>
  <c r="I38" i="51"/>
  <c r="I31" i="51" s="1"/>
  <c r="I32" i="51" s="1"/>
  <c r="I55" i="51"/>
  <c r="I48" i="51" s="1"/>
  <c r="I49" i="51" s="1"/>
  <c r="I72" i="51"/>
  <c r="I65" i="51" s="1"/>
  <c r="I66" i="51" s="1"/>
  <c r="I89" i="51"/>
  <c r="I82" i="51" s="1"/>
  <c r="I83" i="51" s="1"/>
  <c r="I106" i="51"/>
  <c r="I99" i="51" s="1"/>
  <c r="I100" i="51" s="1"/>
  <c r="I123" i="51"/>
  <c r="I116" i="51" s="1"/>
  <c r="I117" i="51" s="1"/>
  <c r="I140" i="51"/>
  <c r="I133" i="51" s="1"/>
  <c r="I134" i="51" s="1"/>
  <c r="I157" i="51"/>
  <c r="I150" i="51" s="1"/>
  <c r="I151" i="51" s="1"/>
  <c r="I174" i="51"/>
  <c r="I167" i="51" s="1"/>
  <c r="I168" i="51" s="1"/>
  <c r="I191" i="51"/>
  <c r="I184" i="51" s="1"/>
  <c r="I185" i="51" s="1"/>
  <c r="I208" i="51"/>
  <c r="I201" i="51" s="1"/>
  <c r="I202" i="51" s="1"/>
  <c r="I225" i="51"/>
  <c r="I218" i="51" s="1"/>
  <c r="I219" i="51" s="1"/>
  <c r="F123" i="51"/>
  <c r="F116" i="51" s="1"/>
  <c r="F117" i="51" s="1"/>
  <c r="D200" i="51"/>
  <c r="E196" i="51" s="1"/>
  <c r="E197" i="51"/>
  <c r="D166" i="51"/>
  <c r="E162" i="51" s="1"/>
  <c r="E163" i="51"/>
  <c r="F106" i="51"/>
  <c r="F99" i="51" s="1"/>
  <c r="F100" i="51" s="1"/>
  <c r="D210" i="51"/>
  <c r="E227" i="51"/>
  <c r="F225" i="51"/>
  <c r="F218" i="51" s="1"/>
  <c r="F219" i="51" s="1"/>
  <c r="F89" i="51"/>
  <c r="F82" i="51" s="1"/>
  <c r="F83" i="51" s="1"/>
  <c r="J210" i="51"/>
  <c r="I227" i="51"/>
  <c r="H8" i="27"/>
  <c r="J84" i="33"/>
  <c r="K70" i="33"/>
  <c r="K81" i="33" s="1"/>
  <c r="K103" i="46" s="1"/>
  <c r="J80" i="33"/>
  <c r="D115" i="31"/>
  <c r="F45" i="31"/>
  <c r="G120" i="31"/>
  <c r="I49" i="31"/>
  <c r="H116" i="31"/>
  <c r="M38" i="27"/>
  <c r="G131" i="31"/>
  <c r="H44" i="48"/>
  <c r="H268" i="48" s="1"/>
  <c r="O67" i="1"/>
  <c r="J144" i="48"/>
  <c r="K153" i="1"/>
  <c r="J153" i="48"/>
  <c r="K169" i="1"/>
  <c r="I201" i="48"/>
  <c r="I203" i="48" s="1"/>
  <c r="I342" i="48" s="1"/>
  <c r="J152" i="48"/>
  <c r="K164" i="1"/>
  <c r="H8" i="48"/>
  <c r="J151" i="48"/>
  <c r="K148" i="1"/>
  <c r="J147" i="48"/>
  <c r="K158" i="1"/>
  <c r="I192" i="48"/>
  <c r="G69" i="46"/>
  <c r="G136" i="4" s="1"/>
  <c r="G80" i="45"/>
  <c r="N133" i="1"/>
  <c r="N30" i="19"/>
  <c r="M183" i="1"/>
  <c r="O29" i="45"/>
  <c r="O189" i="1" s="1"/>
  <c r="AE191" i="1" s="1"/>
  <c r="N33" i="19"/>
  <c r="N32" i="19"/>
  <c r="H77" i="32"/>
  <c r="H23" i="32"/>
  <c r="E128" i="45"/>
  <c r="E151" i="45"/>
  <c r="H26" i="32"/>
  <c r="H25" i="32"/>
  <c r="H204" i="45"/>
  <c r="H24" i="45"/>
  <c r="F187" i="45"/>
  <c r="F86" i="4" s="1"/>
  <c r="G187" i="45"/>
  <c r="G86" i="4" s="1"/>
  <c r="E187" i="45"/>
  <c r="E86" i="4" s="1"/>
  <c r="K31" i="27"/>
  <c r="M11" i="1"/>
  <c r="M28" i="1" s="1"/>
  <c r="M29" i="1" s="1"/>
  <c r="K107" i="1"/>
  <c r="H76" i="32"/>
  <c r="H81" i="32"/>
  <c r="H29" i="32"/>
  <c r="H79" i="32"/>
  <c r="H78" i="32"/>
  <c r="H28" i="32"/>
  <c r="H27" i="32"/>
  <c r="H24" i="32"/>
  <c r="E102" i="10"/>
  <c r="H7" i="32"/>
  <c r="H112" i="32" s="1"/>
  <c r="I4" i="32"/>
  <c r="H80" i="32"/>
  <c r="H30" i="32"/>
  <c r="E116" i="46"/>
  <c r="E130" i="46" s="1"/>
  <c r="E108" i="46"/>
  <c r="J118" i="33"/>
  <c r="J181" i="33" s="1"/>
  <c r="G10" i="32"/>
  <c r="G111" i="32"/>
  <c r="G113" i="32" s="1"/>
  <c r="G114" i="32" s="1"/>
  <c r="G56" i="32"/>
  <c r="P76" i="1"/>
  <c r="Q76" i="1" s="1"/>
  <c r="R76" i="1" s="1"/>
  <c r="S76" i="1" s="1"/>
  <c r="Q109" i="4"/>
  <c r="P29" i="4"/>
  <c r="P89" i="1"/>
  <c r="Q89" i="1" s="1"/>
  <c r="R89" i="1" s="1"/>
  <c r="S89" i="1" s="1"/>
  <c r="P126" i="4"/>
  <c r="K14" i="36"/>
  <c r="K10" i="36" s="1"/>
  <c r="K13" i="36" s="1"/>
  <c r="L8" i="36" s="1"/>
  <c r="N152" i="33"/>
  <c r="N153" i="33" s="1"/>
  <c r="O149" i="33" s="1"/>
  <c r="O151" i="33" s="1"/>
  <c r="N166" i="33"/>
  <c r="N167" i="33" s="1"/>
  <c r="O163" i="33" s="1"/>
  <c r="O165" i="33" s="1"/>
  <c r="O131" i="33"/>
  <c r="O132" i="33" s="1"/>
  <c r="P128" i="33" s="1"/>
  <c r="P130" i="33" s="1"/>
  <c r="N92" i="33"/>
  <c r="N93" i="33" s="1"/>
  <c r="M94" i="33"/>
  <c r="N159" i="33"/>
  <c r="N160" i="33" s="1"/>
  <c r="O156" i="33" s="1"/>
  <c r="O158" i="33" s="1"/>
  <c r="N51" i="33"/>
  <c r="N53" i="33" s="1"/>
  <c r="M54" i="33"/>
  <c r="O173" i="33"/>
  <c r="O174" i="33" s="1"/>
  <c r="P170" i="33" s="1"/>
  <c r="P172" i="33" s="1"/>
  <c r="E28" i="10"/>
  <c r="F330" i="40"/>
  <c r="N138" i="33"/>
  <c r="N139" i="33" s="1"/>
  <c r="O135" i="33" s="1"/>
  <c r="O137" i="33" s="1"/>
  <c r="N100" i="33"/>
  <c r="N101" i="33" s="1"/>
  <c r="M102" i="33"/>
  <c r="O124" i="33"/>
  <c r="O125" i="33" s="1"/>
  <c r="P121" i="33" s="1"/>
  <c r="P123" i="33" s="1"/>
  <c r="O214" i="1"/>
  <c r="O97" i="4"/>
  <c r="N99" i="4"/>
  <c r="I745" i="40"/>
  <c r="H824" i="40"/>
  <c r="M28" i="27"/>
  <c r="N102" i="46"/>
  <c r="O32" i="46"/>
  <c r="N23" i="26"/>
  <c r="Q88" i="33"/>
  <c r="Q91" i="33" s="1"/>
  <c r="P72" i="1"/>
  <c r="Q72" i="1" s="1"/>
  <c r="R72" i="1" s="1"/>
  <c r="S72" i="1" s="1"/>
  <c r="L4" i="33"/>
  <c r="F4" i="28"/>
  <c r="P71" i="1"/>
  <c r="Q71" i="1" s="1"/>
  <c r="R71" i="1" s="1"/>
  <c r="S71" i="1" s="1"/>
  <c r="N5" i="26"/>
  <c r="O4" i="4"/>
  <c r="N12" i="45"/>
  <c r="N81" i="45" s="1"/>
  <c r="P195" i="1"/>
  <c r="I27" i="28"/>
  <c r="M15" i="35"/>
  <c r="N26" i="27"/>
  <c r="K5" i="45"/>
  <c r="K151" i="45" s="1"/>
  <c r="K38" i="46"/>
  <c r="W5" i="46"/>
  <c r="AF5" i="46" s="1"/>
  <c r="G923" i="40"/>
  <c r="F97" i="10" s="1"/>
  <c r="AQ12" i="35"/>
  <c r="M105" i="1"/>
  <c r="L106" i="1"/>
  <c r="M101" i="1"/>
  <c r="N97" i="1"/>
  <c r="G378" i="40"/>
  <c r="H350" i="40"/>
  <c r="O47" i="45"/>
  <c r="G246" i="40"/>
  <c r="G141" i="40"/>
  <c r="G148" i="40" s="1"/>
  <c r="H18" i="36"/>
  <c r="G27" i="36"/>
  <c r="H46" i="27" s="1"/>
  <c r="L137" i="1"/>
  <c r="H40" i="11"/>
  <c r="N145" i="33"/>
  <c r="N146" i="33" s="1"/>
  <c r="O142" i="33" s="1"/>
  <c r="O144" i="33" s="1"/>
  <c r="G341" i="40"/>
  <c r="G355" i="40" s="1"/>
  <c r="G360" i="40"/>
  <c r="N121" i="46"/>
  <c r="N110" i="45"/>
  <c r="N122" i="45" s="1"/>
  <c r="N126" i="46"/>
  <c r="O123" i="4"/>
  <c r="P15" i="1"/>
  <c r="O14" i="1"/>
  <c r="H348" i="40"/>
  <c r="H367" i="40"/>
  <c r="N56" i="1"/>
  <c r="N37" i="1" s="1"/>
  <c r="O54" i="1"/>
  <c r="L11" i="46"/>
  <c r="S40" i="10"/>
  <c r="E12" i="10"/>
  <c r="E13" i="48" s="1"/>
  <c r="F124" i="40"/>
  <c r="AH135" i="46"/>
  <c r="C39" i="11"/>
  <c r="D39" i="11" s="1"/>
  <c r="F38" i="11"/>
  <c r="F832" i="40"/>
  <c r="F833" i="40" s="1"/>
  <c r="E76" i="10" s="1"/>
  <c r="E114" i="46" s="1"/>
  <c r="G754" i="40"/>
  <c r="L7" i="18"/>
  <c r="O16" i="10"/>
  <c r="O17" i="10" s="1"/>
  <c r="N93" i="45"/>
  <c r="Q87" i="46"/>
  <c r="P94" i="46"/>
  <c r="P17" i="46" s="1"/>
  <c r="G32" i="32"/>
  <c r="B33" i="32"/>
  <c r="H979" i="40"/>
  <c r="I916" i="40"/>
  <c r="M10" i="4"/>
  <c r="M11" i="4" s="1"/>
  <c r="N9" i="4"/>
  <c r="M16" i="18"/>
  <c r="O106" i="45"/>
  <c r="O116" i="4"/>
  <c r="Q8" i="4"/>
  <c r="H134" i="40"/>
  <c r="H239" i="40"/>
  <c r="N31" i="10"/>
  <c r="N32" i="10" s="1"/>
  <c r="M97" i="45"/>
  <c r="M120" i="45" s="1"/>
  <c r="Q110" i="4"/>
  <c r="O44" i="45"/>
  <c r="N28" i="26"/>
  <c r="O53" i="45"/>
  <c r="I752" i="40"/>
  <c r="I826" i="40"/>
  <c r="H253" i="40"/>
  <c r="H147" i="40"/>
  <c r="M7" i="33"/>
  <c r="M10" i="33" s="1"/>
  <c r="L69" i="33"/>
  <c r="L11" i="33"/>
  <c r="K71" i="33"/>
  <c r="K14" i="33"/>
  <c r="K72" i="33" s="1"/>
  <c r="O104" i="1"/>
  <c r="O75" i="1"/>
  <c r="P145" i="4"/>
  <c r="O123" i="45"/>
  <c r="P100" i="45"/>
  <c r="P110" i="1"/>
  <c r="N108" i="33"/>
  <c r="N109" i="33" s="1"/>
  <c r="M110" i="33"/>
  <c r="C16" i="35"/>
  <c r="H35" i="11"/>
  <c r="J35" i="11" s="1"/>
  <c r="J34" i="11"/>
  <c r="AH139" i="46"/>
  <c r="M133" i="46"/>
  <c r="AH145" i="46" s="1"/>
  <c r="Q144" i="4"/>
  <c r="L50" i="26"/>
  <c r="N105" i="46"/>
  <c r="N51" i="45"/>
  <c r="O15" i="46"/>
  <c r="O85" i="1"/>
  <c r="H45" i="11"/>
  <c r="N133" i="45"/>
  <c r="N139" i="45" s="1"/>
  <c r="N16" i="45" s="1"/>
  <c r="O43" i="45"/>
  <c r="N26" i="26"/>
  <c r="O83" i="1"/>
  <c r="M19" i="18"/>
  <c r="P121" i="4"/>
  <c r="J13" i="31" s="1"/>
  <c r="N63" i="27"/>
  <c r="O130" i="45"/>
  <c r="Q105" i="33"/>
  <c r="Q107" i="33" s="1"/>
  <c r="K39" i="45"/>
  <c r="P52" i="45"/>
  <c r="O33" i="26"/>
  <c r="N31" i="33"/>
  <c r="N33" i="33" s="1"/>
  <c r="M34" i="33"/>
  <c r="R27" i="33"/>
  <c r="R30" i="33" s="1"/>
  <c r="M17" i="18"/>
  <c r="O107" i="45"/>
  <c r="O26" i="46"/>
  <c r="O117" i="4"/>
  <c r="P50" i="4"/>
  <c r="N88" i="1"/>
  <c r="N90" i="1" s="1"/>
  <c r="M76" i="45"/>
  <c r="N73" i="45"/>
  <c r="P47" i="4"/>
  <c r="O57" i="33"/>
  <c r="O60" i="33" s="1"/>
  <c r="Q124" i="4"/>
  <c r="N19" i="10"/>
  <c r="N20" i="10" s="1"/>
  <c r="M94" i="45"/>
  <c r="N149" i="45"/>
  <c r="N25" i="45" s="1"/>
  <c r="O143" i="45"/>
  <c r="M90" i="1"/>
  <c r="H1242" i="40"/>
  <c r="H1334" i="40"/>
  <c r="H82" i="32"/>
  <c r="G82" i="32"/>
  <c r="B83" i="32"/>
  <c r="P94" i="1"/>
  <c r="M22" i="27"/>
  <c r="O49" i="27"/>
  <c r="H1229" i="40"/>
  <c r="H1320" i="40"/>
  <c r="N14" i="27"/>
  <c r="J182" i="4"/>
  <c r="E17" i="7" s="1"/>
  <c r="N52" i="27"/>
  <c r="N63" i="45"/>
  <c r="O37" i="45"/>
  <c r="L31" i="18"/>
  <c r="L43" i="18" s="1"/>
  <c r="L53" i="18" s="1"/>
  <c r="O111" i="1"/>
  <c r="O62" i="1"/>
  <c r="O39" i="1" s="1"/>
  <c r="J101" i="58" s="1"/>
  <c r="P58" i="1"/>
  <c r="N51" i="1"/>
  <c r="N10" i="1" s="1"/>
  <c r="O44" i="1"/>
  <c r="H912" i="40"/>
  <c r="G974" i="40"/>
  <c r="G982" i="40"/>
  <c r="H921" i="40"/>
  <c r="J128" i="45"/>
  <c r="N18" i="18"/>
  <c r="Q120" i="4"/>
  <c r="K12" i="31" s="1"/>
  <c r="P131" i="1"/>
  <c r="Q131" i="1" s="1"/>
  <c r="R131" i="1" s="1"/>
  <c r="S131" i="1" s="1"/>
  <c r="N27" i="1"/>
  <c r="N34" i="26" s="1"/>
  <c r="O13" i="1"/>
  <c r="O79" i="46"/>
  <c r="N85" i="46"/>
  <c r="N16" i="46" s="1"/>
  <c r="M12" i="46"/>
  <c r="O122" i="10"/>
  <c r="P35" i="4"/>
  <c r="Q97" i="33"/>
  <c r="Q99" i="33" s="1"/>
  <c r="P146" i="4"/>
  <c r="W14" i="35"/>
  <c r="O68" i="1"/>
  <c r="N77" i="1"/>
  <c r="N50" i="27"/>
  <c r="G1339" i="40"/>
  <c r="P204" i="1"/>
  <c r="O210" i="1"/>
  <c r="O132" i="1" s="1"/>
  <c r="O7" i="1"/>
  <c r="N9" i="1"/>
  <c r="I6" i="36"/>
  <c r="L173" i="4" s="1"/>
  <c r="P45" i="45"/>
  <c r="O29" i="26"/>
  <c r="L5" i="46"/>
  <c r="L64" i="1"/>
  <c r="M4" i="10"/>
  <c r="K4" i="18" s="1"/>
  <c r="M5" i="1"/>
  <c r="I3" i="57" s="1"/>
  <c r="K4" i="27"/>
  <c r="H1327" i="40"/>
  <c r="H1236" i="40"/>
  <c r="O32" i="45"/>
  <c r="N122" i="46"/>
  <c r="AI136" i="46" s="1"/>
  <c r="O47" i="33"/>
  <c r="O50" i="33" s="1"/>
  <c r="P193" i="1"/>
  <c r="J31" i="28" s="1"/>
  <c r="J67" i="28" s="1"/>
  <c r="H171" i="31"/>
  <c r="P99" i="1"/>
  <c r="Q99" i="1" s="1"/>
  <c r="R99" i="1" s="1"/>
  <c r="S99" i="1" s="1"/>
  <c r="P30" i="4"/>
  <c r="O25" i="10"/>
  <c r="O37" i="33"/>
  <c r="O40" i="33" s="1"/>
  <c r="O100" i="1"/>
  <c r="M15" i="26"/>
  <c r="H50" i="11"/>
  <c r="N61" i="33"/>
  <c r="N63" i="33" s="1"/>
  <c r="N64" i="33" s="1"/>
  <c r="J13" i="27"/>
  <c r="P49" i="27" l="1"/>
  <c r="Q49" i="27" s="1"/>
  <c r="J31" i="45"/>
  <c r="J33" i="45" s="1"/>
  <c r="F40" i="48"/>
  <c r="F42" i="48" s="1"/>
  <c r="F44" i="48" s="1"/>
  <c r="F280" i="48"/>
  <c r="F265" i="48"/>
  <c r="E26" i="48"/>
  <c r="E35" i="26"/>
  <c r="G280" i="48"/>
  <c r="G40" i="48"/>
  <c r="G42" i="48" s="1"/>
  <c r="G44" i="48" s="1"/>
  <c r="G265" i="48"/>
  <c r="K42" i="4"/>
  <c r="K31" i="45" s="1"/>
  <c r="K33" i="45" s="1"/>
  <c r="C13" i="57"/>
  <c r="G166" i="4"/>
  <c r="M47" i="27"/>
  <c r="E186" i="31"/>
  <c r="E54" i="31"/>
  <c r="D47" i="51"/>
  <c r="E43" i="51" s="1"/>
  <c r="D41" i="51"/>
  <c r="E41" i="51" s="1"/>
  <c r="F41" i="51" s="1"/>
  <c r="G41" i="51" s="1"/>
  <c r="H41" i="51" s="1"/>
  <c r="I41" i="51" s="1"/>
  <c r="J41" i="51" s="1"/>
  <c r="K41" i="51" s="1"/>
  <c r="L41" i="51" s="1"/>
  <c r="M41" i="51" s="1"/>
  <c r="N41" i="51" s="1"/>
  <c r="O41" i="51" s="1"/>
  <c r="P41" i="51" s="1"/>
  <c r="Q41" i="51" s="1"/>
  <c r="R41" i="51" s="1"/>
  <c r="S41" i="51" s="1"/>
  <c r="T41" i="51" s="1"/>
  <c r="U41" i="51" s="1"/>
  <c r="V41" i="51" s="1"/>
  <c r="W41" i="51" s="1"/>
  <c r="G88" i="58"/>
  <c r="G236" i="51"/>
  <c r="G230" i="51" s="1"/>
  <c r="D109" i="51"/>
  <c r="E109" i="51" s="1"/>
  <c r="F109" i="51" s="1"/>
  <c r="G109" i="51" s="1"/>
  <c r="H109" i="51" s="1"/>
  <c r="I109" i="51" s="1"/>
  <c r="J109" i="51" s="1"/>
  <c r="K109" i="51" s="1"/>
  <c r="L109" i="51" s="1"/>
  <c r="M109" i="51" s="1"/>
  <c r="N109" i="51" s="1"/>
  <c r="O109" i="51" s="1"/>
  <c r="P109" i="51" s="1"/>
  <c r="Q109" i="51" s="1"/>
  <c r="R109" i="51" s="1"/>
  <c r="S109" i="51" s="1"/>
  <c r="T109" i="51" s="1"/>
  <c r="U109" i="51" s="1"/>
  <c r="V109" i="51" s="1"/>
  <c r="W109" i="51" s="1"/>
  <c r="D112" i="51"/>
  <c r="D146" i="51"/>
  <c r="D143" i="51"/>
  <c r="E143" i="51" s="1"/>
  <c r="F143" i="51" s="1"/>
  <c r="G143" i="51" s="1"/>
  <c r="H143" i="51" s="1"/>
  <c r="I143" i="51" s="1"/>
  <c r="J143" i="51" s="1"/>
  <c r="K143" i="51" s="1"/>
  <c r="L143" i="51" s="1"/>
  <c r="M143" i="51" s="1"/>
  <c r="N143" i="51" s="1"/>
  <c r="O143" i="51" s="1"/>
  <c r="P143" i="51" s="1"/>
  <c r="Q143" i="51" s="1"/>
  <c r="R143" i="51" s="1"/>
  <c r="S143" i="51" s="1"/>
  <c r="T143" i="51" s="1"/>
  <c r="U143" i="51" s="1"/>
  <c r="V143" i="51" s="1"/>
  <c r="W143" i="51" s="1"/>
  <c r="D61" i="51"/>
  <c r="D64" i="51" s="1"/>
  <c r="E60" i="51" s="1"/>
  <c r="D78" i="51"/>
  <c r="D75" i="51"/>
  <c r="E75" i="51" s="1"/>
  <c r="F75" i="51" s="1"/>
  <c r="G75" i="51" s="1"/>
  <c r="H75" i="51" s="1"/>
  <c r="I75" i="51" s="1"/>
  <c r="J75" i="51" s="1"/>
  <c r="K75" i="51" s="1"/>
  <c r="L75" i="51" s="1"/>
  <c r="M75" i="51" s="1"/>
  <c r="N75" i="51" s="1"/>
  <c r="O75" i="51" s="1"/>
  <c r="P75" i="51" s="1"/>
  <c r="Q75" i="51" s="1"/>
  <c r="R75" i="51" s="1"/>
  <c r="S75" i="51" s="1"/>
  <c r="T75" i="51" s="1"/>
  <c r="U75" i="51" s="1"/>
  <c r="V75" i="51" s="1"/>
  <c r="W75" i="51" s="1"/>
  <c r="H236" i="51"/>
  <c r="H230" i="51" s="1"/>
  <c r="S98" i="4"/>
  <c r="S100" i="4" s="1"/>
  <c r="R100" i="4"/>
  <c r="G15" i="28"/>
  <c r="M101" i="45"/>
  <c r="M124" i="45" s="1"/>
  <c r="N126" i="10"/>
  <c r="O121" i="10" s="1"/>
  <c r="O124" i="10"/>
  <c r="O125" i="10" s="1"/>
  <c r="O28" i="46" s="1"/>
  <c r="O22" i="45" s="1"/>
  <c r="O82" i="45" s="1"/>
  <c r="J56" i="10"/>
  <c r="K36" i="4"/>
  <c r="M24" i="33"/>
  <c r="N21" i="33"/>
  <c r="N23" i="33" s="1"/>
  <c r="O17" i="33"/>
  <c r="O20" i="33" s="1"/>
  <c r="F60" i="10"/>
  <c r="I829" i="40"/>
  <c r="J749" i="40"/>
  <c r="E33" i="31"/>
  <c r="L70" i="33"/>
  <c r="L85" i="33" s="1"/>
  <c r="L42" i="4"/>
  <c r="K114" i="33"/>
  <c r="J201" i="48"/>
  <c r="E44" i="31"/>
  <c r="P201" i="1"/>
  <c r="N61" i="27" s="1"/>
  <c r="C124" i="31"/>
  <c r="G64" i="31"/>
  <c r="E140" i="31"/>
  <c r="F176" i="31"/>
  <c r="O108" i="45"/>
  <c r="C136" i="31"/>
  <c r="K9" i="27"/>
  <c r="K10" i="27"/>
  <c r="H37" i="28"/>
  <c r="H58" i="28" s="1"/>
  <c r="I99" i="58"/>
  <c r="O109" i="45"/>
  <c r="K11" i="27"/>
  <c r="N49" i="26"/>
  <c r="O10" i="45"/>
  <c r="L31" i="27"/>
  <c r="I8" i="57"/>
  <c r="I7" i="57" s="1"/>
  <c r="R13" i="10"/>
  <c r="F33" i="31"/>
  <c r="H79" i="58"/>
  <c r="F48" i="28"/>
  <c r="J33" i="48"/>
  <c r="E10" i="58"/>
  <c r="N41" i="33"/>
  <c r="N43" i="33" s="1"/>
  <c r="O41" i="33" s="1"/>
  <c r="O43" i="33" s="1"/>
  <c r="O44" i="33" s="1"/>
  <c r="K77" i="33"/>
  <c r="K64" i="45" s="1"/>
  <c r="K5" i="57"/>
  <c r="L44" i="33"/>
  <c r="K58" i="27"/>
  <c r="K85" i="33"/>
  <c r="K39" i="26"/>
  <c r="F93" i="31"/>
  <c r="G98" i="31"/>
  <c r="K53" i="31"/>
  <c r="I123" i="31"/>
  <c r="K98" i="45"/>
  <c r="K121" i="45" s="1"/>
  <c r="L43" i="10"/>
  <c r="L44" i="10" s="1"/>
  <c r="C22" i="31"/>
  <c r="C105" i="31"/>
  <c r="H6" i="32"/>
  <c r="D9" i="28"/>
  <c r="C153" i="31" s="1"/>
  <c r="C114" i="31"/>
  <c r="H18" i="35"/>
  <c r="AI15" i="35"/>
  <c r="AF16" i="35"/>
  <c r="AG15" i="35"/>
  <c r="V17" i="35"/>
  <c r="B105" i="35"/>
  <c r="I104" i="35"/>
  <c r="E104" i="35" s="1"/>
  <c r="L104" i="35"/>
  <c r="C104" i="35"/>
  <c r="AP16" i="35"/>
  <c r="AP17" i="35" s="1"/>
  <c r="AS15" i="35"/>
  <c r="E157" i="51"/>
  <c r="E150" i="51" s="1"/>
  <c r="E151" i="51" s="1"/>
  <c r="E208" i="51"/>
  <c r="E201" i="51" s="1"/>
  <c r="E202" i="51" s="1"/>
  <c r="E72" i="51"/>
  <c r="E65" i="51" s="1"/>
  <c r="E66" i="51" s="1"/>
  <c r="E166" i="51"/>
  <c r="F162" i="51" s="1"/>
  <c r="E225" i="51"/>
  <c r="E218" i="51" s="1"/>
  <c r="E219" i="51" s="1"/>
  <c r="E55" i="51"/>
  <c r="E48" i="51" s="1"/>
  <c r="E49" i="51" s="1"/>
  <c r="E191" i="51"/>
  <c r="E184" i="51" s="1"/>
  <c r="E185" i="51" s="1"/>
  <c r="E38" i="51"/>
  <c r="E31" i="51" s="1"/>
  <c r="E32" i="51" s="1"/>
  <c r="E200" i="51"/>
  <c r="F196" i="51" s="1"/>
  <c r="E174" i="51"/>
  <c r="E167" i="51" s="1"/>
  <c r="E168" i="51" s="1"/>
  <c r="E21" i="51"/>
  <c r="E14" i="51" s="1"/>
  <c r="E15" i="51" s="1"/>
  <c r="E140" i="51"/>
  <c r="E133" i="51" s="1"/>
  <c r="E134" i="51" s="1"/>
  <c r="E123" i="51"/>
  <c r="E116" i="51" s="1"/>
  <c r="E117" i="51" s="1"/>
  <c r="G129" i="51"/>
  <c r="H129" i="51" s="1"/>
  <c r="I129" i="51" s="1"/>
  <c r="G27" i="51"/>
  <c r="H27" i="51" s="1"/>
  <c r="D211" i="51"/>
  <c r="E211" i="51" s="1"/>
  <c r="F211" i="51" s="1"/>
  <c r="G211" i="51" s="1"/>
  <c r="H211" i="51" s="1"/>
  <c r="I211" i="51" s="1"/>
  <c r="J211" i="51" s="1"/>
  <c r="K211" i="51" s="1"/>
  <c r="L211" i="51" s="1"/>
  <c r="M211" i="51" s="1"/>
  <c r="N211" i="51" s="1"/>
  <c r="O211" i="51" s="1"/>
  <c r="P211" i="51" s="1"/>
  <c r="Q211" i="51" s="1"/>
  <c r="R211" i="51" s="1"/>
  <c r="S211" i="51" s="1"/>
  <c r="T211" i="51" s="1"/>
  <c r="U211" i="51" s="1"/>
  <c r="V211" i="51" s="1"/>
  <c r="W211" i="51" s="1"/>
  <c r="D227" i="51"/>
  <c r="D214" i="51"/>
  <c r="F197" i="51"/>
  <c r="E98" i="51"/>
  <c r="F94" i="51" s="1"/>
  <c r="F98" i="51" s="1"/>
  <c r="G94" i="51" s="1"/>
  <c r="E47" i="51"/>
  <c r="F43" i="51" s="1"/>
  <c r="F47" i="51" s="1"/>
  <c r="G43" i="51" s="1"/>
  <c r="E183" i="51"/>
  <c r="F179" i="51" s="1"/>
  <c r="F183" i="51" s="1"/>
  <c r="G179" i="51" s="1"/>
  <c r="E30" i="51"/>
  <c r="F26" i="51" s="1"/>
  <c r="F30" i="51" s="1"/>
  <c r="G26" i="51" s="1"/>
  <c r="F163" i="51"/>
  <c r="D7" i="51"/>
  <c r="E7" i="51" s="1"/>
  <c r="F7" i="51" s="1"/>
  <c r="G7" i="51" s="1"/>
  <c r="H7" i="51" s="1"/>
  <c r="I7" i="51" s="1"/>
  <c r="J7" i="51" s="1"/>
  <c r="K7" i="51" s="1"/>
  <c r="L7" i="51" s="1"/>
  <c r="M7" i="51" s="1"/>
  <c r="N7" i="51" s="1"/>
  <c r="O7" i="51" s="1"/>
  <c r="P7" i="51" s="1"/>
  <c r="Q7" i="51" s="1"/>
  <c r="R7" i="51" s="1"/>
  <c r="S7" i="51" s="1"/>
  <c r="T7" i="51" s="1"/>
  <c r="U7" i="51" s="1"/>
  <c r="V7" i="51" s="1"/>
  <c r="W7" i="51" s="1"/>
  <c r="D10" i="51"/>
  <c r="D21" i="51"/>
  <c r="D38" i="51"/>
  <c r="D31" i="51" s="1"/>
  <c r="D32" i="51" s="1"/>
  <c r="D55" i="51"/>
  <c r="D48" i="51" s="1"/>
  <c r="D49" i="51" s="1"/>
  <c r="D72" i="51"/>
  <c r="D65" i="51" s="1"/>
  <c r="D66" i="51" s="1"/>
  <c r="D89" i="51"/>
  <c r="D82" i="51" s="1"/>
  <c r="D83" i="51" s="1"/>
  <c r="D106" i="51"/>
  <c r="D99" i="51" s="1"/>
  <c r="D100" i="51" s="1"/>
  <c r="D123" i="51"/>
  <c r="D116" i="51" s="1"/>
  <c r="D117" i="51" s="1"/>
  <c r="D140" i="51"/>
  <c r="D133" i="51" s="1"/>
  <c r="D134" i="51" s="1"/>
  <c r="D157" i="51"/>
  <c r="D150" i="51" s="1"/>
  <c r="D151" i="51" s="1"/>
  <c r="D174" i="51"/>
  <c r="D167" i="51" s="1"/>
  <c r="D168" i="51" s="1"/>
  <c r="D191" i="51"/>
  <c r="D184" i="51" s="1"/>
  <c r="D185" i="51" s="1"/>
  <c r="D225" i="51"/>
  <c r="D218" i="51" s="1"/>
  <c r="D219" i="51" s="1"/>
  <c r="D208" i="51"/>
  <c r="D201" i="51" s="1"/>
  <c r="D202" i="51" s="1"/>
  <c r="E132" i="51"/>
  <c r="F128" i="51" s="1"/>
  <c r="F132" i="51" s="1"/>
  <c r="G128" i="51" s="1"/>
  <c r="K210" i="51"/>
  <c r="J227" i="51"/>
  <c r="I14" i="51"/>
  <c r="I15" i="51" s="1"/>
  <c r="I236" i="51"/>
  <c r="J38" i="1" s="1"/>
  <c r="D34" i="28" s="1"/>
  <c r="F236" i="51"/>
  <c r="F230" i="51" s="1"/>
  <c r="K6" i="51"/>
  <c r="J21" i="51"/>
  <c r="J38" i="51"/>
  <c r="J31" i="51" s="1"/>
  <c r="J32" i="51" s="1"/>
  <c r="J55" i="51"/>
  <c r="J48" i="51" s="1"/>
  <c r="J49" i="51" s="1"/>
  <c r="J72" i="51"/>
  <c r="J65" i="51" s="1"/>
  <c r="J66" i="51" s="1"/>
  <c r="J89" i="51"/>
  <c r="J82" i="51" s="1"/>
  <c r="J83" i="51" s="1"/>
  <c r="J106" i="51"/>
  <c r="J99" i="51" s="1"/>
  <c r="J100" i="51" s="1"/>
  <c r="J123" i="51"/>
  <c r="J116" i="51" s="1"/>
  <c r="J117" i="51" s="1"/>
  <c r="J140" i="51"/>
  <c r="J133" i="51" s="1"/>
  <c r="J134" i="51" s="1"/>
  <c r="J157" i="51"/>
  <c r="J150" i="51" s="1"/>
  <c r="J151" i="51" s="1"/>
  <c r="J174" i="51"/>
  <c r="J167" i="51" s="1"/>
  <c r="J168" i="51" s="1"/>
  <c r="J191" i="51"/>
  <c r="J184" i="51" s="1"/>
  <c r="J185" i="51" s="1"/>
  <c r="J208" i="51"/>
  <c r="J201" i="51" s="1"/>
  <c r="J202" i="51" s="1"/>
  <c r="J225" i="51"/>
  <c r="J218" i="51" s="1"/>
  <c r="J219" i="51" s="1"/>
  <c r="E106" i="51"/>
  <c r="E99" i="51" s="1"/>
  <c r="E100" i="51" s="1"/>
  <c r="G95" i="51"/>
  <c r="H95" i="51" s="1"/>
  <c r="G44" i="51"/>
  <c r="G180" i="51"/>
  <c r="I116" i="31"/>
  <c r="J49" i="31"/>
  <c r="H120" i="31"/>
  <c r="E115" i="31"/>
  <c r="G45" i="31"/>
  <c r="N38" i="27"/>
  <c r="H131" i="31"/>
  <c r="I27" i="27"/>
  <c r="K171" i="1"/>
  <c r="K150" i="1"/>
  <c r="K155" i="1"/>
  <c r="P67" i="1"/>
  <c r="Q67" i="1" s="1"/>
  <c r="R67" i="1" s="1"/>
  <c r="K161" i="1"/>
  <c r="K166" i="1"/>
  <c r="H69" i="46"/>
  <c r="H80" i="45"/>
  <c r="N183" i="1"/>
  <c r="P29" i="45"/>
  <c r="P189" i="1" s="1"/>
  <c r="AF191" i="1" s="1"/>
  <c r="I81" i="32"/>
  <c r="I23" i="32"/>
  <c r="H187" i="45"/>
  <c r="H86" i="4" s="1"/>
  <c r="N11" i="1"/>
  <c r="N28" i="1" s="1"/>
  <c r="N29" i="1" s="1"/>
  <c r="L107" i="1"/>
  <c r="I24" i="32"/>
  <c r="J36" i="11"/>
  <c r="J53" i="11" s="1"/>
  <c r="I76" i="32"/>
  <c r="I80" i="32"/>
  <c r="I79" i="32"/>
  <c r="I78" i="32"/>
  <c r="I77" i="32"/>
  <c r="I82" i="32"/>
  <c r="J4" i="32"/>
  <c r="G983" i="40"/>
  <c r="F101" i="10" s="1"/>
  <c r="F102" i="10" s="1"/>
  <c r="Q29" i="4"/>
  <c r="Q126" i="4"/>
  <c r="L13" i="33"/>
  <c r="L14" i="33" s="1"/>
  <c r="R109" i="4"/>
  <c r="O159" i="33"/>
  <c r="O160" i="33" s="1"/>
  <c r="P156" i="33" s="1"/>
  <c r="P158" i="33" s="1"/>
  <c r="P173" i="33"/>
  <c r="P174" i="33" s="1"/>
  <c r="Q170" i="33" s="1"/>
  <c r="Q172" i="33" s="1"/>
  <c r="N91" i="1"/>
  <c r="O138" i="33"/>
  <c r="O139" i="33" s="1"/>
  <c r="P135" i="33" s="1"/>
  <c r="P137" i="33" s="1"/>
  <c r="O166" i="33"/>
  <c r="O167" i="33" s="1"/>
  <c r="P163" i="33" s="1"/>
  <c r="P165" i="33" s="1"/>
  <c r="O51" i="33"/>
  <c r="O53" i="33" s="1"/>
  <c r="N54" i="33"/>
  <c r="O152" i="33"/>
  <c r="O153" i="33" s="1"/>
  <c r="P149" i="33" s="1"/>
  <c r="P151" i="33" s="1"/>
  <c r="O145" i="33"/>
  <c r="O146" i="33" s="1"/>
  <c r="P142" i="33" s="1"/>
  <c r="P144" i="33" s="1"/>
  <c r="L14" i="36"/>
  <c r="L10" i="36" s="1"/>
  <c r="L13" i="36" s="1"/>
  <c r="M8" i="36" s="1"/>
  <c r="M5" i="46"/>
  <c r="M64" i="1"/>
  <c r="O108" i="33"/>
  <c r="O109" i="33" s="1"/>
  <c r="N110" i="33"/>
  <c r="O31" i="10"/>
  <c r="O32" i="10" s="1"/>
  <c r="N97" i="45"/>
  <c r="N120" i="45" s="1"/>
  <c r="G831" i="40"/>
  <c r="G755" i="40"/>
  <c r="G756" i="40" s="1"/>
  <c r="F72" i="10" s="1"/>
  <c r="J62" i="45"/>
  <c r="M50" i="26"/>
  <c r="P37" i="33"/>
  <c r="P40" i="33" s="1"/>
  <c r="P32" i="45"/>
  <c r="M4" i="33"/>
  <c r="G4" i="28"/>
  <c r="K182" i="4"/>
  <c r="F17" i="7" s="1"/>
  <c r="O27" i="1"/>
  <c r="O34" i="26" s="1"/>
  <c r="P13" i="1"/>
  <c r="Q94" i="1"/>
  <c r="N22" i="27"/>
  <c r="O149" i="45"/>
  <c r="O25" i="45" s="1"/>
  <c r="P143" i="45"/>
  <c r="L39" i="45"/>
  <c r="P130" i="45"/>
  <c r="P123" i="45"/>
  <c r="Q100" i="45"/>
  <c r="P104" i="1"/>
  <c r="P44" i="45"/>
  <c r="O28" i="26"/>
  <c r="B34" i="32"/>
  <c r="H33" i="32"/>
  <c r="G33" i="32"/>
  <c r="AI135" i="46"/>
  <c r="H24" i="36"/>
  <c r="H374" i="40"/>
  <c r="H354" i="40"/>
  <c r="N12" i="46"/>
  <c r="N28" i="27"/>
  <c r="O100" i="33"/>
  <c r="O101" i="33" s="1"/>
  <c r="N102" i="33"/>
  <c r="Q30" i="4"/>
  <c r="P25" i="10"/>
  <c r="N15" i="26"/>
  <c r="O50" i="27"/>
  <c r="O51" i="1"/>
  <c r="O10" i="1" s="1"/>
  <c r="P44" i="1"/>
  <c r="O63" i="45"/>
  <c r="P37" i="45"/>
  <c r="H1325" i="40"/>
  <c r="I1224" i="40"/>
  <c r="R124" i="4"/>
  <c r="N17" i="18"/>
  <c r="P107" i="45"/>
  <c r="P26" i="46"/>
  <c r="Q50" i="4"/>
  <c r="P117" i="4"/>
  <c r="P83" i="1"/>
  <c r="Q145" i="4"/>
  <c r="I129" i="40"/>
  <c r="H244" i="40"/>
  <c r="E128" i="46"/>
  <c r="E134" i="46" s="1"/>
  <c r="E101" i="46"/>
  <c r="P14" i="1"/>
  <c r="Q15" i="1"/>
  <c r="K128" i="45"/>
  <c r="P4" i="4"/>
  <c r="O5" i="26"/>
  <c r="R88" i="33"/>
  <c r="R91" i="33" s="1"/>
  <c r="P214" i="1"/>
  <c r="K177" i="33"/>
  <c r="K116" i="33"/>
  <c r="P131" i="33"/>
  <c r="P132" i="33" s="1"/>
  <c r="Q128" i="33" s="1"/>
  <c r="Q130" i="33" s="1"/>
  <c r="Q193" i="1"/>
  <c r="K31" i="28" s="1"/>
  <c r="K67" i="28" s="1"/>
  <c r="I171" i="31"/>
  <c r="H1332" i="40"/>
  <c r="I1231" i="40"/>
  <c r="P7" i="1"/>
  <c r="O9" i="1"/>
  <c r="R97" i="33"/>
  <c r="R99" i="33" s="1"/>
  <c r="M11" i="46"/>
  <c r="B84" i="32"/>
  <c r="I83" i="32"/>
  <c r="H83" i="32"/>
  <c r="G83" i="32"/>
  <c r="O122" i="46"/>
  <c r="AJ136" i="46" s="1"/>
  <c r="R105" i="33"/>
  <c r="R107" i="33" s="1"/>
  <c r="O105" i="46"/>
  <c r="O51" i="45"/>
  <c r="P15" i="46"/>
  <c r="Q110" i="1"/>
  <c r="L79" i="33"/>
  <c r="L83" i="33"/>
  <c r="L75" i="33"/>
  <c r="N10" i="4"/>
  <c r="N11" i="4" s="1"/>
  <c r="O9" i="4"/>
  <c r="O110" i="45"/>
  <c r="O122" i="45" s="1"/>
  <c r="O126" i="46"/>
  <c r="P123" i="4"/>
  <c r="N101" i="1"/>
  <c r="O97" i="1"/>
  <c r="O133" i="1"/>
  <c r="N4" i="10"/>
  <c r="L4" i="18" s="1"/>
  <c r="N5" i="1"/>
  <c r="J3" i="57" s="1"/>
  <c r="L4" i="27"/>
  <c r="O19" i="10"/>
  <c r="O20" i="10" s="1"/>
  <c r="N94" i="45"/>
  <c r="P47" i="33"/>
  <c r="P50" i="33" s="1"/>
  <c r="P68" i="1"/>
  <c r="O77" i="1"/>
  <c r="O18" i="18"/>
  <c r="R120" i="4"/>
  <c r="H981" i="40"/>
  <c r="H922" i="40"/>
  <c r="P62" i="1"/>
  <c r="P39" i="1" s="1"/>
  <c r="K101" i="58" s="1"/>
  <c r="Q58" i="1"/>
  <c r="P57" i="33"/>
  <c r="P60" i="33" s="1"/>
  <c r="O31" i="33"/>
  <c r="O33" i="33" s="1"/>
  <c r="N34" i="33"/>
  <c r="P85" i="1"/>
  <c r="Q85" i="1" s="1"/>
  <c r="R85" i="1" s="1"/>
  <c r="S85" i="1" s="1"/>
  <c r="R144" i="4"/>
  <c r="R110" i="4"/>
  <c r="C40" i="11"/>
  <c r="D40" i="11" s="1"/>
  <c r="F39" i="11"/>
  <c r="E13" i="10"/>
  <c r="E14" i="10"/>
  <c r="F8" i="10"/>
  <c r="F12" i="48" s="1"/>
  <c r="E92" i="45"/>
  <c r="E115" i="45" s="1"/>
  <c r="L139" i="1"/>
  <c r="J6" i="36"/>
  <c r="M173" i="4" s="1"/>
  <c r="O88" i="1"/>
  <c r="O63" i="27"/>
  <c r="Q146" i="4"/>
  <c r="O52" i="27"/>
  <c r="L5" i="45"/>
  <c r="L151" i="45" s="1"/>
  <c r="L38" i="46"/>
  <c r="X5" i="46"/>
  <c r="AG5" i="46" s="1"/>
  <c r="P210" i="1"/>
  <c r="P132" i="1" s="1"/>
  <c r="P133" i="1" s="1"/>
  <c r="Q204" i="1"/>
  <c r="P122" i="10"/>
  <c r="Q35" i="4"/>
  <c r="O85" i="46"/>
  <c r="O16" i="46" s="1"/>
  <c r="P79" i="46"/>
  <c r="H1338" i="40"/>
  <c r="I1238" i="40"/>
  <c r="O133" i="45"/>
  <c r="O139" i="45" s="1"/>
  <c r="O16" i="45" s="1"/>
  <c r="P43" i="45"/>
  <c r="O26" i="26"/>
  <c r="C17" i="35"/>
  <c r="P75" i="1"/>
  <c r="Q75" i="1" s="1"/>
  <c r="R75" i="1" s="1"/>
  <c r="S75" i="1" s="1"/>
  <c r="K76" i="33"/>
  <c r="K80" i="33"/>
  <c r="K84" i="33"/>
  <c r="I8" i="27"/>
  <c r="M67" i="33"/>
  <c r="R8" i="4"/>
  <c r="Q94" i="46"/>
  <c r="Q17" i="46" s="1"/>
  <c r="R87" i="46"/>
  <c r="O56" i="1"/>
  <c r="O37" i="1" s="1"/>
  <c r="P54" i="1"/>
  <c r="AI139" i="46"/>
  <c r="N133" i="46"/>
  <c r="AI145" i="46" s="1"/>
  <c r="G251" i="40"/>
  <c r="G258" i="40" s="1"/>
  <c r="H136" i="40"/>
  <c r="AQ13" i="35"/>
  <c r="Q195" i="1"/>
  <c r="J27" i="28"/>
  <c r="O102" i="46"/>
  <c r="P32" i="46"/>
  <c r="O23" i="26"/>
  <c r="I822" i="40"/>
  <c r="I747" i="40"/>
  <c r="F22" i="10"/>
  <c r="E95" i="45"/>
  <c r="E118" i="45" s="1"/>
  <c r="E29" i="10"/>
  <c r="M16" i="35"/>
  <c r="W15" i="35"/>
  <c r="M31" i="18"/>
  <c r="M43" i="18" s="1"/>
  <c r="M53" i="18" s="1"/>
  <c r="P111" i="1"/>
  <c r="H1243" i="40"/>
  <c r="G55" i="10" s="1"/>
  <c r="Q47" i="4"/>
  <c r="N19" i="18"/>
  <c r="Q121" i="4"/>
  <c r="K13" i="31" s="1"/>
  <c r="P53" i="45"/>
  <c r="O121" i="46"/>
  <c r="I976" i="40"/>
  <c r="I919" i="40"/>
  <c r="N76" i="45"/>
  <c r="O73" i="45"/>
  <c r="H336" i="40"/>
  <c r="G365" i="40"/>
  <c r="G379" i="40" s="1"/>
  <c r="P47" i="45"/>
  <c r="O26" i="27"/>
  <c r="P124" i="33"/>
  <c r="P125" i="33" s="1"/>
  <c r="Q121" i="33" s="1"/>
  <c r="Q123" i="33" s="1"/>
  <c r="O92" i="33"/>
  <c r="O93" i="33" s="1"/>
  <c r="N94" i="33"/>
  <c r="H914" i="40"/>
  <c r="H972" i="40"/>
  <c r="S27" i="33"/>
  <c r="S30" i="33" s="1"/>
  <c r="O61" i="33"/>
  <c r="O63" i="33" s="1"/>
  <c r="P100" i="1"/>
  <c r="Q100" i="1" s="1"/>
  <c r="R100" i="1" s="1"/>
  <c r="S100" i="1" s="1"/>
  <c r="Q45" i="45"/>
  <c r="P29" i="26"/>
  <c r="O12" i="45"/>
  <c r="O81" i="45" s="1"/>
  <c r="O14" i="27"/>
  <c r="M91" i="1"/>
  <c r="Q52" i="45"/>
  <c r="P33" i="26"/>
  <c r="H257" i="40"/>
  <c r="I143" i="40"/>
  <c r="N16" i="18"/>
  <c r="P106" i="45"/>
  <c r="P116" i="4"/>
  <c r="M7" i="18"/>
  <c r="P16" i="10"/>
  <c r="P17" i="10" s="1"/>
  <c r="O93" i="45"/>
  <c r="H372" i="40"/>
  <c r="I343" i="40"/>
  <c r="N105" i="1"/>
  <c r="M106" i="1"/>
  <c r="P97" i="4"/>
  <c r="O99" i="4"/>
  <c r="N47" i="27" l="1"/>
  <c r="P52" i="27"/>
  <c r="Q52" i="27" s="1"/>
  <c r="P50" i="27"/>
  <c r="Q50" i="27" s="1"/>
  <c r="P63" i="27"/>
  <c r="Q63" i="27" s="1"/>
  <c r="F46" i="48"/>
  <c r="F48" i="48" s="1"/>
  <c r="F268" i="48"/>
  <c r="K43" i="4"/>
  <c r="E10" i="31" s="1"/>
  <c r="G268" i="48"/>
  <c r="G46" i="48"/>
  <c r="L31" i="45"/>
  <c r="L43" i="4"/>
  <c r="F10" i="31" s="1"/>
  <c r="F186" i="31"/>
  <c r="H88" i="58"/>
  <c r="E61" i="51"/>
  <c r="F61" i="51" s="1"/>
  <c r="D149" i="51"/>
  <c r="E145" i="51" s="1"/>
  <c r="E146" i="51"/>
  <c r="F146" i="51" s="1"/>
  <c r="G146" i="51" s="1"/>
  <c r="D115" i="51"/>
  <c r="E111" i="51" s="1"/>
  <c r="E112" i="51"/>
  <c r="F112" i="51" s="1"/>
  <c r="D81" i="51"/>
  <c r="E77" i="51" s="1"/>
  <c r="E78" i="51"/>
  <c r="F78" i="51" s="1"/>
  <c r="N101" i="45"/>
  <c r="N124" i="45" s="1"/>
  <c r="H15" i="28"/>
  <c r="O126" i="10"/>
  <c r="P121" i="10" s="1"/>
  <c r="P124" i="10"/>
  <c r="P125" i="10" s="1"/>
  <c r="P28" i="46" s="1"/>
  <c r="P22" i="45" s="1"/>
  <c r="P82" i="45" s="1"/>
  <c r="L36" i="4"/>
  <c r="K56" i="10"/>
  <c r="K57" i="10" s="1"/>
  <c r="K154" i="45" s="1"/>
  <c r="L77" i="33"/>
  <c r="L64" i="45" s="1"/>
  <c r="E125" i="45"/>
  <c r="N24" i="33"/>
  <c r="O21" i="33"/>
  <c r="O23" i="33" s="1"/>
  <c r="P17" i="33"/>
  <c r="P20" i="33" s="1"/>
  <c r="L39" i="26"/>
  <c r="J6" i="32" s="1"/>
  <c r="H136" i="4"/>
  <c r="I136" i="4"/>
  <c r="I979" i="40"/>
  <c r="J916" i="40"/>
  <c r="I824" i="40"/>
  <c r="J745" i="40"/>
  <c r="J752" i="40"/>
  <c r="J826" i="40"/>
  <c r="J829" i="40" s="1"/>
  <c r="L81" i="33"/>
  <c r="L103" i="46" s="1"/>
  <c r="M42" i="4"/>
  <c r="H923" i="40"/>
  <c r="G97" i="10" s="1"/>
  <c r="G176" i="31"/>
  <c r="N44" i="33"/>
  <c r="J134" i="48"/>
  <c r="I6" i="32"/>
  <c r="I111" i="32" s="1"/>
  <c r="Q201" i="1"/>
  <c r="O61" i="27" s="1"/>
  <c r="L9" i="27"/>
  <c r="O49" i="26"/>
  <c r="P108" i="45"/>
  <c r="I37" i="28"/>
  <c r="H176" i="31" s="1"/>
  <c r="J99" i="58"/>
  <c r="P109" i="45"/>
  <c r="J27" i="27"/>
  <c r="D22" i="31"/>
  <c r="L10" i="27"/>
  <c r="N31" i="27"/>
  <c r="H116" i="32"/>
  <c r="J4" i="57"/>
  <c r="L11" i="27"/>
  <c r="P10" i="45"/>
  <c r="J8" i="57"/>
  <c r="S13" i="10"/>
  <c r="G33" i="31"/>
  <c r="I79" i="58"/>
  <c r="G48" i="28"/>
  <c r="D105" i="31"/>
  <c r="F10" i="58"/>
  <c r="H64" i="31"/>
  <c r="E9" i="28"/>
  <c r="D153" i="31" s="1"/>
  <c r="L5" i="57"/>
  <c r="L72" i="33"/>
  <c r="F140" i="31"/>
  <c r="L58" i="27"/>
  <c r="L71" i="33"/>
  <c r="H98" i="31"/>
  <c r="G93" i="31"/>
  <c r="L53" i="31"/>
  <c r="J123" i="31"/>
  <c r="M43" i="10"/>
  <c r="M44" i="10" s="1"/>
  <c r="L98" i="45"/>
  <c r="L121" i="45" s="1"/>
  <c r="H56" i="32"/>
  <c r="H10" i="32"/>
  <c r="H111" i="32"/>
  <c r="H113" i="32" s="1"/>
  <c r="H114" i="32" s="1"/>
  <c r="H117" i="32" s="1"/>
  <c r="B106" i="35"/>
  <c r="I105" i="35"/>
  <c r="E105" i="35" s="1"/>
  <c r="L105" i="35"/>
  <c r="C105" i="35"/>
  <c r="V18" i="35"/>
  <c r="AC17" i="35"/>
  <c r="AP18" i="35"/>
  <c r="AW17" i="35"/>
  <c r="AS17" i="35" s="1"/>
  <c r="AF17" i="35"/>
  <c r="AG16" i="35"/>
  <c r="S104" i="35"/>
  <c r="O104" i="35" s="1"/>
  <c r="M104" i="35"/>
  <c r="G132" i="51"/>
  <c r="H128" i="51" s="1"/>
  <c r="H132" i="51" s="1"/>
  <c r="I128" i="51" s="1"/>
  <c r="I132" i="51" s="1"/>
  <c r="J128" i="51" s="1"/>
  <c r="H19" i="35"/>
  <c r="G30" i="51"/>
  <c r="H26" i="51" s="1"/>
  <c r="H30" i="51" s="1"/>
  <c r="I26" i="51" s="1"/>
  <c r="J129" i="51"/>
  <c r="K129" i="51" s="1"/>
  <c r="I27" i="51"/>
  <c r="J27" i="51" s="1"/>
  <c r="I230" i="51"/>
  <c r="L210" i="51"/>
  <c r="K227" i="51"/>
  <c r="G183" i="51"/>
  <c r="H179" i="51" s="1"/>
  <c r="F166" i="51"/>
  <c r="G162" i="51" s="1"/>
  <c r="G163" i="51"/>
  <c r="H163" i="51" s="1"/>
  <c r="I163" i="51" s="1"/>
  <c r="J163" i="51" s="1"/>
  <c r="G197" i="51"/>
  <c r="D13" i="51"/>
  <c r="E9" i="51" s="1"/>
  <c r="E10" i="51"/>
  <c r="F10" i="51" s="1"/>
  <c r="H44" i="51"/>
  <c r="I44" i="51" s="1"/>
  <c r="J14" i="51"/>
  <c r="J15" i="51" s="1"/>
  <c r="J236" i="51"/>
  <c r="K38" i="1" s="1"/>
  <c r="I95" i="51"/>
  <c r="J95" i="51" s="1"/>
  <c r="G61" i="51"/>
  <c r="H61" i="51" s="1"/>
  <c r="L6" i="51"/>
  <c r="K21" i="51"/>
  <c r="K38" i="51"/>
  <c r="K31" i="51" s="1"/>
  <c r="K32" i="51" s="1"/>
  <c r="K55" i="51"/>
  <c r="K48" i="51" s="1"/>
  <c r="K49" i="51" s="1"/>
  <c r="K72" i="51"/>
  <c r="K65" i="51" s="1"/>
  <c r="K66" i="51" s="1"/>
  <c r="K89" i="51"/>
  <c r="K82" i="51" s="1"/>
  <c r="K83" i="51" s="1"/>
  <c r="K106" i="51"/>
  <c r="K99" i="51" s="1"/>
  <c r="K100" i="51" s="1"/>
  <c r="K123" i="51"/>
  <c r="K116" i="51" s="1"/>
  <c r="K117" i="51" s="1"/>
  <c r="K140" i="51"/>
  <c r="K133" i="51" s="1"/>
  <c r="K134" i="51" s="1"/>
  <c r="K157" i="51"/>
  <c r="K150" i="51" s="1"/>
  <c r="K151" i="51" s="1"/>
  <c r="K174" i="51"/>
  <c r="K167" i="51" s="1"/>
  <c r="K168" i="51" s="1"/>
  <c r="K191" i="51"/>
  <c r="K184" i="51" s="1"/>
  <c r="K185" i="51" s="1"/>
  <c r="K225" i="51"/>
  <c r="K218" i="51" s="1"/>
  <c r="K219" i="51" s="1"/>
  <c r="K208" i="51"/>
  <c r="K201" i="51" s="1"/>
  <c r="K202" i="51" s="1"/>
  <c r="F200" i="51"/>
  <c r="G196" i="51" s="1"/>
  <c r="H180" i="51"/>
  <c r="E236" i="51"/>
  <c r="E230" i="51" s="1"/>
  <c r="G47" i="51"/>
  <c r="H43" i="51" s="1"/>
  <c r="G98" i="51"/>
  <c r="H94" i="51" s="1"/>
  <c r="H98" i="51" s="1"/>
  <c r="I94" i="51" s="1"/>
  <c r="D14" i="51"/>
  <c r="D15" i="51" s="1"/>
  <c r="D236" i="51"/>
  <c r="D230" i="51" s="1"/>
  <c r="G78" i="51"/>
  <c r="D217" i="51"/>
  <c r="E213" i="51" s="1"/>
  <c r="E214" i="51"/>
  <c r="O38" i="27"/>
  <c r="I131" i="31"/>
  <c r="F44" i="31"/>
  <c r="D114" i="31"/>
  <c r="P14" i="27"/>
  <c r="J116" i="31"/>
  <c r="D124" i="31"/>
  <c r="F54" i="31"/>
  <c r="I120" i="31"/>
  <c r="K49" i="31"/>
  <c r="L164" i="1"/>
  <c r="L158" i="1"/>
  <c r="L148" i="1"/>
  <c r="L169" i="1"/>
  <c r="L153" i="1"/>
  <c r="O183" i="1"/>
  <c r="Q29" i="45"/>
  <c r="Q189" i="1" s="1"/>
  <c r="AG191" i="1" s="1"/>
  <c r="O11" i="1"/>
  <c r="O28" i="1" s="1"/>
  <c r="O29" i="1" s="1"/>
  <c r="J82" i="32"/>
  <c r="J23" i="32"/>
  <c r="J77" i="32"/>
  <c r="J83" i="32"/>
  <c r="J81" i="32"/>
  <c r="J80" i="32"/>
  <c r="J76" i="32"/>
  <c r="J79" i="32"/>
  <c r="J78" i="32"/>
  <c r="J24" i="32"/>
  <c r="J25" i="32"/>
  <c r="F108" i="46"/>
  <c r="F116" i="46"/>
  <c r="F130" i="46" s="1"/>
  <c r="K4" i="32"/>
  <c r="S109" i="4"/>
  <c r="R126" i="4"/>
  <c r="R29" i="4"/>
  <c r="Q124" i="33"/>
  <c r="Q125" i="33" s="1"/>
  <c r="R121" i="33" s="1"/>
  <c r="R123" i="33" s="1"/>
  <c r="M14" i="36"/>
  <c r="M10" i="36" s="1"/>
  <c r="M13" i="36" s="1"/>
  <c r="N8" i="36" s="1"/>
  <c r="P138" i="33"/>
  <c r="P139" i="33" s="1"/>
  <c r="Q135" i="33" s="1"/>
  <c r="Q137" i="33" s="1"/>
  <c r="P108" i="33"/>
  <c r="P109" i="33" s="1"/>
  <c r="O110" i="33"/>
  <c r="P145" i="33"/>
  <c r="P146" i="33" s="1"/>
  <c r="Q142" i="33" s="1"/>
  <c r="Q144" i="33" s="1"/>
  <c r="F28" i="10"/>
  <c r="G330" i="40"/>
  <c r="P31" i="33"/>
  <c r="P33" i="33" s="1"/>
  <c r="O34" i="33"/>
  <c r="P92" i="33"/>
  <c r="P93" i="33" s="1"/>
  <c r="O94" i="33"/>
  <c r="P100" i="33"/>
  <c r="P101" i="33" s="1"/>
  <c r="O102" i="33"/>
  <c r="P51" i="33"/>
  <c r="P53" i="33" s="1"/>
  <c r="O54" i="33"/>
  <c r="Q173" i="33"/>
  <c r="Q174" i="33" s="1"/>
  <c r="R170" i="33" s="1"/>
  <c r="R172" i="33" s="1"/>
  <c r="P159" i="33"/>
  <c r="P160" i="33" s="1"/>
  <c r="Q156" i="33" s="1"/>
  <c r="Q158" i="33" s="1"/>
  <c r="K13" i="27"/>
  <c r="I367" i="40"/>
  <c r="I348" i="40"/>
  <c r="I253" i="40"/>
  <c r="I147" i="40"/>
  <c r="Q47" i="45"/>
  <c r="N31" i="18"/>
  <c r="N43" i="18" s="1"/>
  <c r="N53" i="18" s="1"/>
  <c r="Q111" i="1"/>
  <c r="AQ14" i="35"/>
  <c r="P56" i="1"/>
  <c r="P37" i="1" s="1"/>
  <c r="Q54" i="1"/>
  <c r="S8" i="4"/>
  <c r="L128" i="45"/>
  <c r="R146" i="4"/>
  <c r="C42" i="11"/>
  <c r="D42" i="11" s="1"/>
  <c r="F40" i="11"/>
  <c r="F41" i="11" s="1"/>
  <c r="Q62" i="1"/>
  <c r="Q39" i="1" s="1"/>
  <c r="L101" i="58" s="1"/>
  <c r="R58" i="1"/>
  <c r="Q68" i="1"/>
  <c r="P77" i="1"/>
  <c r="N5" i="46"/>
  <c r="N64" i="1"/>
  <c r="S97" i="33"/>
  <c r="S99" i="33" s="1"/>
  <c r="Q4" i="4"/>
  <c r="P5" i="26"/>
  <c r="H1339" i="40"/>
  <c r="G60" i="10" s="1"/>
  <c r="Q123" i="45"/>
  <c r="R100" i="45"/>
  <c r="M5" i="45"/>
  <c r="M151" i="45" s="1"/>
  <c r="M38" i="46"/>
  <c r="Y5" i="46"/>
  <c r="AH5" i="46" s="1"/>
  <c r="R52" i="45"/>
  <c r="Q33" i="26"/>
  <c r="AJ135" i="46"/>
  <c r="P19" i="10"/>
  <c r="P20" i="10" s="1"/>
  <c r="O94" i="45"/>
  <c r="O133" i="46"/>
  <c r="AJ145" i="46" s="1"/>
  <c r="AJ139" i="46"/>
  <c r="R193" i="1"/>
  <c r="L31" i="28" s="1"/>
  <c r="L67" i="28" s="1"/>
  <c r="J171" i="31"/>
  <c r="Q131" i="33"/>
  <c r="Q132" i="33" s="1"/>
  <c r="R128" i="33" s="1"/>
  <c r="R130" i="33" s="1"/>
  <c r="P63" i="45"/>
  <c r="Q37" i="45"/>
  <c r="N11" i="46"/>
  <c r="Q37" i="33"/>
  <c r="Q40" i="33" s="1"/>
  <c r="L13" i="27"/>
  <c r="P61" i="33"/>
  <c r="P63" i="33" s="1"/>
  <c r="P102" i="46"/>
  <c r="Q32" i="46"/>
  <c r="P23" i="26"/>
  <c r="H141" i="40"/>
  <c r="H148" i="40" s="1"/>
  <c r="H246" i="40"/>
  <c r="M11" i="33"/>
  <c r="N7" i="33"/>
  <c r="N10" i="33" s="1"/>
  <c r="M69" i="33"/>
  <c r="L33" i="45"/>
  <c r="Q122" i="10"/>
  <c r="R35" i="4"/>
  <c r="P88" i="1"/>
  <c r="Q88" i="1" s="1"/>
  <c r="R88" i="1" s="1"/>
  <c r="S88" i="1" s="1"/>
  <c r="O76" i="45"/>
  <c r="P73" i="45"/>
  <c r="I84" i="32"/>
  <c r="H84" i="32"/>
  <c r="G84" i="32"/>
  <c r="B85" i="32"/>
  <c r="J84" i="32"/>
  <c r="O15" i="26"/>
  <c r="Q214" i="1"/>
  <c r="Q44" i="45"/>
  <c r="P28" i="26"/>
  <c r="P149" i="45"/>
  <c r="P25" i="45" s="1"/>
  <c r="Q143" i="45"/>
  <c r="Q32" i="45"/>
  <c r="R32" i="45" s="1"/>
  <c r="S32" i="45" s="1"/>
  <c r="G832" i="40"/>
  <c r="G833" i="40" s="1"/>
  <c r="F76" i="10" s="1"/>
  <c r="F114" i="46" s="1"/>
  <c r="H754" i="40"/>
  <c r="H360" i="40"/>
  <c r="H341" i="40"/>
  <c r="H355" i="40" s="1"/>
  <c r="Q53" i="45"/>
  <c r="O19" i="18"/>
  <c r="R121" i="4"/>
  <c r="M17" i="35"/>
  <c r="F67" i="45"/>
  <c r="E70" i="45"/>
  <c r="F12" i="10"/>
  <c r="F13" i="48" s="1"/>
  <c r="G124" i="40"/>
  <c r="C18" i="35"/>
  <c r="I1242" i="40"/>
  <c r="I1334" i="40"/>
  <c r="P12" i="45"/>
  <c r="P81" i="45" s="1"/>
  <c r="M107" i="1"/>
  <c r="S110" i="4"/>
  <c r="I921" i="40"/>
  <c r="H982" i="40"/>
  <c r="Q47" i="33"/>
  <c r="Q50" i="33" s="1"/>
  <c r="M31" i="27"/>
  <c r="P9" i="1"/>
  <c r="Q7" i="1"/>
  <c r="K179" i="33"/>
  <c r="K117" i="33"/>
  <c r="K180" i="33" s="1"/>
  <c r="Q83" i="1"/>
  <c r="P51" i="1"/>
  <c r="P10" i="1" s="1"/>
  <c r="Q44" i="1"/>
  <c r="R30" i="4"/>
  <c r="Q25" i="10"/>
  <c r="H378" i="40"/>
  <c r="I350" i="40"/>
  <c r="R45" i="45"/>
  <c r="Q29" i="26"/>
  <c r="P26" i="27"/>
  <c r="R47" i="4"/>
  <c r="Q210" i="1"/>
  <c r="Q132" i="1" s="1"/>
  <c r="Q133" i="1" s="1"/>
  <c r="R204" i="1"/>
  <c r="P18" i="18"/>
  <c r="S120" i="4"/>
  <c r="O101" i="1"/>
  <c r="P97" i="1"/>
  <c r="S105" i="33"/>
  <c r="S107" i="33" s="1"/>
  <c r="I1327" i="40"/>
  <c r="I1236" i="40"/>
  <c r="S88" i="33"/>
  <c r="S91" i="33" s="1"/>
  <c r="Q14" i="1"/>
  <c r="R15" i="1"/>
  <c r="O90" i="1"/>
  <c r="H20" i="36"/>
  <c r="H23" i="36" s="1"/>
  <c r="H28" i="36"/>
  <c r="K34" i="1" s="1"/>
  <c r="F96" i="58" s="1"/>
  <c r="P27" i="1"/>
  <c r="P34" i="26" s="1"/>
  <c r="Q13" i="1"/>
  <c r="P31" i="10"/>
  <c r="P32" i="10" s="1"/>
  <c r="O97" i="45"/>
  <c r="O120" i="45" s="1"/>
  <c r="O16" i="18"/>
  <c r="Q106" i="45"/>
  <c r="Q116" i="4"/>
  <c r="R94" i="46"/>
  <c r="R17" i="46" s="1"/>
  <c r="S87" i="46"/>
  <c r="S94" i="46" s="1"/>
  <c r="S17" i="46" s="1"/>
  <c r="P133" i="45"/>
  <c r="P139" i="45" s="1"/>
  <c r="P16" i="45" s="1"/>
  <c r="Q43" i="45"/>
  <c r="P26" i="26"/>
  <c r="M137" i="1"/>
  <c r="S144" i="4"/>
  <c r="R110" i="1"/>
  <c r="S124" i="4"/>
  <c r="R94" i="1"/>
  <c r="O22" i="27"/>
  <c r="P166" i="33"/>
  <c r="P167" i="33" s="1"/>
  <c r="Q163" i="33" s="1"/>
  <c r="Q165" i="33" s="1"/>
  <c r="P121" i="46"/>
  <c r="O105" i="1"/>
  <c r="N106" i="1"/>
  <c r="K62" i="45"/>
  <c r="P99" i="4"/>
  <c r="Q97" i="4"/>
  <c r="H974" i="40"/>
  <c r="I912" i="40"/>
  <c r="N7" i="18"/>
  <c r="Q16" i="10"/>
  <c r="Q17" i="10" s="1"/>
  <c r="P93" i="45"/>
  <c r="W16" i="35"/>
  <c r="L182" i="4"/>
  <c r="G17" i="7" s="1"/>
  <c r="O64" i="33"/>
  <c r="R145" i="4"/>
  <c r="P122" i="46"/>
  <c r="N50" i="26"/>
  <c r="B35" i="32"/>
  <c r="I34" i="32"/>
  <c r="H34" i="32"/>
  <c r="G34" i="32"/>
  <c r="Q104" i="1"/>
  <c r="Q130" i="45"/>
  <c r="R195" i="1"/>
  <c r="K27" i="28"/>
  <c r="P85" i="46"/>
  <c r="P16" i="46" s="1"/>
  <c r="Q79" i="46"/>
  <c r="K6" i="36"/>
  <c r="N173" i="4" s="1"/>
  <c r="S67" i="1"/>
  <c r="Q57" i="33"/>
  <c r="Q60" i="33" s="1"/>
  <c r="N4" i="33"/>
  <c r="H4" i="28"/>
  <c r="P110" i="45"/>
  <c r="P122" i="45" s="1"/>
  <c r="P126" i="46"/>
  <c r="P133" i="46" s="1"/>
  <c r="Q123" i="4"/>
  <c r="O10" i="4"/>
  <c r="O11" i="4" s="1"/>
  <c r="P9" i="4"/>
  <c r="P51" i="45"/>
  <c r="P105" i="46"/>
  <c r="Q15" i="46"/>
  <c r="O4" i="10"/>
  <c r="M4" i="18" s="1"/>
  <c r="O5" i="1"/>
  <c r="K3" i="57" s="1"/>
  <c r="M4" i="27"/>
  <c r="I239" i="40"/>
  <c r="I134" i="40"/>
  <c r="O17" i="18"/>
  <c r="Q107" i="45"/>
  <c r="Q26" i="46"/>
  <c r="R50" i="4"/>
  <c r="Q117" i="4"/>
  <c r="I1229" i="40"/>
  <c r="I1320" i="40"/>
  <c r="O28" i="27"/>
  <c r="M39" i="45"/>
  <c r="P152" i="33"/>
  <c r="P153" i="33" s="1"/>
  <c r="Q149" i="33" s="1"/>
  <c r="Q151" i="33" s="1"/>
  <c r="P41" i="33"/>
  <c r="P43" i="33" s="1"/>
  <c r="P44" i="33" s="1"/>
  <c r="G112" i="51" l="1"/>
  <c r="P28" i="27"/>
  <c r="Q28" i="27" s="1"/>
  <c r="F269" i="48"/>
  <c r="F53" i="48"/>
  <c r="O47" i="27"/>
  <c r="N42" i="4"/>
  <c r="N43" i="4" s="1"/>
  <c r="H10" i="31" s="1"/>
  <c r="M43" i="4"/>
  <c r="G10" i="31" s="1"/>
  <c r="G186" i="31"/>
  <c r="I88" i="58"/>
  <c r="E115" i="51"/>
  <c r="F111" i="51" s="1"/>
  <c r="F115" i="51" s="1"/>
  <c r="G111" i="51" s="1"/>
  <c r="E64" i="51"/>
  <c r="F60" i="51" s="1"/>
  <c r="F64" i="51" s="1"/>
  <c r="G60" i="51" s="1"/>
  <c r="E149" i="51"/>
  <c r="F145" i="51" s="1"/>
  <c r="F149" i="51" s="1"/>
  <c r="G145" i="51" s="1"/>
  <c r="G149" i="51" s="1"/>
  <c r="H145" i="51" s="1"/>
  <c r="E81" i="51"/>
  <c r="F77" i="51" s="1"/>
  <c r="F81" i="51" s="1"/>
  <c r="G77" i="51" s="1"/>
  <c r="G81" i="51" s="1"/>
  <c r="H77" i="51" s="1"/>
  <c r="J15" i="28"/>
  <c r="I15" i="28"/>
  <c r="O101" i="45"/>
  <c r="O124" i="45" s="1"/>
  <c r="P126" i="10"/>
  <c r="Q121" i="10" s="1"/>
  <c r="I58" i="28"/>
  <c r="H33" i="31" s="1"/>
  <c r="Q124" i="10"/>
  <c r="Q12" i="45" s="1"/>
  <c r="Q81" i="45" s="1"/>
  <c r="L56" i="10"/>
  <c r="L57" i="10" s="1"/>
  <c r="L154" i="45" s="1"/>
  <c r="M36" i="4"/>
  <c r="F9" i="28"/>
  <c r="E153" i="31" s="1"/>
  <c r="E22" i="31"/>
  <c r="M31" i="45"/>
  <c r="M33" i="45" s="1"/>
  <c r="E105" i="31"/>
  <c r="G10" i="58"/>
  <c r="O24" i="33"/>
  <c r="Q17" i="33"/>
  <c r="Q20" i="33" s="1"/>
  <c r="P21" i="33"/>
  <c r="P23" i="33" s="1"/>
  <c r="I1338" i="40"/>
  <c r="J1238" i="40"/>
  <c r="I1332" i="40"/>
  <c r="J1231" i="40"/>
  <c r="I1325" i="40"/>
  <c r="J1224" i="40"/>
  <c r="J976" i="40"/>
  <c r="J979" i="40" s="1"/>
  <c r="J919" i="40"/>
  <c r="J822" i="40"/>
  <c r="J824" i="40" s="1"/>
  <c r="J747" i="40"/>
  <c r="I244" i="40"/>
  <c r="J129" i="40"/>
  <c r="I372" i="40"/>
  <c r="J343" i="40"/>
  <c r="I257" i="40"/>
  <c r="J143" i="40"/>
  <c r="H118" i="32"/>
  <c r="I10" i="32"/>
  <c r="I56" i="32"/>
  <c r="J7" i="57"/>
  <c r="G54" i="31"/>
  <c r="R201" i="1"/>
  <c r="P61" i="27" s="1"/>
  <c r="K4" i="57"/>
  <c r="E124" i="31"/>
  <c r="I1243" i="40"/>
  <c r="H55" i="10" s="1"/>
  <c r="O31" i="27"/>
  <c r="Q10" i="45"/>
  <c r="M10" i="27"/>
  <c r="P183" i="1"/>
  <c r="L8" i="57" s="1"/>
  <c r="M4" i="57" s="1"/>
  <c r="Q109" i="45"/>
  <c r="Q108" i="45"/>
  <c r="P49" i="26"/>
  <c r="L84" i="33"/>
  <c r="J37" i="28"/>
  <c r="I176" i="31" s="1"/>
  <c r="K99" i="58"/>
  <c r="M9" i="27"/>
  <c r="M11" i="27"/>
  <c r="K8" i="57"/>
  <c r="H48" i="28"/>
  <c r="E100" i="58"/>
  <c r="E112" i="58" s="1"/>
  <c r="L76" i="33"/>
  <c r="L80" i="33"/>
  <c r="J8" i="27"/>
  <c r="M5" i="57"/>
  <c r="G140" i="31"/>
  <c r="I64" i="31"/>
  <c r="M58" i="27"/>
  <c r="H93" i="31"/>
  <c r="I98" i="31"/>
  <c r="K123" i="31"/>
  <c r="M53" i="31"/>
  <c r="M98" i="45"/>
  <c r="M121" i="45" s="1"/>
  <c r="N43" i="10"/>
  <c r="N44" i="10" s="1"/>
  <c r="Q18" i="18"/>
  <c r="J132" i="51"/>
  <c r="K128" i="51" s="1"/>
  <c r="K132" i="51" s="1"/>
  <c r="L128" i="51" s="1"/>
  <c r="H20" i="35"/>
  <c r="AP19" i="35"/>
  <c r="AP20" i="35" s="1"/>
  <c r="AW18" i="35"/>
  <c r="AS18" i="35" s="1"/>
  <c r="V19" i="35"/>
  <c r="V20" i="35" s="1"/>
  <c r="AC18" i="35"/>
  <c r="AM17" i="35"/>
  <c r="AI17" i="35" s="1"/>
  <c r="AG17" i="35"/>
  <c r="AF18" i="35"/>
  <c r="S105" i="35"/>
  <c r="O105" i="35" s="1"/>
  <c r="M105" i="35"/>
  <c r="B107" i="35"/>
  <c r="L106" i="35"/>
  <c r="M106" i="35" s="1"/>
  <c r="C106" i="35"/>
  <c r="I30" i="51"/>
  <c r="J26" i="51" s="1"/>
  <c r="J30" i="51" s="1"/>
  <c r="K26" i="51" s="1"/>
  <c r="K27" i="51"/>
  <c r="L27" i="51" s="1"/>
  <c r="H78" i="51"/>
  <c r="I78" i="51" s="1"/>
  <c r="J78" i="51" s="1"/>
  <c r="I61" i="51"/>
  <c r="J61" i="51" s="1"/>
  <c r="K61" i="51" s="1"/>
  <c r="E217" i="51"/>
  <c r="F213" i="51" s="1"/>
  <c r="G10" i="51"/>
  <c r="H10" i="51" s="1"/>
  <c r="I10" i="51" s="1"/>
  <c r="L129" i="51"/>
  <c r="M129" i="51" s="1"/>
  <c r="N129" i="51" s="1"/>
  <c r="O129" i="51" s="1"/>
  <c r="H146" i="51"/>
  <c r="H183" i="51"/>
  <c r="I179" i="51" s="1"/>
  <c r="I180" i="51"/>
  <c r="J180" i="51" s="1"/>
  <c r="M210" i="51"/>
  <c r="L227" i="51"/>
  <c r="G115" i="51"/>
  <c r="H111" i="51" s="1"/>
  <c r="E13" i="51"/>
  <c r="F9" i="51" s="1"/>
  <c r="F13" i="51" s="1"/>
  <c r="G9" i="51" s="1"/>
  <c r="H112" i="51"/>
  <c r="I112" i="51" s="1"/>
  <c r="F214" i="51"/>
  <c r="K14" i="51"/>
  <c r="K236" i="51"/>
  <c r="L38" i="1" s="1"/>
  <c r="M6" i="51"/>
  <c r="L21" i="51"/>
  <c r="L38" i="51"/>
  <c r="L31" i="51" s="1"/>
  <c r="L55" i="51"/>
  <c r="L48" i="51" s="1"/>
  <c r="L49" i="51" s="1"/>
  <c r="L72" i="51"/>
  <c r="L65" i="51" s="1"/>
  <c r="L66" i="51" s="1"/>
  <c r="L89" i="51"/>
  <c r="L82" i="51" s="1"/>
  <c r="L83" i="51" s="1"/>
  <c r="L106" i="51"/>
  <c r="L99" i="51" s="1"/>
  <c r="L100" i="51" s="1"/>
  <c r="L123" i="51"/>
  <c r="L116" i="51" s="1"/>
  <c r="L117" i="51" s="1"/>
  <c r="L140" i="51"/>
  <c r="L133" i="51" s="1"/>
  <c r="L134" i="51" s="1"/>
  <c r="L157" i="51"/>
  <c r="L150" i="51" s="1"/>
  <c r="L151" i="51" s="1"/>
  <c r="L174" i="51"/>
  <c r="L167" i="51" s="1"/>
  <c r="L168" i="51" s="1"/>
  <c r="L191" i="51"/>
  <c r="L184" i="51" s="1"/>
  <c r="L185" i="51" s="1"/>
  <c r="L225" i="51"/>
  <c r="L218" i="51" s="1"/>
  <c r="L219" i="51" s="1"/>
  <c r="L208" i="51"/>
  <c r="L201" i="51" s="1"/>
  <c r="L202" i="51" s="1"/>
  <c r="H47" i="51"/>
  <c r="I43" i="51" s="1"/>
  <c r="I47" i="51" s="1"/>
  <c r="J43" i="51" s="1"/>
  <c r="J44" i="51"/>
  <c r="I98" i="51"/>
  <c r="J94" i="51" s="1"/>
  <c r="J98" i="51" s="1"/>
  <c r="K94" i="51" s="1"/>
  <c r="J230" i="51"/>
  <c r="K95" i="51"/>
  <c r="G64" i="51"/>
  <c r="H60" i="51" s="1"/>
  <c r="H64" i="51" s="1"/>
  <c r="I60" i="51" s="1"/>
  <c r="G200" i="51"/>
  <c r="H196" i="51" s="1"/>
  <c r="H197" i="51"/>
  <c r="K163" i="51"/>
  <c r="G166" i="51"/>
  <c r="H162" i="51" s="1"/>
  <c r="H166" i="51" s="1"/>
  <c r="I162" i="51" s="1"/>
  <c r="I166" i="51" s="1"/>
  <c r="J162" i="51" s="1"/>
  <c r="J166" i="51" s="1"/>
  <c r="K162" i="51" s="1"/>
  <c r="I136" i="48"/>
  <c r="I133" i="48" s="1"/>
  <c r="G115" i="31"/>
  <c r="I45" i="31"/>
  <c r="L49" i="31"/>
  <c r="J120" i="31"/>
  <c r="F115" i="31"/>
  <c r="H45" i="31"/>
  <c r="Q14" i="27"/>
  <c r="K116" i="31"/>
  <c r="P38" i="27"/>
  <c r="J131" i="31"/>
  <c r="L150" i="1"/>
  <c r="L161" i="1"/>
  <c r="L155" i="1"/>
  <c r="L166" i="1"/>
  <c r="L171" i="1"/>
  <c r="H983" i="40"/>
  <c r="G101" i="10" s="1"/>
  <c r="E10" i="18" s="1"/>
  <c r="E28" i="18" s="1"/>
  <c r="E40" i="18" s="1"/>
  <c r="E50" i="18" s="1"/>
  <c r="R29" i="45"/>
  <c r="S29" i="45"/>
  <c r="K83" i="32"/>
  <c r="K23" i="32"/>
  <c r="P11" i="1"/>
  <c r="P28" i="1" s="1"/>
  <c r="P29" i="1" s="1"/>
  <c r="P90" i="1"/>
  <c r="P91" i="1" s="1"/>
  <c r="K79" i="32"/>
  <c r="K81" i="32"/>
  <c r="K77" i="32"/>
  <c r="K80" i="32"/>
  <c r="K78" i="32"/>
  <c r="K25" i="32"/>
  <c r="K84" i="32"/>
  <c r="K76" i="32"/>
  <c r="K26" i="32"/>
  <c r="K82" i="32"/>
  <c r="K24" i="32"/>
  <c r="I7" i="32"/>
  <c r="I112" i="32" s="1"/>
  <c r="I113" i="32" s="1"/>
  <c r="L4" i="32"/>
  <c r="K118" i="33"/>
  <c r="K181" i="33" s="1"/>
  <c r="S126" i="4"/>
  <c r="S29" i="4"/>
  <c r="Q61" i="33"/>
  <c r="Q63" i="33" s="1"/>
  <c r="P64" i="33"/>
  <c r="Q51" i="33"/>
  <c r="Q53" i="33" s="1"/>
  <c r="Q54" i="33" s="1"/>
  <c r="P54" i="33"/>
  <c r="Q31" i="33"/>
  <c r="Q33" i="33" s="1"/>
  <c r="P34" i="33"/>
  <c r="Q152" i="33"/>
  <c r="Q153" i="33" s="1"/>
  <c r="R149" i="33" s="1"/>
  <c r="R151" i="33" s="1"/>
  <c r="Q159" i="33"/>
  <c r="Q160" i="33" s="1"/>
  <c r="R156" i="33" s="1"/>
  <c r="R158" i="33" s="1"/>
  <c r="Q100" i="33"/>
  <c r="Q101" i="33" s="1"/>
  <c r="P102" i="33"/>
  <c r="Q145" i="33"/>
  <c r="Q146" i="33" s="1"/>
  <c r="R142" i="33" s="1"/>
  <c r="R144" i="33" s="1"/>
  <c r="R131" i="33"/>
  <c r="R132" i="33" s="1"/>
  <c r="S128" i="33" s="1"/>
  <c r="S130" i="33" s="1"/>
  <c r="R173" i="33"/>
  <c r="R174" i="33" s="1"/>
  <c r="S170" i="33" s="1"/>
  <c r="S172" i="33" s="1"/>
  <c r="L6" i="36"/>
  <c r="O173" i="4" s="1"/>
  <c r="S145" i="4"/>
  <c r="W17" i="35"/>
  <c r="O12" i="46"/>
  <c r="Q99" i="4"/>
  <c r="R97" i="4"/>
  <c r="Q26" i="27"/>
  <c r="I374" i="40"/>
  <c r="I354" i="40"/>
  <c r="Q90" i="1"/>
  <c r="R83" i="1"/>
  <c r="K27" i="27"/>
  <c r="M70" i="33"/>
  <c r="M13" i="33"/>
  <c r="R62" i="1"/>
  <c r="R39" i="1" s="1"/>
  <c r="M101" i="58" s="1"/>
  <c r="S58" i="1"/>
  <c r="S62" i="1" s="1"/>
  <c r="S39" i="1" s="1"/>
  <c r="AQ15" i="35"/>
  <c r="Q19" i="10"/>
  <c r="Q20" i="10" s="1"/>
  <c r="P94" i="45"/>
  <c r="N39" i="45"/>
  <c r="O5" i="46"/>
  <c r="O64" i="1"/>
  <c r="P10" i="4"/>
  <c r="P11" i="4" s="1"/>
  <c r="Q9" i="4"/>
  <c r="B36" i="32"/>
  <c r="J35" i="32"/>
  <c r="I35" i="32"/>
  <c r="G35" i="32"/>
  <c r="H35" i="32"/>
  <c r="O7" i="18"/>
  <c r="R16" i="10"/>
  <c r="R17" i="10" s="1"/>
  <c r="Q93" i="45"/>
  <c r="Q166" i="33"/>
  <c r="Q167" i="33" s="1"/>
  <c r="R163" i="33" s="1"/>
  <c r="R165" i="33" s="1"/>
  <c r="S94" i="1"/>
  <c r="P22" i="27"/>
  <c r="Q133" i="45"/>
  <c r="Q139" i="45" s="1"/>
  <c r="Q16" i="45" s="1"/>
  <c r="R43" i="45"/>
  <c r="Q26" i="26"/>
  <c r="Q121" i="46"/>
  <c r="I18" i="36"/>
  <c r="H27" i="36"/>
  <c r="F13" i="10"/>
  <c r="F14" i="10"/>
  <c r="G8" i="10"/>
  <c r="G12" i="48" s="1"/>
  <c r="F92" i="45"/>
  <c r="F115" i="45" s="1"/>
  <c r="Q149" i="45"/>
  <c r="Q25" i="45" s="1"/>
  <c r="R143" i="45"/>
  <c r="S193" i="1"/>
  <c r="M31" i="28" s="1"/>
  <c r="M67" i="28" s="1"/>
  <c r="K171" i="31"/>
  <c r="S52" i="45"/>
  <c r="S33" i="26" s="1"/>
  <c r="R33" i="26"/>
  <c r="P4" i="10"/>
  <c r="N4" i="18" s="1"/>
  <c r="P5" i="1"/>
  <c r="L3" i="57" s="1"/>
  <c r="N4" i="27"/>
  <c r="J40" i="11"/>
  <c r="N14" i="36"/>
  <c r="N10" i="36" s="1"/>
  <c r="N13" i="36" s="1"/>
  <c r="O8" i="36" s="1"/>
  <c r="Q85" i="46"/>
  <c r="Q16" i="46" s="1"/>
  <c r="R79" i="46"/>
  <c r="I914" i="40"/>
  <c r="I972" i="40"/>
  <c r="S110" i="1"/>
  <c r="G22" i="10"/>
  <c r="F95" i="45"/>
  <c r="F118" i="45" s="1"/>
  <c r="R57" i="33"/>
  <c r="R60" i="33" s="1"/>
  <c r="N107" i="1"/>
  <c r="P16" i="18"/>
  <c r="R106" i="45"/>
  <c r="R116" i="4"/>
  <c r="S30" i="4"/>
  <c r="R25" i="10"/>
  <c r="Q9" i="1"/>
  <c r="R7" i="1"/>
  <c r="I981" i="40"/>
  <c r="I922" i="40"/>
  <c r="P12" i="46"/>
  <c r="R53" i="45"/>
  <c r="H831" i="40"/>
  <c r="H755" i="40"/>
  <c r="H756" i="40" s="1"/>
  <c r="G72" i="10" s="1"/>
  <c r="R122" i="10"/>
  <c r="S35" i="4"/>
  <c r="S122" i="10" s="1"/>
  <c r="Q63" i="45"/>
  <c r="R37" i="45"/>
  <c r="Q5" i="26"/>
  <c r="R4" i="4"/>
  <c r="C43" i="11"/>
  <c r="D43" i="11" s="1"/>
  <c r="F42" i="11"/>
  <c r="Q92" i="33"/>
  <c r="Q93" i="33" s="1"/>
  <c r="P94" i="33"/>
  <c r="R214" i="1"/>
  <c r="H251" i="40"/>
  <c r="H258" i="40" s="1"/>
  <c r="I136" i="40"/>
  <c r="Q138" i="33"/>
  <c r="Q139" i="33" s="1"/>
  <c r="R135" i="33" s="1"/>
  <c r="R137" i="33" s="1"/>
  <c r="J37" i="11"/>
  <c r="J38" i="11"/>
  <c r="S195" i="1"/>
  <c r="M27" i="28" s="1"/>
  <c r="L27" i="28"/>
  <c r="R130" i="45"/>
  <c r="M139" i="1"/>
  <c r="S45" i="45"/>
  <c r="S29" i="26" s="1"/>
  <c r="R29" i="26"/>
  <c r="P15" i="26"/>
  <c r="F128" i="46"/>
  <c r="F134" i="46" s="1"/>
  <c r="F101" i="46"/>
  <c r="O50" i="26"/>
  <c r="Q102" i="46"/>
  <c r="R32" i="46"/>
  <c r="Q23" i="26"/>
  <c r="R123" i="45"/>
  <c r="S100" i="45"/>
  <c r="S123" i="45" s="1"/>
  <c r="N5" i="45"/>
  <c r="N151" i="45" s="1"/>
  <c r="N38" i="46"/>
  <c r="Z5" i="46"/>
  <c r="AI5" i="46" s="1"/>
  <c r="S146" i="4"/>
  <c r="O4" i="33"/>
  <c r="I4" i="28"/>
  <c r="S47" i="4"/>
  <c r="Q27" i="1"/>
  <c r="Q34" i="26" s="1"/>
  <c r="R13" i="1"/>
  <c r="O91" i="1"/>
  <c r="I336" i="40"/>
  <c r="I360" i="40" s="1"/>
  <c r="J336" i="40" s="1"/>
  <c r="H365" i="40"/>
  <c r="H379" i="40" s="1"/>
  <c r="J10" i="32"/>
  <c r="J111" i="32"/>
  <c r="J56" i="32"/>
  <c r="L62" i="45"/>
  <c r="R47" i="45"/>
  <c r="S47" i="45"/>
  <c r="Q108" i="33"/>
  <c r="Q109" i="33" s="1"/>
  <c r="P110" i="33"/>
  <c r="R124" i="33"/>
  <c r="R125" i="33" s="1"/>
  <c r="S121" i="33" s="1"/>
  <c r="S123" i="33" s="1"/>
  <c r="R47" i="33"/>
  <c r="R50" i="33" s="1"/>
  <c r="Q110" i="45"/>
  <c r="Q122" i="45" s="1"/>
  <c r="Q126" i="46"/>
  <c r="Q133" i="46" s="1"/>
  <c r="R123" i="4"/>
  <c r="Q122" i="46"/>
  <c r="Q51" i="45"/>
  <c r="Q105" i="46"/>
  <c r="R15" i="46"/>
  <c r="R104" i="1"/>
  <c r="P105" i="1"/>
  <c r="O106" i="1"/>
  <c r="R14" i="1"/>
  <c r="S15" i="1"/>
  <c r="S14" i="1" s="1"/>
  <c r="R210" i="1"/>
  <c r="R132" i="1" s="1"/>
  <c r="R133" i="1" s="1"/>
  <c r="S204" i="1"/>
  <c r="S210" i="1" s="1"/>
  <c r="S132" i="1" s="1"/>
  <c r="F29" i="10"/>
  <c r="Q51" i="1"/>
  <c r="Q10" i="1" s="1"/>
  <c r="R44" i="1"/>
  <c r="M18" i="35"/>
  <c r="M83" i="33"/>
  <c r="M79" i="33"/>
  <c r="M75" i="33"/>
  <c r="R54" i="1"/>
  <c r="Q56" i="1"/>
  <c r="Q37" i="1" s="1"/>
  <c r="O31" i="18"/>
  <c r="O43" i="18" s="1"/>
  <c r="O53" i="18" s="1"/>
  <c r="R111" i="1"/>
  <c r="Q41" i="33"/>
  <c r="Q43" i="33" s="1"/>
  <c r="Q44" i="33" s="1"/>
  <c r="P17" i="18"/>
  <c r="R107" i="45"/>
  <c r="R26" i="46"/>
  <c r="S50" i="4"/>
  <c r="R117" i="4"/>
  <c r="P76" i="45"/>
  <c r="Q73" i="45"/>
  <c r="M182" i="4"/>
  <c r="H17" i="7" s="1"/>
  <c r="Q31" i="10"/>
  <c r="Q32" i="10" s="1"/>
  <c r="P97" i="45"/>
  <c r="P120" i="45" s="1"/>
  <c r="Q97" i="1"/>
  <c r="P101" i="1"/>
  <c r="C19" i="35"/>
  <c r="P19" i="18"/>
  <c r="S121" i="4"/>
  <c r="R44" i="45"/>
  <c r="Q28" i="26"/>
  <c r="K85" i="32"/>
  <c r="B86" i="32"/>
  <c r="J85" i="32"/>
  <c r="I85" i="32"/>
  <c r="H85" i="32"/>
  <c r="G85" i="32"/>
  <c r="N67" i="33"/>
  <c r="R37" i="33"/>
  <c r="R40" i="33" s="1"/>
  <c r="M128" i="45"/>
  <c r="R68" i="1"/>
  <c r="Q77" i="1"/>
  <c r="J39" i="11"/>
  <c r="P47" i="27" l="1"/>
  <c r="Q47" i="27" s="1"/>
  <c r="O42" i="4"/>
  <c r="O43" i="4" s="1"/>
  <c r="I10" i="31" s="1"/>
  <c r="N31" i="45"/>
  <c r="H186" i="31"/>
  <c r="J88" i="58"/>
  <c r="F125" i="45"/>
  <c r="J79" i="58"/>
  <c r="K15" i="28"/>
  <c r="P101" i="45"/>
  <c r="P124" i="45" s="1"/>
  <c r="Q125" i="10"/>
  <c r="Q12" i="46" s="1"/>
  <c r="I116" i="32"/>
  <c r="H51" i="27"/>
  <c r="R124" i="10"/>
  <c r="R12" i="45" s="1"/>
  <c r="R81" i="45" s="1"/>
  <c r="S124" i="10"/>
  <c r="S125" i="10" s="1"/>
  <c r="S28" i="46" s="1"/>
  <c r="N36" i="4"/>
  <c r="M56" i="10"/>
  <c r="M57" i="10" s="1"/>
  <c r="M154" i="45" s="1"/>
  <c r="H29" i="27"/>
  <c r="P24" i="33"/>
  <c r="Q21" i="33"/>
  <c r="Q23" i="33" s="1"/>
  <c r="R17" i="33"/>
  <c r="R20" i="33" s="1"/>
  <c r="I982" i="40"/>
  <c r="J921" i="40"/>
  <c r="I1339" i="40"/>
  <c r="H60" i="10" s="1"/>
  <c r="J1334" i="40"/>
  <c r="J1338" i="40" s="1"/>
  <c r="J1242" i="40"/>
  <c r="J1236" i="40"/>
  <c r="J1327" i="40"/>
  <c r="J1332" i="40" s="1"/>
  <c r="J1229" i="40"/>
  <c r="J1320" i="40"/>
  <c r="J1325" i="40" s="1"/>
  <c r="I974" i="40"/>
  <c r="J912" i="40"/>
  <c r="J360" i="40"/>
  <c r="J365" i="40" s="1"/>
  <c r="J341" i="40"/>
  <c r="I378" i="40"/>
  <c r="J350" i="40"/>
  <c r="J348" i="40"/>
  <c r="J367" i="40"/>
  <c r="J372" i="40" s="1"/>
  <c r="J253" i="40"/>
  <c r="J257" i="40" s="1"/>
  <c r="J147" i="40"/>
  <c r="J134" i="40"/>
  <c r="J239" i="40"/>
  <c r="J244" i="40" s="1"/>
  <c r="K7" i="57"/>
  <c r="J58" i="28"/>
  <c r="K79" i="58" s="1"/>
  <c r="L114" i="33"/>
  <c r="L116" i="33" s="1"/>
  <c r="S201" i="1"/>
  <c r="Q61" i="27" s="1"/>
  <c r="N58" i="27"/>
  <c r="L4" i="57"/>
  <c r="L7" i="57" s="1"/>
  <c r="H81" i="51"/>
  <c r="I77" i="51" s="1"/>
  <c r="I81" i="51" s="1"/>
  <c r="J77" i="51" s="1"/>
  <c r="J81" i="51" s="1"/>
  <c r="K77" i="51" s="1"/>
  <c r="P31" i="27"/>
  <c r="Q49" i="26"/>
  <c r="R108" i="45"/>
  <c r="R109" i="45"/>
  <c r="N10" i="27"/>
  <c r="Q22" i="27"/>
  <c r="I46" i="27"/>
  <c r="N9" i="27"/>
  <c r="R10" i="45"/>
  <c r="N13" i="27"/>
  <c r="K37" i="28"/>
  <c r="K58" i="28" s="1"/>
  <c r="L99" i="58"/>
  <c r="N11" i="27"/>
  <c r="Q183" i="1"/>
  <c r="M8" i="57" s="1"/>
  <c r="G44" i="31"/>
  <c r="I48" i="28"/>
  <c r="E114" i="31"/>
  <c r="E34" i="28"/>
  <c r="D174" i="31" s="1"/>
  <c r="F100" i="58"/>
  <c r="J64" i="31"/>
  <c r="H140" i="31"/>
  <c r="N5" i="57"/>
  <c r="O5" i="57"/>
  <c r="I64" i="51"/>
  <c r="J60" i="51" s="1"/>
  <c r="J64" i="51" s="1"/>
  <c r="K60" i="51" s="1"/>
  <c r="K64" i="51" s="1"/>
  <c r="L60" i="51" s="1"/>
  <c r="R189" i="1"/>
  <c r="S189" i="1"/>
  <c r="I93" i="31"/>
  <c r="J98" i="31"/>
  <c r="K30" i="51"/>
  <c r="L26" i="51" s="1"/>
  <c r="L29" i="51" s="1"/>
  <c r="L231" i="51" s="1"/>
  <c r="M36" i="1" s="1"/>
  <c r="G36" i="28" s="1"/>
  <c r="O43" i="10"/>
  <c r="O44" i="10" s="1"/>
  <c r="N98" i="45"/>
  <c r="N121" i="45" s="1"/>
  <c r="Q19" i="18"/>
  <c r="V21" i="35"/>
  <c r="AC20" i="35"/>
  <c r="B108" i="35"/>
  <c r="I107" i="35"/>
  <c r="E107" i="35" s="1"/>
  <c r="L107" i="35"/>
  <c r="C107" i="35"/>
  <c r="AP21" i="35"/>
  <c r="AW20" i="35"/>
  <c r="AS20" i="35" s="1"/>
  <c r="AM18" i="35"/>
  <c r="AI18" i="35" s="1"/>
  <c r="AF19" i="35"/>
  <c r="AG18" i="35"/>
  <c r="H21" i="35"/>
  <c r="G13" i="51"/>
  <c r="H9" i="51" s="1"/>
  <c r="H13" i="51" s="1"/>
  <c r="I9" i="51" s="1"/>
  <c r="I13" i="51" s="1"/>
  <c r="J9" i="51" s="1"/>
  <c r="L132" i="51"/>
  <c r="M128" i="51" s="1"/>
  <c r="M132" i="51" s="1"/>
  <c r="N128" i="51" s="1"/>
  <c r="N132" i="51" s="1"/>
  <c r="O128" i="51" s="1"/>
  <c r="O132" i="51" s="1"/>
  <c r="P128" i="51" s="1"/>
  <c r="I146" i="51"/>
  <c r="J146" i="51" s="1"/>
  <c r="H149" i="51"/>
  <c r="I145" i="51" s="1"/>
  <c r="H200" i="51"/>
  <c r="I196" i="51" s="1"/>
  <c r="L61" i="51"/>
  <c r="M61" i="51" s="1"/>
  <c r="K166" i="51"/>
  <c r="L162" i="51" s="1"/>
  <c r="K98" i="51"/>
  <c r="L94" i="51" s="1"/>
  <c r="J47" i="51"/>
  <c r="K43" i="51" s="1"/>
  <c r="G214" i="51"/>
  <c r="H214" i="51" s="1"/>
  <c r="I214" i="51" s="1"/>
  <c r="I183" i="51"/>
  <c r="J179" i="51" s="1"/>
  <c r="J183" i="51" s="1"/>
  <c r="K179" i="51" s="1"/>
  <c r="K78" i="51"/>
  <c r="I114" i="32"/>
  <c r="I117" i="32" s="1"/>
  <c r="P129" i="51"/>
  <c r="L95" i="51"/>
  <c r="F217" i="51"/>
  <c r="G213" i="51" s="1"/>
  <c r="I197" i="51"/>
  <c r="J197" i="51" s="1"/>
  <c r="J10" i="51"/>
  <c r="K10" i="51" s="1"/>
  <c r="H115" i="51"/>
  <c r="I111" i="51" s="1"/>
  <c r="I115" i="51" s="1"/>
  <c r="J111" i="51" s="1"/>
  <c r="J112" i="51"/>
  <c r="N210" i="51"/>
  <c r="M227" i="51"/>
  <c r="L14" i="51"/>
  <c r="L15" i="51" s="1"/>
  <c r="L236" i="51"/>
  <c r="M38" i="1" s="1"/>
  <c r="K230" i="51"/>
  <c r="K180" i="51"/>
  <c r="L180" i="51" s="1"/>
  <c r="M180" i="51" s="1"/>
  <c r="L163" i="51"/>
  <c r="M163" i="51" s="1"/>
  <c r="K44" i="51"/>
  <c r="N6" i="51"/>
  <c r="M38" i="51"/>
  <c r="M31" i="51" s="1"/>
  <c r="M32" i="51" s="1"/>
  <c r="M21" i="51"/>
  <c r="M55" i="51"/>
  <c r="M48" i="51" s="1"/>
  <c r="M72" i="51"/>
  <c r="M65" i="51" s="1"/>
  <c r="M66" i="51" s="1"/>
  <c r="M89" i="51"/>
  <c r="M82" i="51" s="1"/>
  <c r="M83" i="51" s="1"/>
  <c r="M106" i="51"/>
  <c r="M99" i="51" s="1"/>
  <c r="M100" i="51" s="1"/>
  <c r="M123" i="51"/>
  <c r="M116" i="51" s="1"/>
  <c r="M117" i="51" s="1"/>
  <c r="M140" i="51"/>
  <c r="M133" i="51" s="1"/>
  <c r="M134" i="51" s="1"/>
  <c r="M157" i="51"/>
  <c r="M150" i="51" s="1"/>
  <c r="M151" i="51" s="1"/>
  <c r="M174" i="51"/>
  <c r="M167" i="51" s="1"/>
  <c r="M168" i="51" s="1"/>
  <c r="M191" i="51"/>
  <c r="M184" i="51" s="1"/>
  <c r="M185" i="51" s="1"/>
  <c r="M225" i="51"/>
  <c r="M218" i="51" s="1"/>
  <c r="M219" i="51" s="1"/>
  <c r="M208" i="51"/>
  <c r="M201" i="51" s="1"/>
  <c r="M202" i="51" s="1"/>
  <c r="F124" i="31"/>
  <c r="H54" i="31"/>
  <c r="K120" i="31"/>
  <c r="M49" i="31"/>
  <c r="Q38" i="27"/>
  <c r="K131" i="31"/>
  <c r="G116" i="46"/>
  <c r="G130" i="46" s="1"/>
  <c r="G108" i="46"/>
  <c r="G102" i="10"/>
  <c r="M153" i="1"/>
  <c r="M158" i="1"/>
  <c r="M169" i="1"/>
  <c r="M164" i="1"/>
  <c r="M148" i="1"/>
  <c r="S22" i="45"/>
  <c r="S82" i="45" s="1"/>
  <c r="L84" i="32"/>
  <c r="L23" i="32"/>
  <c r="Q11" i="1"/>
  <c r="Q28" i="1" s="1"/>
  <c r="Q29" i="1" s="1"/>
  <c r="L85" i="32"/>
  <c r="L83" i="32"/>
  <c r="L80" i="32"/>
  <c r="L78" i="32"/>
  <c r="L79" i="32"/>
  <c r="L27" i="32"/>
  <c r="L26" i="32"/>
  <c r="L76" i="32"/>
  <c r="L82" i="32"/>
  <c r="L25" i="32"/>
  <c r="L81" i="32"/>
  <c r="L77" i="32"/>
  <c r="L24" i="32"/>
  <c r="M4" i="32"/>
  <c r="S133" i="1"/>
  <c r="I923" i="40"/>
  <c r="H97" i="10" s="1"/>
  <c r="R92" i="33"/>
  <c r="R93" i="33" s="1"/>
  <c r="Q94" i="33"/>
  <c r="S131" i="33"/>
  <c r="S132" i="33" s="1"/>
  <c r="R145" i="33"/>
  <c r="R146" i="33" s="1"/>
  <c r="S142" i="33" s="1"/>
  <c r="S144" i="33" s="1"/>
  <c r="O14" i="36"/>
  <c r="O10" i="36" s="1"/>
  <c r="O13" i="36" s="1"/>
  <c r="P8" i="36" s="1"/>
  <c r="R31" i="33"/>
  <c r="R33" i="33" s="1"/>
  <c r="Q34" i="33"/>
  <c r="R166" i="33"/>
  <c r="R167" i="33" s="1"/>
  <c r="S163" i="33" s="1"/>
  <c r="S165" i="33" s="1"/>
  <c r="R61" i="33"/>
  <c r="R63" i="33" s="1"/>
  <c r="Q64" i="33"/>
  <c r="N128" i="45"/>
  <c r="R31" i="10"/>
  <c r="R32" i="10" s="1"/>
  <c r="Q97" i="45"/>
  <c r="Q120" i="45" s="1"/>
  <c r="Q76" i="45"/>
  <c r="R73" i="45"/>
  <c r="S47" i="33"/>
  <c r="S50" i="33" s="1"/>
  <c r="R5" i="26"/>
  <c r="S4" i="4"/>
  <c r="S5" i="26" s="1"/>
  <c r="H832" i="40"/>
  <c r="H833" i="40" s="1"/>
  <c r="G76" i="10" s="1"/>
  <c r="G114" i="46" s="1"/>
  <c r="I754" i="40"/>
  <c r="N33" i="45"/>
  <c r="Q91" i="1"/>
  <c r="C20" i="35"/>
  <c r="R41" i="33"/>
  <c r="R43" i="33" s="1"/>
  <c r="M19" i="35"/>
  <c r="G28" i="10"/>
  <c r="G29" i="10" s="1"/>
  <c r="H330" i="40"/>
  <c r="J41" i="11"/>
  <c r="I141" i="40"/>
  <c r="I148" i="40" s="1"/>
  <c r="I246" i="40"/>
  <c r="Q4" i="10"/>
  <c r="O4" i="18" s="1"/>
  <c r="Q5" i="1"/>
  <c r="M3" i="57" s="1"/>
  <c r="O4" i="27"/>
  <c r="S57" i="33"/>
  <c r="S60" i="33" s="1"/>
  <c r="W18" i="35"/>
  <c r="S173" i="33"/>
  <c r="S174" i="33" s="1"/>
  <c r="R100" i="33"/>
  <c r="R101" i="33" s="1"/>
  <c r="Q102" i="33"/>
  <c r="S54" i="1"/>
  <c r="S56" i="1" s="1"/>
  <c r="S37" i="1" s="1"/>
  <c r="M37" i="28" s="1"/>
  <c r="M58" i="28" s="1"/>
  <c r="R56" i="1"/>
  <c r="R37" i="1" s="1"/>
  <c r="S68" i="1"/>
  <c r="S77" i="1" s="1"/>
  <c r="R77" i="1"/>
  <c r="S37" i="33"/>
  <c r="S40" i="33" s="1"/>
  <c r="P31" i="18"/>
  <c r="P43" i="18" s="1"/>
  <c r="P53" i="18" s="1"/>
  <c r="S111" i="1"/>
  <c r="Q31" i="18" s="1"/>
  <c r="Q43" i="18" s="1"/>
  <c r="Q53" i="18" s="1"/>
  <c r="Q105" i="1"/>
  <c r="P106" i="1"/>
  <c r="P107" i="1" s="1"/>
  <c r="G12" i="10"/>
  <c r="G13" i="48" s="1"/>
  <c r="H124" i="40"/>
  <c r="S53" i="45"/>
  <c r="S25" i="10"/>
  <c r="R85" i="46"/>
  <c r="R16" i="46" s="1"/>
  <c r="S79" i="46"/>
  <c r="S85" i="46" s="1"/>
  <c r="S16" i="46" s="1"/>
  <c r="I36" i="32"/>
  <c r="H36" i="32"/>
  <c r="G36" i="32"/>
  <c r="B37" i="32"/>
  <c r="J36" i="32"/>
  <c r="K36" i="32"/>
  <c r="O5" i="45"/>
  <c r="O151" i="45" s="1"/>
  <c r="AA5" i="46"/>
  <c r="AJ5" i="46" s="1"/>
  <c r="O38" i="46"/>
  <c r="R19" i="10"/>
  <c r="R20" i="10" s="1"/>
  <c r="Q94" i="45"/>
  <c r="F135" i="46"/>
  <c r="S214" i="1"/>
  <c r="M62" i="45"/>
  <c r="P11" i="46"/>
  <c r="P4" i="33"/>
  <c r="J4" i="28"/>
  <c r="I24" i="36"/>
  <c r="P7" i="18"/>
  <c r="R93" i="45"/>
  <c r="S16" i="10"/>
  <c r="S17" i="10" s="1"/>
  <c r="O39" i="45"/>
  <c r="AQ16" i="35"/>
  <c r="R159" i="33"/>
  <c r="R160" i="33" s="1"/>
  <c r="S156" i="33" s="1"/>
  <c r="S158" i="33" s="1"/>
  <c r="R122" i="46"/>
  <c r="S124" i="33"/>
  <c r="S125" i="33" s="1"/>
  <c r="I365" i="40"/>
  <c r="I341" i="40"/>
  <c r="I355" i="40" s="1"/>
  <c r="N11" i="33"/>
  <c r="N70" i="33" s="1"/>
  <c r="O7" i="33"/>
  <c r="O10" i="33" s="1"/>
  <c r="N69" i="33"/>
  <c r="S44" i="45"/>
  <c r="S28" i="26" s="1"/>
  <c r="R28" i="26"/>
  <c r="Q17" i="18"/>
  <c r="S107" i="45"/>
  <c r="S26" i="46"/>
  <c r="S117" i="4"/>
  <c r="S104" i="1"/>
  <c r="G67" i="45"/>
  <c r="F70" i="45"/>
  <c r="R149" i="45"/>
  <c r="R25" i="45" s="1"/>
  <c r="S143" i="45"/>
  <c r="S149" i="45" s="1"/>
  <c r="S25" i="45" s="1"/>
  <c r="M71" i="33"/>
  <c r="M14" i="33"/>
  <c r="M72" i="33" s="1"/>
  <c r="R99" i="4"/>
  <c r="S97" i="4"/>
  <c r="S99" i="4" s="1"/>
  <c r="R108" i="33"/>
  <c r="R109" i="33" s="1"/>
  <c r="Q110" i="33"/>
  <c r="M13" i="27"/>
  <c r="P50" i="26"/>
  <c r="Q16" i="18"/>
  <c r="S106" i="45"/>
  <c r="S116" i="4"/>
  <c r="P5" i="46"/>
  <c r="P64" i="1"/>
  <c r="M77" i="33"/>
  <c r="M64" i="45" s="1"/>
  <c r="M85" i="33"/>
  <c r="M81" i="33"/>
  <c r="M103" i="46" s="1"/>
  <c r="M39" i="26"/>
  <c r="R51" i="33"/>
  <c r="R53" i="33" s="1"/>
  <c r="R54" i="33" s="1"/>
  <c r="R110" i="45"/>
  <c r="R122" i="45" s="1"/>
  <c r="R126" i="46"/>
  <c r="R133" i="46" s="1"/>
  <c r="S123" i="4"/>
  <c r="R27" i="1"/>
  <c r="R34" i="26" s="1"/>
  <c r="S13" i="1"/>
  <c r="S27" i="1" s="1"/>
  <c r="R102" i="46"/>
  <c r="S32" i="46"/>
  <c r="R23" i="26"/>
  <c r="R138" i="33"/>
  <c r="R139" i="33" s="1"/>
  <c r="S135" i="33" s="1"/>
  <c r="S137" i="33" s="1"/>
  <c r="S37" i="45"/>
  <c r="R63" i="45"/>
  <c r="S7" i="1"/>
  <c r="S9" i="1" s="1"/>
  <c r="R9" i="1"/>
  <c r="L27" i="27"/>
  <c r="R9" i="4"/>
  <c r="Q10" i="4"/>
  <c r="Q11" i="4" s="1"/>
  <c r="O31" i="45"/>
  <c r="P42" i="4"/>
  <c r="P43" i="4" s="1"/>
  <c r="O107" i="1"/>
  <c r="N182" i="4"/>
  <c r="I17" i="7" s="1"/>
  <c r="R152" i="33"/>
  <c r="R153" i="33" s="1"/>
  <c r="S149" i="33" s="1"/>
  <c r="S151" i="33" s="1"/>
  <c r="I86" i="32"/>
  <c r="H86" i="32"/>
  <c r="G86" i="32"/>
  <c r="L86" i="32"/>
  <c r="B87" i="32"/>
  <c r="B88" i="32" s="1"/>
  <c r="B89" i="32" s="1"/>
  <c r="B90" i="32" s="1"/>
  <c r="B91" i="32" s="1"/>
  <c r="B92" i="32" s="1"/>
  <c r="B93" i="32" s="1"/>
  <c r="B94" i="32" s="1"/>
  <c r="B95" i="32" s="1"/>
  <c r="B96" i="32" s="1"/>
  <c r="J86" i="32"/>
  <c r="K86" i="32"/>
  <c r="R97" i="1"/>
  <c r="Q101" i="1"/>
  <c r="S44" i="1"/>
  <c r="S51" i="1" s="1"/>
  <c r="S10" i="1" s="1"/>
  <c r="R51" i="1"/>
  <c r="R10" i="1" s="1"/>
  <c r="R51" i="45"/>
  <c r="R105" i="46"/>
  <c r="S15" i="46"/>
  <c r="N137" i="1"/>
  <c r="S130" i="45"/>
  <c r="C44" i="11"/>
  <c r="D44" i="11" s="1"/>
  <c r="F43" i="11"/>
  <c r="Q15" i="26"/>
  <c r="R121" i="46"/>
  <c r="R133" i="45"/>
  <c r="R139" i="45" s="1"/>
  <c r="R16" i="45" s="1"/>
  <c r="S43" i="45"/>
  <c r="R26" i="26"/>
  <c r="R90" i="1"/>
  <c r="S83" i="1"/>
  <c r="S90" i="1" s="1"/>
  <c r="O11" i="46"/>
  <c r="M6" i="36"/>
  <c r="P173" i="4" s="1"/>
  <c r="E61" i="31" l="1"/>
  <c r="D136" i="31"/>
  <c r="I186" i="31"/>
  <c r="K88" i="58"/>
  <c r="Q126" i="10"/>
  <c r="R121" i="10" s="1"/>
  <c r="Q28" i="46"/>
  <c r="Q22" i="45" s="1"/>
  <c r="Q82" i="45" s="1"/>
  <c r="S12" i="45"/>
  <c r="S81" i="45" s="1"/>
  <c r="I118" i="32"/>
  <c r="I51" i="27" s="1"/>
  <c r="L15" i="28"/>
  <c r="Q101" i="45"/>
  <c r="Q124" i="45" s="1"/>
  <c r="R125" i="10"/>
  <c r="N56" i="10"/>
  <c r="N57" i="10" s="1"/>
  <c r="N154" i="45" s="1"/>
  <c r="O36" i="4"/>
  <c r="L177" i="33"/>
  <c r="C137" i="31"/>
  <c r="Q24" i="33"/>
  <c r="S17" i="33"/>
  <c r="S20" i="33" s="1"/>
  <c r="S21" i="33" s="1"/>
  <c r="R21" i="33"/>
  <c r="R23" i="33" s="1"/>
  <c r="J136" i="48"/>
  <c r="J133" i="48" s="1"/>
  <c r="I379" i="40"/>
  <c r="I983" i="40"/>
  <c r="H101" i="10" s="1"/>
  <c r="H108" i="46" s="1"/>
  <c r="J981" i="40"/>
  <c r="J982" i="40" s="1"/>
  <c r="J922" i="40"/>
  <c r="J1339" i="40"/>
  <c r="I60" i="10" s="1"/>
  <c r="J55" i="10" s="1"/>
  <c r="J57" i="10" s="1"/>
  <c r="J154" i="45" s="1"/>
  <c r="J1243" i="40"/>
  <c r="J972" i="40"/>
  <c r="J974" i="40" s="1"/>
  <c r="J914" i="40"/>
  <c r="J923" i="40" s="1"/>
  <c r="I97" i="10" s="1"/>
  <c r="I251" i="40"/>
  <c r="I258" i="40" s="1"/>
  <c r="H12" i="10" s="1"/>
  <c r="J136" i="40"/>
  <c r="J354" i="40"/>
  <c r="J355" i="40" s="1"/>
  <c r="J374" i="40"/>
  <c r="J378" i="40" s="1"/>
  <c r="J379" i="40" s="1"/>
  <c r="Q11" i="46"/>
  <c r="I115" i="31"/>
  <c r="I33" i="31"/>
  <c r="K45" i="31"/>
  <c r="K64" i="31"/>
  <c r="I140" i="31"/>
  <c r="O58" i="27"/>
  <c r="J176" i="31"/>
  <c r="N4" i="57"/>
  <c r="M7" i="57"/>
  <c r="O11" i="27"/>
  <c r="L37" i="28"/>
  <c r="L58" i="28" s="1"/>
  <c r="M99" i="58"/>
  <c r="N27" i="27"/>
  <c r="S49" i="26"/>
  <c r="O10" i="27"/>
  <c r="R49" i="26"/>
  <c r="S108" i="45"/>
  <c r="O9" i="27"/>
  <c r="S10" i="45"/>
  <c r="O13" i="27"/>
  <c r="Q31" i="27"/>
  <c r="M15" i="28" s="1"/>
  <c r="S183" i="1"/>
  <c r="O8" i="57" s="1"/>
  <c r="S109" i="45"/>
  <c r="R183" i="1"/>
  <c r="P58" i="27" s="1"/>
  <c r="K186" i="31" s="1"/>
  <c r="J33" i="31"/>
  <c r="L79" i="58"/>
  <c r="E57" i="28"/>
  <c r="J48" i="28"/>
  <c r="H10" i="58"/>
  <c r="F34" i="28"/>
  <c r="F57" i="28" s="1"/>
  <c r="G100" i="58"/>
  <c r="G76" i="31"/>
  <c r="J93" i="31"/>
  <c r="K98" i="31"/>
  <c r="O98" i="45"/>
  <c r="O121" i="45" s="1"/>
  <c r="P43" i="10"/>
  <c r="P44" i="10" s="1"/>
  <c r="G66" i="28"/>
  <c r="AP22" i="35"/>
  <c r="AP23" i="35" s="1"/>
  <c r="AW21" i="35"/>
  <c r="AS21" i="35" s="1"/>
  <c r="S107" i="35"/>
  <c r="O107" i="35" s="1"/>
  <c r="M107" i="35"/>
  <c r="H22" i="35"/>
  <c r="B109" i="35"/>
  <c r="I108" i="35"/>
  <c r="E108" i="35" s="1"/>
  <c r="L108" i="35"/>
  <c r="C108" i="35"/>
  <c r="AG19" i="35"/>
  <c r="AF20" i="35"/>
  <c r="V22" i="35"/>
  <c r="V23" i="35" s="1"/>
  <c r="AC21" i="35"/>
  <c r="I149" i="51"/>
  <c r="J145" i="51" s="1"/>
  <c r="J149" i="51" s="1"/>
  <c r="K145" i="51" s="1"/>
  <c r="K146" i="51"/>
  <c r="K47" i="51"/>
  <c r="L43" i="51" s="1"/>
  <c r="L44" i="51"/>
  <c r="M44" i="51" s="1"/>
  <c r="N61" i="51"/>
  <c r="L230" i="51"/>
  <c r="O210" i="51"/>
  <c r="N227" i="51"/>
  <c r="K81" i="51"/>
  <c r="L77" i="51" s="1"/>
  <c r="L64" i="51"/>
  <c r="M60" i="51" s="1"/>
  <c r="M64" i="51" s="1"/>
  <c r="N60" i="51" s="1"/>
  <c r="L166" i="51"/>
  <c r="M162" i="51" s="1"/>
  <c r="M166" i="51" s="1"/>
  <c r="N162" i="51" s="1"/>
  <c r="G217" i="51"/>
  <c r="H213" i="51" s="1"/>
  <c r="H217" i="51" s="1"/>
  <c r="I213" i="51" s="1"/>
  <c r="I217" i="51" s="1"/>
  <c r="J213" i="51" s="1"/>
  <c r="J214" i="51"/>
  <c r="K214" i="51" s="1"/>
  <c r="M14" i="51"/>
  <c r="M15" i="51" s="1"/>
  <c r="M236" i="51"/>
  <c r="N38" i="1" s="1"/>
  <c r="K183" i="51"/>
  <c r="L179" i="51" s="1"/>
  <c r="L183" i="51" s="1"/>
  <c r="M179" i="51" s="1"/>
  <c r="M183" i="51" s="1"/>
  <c r="N179" i="51" s="1"/>
  <c r="J13" i="51"/>
  <c r="K9" i="51" s="1"/>
  <c r="K12" i="51" s="1"/>
  <c r="L78" i="51"/>
  <c r="P132" i="51"/>
  <c r="Q128" i="51" s="1"/>
  <c r="J115" i="51"/>
  <c r="K111" i="51" s="1"/>
  <c r="K112" i="51"/>
  <c r="L98" i="51"/>
  <c r="M94" i="51" s="1"/>
  <c r="M95" i="51"/>
  <c r="Q129" i="51"/>
  <c r="O6" i="51"/>
  <c r="N38" i="51"/>
  <c r="N31" i="51" s="1"/>
  <c r="N32" i="51" s="1"/>
  <c r="N21" i="51"/>
  <c r="N55" i="51"/>
  <c r="N48" i="51" s="1"/>
  <c r="N49" i="51" s="1"/>
  <c r="N72" i="51"/>
  <c r="N65" i="51" s="1"/>
  <c r="N89" i="51"/>
  <c r="N82" i="51" s="1"/>
  <c r="N83" i="51" s="1"/>
  <c r="N106" i="51"/>
  <c r="N99" i="51" s="1"/>
  <c r="N100" i="51" s="1"/>
  <c r="N123" i="51"/>
  <c r="N116" i="51" s="1"/>
  <c r="N117" i="51" s="1"/>
  <c r="N140" i="51"/>
  <c r="N133" i="51" s="1"/>
  <c r="N134" i="51" s="1"/>
  <c r="N157" i="51"/>
  <c r="N150" i="51" s="1"/>
  <c r="N151" i="51" s="1"/>
  <c r="N174" i="51"/>
  <c r="N167" i="51" s="1"/>
  <c r="N168" i="51" s="1"/>
  <c r="N191" i="51"/>
  <c r="N184" i="51" s="1"/>
  <c r="N185" i="51" s="1"/>
  <c r="N225" i="51"/>
  <c r="N218" i="51" s="1"/>
  <c r="N219" i="51" s="1"/>
  <c r="N208" i="51"/>
  <c r="N201" i="51" s="1"/>
  <c r="N202" i="51" s="1"/>
  <c r="N163" i="51"/>
  <c r="N180" i="51"/>
  <c r="I200" i="51"/>
  <c r="J196" i="51" s="1"/>
  <c r="J200" i="51" s="1"/>
  <c r="K196" i="51" s="1"/>
  <c r="K197" i="51"/>
  <c r="F22" i="31"/>
  <c r="F105" i="31"/>
  <c r="J116" i="32"/>
  <c r="G124" i="31"/>
  <c r="I54" i="31"/>
  <c r="H115" i="31"/>
  <c r="J45" i="31"/>
  <c r="M166" i="1"/>
  <c r="M171" i="1"/>
  <c r="M161" i="1"/>
  <c r="M155" i="1"/>
  <c r="M150" i="1"/>
  <c r="S91" i="1"/>
  <c r="S63" i="45"/>
  <c r="N13" i="33"/>
  <c r="N14" i="33" s="1"/>
  <c r="N72" i="33" s="1"/>
  <c r="M85" i="32"/>
  <c r="M23" i="32"/>
  <c r="R11" i="1"/>
  <c r="R28" i="1" s="1"/>
  <c r="R29" i="1" s="1"/>
  <c r="S11" i="1"/>
  <c r="S28" i="1" s="1"/>
  <c r="S29" i="1" s="1"/>
  <c r="M82" i="32"/>
  <c r="M26" i="32"/>
  <c r="M81" i="32"/>
  <c r="M25" i="32"/>
  <c r="M76" i="32"/>
  <c r="M79" i="32"/>
  <c r="M24" i="32"/>
  <c r="M28" i="32"/>
  <c r="M78" i="32"/>
  <c r="M86" i="32"/>
  <c r="M84" i="32"/>
  <c r="M77" i="32"/>
  <c r="M80" i="32"/>
  <c r="M83" i="32"/>
  <c r="M27" i="32"/>
  <c r="N4" i="32"/>
  <c r="S12" i="46"/>
  <c r="R91" i="1"/>
  <c r="S152" i="33"/>
  <c r="S153" i="33" s="1"/>
  <c r="H28" i="10"/>
  <c r="I22" i="10" s="1"/>
  <c r="I330" i="40"/>
  <c r="S31" i="33"/>
  <c r="S33" i="33" s="1"/>
  <c r="R34" i="33"/>
  <c r="P14" i="36"/>
  <c r="P10" i="36" s="1"/>
  <c r="P13" i="36" s="1"/>
  <c r="Q8" i="36" s="1"/>
  <c r="S41" i="33"/>
  <c r="S43" i="33" s="1"/>
  <c r="S44" i="33" s="1"/>
  <c r="R44" i="33"/>
  <c r="S145" i="33"/>
  <c r="S146" i="33" s="1"/>
  <c r="S61" i="33"/>
  <c r="S63" i="33" s="1"/>
  <c r="S64" i="33" s="1"/>
  <c r="R64" i="33"/>
  <c r="S92" i="33"/>
  <c r="S93" i="33" s="1"/>
  <c r="S94" i="33" s="1"/>
  <c r="R94" i="33"/>
  <c r="N6" i="36"/>
  <c r="Q173" i="4" s="1"/>
  <c r="O33" i="45"/>
  <c r="K6" i="32"/>
  <c r="G9" i="28"/>
  <c r="F153" i="31" s="1"/>
  <c r="P5" i="45"/>
  <c r="P151" i="45" s="1"/>
  <c r="AB5" i="46"/>
  <c r="AK5" i="46" s="1"/>
  <c r="P38" i="46"/>
  <c r="S108" i="33"/>
  <c r="S109" i="33" s="1"/>
  <c r="S110" i="33" s="1"/>
  <c r="R110" i="33"/>
  <c r="O67" i="33"/>
  <c r="S100" i="33"/>
  <c r="S101" i="33" s="1"/>
  <c r="S102" i="33" s="1"/>
  <c r="R102" i="33"/>
  <c r="C21" i="35"/>
  <c r="G128" i="46"/>
  <c r="G101" i="46"/>
  <c r="R15" i="26"/>
  <c r="C45" i="11"/>
  <c r="D45" i="11" s="1"/>
  <c r="F44" i="11"/>
  <c r="S51" i="45"/>
  <c r="S105" i="46"/>
  <c r="S97" i="1"/>
  <c r="S101" i="1" s="1"/>
  <c r="R101" i="1"/>
  <c r="M27" i="27"/>
  <c r="R10" i="4"/>
  <c r="R11" i="4" s="1"/>
  <c r="S9" i="4"/>
  <c r="S10" i="4" s="1"/>
  <c r="S11" i="4" s="1"/>
  <c r="L179" i="33"/>
  <c r="L117" i="33"/>
  <c r="L180" i="33" s="1"/>
  <c r="K37" i="32"/>
  <c r="J37" i="32"/>
  <c r="I37" i="32"/>
  <c r="H37" i="32"/>
  <c r="G37" i="32"/>
  <c r="L37" i="32"/>
  <c r="B38" i="32"/>
  <c r="N62" i="45"/>
  <c r="S4" i="10"/>
  <c r="Q4" i="18" s="1"/>
  <c r="S5" i="1"/>
  <c r="O3" i="57" s="1"/>
  <c r="Q4" i="27"/>
  <c r="N77" i="33"/>
  <c r="N64" i="45" s="1"/>
  <c r="N81" i="33"/>
  <c r="N103" i="46" s="1"/>
  <c r="N85" i="33"/>
  <c r="N39" i="26"/>
  <c r="AQ17" i="35"/>
  <c r="I20" i="36"/>
  <c r="I23" i="36" s="1"/>
  <c r="I28" i="36"/>
  <c r="L34" i="1" s="1"/>
  <c r="G96" i="58" s="1"/>
  <c r="J54" i="11"/>
  <c r="R4" i="10"/>
  <c r="P4" i="18" s="1"/>
  <c r="R5" i="1"/>
  <c r="N3" i="57" s="1"/>
  <c r="P4" i="27"/>
  <c r="S166" i="33"/>
  <c r="S167" i="33" s="1"/>
  <c r="O182" i="4"/>
  <c r="J17" i="7" s="1"/>
  <c r="S121" i="46"/>
  <c r="S19" i="10"/>
  <c r="S20" i="10" s="1"/>
  <c r="S94" i="45" s="1"/>
  <c r="R94" i="45"/>
  <c r="E6" i="18"/>
  <c r="E22" i="18" s="1"/>
  <c r="E25" i="18" s="1"/>
  <c r="G14" i="10"/>
  <c r="H8" i="10"/>
  <c r="H12" i="48" s="1"/>
  <c r="G13" i="10"/>
  <c r="G92" i="45"/>
  <c r="G115" i="45" s="1"/>
  <c r="M20" i="35"/>
  <c r="S110" i="45"/>
  <c r="S122" i="45" s="1"/>
  <c r="S76" i="45" s="1"/>
  <c r="S126" i="46"/>
  <c r="S133" i="46" s="1"/>
  <c r="S51" i="33"/>
  <c r="S53" i="33" s="1"/>
  <c r="S54" i="33" s="1"/>
  <c r="P31" i="45"/>
  <c r="Q42" i="4"/>
  <c r="Q43" i="4" s="1"/>
  <c r="J10" i="31"/>
  <c r="S138" i="33"/>
  <c r="S139" i="33" s="1"/>
  <c r="S102" i="46"/>
  <c r="S23" i="26"/>
  <c r="P39" i="45"/>
  <c r="S34" i="26"/>
  <c r="R105" i="1"/>
  <c r="Q106" i="1"/>
  <c r="Q107" i="1" s="1"/>
  <c r="W19" i="35"/>
  <c r="Q4" i="33"/>
  <c r="K4" i="28"/>
  <c r="S133" i="45"/>
  <c r="S139" i="45" s="1"/>
  <c r="S26" i="26"/>
  <c r="N139" i="1"/>
  <c r="F126" i="45"/>
  <c r="F35" i="45" s="1"/>
  <c r="F55" i="45" s="1"/>
  <c r="R76" i="45"/>
  <c r="S73" i="45"/>
  <c r="M76" i="33"/>
  <c r="M80" i="33"/>
  <c r="M84" i="33"/>
  <c r="K8" i="27"/>
  <c r="F21" i="46"/>
  <c r="Q5" i="46"/>
  <c r="Q64" i="1"/>
  <c r="E8" i="18"/>
  <c r="E26" i="18" s="1"/>
  <c r="E38" i="18" s="1"/>
  <c r="E48" i="18" s="1"/>
  <c r="H22" i="10"/>
  <c r="G95" i="45"/>
  <c r="G118" i="45" s="1"/>
  <c r="H102" i="10"/>
  <c r="S122" i="46"/>
  <c r="S159" i="33"/>
  <c r="S160" i="33" s="1"/>
  <c r="Q7" i="18"/>
  <c r="S93" i="45"/>
  <c r="O128" i="45"/>
  <c r="S31" i="10"/>
  <c r="S32" i="10" s="1"/>
  <c r="S97" i="45" s="1"/>
  <c r="R97" i="45"/>
  <c r="R120" i="45" s="1"/>
  <c r="Q50" i="26"/>
  <c r="N83" i="33"/>
  <c r="N79" i="33"/>
  <c r="N75" i="33"/>
  <c r="I755" i="40"/>
  <c r="I756" i="40" s="1"/>
  <c r="H72" i="10" s="1"/>
  <c r="I831" i="40"/>
  <c r="J186" i="31" l="1"/>
  <c r="L88" i="58"/>
  <c r="R126" i="10"/>
  <c r="S121" i="10" s="1"/>
  <c r="S126" i="10" s="1"/>
  <c r="S101" i="45" s="1"/>
  <c r="S124" i="45" s="1"/>
  <c r="R28" i="46"/>
  <c r="R22" i="45" s="1"/>
  <c r="R82" i="45" s="1"/>
  <c r="H116" i="46"/>
  <c r="H130" i="46" s="1"/>
  <c r="I29" i="27"/>
  <c r="S120" i="45"/>
  <c r="O56" i="10"/>
  <c r="O57" i="10" s="1"/>
  <c r="O154" i="45" s="1"/>
  <c r="P36" i="4"/>
  <c r="J983" i="40"/>
  <c r="I101" i="10" s="1"/>
  <c r="G125" i="45"/>
  <c r="I99" i="45"/>
  <c r="I122" i="45" s="1"/>
  <c r="J73" i="45" s="1"/>
  <c r="S34" i="33"/>
  <c r="S23" i="33"/>
  <c r="S24" i="33" s="1"/>
  <c r="R24" i="33"/>
  <c r="F10" i="18"/>
  <c r="F28" i="18" s="1"/>
  <c r="F40" i="18" s="1"/>
  <c r="F50" i="18" s="1"/>
  <c r="L1243" i="40"/>
  <c r="I55" i="10"/>
  <c r="I124" i="40"/>
  <c r="J330" i="40"/>
  <c r="I28" i="10"/>
  <c r="H13" i="48"/>
  <c r="I8" i="10"/>
  <c r="I832" i="40"/>
  <c r="I833" i="40" s="1"/>
  <c r="H76" i="10" s="1"/>
  <c r="J754" i="40"/>
  <c r="J141" i="40"/>
  <c r="J148" i="40" s="1"/>
  <c r="J246" i="40"/>
  <c r="J251" i="40" s="1"/>
  <c r="J258" i="40" s="1"/>
  <c r="S11" i="46"/>
  <c r="K54" i="31"/>
  <c r="J115" i="31"/>
  <c r="L64" i="31"/>
  <c r="L45" i="31"/>
  <c r="J140" i="31"/>
  <c r="Q58" i="27"/>
  <c r="I124" i="31"/>
  <c r="N8" i="57"/>
  <c r="O4" i="57" s="1"/>
  <c r="O7" i="57" s="1"/>
  <c r="K176" i="31"/>
  <c r="L8" i="27"/>
  <c r="P13" i="27"/>
  <c r="M45" i="31" s="1"/>
  <c r="P11" i="27"/>
  <c r="Q9" i="27"/>
  <c r="O27" i="27"/>
  <c r="P9" i="27"/>
  <c r="Q11" i="27"/>
  <c r="P10" i="27"/>
  <c r="Q10" i="27"/>
  <c r="Q13" i="27"/>
  <c r="D32" i="31"/>
  <c r="E32" i="31"/>
  <c r="K33" i="31"/>
  <c r="M79" i="58"/>
  <c r="E174" i="31"/>
  <c r="K48" i="28"/>
  <c r="G34" i="28"/>
  <c r="F174" i="31" s="1"/>
  <c r="H100" i="58"/>
  <c r="I10" i="58"/>
  <c r="P182" i="4"/>
  <c r="K17" i="7" s="1"/>
  <c r="K140" i="31"/>
  <c r="M64" i="31"/>
  <c r="K93" i="31"/>
  <c r="Q43" i="10"/>
  <c r="Q44" i="10" s="1"/>
  <c r="P98" i="45"/>
  <c r="P121" i="45" s="1"/>
  <c r="B110" i="35"/>
  <c r="L109" i="35"/>
  <c r="M109" i="35" s="1"/>
  <c r="C109" i="35"/>
  <c r="V24" i="35"/>
  <c r="AC23" i="35"/>
  <c r="H23" i="35"/>
  <c r="AM20" i="35"/>
  <c r="AI20" i="35" s="1"/>
  <c r="AF21" i="35"/>
  <c r="AG20" i="35"/>
  <c r="S108" i="35"/>
  <c r="O108" i="35" s="1"/>
  <c r="M108" i="35"/>
  <c r="AP24" i="35"/>
  <c r="AW23" i="35"/>
  <c r="AS23" i="35" s="1"/>
  <c r="L214" i="51"/>
  <c r="M214" i="51" s="1"/>
  <c r="N214" i="51" s="1"/>
  <c r="O214" i="51" s="1"/>
  <c r="K149" i="51"/>
  <c r="L145" i="51" s="1"/>
  <c r="L146" i="51"/>
  <c r="K231" i="51"/>
  <c r="K15" i="51"/>
  <c r="D137" i="31"/>
  <c r="N166" i="51"/>
  <c r="O162" i="51" s="1"/>
  <c r="Q132" i="51"/>
  <c r="R128" i="51" s="1"/>
  <c r="R129" i="51"/>
  <c r="K115" i="51"/>
  <c r="L111" i="51" s="1"/>
  <c r="L112" i="51"/>
  <c r="N63" i="51"/>
  <c r="N66" i="51" s="1"/>
  <c r="L81" i="51"/>
  <c r="M77" i="51" s="1"/>
  <c r="M78" i="51"/>
  <c r="O163" i="51"/>
  <c r="P210" i="51"/>
  <c r="O227" i="51"/>
  <c r="N183" i="51"/>
  <c r="O179" i="51" s="1"/>
  <c r="O180" i="51"/>
  <c r="N14" i="51"/>
  <c r="N15" i="51" s="1"/>
  <c r="N236" i="51"/>
  <c r="O38" i="1" s="1"/>
  <c r="M98" i="51"/>
  <c r="N94" i="51" s="1"/>
  <c r="N95" i="51"/>
  <c r="O95" i="51" s="1"/>
  <c r="L47" i="51"/>
  <c r="M43" i="51" s="1"/>
  <c r="M46" i="51" s="1"/>
  <c r="F61" i="31"/>
  <c r="K200" i="51"/>
  <c r="L196" i="51" s="1"/>
  <c r="L197" i="51"/>
  <c r="P6" i="51"/>
  <c r="O38" i="51"/>
  <c r="O31" i="51" s="1"/>
  <c r="O32" i="51" s="1"/>
  <c r="O21" i="51"/>
  <c r="O55" i="51"/>
  <c r="O48" i="51" s="1"/>
  <c r="O49" i="51" s="1"/>
  <c r="O72" i="51"/>
  <c r="O65" i="51" s="1"/>
  <c r="O66" i="51" s="1"/>
  <c r="O89" i="51"/>
  <c r="O82" i="51" s="1"/>
  <c r="O106" i="51"/>
  <c r="O99" i="51" s="1"/>
  <c r="O100" i="51" s="1"/>
  <c r="O123" i="51"/>
  <c r="O116" i="51" s="1"/>
  <c r="O117" i="51" s="1"/>
  <c r="O140" i="51"/>
  <c r="O133" i="51" s="1"/>
  <c r="O134" i="51" s="1"/>
  <c r="O157" i="51"/>
  <c r="O150" i="51" s="1"/>
  <c r="O151" i="51" s="1"/>
  <c r="O174" i="51"/>
  <c r="O167" i="51" s="1"/>
  <c r="O168" i="51" s="1"/>
  <c r="O191" i="51"/>
  <c r="O184" i="51" s="1"/>
  <c r="O185" i="51" s="1"/>
  <c r="O225" i="51"/>
  <c r="O218" i="51" s="1"/>
  <c r="O219" i="51" s="1"/>
  <c r="O208" i="51"/>
  <c r="O201" i="51" s="1"/>
  <c r="O202" i="51" s="1"/>
  <c r="M230" i="51"/>
  <c r="J217" i="51"/>
  <c r="K213" i="51" s="1"/>
  <c r="K217" i="51" s="1"/>
  <c r="L213" i="51" s="1"/>
  <c r="G22" i="31"/>
  <c r="G105" i="31"/>
  <c r="H124" i="31"/>
  <c r="J54" i="31"/>
  <c r="F114" i="31"/>
  <c r="H44" i="31"/>
  <c r="N153" i="1"/>
  <c r="N158" i="1"/>
  <c r="N169" i="1"/>
  <c r="N148" i="1"/>
  <c r="N164" i="1"/>
  <c r="H29" i="10"/>
  <c r="N71" i="33"/>
  <c r="N84" i="33"/>
  <c r="N80" i="33"/>
  <c r="N76" i="33"/>
  <c r="N86" i="32"/>
  <c r="N23" i="32"/>
  <c r="G112" i="1"/>
  <c r="S16" i="45"/>
  <c r="S15" i="26" s="1"/>
  <c r="N84" i="32"/>
  <c r="N78" i="32"/>
  <c r="N82" i="32"/>
  <c r="N77" i="32"/>
  <c r="O4" i="32"/>
  <c r="N24" i="32"/>
  <c r="N27" i="32"/>
  <c r="N81" i="32"/>
  <c r="N80" i="32"/>
  <c r="N25" i="32"/>
  <c r="N29" i="32"/>
  <c r="N76" i="32"/>
  <c r="N83" i="32"/>
  <c r="J7" i="32"/>
  <c r="J112" i="32" s="1"/>
  <c r="J113" i="32" s="1"/>
  <c r="J114" i="32" s="1"/>
  <c r="N79" i="32"/>
  <c r="N26" i="32"/>
  <c r="N85" i="32"/>
  <c r="N28" i="32"/>
  <c r="F22" i="26"/>
  <c r="F35" i="26" s="1"/>
  <c r="Q14" i="36"/>
  <c r="Q10" i="36" s="1"/>
  <c r="Q13" i="36" s="1"/>
  <c r="R8" i="36" s="1"/>
  <c r="P33" i="45"/>
  <c r="R5" i="46"/>
  <c r="R64" i="1"/>
  <c r="L6" i="32"/>
  <c r="H9" i="28"/>
  <c r="G153" i="31" s="1"/>
  <c r="S4" i="33"/>
  <c r="M4" i="28"/>
  <c r="S50" i="26"/>
  <c r="G70" i="45"/>
  <c r="H67" i="45"/>
  <c r="S5" i="46"/>
  <c r="S64" i="1"/>
  <c r="P128" i="45"/>
  <c r="O62" i="45"/>
  <c r="R12" i="46"/>
  <c r="R50" i="26"/>
  <c r="M88" i="58" s="1"/>
  <c r="G134" i="46"/>
  <c r="G113" i="1"/>
  <c r="W20" i="35"/>
  <c r="E32" i="18"/>
  <c r="E37" i="18"/>
  <c r="E47" i="18" s="1"/>
  <c r="C22" i="35"/>
  <c r="J18" i="36"/>
  <c r="I27" i="36"/>
  <c r="L38" i="32"/>
  <c r="K38" i="32"/>
  <c r="J38" i="32"/>
  <c r="I38" i="32"/>
  <c r="H38" i="32"/>
  <c r="G38" i="32"/>
  <c r="M38" i="32"/>
  <c r="B39" i="32"/>
  <c r="L118" i="33"/>
  <c r="C47" i="11"/>
  <c r="F45" i="11"/>
  <c r="H95" i="45"/>
  <c r="H118" i="45" s="1"/>
  <c r="I67" i="45" s="1"/>
  <c r="O137" i="1"/>
  <c r="Q31" i="45"/>
  <c r="R42" i="4"/>
  <c r="K10" i="31"/>
  <c r="M21" i="35"/>
  <c r="K111" i="32"/>
  <c r="K56" i="32"/>
  <c r="K10" i="32"/>
  <c r="O6" i="36"/>
  <c r="R173" i="4" s="1"/>
  <c r="Q5" i="45"/>
  <c r="Q38" i="46"/>
  <c r="S105" i="1"/>
  <c r="S106" i="1" s="1"/>
  <c r="S107" i="1" s="1"/>
  <c r="R106" i="1"/>
  <c r="R107" i="1" s="1"/>
  <c r="Q39" i="45"/>
  <c r="R4" i="33"/>
  <c r="L4" i="28"/>
  <c r="AQ18" i="35"/>
  <c r="F6" i="18"/>
  <c r="F22" i="18" s="1"/>
  <c r="F25" i="18" s="1"/>
  <c r="H14" i="10"/>
  <c r="H13" i="10"/>
  <c r="H92" i="45"/>
  <c r="H115" i="45" s="1"/>
  <c r="O11" i="33"/>
  <c r="O69" i="33"/>
  <c r="P7" i="33"/>
  <c r="P10" i="33" s="1"/>
  <c r="G114" i="31" l="1"/>
  <c r="L54" i="31"/>
  <c r="R101" i="45"/>
  <c r="R124" i="45" s="1"/>
  <c r="G10" i="18"/>
  <c r="G28" i="18" s="1"/>
  <c r="G40" i="18" s="1"/>
  <c r="G50" i="18" s="1"/>
  <c r="J97" i="10"/>
  <c r="J22" i="10"/>
  <c r="P56" i="10"/>
  <c r="P57" i="10" s="1"/>
  <c r="P154" i="45" s="1"/>
  <c r="Q36" i="4"/>
  <c r="H125" i="45"/>
  <c r="H126" i="45" s="1"/>
  <c r="I76" i="45"/>
  <c r="I102" i="10"/>
  <c r="I108" i="46"/>
  <c r="I116" i="46"/>
  <c r="I130" i="46" s="1"/>
  <c r="I29" i="10"/>
  <c r="I95" i="45"/>
  <c r="I118" i="45" s="1"/>
  <c r="H114" i="46"/>
  <c r="H128" i="46" s="1"/>
  <c r="J124" i="40"/>
  <c r="I12" i="10"/>
  <c r="F8" i="18"/>
  <c r="F26" i="18" s="1"/>
  <c r="F38" i="18" s="1"/>
  <c r="F48" i="18" s="1"/>
  <c r="J755" i="40"/>
  <c r="J756" i="40" s="1"/>
  <c r="I72" i="10" s="1"/>
  <c r="J831" i="40"/>
  <c r="J832" i="40" s="1"/>
  <c r="J833" i="40" s="1"/>
  <c r="I76" i="10" s="1"/>
  <c r="J124" i="31"/>
  <c r="I44" i="31"/>
  <c r="N7" i="57"/>
  <c r="F76" i="31"/>
  <c r="L36" i="1"/>
  <c r="K115" i="31"/>
  <c r="Q27" i="27"/>
  <c r="J46" i="27"/>
  <c r="P27" i="27"/>
  <c r="M54" i="31" s="1"/>
  <c r="G57" i="28"/>
  <c r="L48" i="28"/>
  <c r="M48" i="28"/>
  <c r="H34" i="28"/>
  <c r="G174" i="31" s="1"/>
  <c r="I100" i="58"/>
  <c r="G176" i="48"/>
  <c r="C10" i="57"/>
  <c r="C11" i="57" s="1"/>
  <c r="R43" i="10"/>
  <c r="R44" i="10" s="1"/>
  <c r="Q98" i="45"/>
  <c r="Q121" i="45" s="1"/>
  <c r="I12" i="48"/>
  <c r="L217" i="51"/>
  <c r="M213" i="51" s="1"/>
  <c r="M217" i="51" s="1"/>
  <c r="N213" i="51" s="1"/>
  <c r="N217" i="51" s="1"/>
  <c r="O213" i="51" s="1"/>
  <c r="O217" i="51" s="1"/>
  <c r="P213" i="51" s="1"/>
  <c r="H24" i="35"/>
  <c r="M81" i="51"/>
  <c r="N77" i="51" s="1"/>
  <c r="AP25" i="35"/>
  <c r="AP26" i="35" s="1"/>
  <c r="AW24" i="35"/>
  <c r="AS24" i="35" s="1"/>
  <c r="V25" i="35"/>
  <c r="V26" i="35" s="1"/>
  <c r="AC24" i="35"/>
  <c r="AM21" i="35"/>
  <c r="AI21" i="35" s="1"/>
  <c r="AG21" i="35"/>
  <c r="AF22" i="35"/>
  <c r="B111" i="35"/>
  <c r="I110" i="35"/>
  <c r="E110" i="35" s="1"/>
  <c r="L110" i="35"/>
  <c r="C110" i="35"/>
  <c r="N78" i="51"/>
  <c r="M146" i="51"/>
  <c r="L149" i="51"/>
  <c r="M145" i="51" s="1"/>
  <c r="M231" i="51"/>
  <c r="M49" i="51"/>
  <c r="N44" i="51"/>
  <c r="Q6" i="51"/>
  <c r="P38" i="51"/>
  <c r="P31" i="51" s="1"/>
  <c r="P32" i="51" s="1"/>
  <c r="P21" i="51"/>
  <c r="P55" i="51"/>
  <c r="P48" i="51" s="1"/>
  <c r="P49" i="51" s="1"/>
  <c r="P72" i="51"/>
  <c r="P65" i="51" s="1"/>
  <c r="P66" i="51" s="1"/>
  <c r="P89" i="51"/>
  <c r="P82" i="51" s="1"/>
  <c r="P83" i="51" s="1"/>
  <c r="P106" i="51"/>
  <c r="P99" i="51" s="1"/>
  <c r="P123" i="51"/>
  <c r="P116" i="51" s="1"/>
  <c r="P117" i="51" s="1"/>
  <c r="P140" i="51"/>
  <c r="P133" i="51" s="1"/>
  <c r="P134" i="51" s="1"/>
  <c r="P157" i="51"/>
  <c r="P150" i="51" s="1"/>
  <c r="P151" i="51" s="1"/>
  <c r="P174" i="51"/>
  <c r="P167" i="51" s="1"/>
  <c r="P168" i="51" s="1"/>
  <c r="P191" i="51"/>
  <c r="P184" i="51" s="1"/>
  <c r="P185" i="51" s="1"/>
  <c r="P208" i="51"/>
  <c r="P201" i="51" s="1"/>
  <c r="P202" i="51" s="1"/>
  <c r="P225" i="51"/>
  <c r="P218" i="51" s="1"/>
  <c r="P219" i="51" s="1"/>
  <c r="M112" i="51"/>
  <c r="R131" i="51"/>
  <c r="R231" i="51" s="1"/>
  <c r="P214" i="51"/>
  <c r="O166" i="51"/>
  <c r="P162" i="51" s="1"/>
  <c r="P163" i="51"/>
  <c r="N230" i="51"/>
  <c r="L115" i="51"/>
  <c r="M111" i="51" s="1"/>
  <c r="F66" i="28"/>
  <c r="L200" i="51"/>
  <c r="M196" i="51" s="1"/>
  <c r="M197" i="51"/>
  <c r="P95" i="51"/>
  <c r="O183" i="51"/>
  <c r="P179" i="51" s="1"/>
  <c r="P180" i="51"/>
  <c r="Q210" i="51"/>
  <c r="P227" i="51"/>
  <c r="N98" i="51"/>
  <c r="O94" i="51" s="1"/>
  <c r="O98" i="51" s="1"/>
  <c r="P94" i="51" s="1"/>
  <c r="O14" i="51"/>
  <c r="O15" i="51" s="1"/>
  <c r="O236" i="51"/>
  <c r="P38" i="1" s="1"/>
  <c r="N231" i="51"/>
  <c r="O61" i="51"/>
  <c r="J117" i="32"/>
  <c r="J118" i="32" s="1"/>
  <c r="G47" i="48"/>
  <c r="G175" i="48"/>
  <c r="N150" i="1"/>
  <c r="N171" i="1"/>
  <c r="N161" i="1"/>
  <c r="N166" i="1"/>
  <c r="N155" i="1"/>
  <c r="O78" i="32"/>
  <c r="O23" i="32"/>
  <c r="Q128" i="45"/>
  <c r="Q151" i="45"/>
  <c r="O83" i="32"/>
  <c r="O81" i="32"/>
  <c r="O28" i="32"/>
  <c r="O24" i="32"/>
  <c r="O82" i="32"/>
  <c r="O27" i="32"/>
  <c r="O30" i="32"/>
  <c r="O77" i="32"/>
  <c r="O80" i="32"/>
  <c r="O25" i="32"/>
  <c r="O86" i="32"/>
  <c r="O79" i="32"/>
  <c r="O76" i="32"/>
  <c r="O85" i="32"/>
  <c r="O29" i="32"/>
  <c r="O26" i="32"/>
  <c r="O84" i="32"/>
  <c r="P4" i="32"/>
  <c r="P31" i="32" s="1"/>
  <c r="Q4" i="32"/>
  <c r="R14" i="36"/>
  <c r="R10" i="36" s="1"/>
  <c r="R13" i="36" s="1"/>
  <c r="P67" i="33"/>
  <c r="O75" i="33"/>
  <c r="O83" i="33"/>
  <c r="O79" i="33"/>
  <c r="P6" i="36"/>
  <c r="S173" i="4" s="1"/>
  <c r="G135" i="46"/>
  <c r="R11" i="46"/>
  <c r="M22" i="35"/>
  <c r="Q182" i="4"/>
  <c r="L17" i="7" s="1"/>
  <c r="O139" i="1"/>
  <c r="F46" i="11"/>
  <c r="J45" i="11" s="1"/>
  <c r="R5" i="45"/>
  <c r="R38" i="46"/>
  <c r="F37" i="18"/>
  <c r="F47" i="18" s="1"/>
  <c r="O70" i="33"/>
  <c r="O13" i="33"/>
  <c r="AQ19" i="35"/>
  <c r="R31" i="45"/>
  <c r="S42" i="4"/>
  <c r="R43" i="4"/>
  <c r="C60" i="11"/>
  <c r="E60" i="11" s="1"/>
  <c r="J60" i="11" s="1"/>
  <c r="G48" i="36" s="1"/>
  <c r="D47" i="11"/>
  <c r="G115" i="1"/>
  <c r="H70" i="45"/>
  <c r="R39" i="45"/>
  <c r="S39" i="45"/>
  <c r="L181" i="33"/>
  <c r="M114" i="33"/>
  <c r="H112" i="1"/>
  <c r="G126" i="45"/>
  <c r="G35" i="45" s="1"/>
  <c r="G55" i="45" s="1"/>
  <c r="Q33" i="45"/>
  <c r="L39" i="32"/>
  <c r="K39" i="32"/>
  <c r="J39" i="32"/>
  <c r="I39" i="32"/>
  <c r="H39" i="32"/>
  <c r="B40" i="32"/>
  <c r="G39" i="32"/>
  <c r="M39" i="32"/>
  <c r="N39" i="32"/>
  <c r="W21" i="35"/>
  <c r="L56" i="32"/>
  <c r="L111" i="32"/>
  <c r="L10" i="32"/>
  <c r="S5" i="45"/>
  <c r="S38" i="46"/>
  <c r="P62" i="45"/>
  <c r="J24" i="36"/>
  <c r="C23" i="35"/>
  <c r="E44" i="18"/>
  <c r="E54" i="18"/>
  <c r="E55" i="18" s="1"/>
  <c r="E136" i="31" l="1"/>
  <c r="R4" i="32"/>
  <c r="R80" i="32" s="1"/>
  <c r="Q31" i="32"/>
  <c r="Q32" i="32"/>
  <c r="R81" i="32"/>
  <c r="R84" i="32"/>
  <c r="R86" i="32"/>
  <c r="R78" i="32"/>
  <c r="R83" i="32"/>
  <c r="R85" i="32"/>
  <c r="R82" i="32"/>
  <c r="R79" i="32"/>
  <c r="R76" i="32"/>
  <c r="I70" i="45"/>
  <c r="I84" i="45" s="1"/>
  <c r="I85" i="45" s="1"/>
  <c r="J67" i="45"/>
  <c r="I114" i="46"/>
  <c r="J72" i="10"/>
  <c r="G8" i="18"/>
  <c r="G26" i="18" s="1"/>
  <c r="G38" i="18" s="1"/>
  <c r="G48" i="18" s="1"/>
  <c r="I92" i="45"/>
  <c r="I115" i="45" s="1"/>
  <c r="I112" i="1" s="1"/>
  <c r="G6" i="18"/>
  <c r="G22" i="18" s="1"/>
  <c r="G25" i="18" s="1"/>
  <c r="J8" i="10"/>
  <c r="J12" i="48" s="1"/>
  <c r="R36" i="4"/>
  <c r="Q56" i="10"/>
  <c r="Q57" i="10" s="1"/>
  <c r="Q154" i="45" s="1"/>
  <c r="H101" i="46"/>
  <c r="I77" i="10"/>
  <c r="I13" i="10"/>
  <c r="I14" i="10"/>
  <c r="F32" i="18"/>
  <c r="K124" i="31"/>
  <c r="K60" i="11"/>
  <c r="J226" i="1" s="1"/>
  <c r="M76" i="31"/>
  <c r="S36" i="1"/>
  <c r="M36" i="28" s="1"/>
  <c r="I76" i="31"/>
  <c r="O36" i="1"/>
  <c r="I36" i="28" s="1"/>
  <c r="H76" i="31"/>
  <c r="N36" i="1"/>
  <c r="F36" i="28"/>
  <c r="F98" i="58"/>
  <c r="E20" i="27"/>
  <c r="E32" i="27" s="1"/>
  <c r="F32" i="31"/>
  <c r="H57" i="28"/>
  <c r="G98" i="58"/>
  <c r="I34" i="28"/>
  <c r="I57" i="28" s="1"/>
  <c r="J100" i="58"/>
  <c r="H13" i="7"/>
  <c r="H14" i="7" s="1"/>
  <c r="S43" i="10"/>
  <c r="S44" i="10" s="1"/>
  <c r="S98" i="45" s="1"/>
  <c r="S121" i="45" s="1"/>
  <c r="R98" i="45"/>
  <c r="R121" i="45" s="1"/>
  <c r="N81" i="51"/>
  <c r="O77" i="51" s="1"/>
  <c r="M149" i="51"/>
  <c r="N145" i="51" s="1"/>
  <c r="S110" i="35"/>
  <c r="O110" i="35" s="1"/>
  <c r="M110" i="35"/>
  <c r="V27" i="35"/>
  <c r="AC26" i="35"/>
  <c r="B112" i="35"/>
  <c r="I111" i="35"/>
  <c r="E111" i="35" s="1"/>
  <c r="L111" i="35"/>
  <c r="C111" i="35"/>
  <c r="AP27" i="35"/>
  <c r="AW26" i="35"/>
  <c r="AS26" i="35" s="1"/>
  <c r="AG22" i="35"/>
  <c r="AF23" i="35"/>
  <c r="O78" i="51"/>
  <c r="H25" i="35"/>
  <c r="S129" i="51"/>
  <c r="S132" i="51" s="1"/>
  <c r="T128" i="51" s="1"/>
  <c r="N146" i="51"/>
  <c r="P183" i="51"/>
  <c r="Q179" i="51" s="1"/>
  <c r="Q180" i="51"/>
  <c r="M66" i="28"/>
  <c r="R6" i="51"/>
  <c r="Q38" i="51"/>
  <c r="Q31" i="51" s="1"/>
  <c r="Q32" i="51" s="1"/>
  <c r="Q21" i="51"/>
  <c r="Q55" i="51"/>
  <c r="Q48" i="51" s="1"/>
  <c r="Q49" i="51" s="1"/>
  <c r="Q72" i="51"/>
  <c r="Q65" i="51" s="1"/>
  <c r="Q66" i="51" s="1"/>
  <c r="Q89" i="51"/>
  <c r="Q82" i="51" s="1"/>
  <c r="Q83" i="51" s="1"/>
  <c r="Q106" i="51"/>
  <c r="Q99" i="51" s="1"/>
  <c r="Q100" i="51" s="1"/>
  <c r="Q123" i="51"/>
  <c r="Q116" i="51" s="1"/>
  <c r="Q140" i="51"/>
  <c r="Q133" i="51" s="1"/>
  <c r="Q134" i="51" s="1"/>
  <c r="Q157" i="51"/>
  <c r="Q150" i="51" s="1"/>
  <c r="Q151" i="51" s="1"/>
  <c r="Q174" i="51"/>
  <c r="Q167" i="51" s="1"/>
  <c r="Q168" i="51" s="1"/>
  <c r="Q191" i="51"/>
  <c r="Q184" i="51" s="1"/>
  <c r="Q185" i="51" s="1"/>
  <c r="Q225" i="51"/>
  <c r="Q218" i="51" s="1"/>
  <c r="Q219" i="51" s="1"/>
  <c r="Q208" i="51"/>
  <c r="Q201" i="51" s="1"/>
  <c r="Q202" i="51" s="1"/>
  <c r="P166" i="51"/>
  <c r="Q162" i="51" s="1"/>
  <c r="Q163" i="51"/>
  <c r="M115" i="51"/>
  <c r="N111" i="51" s="1"/>
  <c r="N112" i="51"/>
  <c r="P97" i="51"/>
  <c r="P231" i="51" s="1"/>
  <c r="N47" i="51"/>
  <c r="O43" i="51" s="1"/>
  <c r="O44" i="51"/>
  <c r="R210" i="51"/>
  <c r="Q227" i="51"/>
  <c r="O64" i="51"/>
  <c r="P60" i="51" s="1"/>
  <c r="P61" i="51"/>
  <c r="I66" i="28"/>
  <c r="P217" i="51"/>
  <c r="Q213" i="51" s="1"/>
  <c r="Q214" i="51"/>
  <c r="P14" i="51"/>
  <c r="P15" i="51" s="1"/>
  <c r="P236" i="51"/>
  <c r="Q38" i="1" s="1"/>
  <c r="H66" i="28"/>
  <c r="O230" i="51"/>
  <c r="M200" i="51"/>
  <c r="N196" i="51" s="1"/>
  <c r="N197" i="51"/>
  <c r="J29" i="27"/>
  <c r="K116" i="32"/>
  <c r="J51" i="27"/>
  <c r="H175" i="48"/>
  <c r="O158" i="1"/>
  <c r="O169" i="1"/>
  <c r="O148" i="1"/>
  <c r="O153" i="1"/>
  <c r="G271" i="48"/>
  <c r="G356" i="48"/>
  <c r="G186" i="48"/>
  <c r="O164" i="1"/>
  <c r="H45" i="48"/>
  <c r="H46" i="48" s="1"/>
  <c r="G48" i="48"/>
  <c r="Q78" i="32"/>
  <c r="Q23" i="32"/>
  <c r="P26" i="32"/>
  <c r="P23" i="32"/>
  <c r="P25" i="32"/>
  <c r="P76" i="32"/>
  <c r="R128" i="45"/>
  <c r="R151" i="45"/>
  <c r="S128" i="45"/>
  <c r="S151" i="45"/>
  <c r="P86" i="32"/>
  <c r="P30" i="32"/>
  <c r="P85" i="32"/>
  <c r="P83" i="32"/>
  <c r="P29" i="32"/>
  <c r="P80" i="32"/>
  <c r="P28" i="32"/>
  <c r="P84" i="32"/>
  <c r="P79" i="32"/>
  <c r="P82" i="32"/>
  <c r="P78" i="32"/>
  <c r="P81" i="32"/>
  <c r="P77" i="32"/>
  <c r="P24" i="32"/>
  <c r="P27" i="32"/>
  <c r="Q77" i="32"/>
  <c r="Q81" i="32"/>
  <c r="Q26" i="32"/>
  <c r="Q86" i="32"/>
  <c r="Q80" i="32"/>
  <c r="Q27" i="32"/>
  <c r="Q85" i="32"/>
  <c r="Q30" i="32"/>
  <c r="Q24" i="32"/>
  <c r="Q84" i="32"/>
  <c r="Q79" i="32"/>
  <c r="Q25" i="32"/>
  <c r="Q83" i="32"/>
  <c r="Q29" i="32"/>
  <c r="Q76" i="32"/>
  <c r="Q28" i="32"/>
  <c r="Q82" i="32"/>
  <c r="C24" i="35"/>
  <c r="Q7" i="33"/>
  <c r="Q10" i="33" s="1"/>
  <c r="P11" i="33"/>
  <c r="P70" i="33" s="1"/>
  <c r="P69" i="33"/>
  <c r="J20" i="36"/>
  <c r="J23" i="36" s="1"/>
  <c r="J28" i="36"/>
  <c r="M34" i="1" s="1"/>
  <c r="H96" i="58" s="1"/>
  <c r="H35" i="45"/>
  <c r="H55" i="45" s="1"/>
  <c r="O77" i="33"/>
  <c r="O64" i="45" s="1"/>
  <c r="O81" i="33"/>
  <c r="O103" i="46" s="1"/>
  <c r="O85" i="33"/>
  <c r="O39" i="26"/>
  <c r="H113" i="1"/>
  <c r="D10" i="57" s="1"/>
  <c r="D11" i="57" s="1"/>
  <c r="H134" i="46"/>
  <c r="R182" i="4"/>
  <c r="M17" i="7" s="1"/>
  <c r="S31" i="45"/>
  <c r="S43" i="4"/>
  <c r="E69" i="18"/>
  <c r="E60" i="18"/>
  <c r="E63" i="18"/>
  <c r="E68" i="18"/>
  <c r="E66" i="18"/>
  <c r="E58" i="18"/>
  <c r="E70" i="18"/>
  <c r="E61" i="18"/>
  <c r="E67" i="18"/>
  <c r="E59" i="18"/>
  <c r="E62" i="18"/>
  <c r="E73" i="18"/>
  <c r="G33" i="1" s="1"/>
  <c r="E64" i="18"/>
  <c r="E65" i="18"/>
  <c r="E57" i="27"/>
  <c r="G109" i="48" s="1"/>
  <c r="R33" i="45"/>
  <c r="P137" i="1"/>
  <c r="P139" i="1" s="1"/>
  <c r="Q137" i="1" s="1"/>
  <c r="Q139" i="1" s="1"/>
  <c r="R137" i="1" s="1"/>
  <c r="R139" i="1" s="1"/>
  <c r="S137" i="1" s="1"/>
  <c r="S139" i="1" s="1"/>
  <c r="Q6" i="36"/>
  <c r="F44" i="18"/>
  <c r="F54" i="18"/>
  <c r="F55" i="18" s="1"/>
  <c r="W22" i="35"/>
  <c r="C48" i="11"/>
  <c r="D48" i="11" s="1"/>
  <c r="F47" i="11"/>
  <c r="G21" i="46"/>
  <c r="G22" i="26"/>
  <c r="O71" i="33"/>
  <c r="O14" i="33"/>
  <c r="O72" i="33" s="1"/>
  <c r="Q62" i="45"/>
  <c r="M23" i="35"/>
  <c r="K40" i="32"/>
  <c r="J40" i="32"/>
  <c r="I40" i="32"/>
  <c r="H40" i="32"/>
  <c r="O40" i="32"/>
  <c r="G40" i="32"/>
  <c r="N40" i="32"/>
  <c r="L40" i="32"/>
  <c r="M40" i="32"/>
  <c r="M116" i="33"/>
  <c r="M177" i="33"/>
  <c r="AQ20" i="35"/>
  <c r="J42" i="11"/>
  <c r="J43" i="11"/>
  <c r="J44" i="11"/>
  <c r="R77" i="32" l="1"/>
  <c r="K226" i="1"/>
  <c r="J229" i="1"/>
  <c r="H62" i="27" s="1"/>
  <c r="I128" i="46"/>
  <c r="I125" i="45"/>
  <c r="I126" i="45" s="1"/>
  <c r="I35" i="45" s="1"/>
  <c r="I55" i="45" s="1"/>
  <c r="I56" i="45" s="1"/>
  <c r="I52" i="26" s="1"/>
  <c r="I101" i="46"/>
  <c r="I106" i="46" s="1"/>
  <c r="I107" i="46" s="1"/>
  <c r="I110" i="46" s="1"/>
  <c r="G37" i="18"/>
  <c r="G32" i="18"/>
  <c r="R56" i="10"/>
  <c r="R57" i="10" s="1"/>
  <c r="R154" i="45" s="1"/>
  <c r="S36" i="4"/>
  <c r="S56" i="10" s="1"/>
  <c r="S57" i="10" s="1"/>
  <c r="S154" i="45" s="1"/>
  <c r="D100" i="58"/>
  <c r="L60" i="11"/>
  <c r="I123" i="48"/>
  <c r="I119" i="48" s="1"/>
  <c r="F103" i="58"/>
  <c r="F112" i="58"/>
  <c r="K76" i="31"/>
  <c r="Q36" i="1"/>
  <c r="K36" i="28" s="1"/>
  <c r="H36" i="28"/>
  <c r="H98" i="58"/>
  <c r="P13" i="33"/>
  <c r="P14" i="33" s="1"/>
  <c r="P72" i="33" s="1"/>
  <c r="P84" i="33" s="1"/>
  <c r="H174" i="31"/>
  <c r="G32" i="31"/>
  <c r="H32" i="31"/>
  <c r="J10" i="58"/>
  <c r="J34" i="28"/>
  <c r="I174" i="31" s="1"/>
  <c r="K100" i="58"/>
  <c r="I98" i="58"/>
  <c r="G103" i="58"/>
  <c r="G112" i="58"/>
  <c r="O80" i="51"/>
  <c r="P78" i="51" s="1"/>
  <c r="Q78" i="51" s="1"/>
  <c r="S111" i="35"/>
  <c r="O111" i="35" s="1"/>
  <c r="M111" i="35"/>
  <c r="H26" i="35"/>
  <c r="B113" i="35"/>
  <c r="L112" i="35"/>
  <c r="M112" i="35" s="1"/>
  <c r="C112" i="35"/>
  <c r="AM23" i="35"/>
  <c r="AI23" i="35" s="1"/>
  <c r="AG23" i="35"/>
  <c r="AF24" i="35"/>
  <c r="T129" i="51"/>
  <c r="T132" i="51" s="1"/>
  <c r="U128" i="51" s="1"/>
  <c r="V28" i="35"/>
  <c r="V29" i="35" s="1"/>
  <c r="AC27" i="35"/>
  <c r="AP28" i="35"/>
  <c r="AP29" i="35" s="1"/>
  <c r="AW27" i="35"/>
  <c r="AS27" i="35" s="1"/>
  <c r="Q95" i="51"/>
  <c r="Q98" i="51" s="1"/>
  <c r="R94" i="51" s="1"/>
  <c r="P100" i="51"/>
  <c r="O146" i="51"/>
  <c r="P146" i="51" s="1"/>
  <c r="Q146" i="51" s="1"/>
  <c r="N149" i="51"/>
  <c r="O145" i="51" s="1"/>
  <c r="S210" i="51"/>
  <c r="R227" i="51"/>
  <c r="Q14" i="51"/>
  <c r="Q15" i="51" s="1"/>
  <c r="Q236" i="51"/>
  <c r="R38" i="1" s="1"/>
  <c r="O47" i="51"/>
  <c r="P43" i="51" s="1"/>
  <c r="P44" i="51"/>
  <c r="N115" i="51"/>
  <c r="O111" i="51" s="1"/>
  <c r="O112" i="51"/>
  <c r="S6" i="51"/>
  <c r="R38" i="51"/>
  <c r="R31" i="51" s="1"/>
  <c r="R32" i="51" s="1"/>
  <c r="R21" i="51"/>
  <c r="R55" i="51"/>
  <c r="R48" i="51" s="1"/>
  <c r="R49" i="51" s="1"/>
  <c r="R72" i="51"/>
  <c r="R65" i="51" s="1"/>
  <c r="R66" i="51" s="1"/>
  <c r="R89" i="51"/>
  <c r="R82" i="51" s="1"/>
  <c r="R83" i="51" s="1"/>
  <c r="R106" i="51"/>
  <c r="R99" i="51" s="1"/>
  <c r="R100" i="51" s="1"/>
  <c r="R123" i="51"/>
  <c r="R116" i="51" s="1"/>
  <c r="R117" i="51" s="1"/>
  <c r="R140" i="51"/>
  <c r="R133" i="51" s="1"/>
  <c r="R134" i="51" s="1"/>
  <c r="R157" i="51"/>
  <c r="R150" i="51" s="1"/>
  <c r="R151" i="51" s="1"/>
  <c r="R174" i="51"/>
  <c r="R167" i="51" s="1"/>
  <c r="R168" i="51" s="1"/>
  <c r="R191" i="51"/>
  <c r="R184" i="51" s="1"/>
  <c r="R185" i="51" s="1"/>
  <c r="R208" i="51"/>
  <c r="R201" i="51" s="1"/>
  <c r="R202" i="51" s="1"/>
  <c r="R225" i="51"/>
  <c r="R218" i="51" s="1"/>
  <c r="R219" i="51" s="1"/>
  <c r="G61" i="31"/>
  <c r="N200" i="51"/>
  <c r="O196" i="51" s="1"/>
  <c r="O197" i="51"/>
  <c r="P230" i="51"/>
  <c r="Q166" i="51"/>
  <c r="R162" i="51" s="1"/>
  <c r="R163" i="51"/>
  <c r="E137" i="31"/>
  <c r="Q217" i="51"/>
  <c r="R213" i="51" s="1"/>
  <c r="R214" i="51"/>
  <c r="P64" i="51"/>
  <c r="Q60" i="51" s="1"/>
  <c r="Q61" i="51"/>
  <c r="Q183" i="51"/>
  <c r="R179" i="51" s="1"/>
  <c r="R180" i="51"/>
  <c r="K66" i="28"/>
  <c r="H105" i="31"/>
  <c r="H22" i="31"/>
  <c r="O166" i="1"/>
  <c r="O150" i="1"/>
  <c r="G40" i="1"/>
  <c r="G55" i="48"/>
  <c r="H176" i="48"/>
  <c r="H356" i="48" s="1"/>
  <c r="G291" i="48"/>
  <c r="G293" i="48" s="1"/>
  <c r="G396" i="48"/>
  <c r="G426" i="48" s="1"/>
  <c r="G300" i="48"/>
  <c r="G282" i="48"/>
  <c r="G211" i="48"/>
  <c r="O171" i="1"/>
  <c r="O161" i="1"/>
  <c r="O155" i="1"/>
  <c r="G348" i="48"/>
  <c r="G295" i="48"/>
  <c r="G125" i="48"/>
  <c r="G269" i="48"/>
  <c r="G53" i="48"/>
  <c r="H47" i="48"/>
  <c r="I45" i="48" s="1"/>
  <c r="E33" i="27"/>
  <c r="E64" i="27"/>
  <c r="H115" i="1"/>
  <c r="J46" i="11"/>
  <c r="R62" i="45"/>
  <c r="AQ21" i="35"/>
  <c r="M6" i="32"/>
  <c r="I9" i="28"/>
  <c r="H153" i="31" s="1"/>
  <c r="W23" i="35"/>
  <c r="S182" i="4"/>
  <c r="N17" i="7" s="1"/>
  <c r="M179" i="33"/>
  <c r="M117" i="33"/>
  <c r="M180" i="33" s="1"/>
  <c r="R6" i="36"/>
  <c r="U173" i="4" s="1"/>
  <c r="T173" i="4"/>
  <c r="G35" i="26"/>
  <c r="C49" i="11"/>
  <c r="D49" i="11" s="1"/>
  <c r="F48" i="11"/>
  <c r="F63" i="18"/>
  <c r="F68" i="18"/>
  <c r="F66" i="18"/>
  <c r="F58" i="18"/>
  <c r="F70" i="18"/>
  <c r="F61" i="18"/>
  <c r="F64" i="18"/>
  <c r="F73" i="18"/>
  <c r="H33" i="1" s="1"/>
  <c r="C95" i="58" s="1"/>
  <c r="C102" i="58" s="1"/>
  <c r="C104" i="58" s="1"/>
  <c r="C9" i="58" s="1"/>
  <c r="F62" i="18"/>
  <c r="F69" i="18"/>
  <c r="F60" i="18"/>
  <c r="F67" i="18"/>
  <c r="F65" i="18"/>
  <c r="F59" i="18"/>
  <c r="F57" i="27"/>
  <c r="O80" i="33"/>
  <c r="O84" i="33"/>
  <c r="O76" i="33"/>
  <c r="M8" i="27"/>
  <c r="S33" i="45"/>
  <c r="P75" i="33"/>
  <c r="P79" i="33"/>
  <c r="P83" i="33"/>
  <c r="E71" i="18"/>
  <c r="P77" i="33"/>
  <c r="P64" i="45" s="1"/>
  <c r="P81" i="33"/>
  <c r="P103" i="46" s="1"/>
  <c r="P85" i="33"/>
  <c r="P39" i="26"/>
  <c r="C25" i="35"/>
  <c r="M24" i="35"/>
  <c r="H135" i="46"/>
  <c r="J27" i="36"/>
  <c r="K18" i="36"/>
  <c r="Q67" i="33"/>
  <c r="L226" i="1" l="1"/>
  <c r="K229" i="1"/>
  <c r="I62" i="27" s="1"/>
  <c r="J120" i="48"/>
  <c r="J119" i="48" s="1"/>
  <c r="C143" i="31"/>
  <c r="E67" i="31"/>
  <c r="I113" i="1"/>
  <c r="I115" i="1" s="1"/>
  <c r="G20" i="27" s="1"/>
  <c r="I134" i="46"/>
  <c r="I135" i="46" s="1"/>
  <c r="I21" i="46" s="1"/>
  <c r="I34" i="46" s="1"/>
  <c r="I35" i="46" s="1"/>
  <c r="I36" i="46" s="1"/>
  <c r="I109" i="46"/>
  <c r="I57" i="45"/>
  <c r="G47" i="18"/>
  <c r="G54" i="18" s="1"/>
  <c r="G55" i="18" s="1"/>
  <c r="G44" i="18"/>
  <c r="P71" i="33"/>
  <c r="H109" i="48"/>
  <c r="H348" i="48" s="1"/>
  <c r="C63" i="31"/>
  <c r="C68" i="31" s="1"/>
  <c r="P80" i="33"/>
  <c r="P76" i="33"/>
  <c r="N8" i="27"/>
  <c r="C174" i="31"/>
  <c r="D57" i="28"/>
  <c r="H103" i="58"/>
  <c r="H112" i="58"/>
  <c r="F20" i="27"/>
  <c r="C48" i="31" s="1"/>
  <c r="K46" i="27"/>
  <c r="J57" i="28"/>
  <c r="I103" i="58"/>
  <c r="I112" i="58"/>
  <c r="K10" i="58"/>
  <c r="K34" i="28"/>
  <c r="K57" i="28" s="1"/>
  <c r="L100" i="58"/>
  <c r="I13" i="35"/>
  <c r="E13" i="35" s="1"/>
  <c r="AC16" i="35"/>
  <c r="Y16" i="35" s="1"/>
  <c r="AM16" i="35"/>
  <c r="AI16" i="35" s="1"/>
  <c r="S13" i="35"/>
  <c r="AM13" i="35"/>
  <c r="S16" i="35"/>
  <c r="O16" i="35" s="1"/>
  <c r="AW16" i="35"/>
  <c r="AS16" i="35" s="1"/>
  <c r="AC13" i="35"/>
  <c r="Y13" i="35" s="1"/>
  <c r="I16" i="35"/>
  <c r="E16" i="35" s="1"/>
  <c r="P81" i="51"/>
  <c r="Q77" i="51" s="1"/>
  <c r="Q81" i="51" s="1"/>
  <c r="R77" i="51" s="1"/>
  <c r="O83" i="51"/>
  <c r="O231" i="51"/>
  <c r="R95" i="51"/>
  <c r="S95" i="51" s="1"/>
  <c r="U129" i="51"/>
  <c r="U132" i="51" s="1"/>
  <c r="V128" i="51" s="1"/>
  <c r="AW13" i="35"/>
  <c r="AS13" i="35" s="1"/>
  <c r="AP30" i="35"/>
  <c r="AW29" i="35"/>
  <c r="AS29" i="35" s="1"/>
  <c r="O149" i="51"/>
  <c r="P145" i="51" s="1"/>
  <c r="P149" i="51" s="1"/>
  <c r="Q145" i="51" s="1"/>
  <c r="Q149" i="51" s="1"/>
  <c r="R145" i="51" s="1"/>
  <c r="B114" i="35"/>
  <c r="I113" i="35"/>
  <c r="E113" i="35" s="1"/>
  <c r="L113" i="35"/>
  <c r="C113" i="35"/>
  <c r="V30" i="35"/>
  <c r="AC29" i="35"/>
  <c r="H27" i="35"/>
  <c r="AM24" i="35"/>
  <c r="AI24" i="35" s="1"/>
  <c r="AG24" i="35"/>
  <c r="AF25" i="35"/>
  <c r="R146" i="51"/>
  <c r="V173" i="4"/>
  <c r="W173" i="4" s="1"/>
  <c r="X173" i="4" s="1"/>
  <c r="I109" i="35"/>
  <c r="E109" i="35" s="1"/>
  <c r="S88" i="35"/>
  <c r="O88" i="35" s="1"/>
  <c r="I97" i="35"/>
  <c r="E97" i="35" s="1"/>
  <c r="I82" i="35"/>
  <c r="E82" i="35" s="1"/>
  <c r="S79" i="35"/>
  <c r="O79" i="35" s="1"/>
  <c r="I100" i="35"/>
  <c r="E100" i="35" s="1"/>
  <c r="S103" i="35"/>
  <c r="O103" i="35" s="1"/>
  <c r="S97" i="35"/>
  <c r="O97" i="35" s="1"/>
  <c r="S106" i="35"/>
  <c r="O106" i="35" s="1"/>
  <c r="I88" i="35"/>
  <c r="E88" i="35" s="1"/>
  <c r="S109" i="35"/>
  <c r="O109" i="35" s="1"/>
  <c r="S85" i="35"/>
  <c r="O85" i="35" s="1"/>
  <c r="I106" i="35"/>
  <c r="E106" i="35" s="1"/>
  <c r="S100" i="35"/>
  <c r="O100" i="35" s="1"/>
  <c r="I85" i="35"/>
  <c r="E85" i="35" s="1"/>
  <c r="S76" i="35"/>
  <c r="O76" i="35" s="1"/>
  <c r="I91" i="35"/>
  <c r="E91" i="35" s="1"/>
  <c r="I103" i="35"/>
  <c r="E103" i="35" s="1"/>
  <c r="S91" i="35"/>
  <c r="O91" i="35" s="1"/>
  <c r="S94" i="35"/>
  <c r="O94" i="35" s="1"/>
  <c r="S82" i="35"/>
  <c r="O82" i="35" s="1"/>
  <c r="I76" i="35"/>
  <c r="E76" i="35" s="1"/>
  <c r="I79" i="35"/>
  <c r="E79" i="35" s="1"/>
  <c r="I94" i="35"/>
  <c r="E94" i="35" s="1"/>
  <c r="I112" i="35"/>
  <c r="E112" i="35" s="1"/>
  <c r="S112" i="35"/>
  <c r="O112" i="35" s="1"/>
  <c r="R14" i="51"/>
  <c r="R15" i="51" s="1"/>
  <c r="R236" i="51"/>
  <c r="S38" i="1" s="1"/>
  <c r="Q230" i="51"/>
  <c r="R217" i="51"/>
  <c r="S213" i="51" s="1"/>
  <c r="S214" i="51"/>
  <c r="R166" i="51"/>
  <c r="S162" i="51" s="1"/>
  <c r="S163" i="51"/>
  <c r="O200" i="51"/>
  <c r="P196" i="51" s="1"/>
  <c r="P197" i="51"/>
  <c r="T6" i="51"/>
  <c r="S38" i="51"/>
  <c r="S31" i="51" s="1"/>
  <c r="S32" i="51" s="1"/>
  <c r="S21" i="51"/>
  <c r="S55" i="51"/>
  <c r="S48" i="51" s="1"/>
  <c r="S49" i="51" s="1"/>
  <c r="S72" i="51"/>
  <c r="S65" i="51" s="1"/>
  <c r="S66" i="51" s="1"/>
  <c r="S89" i="51"/>
  <c r="S82" i="51" s="1"/>
  <c r="S83" i="51" s="1"/>
  <c r="S106" i="51"/>
  <c r="S99" i="51" s="1"/>
  <c r="S100" i="51" s="1"/>
  <c r="S123" i="51"/>
  <c r="S116" i="51" s="1"/>
  <c r="S117" i="51" s="1"/>
  <c r="S140" i="51"/>
  <c r="S133" i="51" s="1"/>
  <c r="S134" i="51" s="1"/>
  <c r="S157" i="51"/>
  <c r="S150" i="51" s="1"/>
  <c r="S174" i="51"/>
  <c r="S167" i="51" s="1"/>
  <c r="S168" i="51" s="1"/>
  <c r="S191" i="51"/>
  <c r="S184" i="51" s="1"/>
  <c r="S185" i="51" s="1"/>
  <c r="S208" i="51"/>
  <c r="S201" i="51" s="1"/>
  <c r="S202" i="51" s="1"/>
  <c r="S225" i="51"/>
  <c r="S218" i="51" s="1"/>
  <c r="S219" i="51" s="1"/>
  <c r="Q64" i="51"/>
  <c r="R60" i="51" s="1"/>
  <c r="R61" i="51"/>
  <c r="R183" i="51"/>
  <c r="S179" i="51" s="1"/>
  <c r="S180" i="51"/>
  <c r="O115" i="51"/>
  <c r="P111" i="51" s="1"/>
  <c r="P112" i="51"/>
  <c r="P47" i="51"/>
  <c r="Q43" i="51" s="1"/>
  <c r="Q44" i="51"/>
  <c r="R78" i="51"/>
  <c r="T210" i="51"/>
  <c r="S227" i="51"/>
  <c r="I105" i="31"/>
  <c r="I22" i="31"/>
  <c r="AM22" i="35"/>
  <c r="AI22" i="35" s="1"/>
  <c r="I22" i="35"/>
  <c r="E22" i="35" s="1"/>
  <c r="I19" i="35"/>
  <c r="E19" i="35" s="1"/>
  <c r="AW22" i="35"/>
  <c r="AS22" i="35" s="1"/>
  <c r="AM19" i="35"/>
  <c r="AI19" i="35" s="1"/>
  <c r="I25" i="35"/>
  <c r="E25" i="35" s="1"/>
  <c r="AW19" i="35"/>
  <c r="AS19" i="35" s="1"/>
  <c r="S19" i="35"/>
  <c r="O19" i="35" s="1"/>
  <c r="AC25" i="35"/>
  <c r="Y25" i="35" s="1"/>
  <c r="S22" i="35"/>
  <c r="O22" i="35" s="1"/>
  <c r="AC22" i="35"/>
  <c r="Y22" i="35" s="1"/>
  <c r="AC19" i="35"/>
  <c r="Y19" i="35" s="1"/>
  <c r="H114" i="31"/>
  <c r="J44" i="31"/>
  <c r="G305" i="48"/>
  <c r="G304" i="48"/>
  <c r="P148" i="1"/>
  <c r="P150" i="1" s="1"/>
  <c r="Q148" i="1" s="1"/>
  <c r="Q150" i="1" s="1"/>
  <c r="R148" i="1" s="1"/>
  <c r="R150" i="1" s="1"/>
  <c r="S148" i="1" s="1"/>
  <c r="S150" i="1" s="1"/>
  <c r="G141" i="48"/>
  <c r="G393" i="48"/>
  <c r="G420" i="48" s="1"/>
  <c r="G226" i="48"/>
  <c r="G392" i="48"/>
  <c r="G419" i="48" s="1"/>
  <c r="P158" i="1"/>
  <c r="P161" i="1" s="1"/>
  <c r="Q158" i="1" s="1"/>
  <c r="Q161" i="1" s="1"/>
  <c r="R158" i="1" s="1"/>
  <c r="R161" i="1" s="1"/>
  <c r="S158" i="1" s="1"/>
  <c r="S161" i="1" s="1"/>
  <c r="G294" i="48"/>
  <c r="G306" i="48" s="1"/>
  <c r="G316" i="48" s="1"/>
  <c r="P164" i="1"/>
  <c r="P166" i="1" s="1"/>
  <c r="Q164" i="1" s="1"/>
  <c r="Q166" i="1" s="1"/>
  <c r="R164" i="1" s="1"/>
  <c r="R166" i="1" s="1"/>
  <c r="S164" i="1" s="1"/>
  <c r="S166" i="1" s="1"/>
  <c r="G214" i="48"/>
  <c r="P169" i="1"/>
  <c r="P171" i="1" s="1"/>
  <c r="Q169" i="1" s="1"/>
  <c r="Q171" i="1" s="1"/>
  <c r="R169" i="1" s="1"/>
  <c r="R171" i="1" s="1"/>
  <c r="S169" i="1" s="1"/>
  <c r="S171" i="1" s="1"/>
  <c r="H271" i="48"/>
  <c r="G229" i="48"/>
  <c r="G394" i="48"/>
  <c r="G89" i="48"/>
  <c r="H40" i="1"/>
  <c r="H55" i="48"/>
  <c r="P153" i="1"/>
  <c r="P155" i="1" s="1"/>
  <c r="Q153" i="1" s="1"/>
  <c r="Q155" i="1" s="1"/>
  <c r="R153" i="1" s="1"/>
  <c r="R155" i="1" s="1"/>
  <c r="S153" i="1" s="1"/>
  <c r="S155" i="1" s="1"/>
  <c r="G286" i="48"/>
  <c r="G284" i="48"/>
  <c r="G285" i="48"/>
  <c r="G38" i="26"/>
  <c r="G57" i="48"/>
  <c r="G91" i="48" s="1"/>
  <c r="H48" i="48"/>
  <c r="Y24" i="35"/>
  <c r="F64" i="27"/>
  <c r="E12" i="35"/>
  <c r="AI11" i="35"/>
  <c r="O11" i="35"/>
  <c r="Y11" i="35"/>
  <c r="O12" i="35"/>
  <c r="Y12" i="35"/>
  <c r="K7" i="32"/>
  <c r="K112" i="32" s="1"/>
  <c r="K113" i="32" s="1"/>
  <c r="K114" i="32" s="1"/>
  <c r="M118" i="33"/>
  <c r="M181" i="33" s="1"/>
  <c r="H21" i="46"/>
  <c r="H22" i="26"/>
  <c r="H231" i="1" s="1"/>
  <c r="N6" i="32"/>
  <c r="J9" i="28"/>
  <c r="I153" i="31" s="1"/>
  <c r="E24" i="35"/>
  <c r="O24" i="35"/>
  <c r="S62" i="45"/>
  <c r="O21" i="35"/>
  <c r="Y21" i="35"/>
  <c r="W24" i="35"/>
  <c r="AQ22" i="35"/>
  <c r="M25" i="35"/>
  <c r="S25" i="35" s="1"/>
  <c r="O25" i="35" s="1"/>
  <c r="C50" i="11"/>
  <c r="D50" i="11" s="1"/>
  <c r="F50" i="11" s="1"/>
  <c r="F49" i="11"/>
  <c r="E17" i="35"/>
  <c r="Q69" i="33"/>
  <c r="Q11" i="33"/>
  <c r="R7" i="33"/>
  <c r="R10" i="33" s="1"/>
  <c r="E21" i="35"/>
  <c r="Y20" i="35"/>
  <c r="O20" i="35"/>
  <c r="Y17" i="35"/>
  <c r="O17" i="35"/>
  <c r="F71" i="18"/>
  <c r="T182" i="4"/>
  <c r="O17" i="7" s="1"/>
  <c r="E20" i="35"/>
  <c r="Y23" i="35"/>
  <c r="O23" i="35"/>
  <c r="E23" i="35"/>
  <c r="Y18" i="35"/>
  <c r="M56" i="32"/>
  <c r="M10" i="32"/>
  <c r="M111" i="32"/>
  <c r="K24" i="36"/>
  <c r="U182" i="4"/>
  <c r="P17" i="7" s="1"/>
  <c r="Y14" i="35"/>
  <c r="E14" i="35"/>
  <c r="O15" i="35"/>
  <c r="O14" i="35"/>
  <c r="Y15" i="35"/>
  <c r="O18" i="35"/>
  <c r="E15" i="35"/>
  <c r="J55" i="11"/>
  <c r="C26" i="35"/>
  <c r="E18" i="35"/>
  <c r="F136" i="31" l="1"/>
  <c r="K44" i="31"/>
  <c r="D48" i="31"/>
  <c r="D56" i="31" s="1"/>
  <c r="D57" i="31" s="1"/>
  <c r="N114" i="33"/>
  <c r="N177" i="33" s="1"/>
  <c r="G32" i="27"/>
  <c r="I51" i="26"/>
  <c r="I22" i="26"/>
  <c r="I35" i="26" s="1"/>
  <c r="I36" i="26" s="1"/>
  <c r="D143" i="31"/>
  <c r="F67" i="31"/>
  <c r="M226" i="1"/>
  <c r="L229" i="1"/>
  <c r="J62" i="27" s="1"/>
  <c r="H125" i="48"/>
  <c r="H226" i="48" s="1"/>
  <c r="G60" i="18"/>
  <c r="G57" i="27"/>
  <c r="G67" i="18"/>
  <c r="G59" i="18"/>
  <c r="G70" i="18"/>
  <c r="G66" i="18"/>
  <c r="G62" i="18"/>
  <c r="G58" i="18"/>
  <c r="G63" i="18"/>
  <c r="G68" i="18"/>
  <c r="G64" i="18"/>
  <c r="G69" i="18"/>
  <c r="G65" i="18"/>
  <c r="G61" i="18"/>
  <c r="G73" i="18"/>
  <c r="H295" i="48"/>
  <c r="I114" i="31"/>
  <c r="I32" i="31"/>
  <c r="C32" i="31"/>
  <c r="J76" i="31"/>
  <c r="P36" i="1"/>
  <c r="J174" i="31"/>
  <c r="J32" i="31"/>
  <c r="J66" i="28"/>
  <c r="L34" i="28"/>
  <c r="L57" i="28" s="1"/>
  <c r="M100" i="58"/>
  <c r="V129" i="51"/>
  <c r="V132" i="51" s="1"/>
  <c r="W128" i="51" s="1"/>
  <c r="AM25" i="35"/>
  <c r="AI25" i="35" s="1"/>
  <c r="R98" i="51"/>
  <c r="S94" i="51" s="1"/>
  <c r="S98" i="51" s="1"/>
  <c r="T94" i="51" s="1"/>
  <c r="V31" i="35"/>
  <c r="AC30" i="35"/>
  <c r="AF26" i="35"/>
  <c r="AG25" i="35"/>
  <c r="S113" i="35"/>
  <c r="O113" i="35" s="1"/>
  <c r="M113" i="35"/>
  <c r="B115" i="35"/>
  <c r="I114" i="35"/>
  <c r="E114" i="35" s="1"/>
  <c r="L114" i="35"/>
  <c r="C114" i="35"/>
  <c r="H28" i="35"/>
  <c r="AP31" i="35"/>
  <c r="AW30" i="35"/>
  <c r="AS30" i="35" s="1"/>
  <c r="S146" i="51"/>
  <c r="R149" i="51"/>
  <c r="S145" i="51" s="1"/>
  <c r="U210" i="51"/>
  <c r="T227" i="51"/>
  <c r="S14" i="51"/>
  <c r="S15" i="51" s="1"/>
  <c r="S236" i="51"/>
  <c r="R81" i="51"/>
  <c r="S77" i="51" s="1"/>
  <c r="S78" i="51"/>
  <c r="S183" i="51"/>
  <c r="T179" i="51" s="1"/>
  <c r="T180" i="51"/>
  <c r="T95" i="51"/>
  <c r="U6" i="51"/>
  <c r="T38" i="51"/>
  <c r="T31" i="51" s="1"/>
  <c r="T32" i="51" s="1"/>
  <c r="T21" i="51"/>
  <c r="T55" i="51"/>
  <c r="T48" i="51" s="1"/>
  <c r="T49" i="51" s="1"/>
  <c r="T72" i="51"/>
  <c r="T65" i="51" s="1"/>
  <c r="T66" i="51" s="1"/>
  <c r="T89" i="51"/>
  <c r="T82" i="51" s="1"/>
  <c r="T83" i="51" s="1"/>
  <c r="T106" i="51"/>
  <c r="T99" i="51" s="1"/>
  <c r="T100" i="51" s="1"/>
  <c r="T123" i="51"/>
  <c r="T116" i="51" s="1"/>
  <c r="T117" i="51" s="1"/>
  <c r="T140" i="51"/>
  <c r="T133" i="51" s="1"/>
  <c r="T134" i="51" s="1"/>
  <c r="T157" i="51"/>
  <c r="T150" i="51" s="1"/>
  <c r="T151" i="51" s="1"/>
  <c r="T174" i="51"/>
  <c r="T167" i="51" s="1"/>
  <c r="T191" i="51"/>
  <c r="T184" i="51" s="1"/>
  <c r="T185" i="51" s="1"/>
  <c r="T208" i="51"/>
  <c r="T201" i="51" s="1"/>
  <c r="T202" i="51" s="1"/>
  <c r="T225" i="51"/>
  <c r="T218" i="51" s="1"/>
  <c r="T219" i="51" s="1"/>
  <c r="R64" i="51"/>
  <c r="S60" i="51" s="1"/>
  <c r="S61" i="51"/>
  <c r="P200" i="51"/>
  <c r="Q196" i="51" s="1"/>
  <c r="Q197" i="51"/>
  <c r="Q47" i="51"/>
  <c r="R43" i="51" s="1"/>
  <c r="R44" i="51"/>
  <c r="S166" i="51"/>
  <c r="T162" i="51" s="1"/>
  <c r="T163" i="51"/>
  <c r="P115" i="51"/>
  <c r="Q111" i="51" s="1"/>
  <c r="Q112" i="51"/>
  <c r="S217" i="51"/>
  <c r="T213" i="51" s="1"/>
  <c r="T214" i="51"/>
  <c r="R230" i="51"/>
  <c r="M34" i="28"/>
  <c r="M57" i="28" s="1"/>
  <c r="O13" i="35"/>
  <c r="AI13" i="35"/>
  <c r="K117" i="32"/>
  <c r="K118" i="32" s="1"/>
  <c r="AS11" i="35"/>
  <c r="G428" i="48"/>
  <c r="G421" i="48"/>
  <c r="G422" i="48"/>
  <c r="G307" i="48"/>
  <c r="G314" i="48"/>
  <c r="G308" i="48"/>
  <c r="H53" i="48"/>
  <c r="H269" i="48"/>
  <c r="H89" i="48"/>
  <c r="H38" i="26"/>
  <c r="H57" i="48"/>
  <c r="H91" i="48" s="1"/>
  <c r="G58" i="48"/>
  <c r="G287" i="48"/>
  <c r="G288" i="48" s="1"/>
  <c r="E11" i="35"/>
  <c r="P11" i="35"/>
  <c r="F51" i="11"/>
  <c r="Q75" i="33"/>
  <c r="Q79" i="33"/>
  <c r="Q83" i="33"/>
  <c r="M26" i="35"/>
  <c r="AZ16" i="35"/>
  <c r="K20" i="36"/>
  <c r="K23" i="36" s="1"/>
  <c r="K28" i="36"/>
  <c r="N34" i="1" s="1"/>
  <c r="I96" i="58" s="1"/>
  <c r="AZ20" i="35"/>
  <c r="AQ23" i="35"/>
  <c r="C27" i="35"/>
  <c r="Y26" i="35"/>
  <c r="O26" i="35"/>
  <c r="E26" i="35"/>
  <c r="AZ22" i="35"/>
  <c r="AZ14" i="35"/>
  <c r="N56" i="32"/>
  <c r="N10" i="32"/>
  <c r="N111" i="32"/>
  <c r="AZ18" i="35"/>
  <c r="AZ15" i="35"/>
  <c r="AZ17" i="35"/>
  <c r="H35" i="26"/>
  <c r="AZ23" i="35"/>
  <c r="R67" i="33"/>
  <c r="Q70" i="33"/>
  <c r="Q13" i="33"/>
  <c r="W25" i="35"/>
  <c r="AW25" i="35" s="1"/>
  <c r="AS25" i="35" s="1"/>
  <c r="AZ19" i="35"/>
  <c r="AZ24" i="35"/>
  <c r="AZ12" i="35"/>
  <c r="AZ21" i="35"/>
  <c r="G33" i="27" l="1"/>
  <c r="I40" i="26"/>
  <c r="I42" i="26" s="1"/>
  <c r="I45" i="26" s="1"/>
  <c r="I175" i="1" s="1"/>
  <c r="C73" i="31"/>
  <c r="I53" i="26"/>
  <c r="N226" i="1"/>
  <c r="M229" i="1"/>
  <c r="K62" i="27" s="1"/>
  <c r="H141" i="48"/>
  <c r="N116" i="33"/>
  <c r="H393" i="48"/>
  <c r="H420" i="48" s="1"/>
  <c r="E143" i="31"/>
  <c r="G67" i="31"/>
  <c r="H392" i="48"/>
  <c r="H419" i="48" s="1"/>
  <c r="I231" i="1"/>
  <c r="I37" i="26"/>
  <c r="G71" i="18"/>
  <c r="D63" i="31"/>
  <c r="D68" i="31" s="1"/>
  <c r="G64" i="27"/>
  <c r="S230" i="51"/>
  <c r="N74" i="31"/>
  <c r="J36" i="28"/>
  <c r="J98" i="58"/>
  <c r="K32" i="31"/>
  <c r="K98" i="58"/>
  <c r="K103" i="58" s="1"/>
  <c r="K174" i="31"/>
  <c r="W129" i="51"/>
  <c r="W132" i="51" s="1"/>
  <c r="AZ13" i="35"/>
  <c r="AP32" i="35"/>
  <c r="H29" i="35"/>
  <c r="AM26" i="35"/>
  <c r="AF27" i="35"/>
  <c r="AG26" i="35"/>
  <c r="S114" i="35"/>
  <c r="O114" i="35" s="1"/>
  <c r="M114" i="35"/>
  <c r="V32" i="35"/>
  <c r="AZ25" i="35"/>
  <c r="B116" i="35"/>
  <c r="L115" i="35"/>
  <c r="C115" i="35"/>
  <c r="I115" i="35" s="1"/>
  <c r="E115" i="35" s="1"/>
  <c r="S148" i="51"/>
  <c r="T146" i="51" s="1"/>
  <c r="T149" i="51" s="1"/>
  <c r="U145" i="51" s="1"/>
  <c r="T217" i="51"/>
  <c r="U213" i="51" s="1"/>
  <c r="U214" i="51"/>
  <c r="T183" i="51"/>
  <c r="U179" i="51" s="1"/>
  <c r="U180" i="51"/>
  <c r="Q114" i="51"/>
  <c r="R112" i="51" s="1"/>
  <c r="S81" i="51"/>
  <c r="T77" i="51" s="1"/>
  <c r="T78" i="51"/>
  <c r="T14" i="51"/>
  <c r="T15" i="51" s="1"/>
  <c r="T236" i="51"/>
  <c r="Q200" i="51"/>
  <c r="R196" i="51" s="1"/>
  <c r="R197" i="51"/>
  <c r="V6" i="51"/>
  <c r="U38" i="51"/>
  <c r="U31" i="51" s="1"/>
  <c r="U32" i="51" s="1"/>
  <c r="U21" i="51"/>
  <c r="U55" i="51"/>
  <c r="U48" i="51" s="1"/>
  <c r="U49" i="51" s="1"/>
  <c r="U72" i="51"/>
  <c r="U65" i="51" s="1"/>
  <c r="U66" i="51" s="1"/>
  <c r="U89" i="51"/>
  <c r="U82" i="51" s="1"/>
  <c r="U83" i="51" s="1"/>
  <c r="U106" i="51"/>
  <c r="U99" i="51" s="1"/>
  <c r="U100" i="51" s="1"/>
  <c r="U123" i="51"/>
  <c r="U116" i="51" s="1"/>
  <c r="U117" i="51" s="1"/>
  <c r="U140" i="51"/>
  <c r="U133" i="51" s="1"/>
  <c r="U134" i="51" s="1"/>
  <c r="U157" i="51"/>
  <c r="U150" i="51" s="1"/>
  <c r="U151" i="51" s="1"/>
  <c r="U174" i="51"/>
  <c r="U167" i="51" s="1"/>
  <c r="U168" i="51" s="1"/>
  <c r="U191" i="51"/>
  <c r="U184" i="51" s="1"/>
  <c r="U208" i="51"/>
  <c r="U201" i="51" s="1"/>
  <c r="U202" i="51" s="1"/>
  <c r="U225" i="51"/>
  <c r="U218" i="51" s="1"/>
  <c r="U219" i="51" s="1"/>
  <c r="R47" i="51"/>
  <c r="S43" i="51" s="1"/>
  <c r="S44" i="51"/>
  <c r="S64" i="51"/>
  <c r="T60" i="51" s="1"/>
  <c r="T61" i="51"/>
  <c r="T98" i="51"/>
  <c r="U94" i="51" s="1"/>
  <c r="U95" i="51"/>
  <c r="V210" i="51"/>
  <c r="U227" i="51"/>
  <c r="K29" i="27"/>
  <c r="L116" i="32"/>
  <c r="K51" i="27"/>
  <c r="G318" i="48"/>
  <c r="G315" i="48"/>
  <c r="G317" i="48" s="1"/>
  <c r="H58" i="48"/>
  <c r="G309" i="48"/>
  <c r="J50" i="11"/>
  <c r="J49" i="11"/>
  <c r="J47" i="11"/>
  <c r="J48" i="11"/>
  <c r="V183" i="4"/>
  <c r="W26" i="35"/>
  <c r="Z11" i="35"/>
  <c r="T11" i="35"/>
  <c r="AQ24" i="35"/>
  <c r="AT11" i="35"/>
  <c r="AR12" i="35" s="1"/>
  <c r="N117" i="33"/>
  <c r="N180" i="33" s="1"/>
  <c r="N179" i="33"/>
  <c r="O27" i="35"/>
  <c r="Q71" i="33"/>
  <c r="Q14" i="33"/>
  <c r="Q72" i="33" s="1"/>
  <c r="Q77" i="33"/>
  <c r="Q64" i="45" s="1"/>
  <c r="Q81" i="33"/>
  <c r="Q103" i="46" s="1"/>
  <c r="Q85" i="33"/>
  <c r="Q39" i="26"/>
  <c r="R69" i="33"/>
  <c r="S7" i="33"/>
  <c r="S10" i="33" s="1"/>
  <c r="R11" i="33"/>
  <c r="R70" i="33" s="1"/>
  <c r="AZ11" i="35"/>
  <c r="F11" i="35"/>
  <c r="C28" i="35"/>
  <c r="AJ11" i="35"/>
  <c r="K27" i="36"/>
  <c r="L18" i="36"/>
  <c r="M27" i="35"/>
  <c r="I47" i="26" l="1"/>
  <c r="G5" i="32"/>
  <c r="F143" i="31"/>
  <c r="H67" i="31"/>
  <c r="O226" i="1"/>
  <c r="N229" i="1"/>
  <c r="L62" i="27" s="1"/>
  <c r="T230" i="51"/>
  <c r="O74" i="31"/>
  <c r="H61" i="31"/>
  <c r="J112" i="58"/>
  <c r="J103" i="58"/>
  <c r="L46" i="27"/>
  <c r="K112" i="58"/>
  <c r="L10" i="58"/>
  <c r="I28" i="35"/>
  <c r="E28" i="35" s="1"/>
  <c r="AC28" i="35"/>
  <c r="Y28" i="35" s="1"/>
  <c r="M115" i="35"/>
  <c r="S115" i="35" s="1"/>
  <c r="O115" i="35" s="1"/>
  <c r="B117" i="35"/>
  <c r="I116" i="35"/>
  <c r="E116" i="35" s="1"/>
  <c r="L116" i="35"/>
  <c r="C116" i="35"/>
  <c r="AM27" i="35"/>
  <c r="AI27" i="35" s="1"/>
  <c r="AG27" i="35"/>
  <c r="AF28" i="35"/>
  <c r="H30" i="35"/>
  <c r="V33" i="35"/>
  <c r="AC32" i="35"/>
  <c r="AI26" i="35"/>
  <c r="AP33" i="35"/>
  <c r="AW32" i="35"/>
  <c r="AS32" i="35" s="1"/>
  <c r="U146" i="51"/>
  <c r="U149" i="51" s="1"/>
  <c r="V145" i="51" s="1"/>
  <c r="S231" i="51"/>
  <c r="N76" i="31" s="1"/>
  <c r="S151" i="51"/>
  <c r="U98" i="51"/>
  <c r="V94" i="51" s="1"/>
  <c r="V95" i="51"/>
  <c r="T81" i="51"/>
  <c r="U77" i="51" s="1"/>
  <c r="U78" i="51"/>
  <c r="U14" i="51"/>
  <c r="U15" i="51" s="1"/>
  <c r="U236" i="51"/>
  <c r="R115" i="51"/>
  <c r="S111" i="51" s="1"/>
  <c r="S112" i="51"/>
  <c r="W6" i="51"/>
  <c r="V38" i="51"/>
  <c r="V31" i="51" s="1"/>
  <c r="V32" i="51" s="1"/>
  <c r="V21" i="51"/>
  <c r="V55" i="51"/>
  <c r="V48" i="51" s="1"/>
  <c r="V49" i="51" s="1"/>
  <c r="V72" i="51"/>
  <c r="V65" i="51" s="1"/>
  <c r="V66" i="51" s="1"/>
  <c r="V89" i="51"/>
  <c r="V82" i="51" s="1"/>
  <c r="V83" i="51" s="1"/>
  <c r="V106" i="51"/>
  <c r="V99" i="51" s="1"/>
  <c r="V100" i="51" s="1"/>
  <c r="V123" i="51"/>
  <c r="V116" i="51" s="1"/>
  <c r="V117" i="51" s="1"/>
  <c r="V174" i="51"/>
  <c r="V167" i="51" s="1"/>
  <c r="V168" i="51" s="1"/>
  <c r="V140" i="51"/>
  <c r="V133" i="51" s="1"/>
  <c r="V134" i="51" s="1"/>
  <c r="V157" i="51"/>
  <c r="V150" i="51" s="1"/>
  <c r="V151" i="51" s="1"/>
  <c r="V191" i="51"/>
  <c r="V184" i="51" s="1"/>
  <c r="V185" i="51" s="1"/>
  <c r="V225" i="51"/>
  <c r="V218" i="51" s="1"/>
  <c r="V208" i="51"/>
  <c r="V201" i="51" s="1"/>
  <c r="Q231" i="51"/>
  <c r="Q117" i="51"/>
  <c r="S47" i="51"/>
  <c r="T43" i="51" s="1"/>
  <c r="T44" i="51"/>
  <c r="R200" i="51"/>
  <c r="S196" i="51" s="1"/>
  <c r="S197" i="51"/>
  <c r="U182" i="51"/>
  <c r="U231" i="51" s="1"/>
  <c r="P76" i="31" s="1"/>
  <c r="T64" i="51"/>
  <c r="U60" i="51" s="1"/>
  <c r="U61" i="51"/>
  <c r="F137" i="31"/>
  <c r="U217" i="51"/>
  <c r="V213" i="51" s="1"/>
  <c r="V214" i="51"/>
  <c r="W214" i="51" s="1"/>
  <c r="W210" i="51"/>
  <c r="W227" i="51" s="1"/>
  <c r="V227" i="51"/>
  <c r="J105" i="31"/>
  <c r="J22" i="31"/>
  <c r="AU12" i="35"/>
  <c r="AT12" i="35"/>
  <c r="AR13" i="35" s="1"/>
  <c r="AK11" i="35"/>
  <c r="AH12" i="35"/>
  <c r="AJ12" i="35" s="1"/>
  <c r="G319" i="48"/>
  <c r="J11" i="35"/>
  <c r="AD11" i="35"/>
  <c r="L7" i="32"/>
  <c r="L112" i="32" s="1"/>
  <c r="L113" i="32" s="1"/>
  <c r="L114" i="32" s="1"/>
  <c r="N118" i="33"/>
  <c r="O114" i="33" s="1"/>
  <c r="J51" i="11"/>
  <c r="J56" i="11" s="1"/>
  <c r="V184" i="4"/>
  <c r="M28" i="35"/>
  <c r="S28" i="35" s="1"/>
  <c r="S67" i="33"/>
  <c r="R13" i="33"/>
  <c r="AQ25" i="35"/>
  <c r="N12" i="35"/>
  <c r="R81" i="33"/>
  <c r="R103" i="46" s="1"/>
  <c r="R85" i="33"/>
  <c r="R77" i="33"/>
  <c r="R64" i="45" s="1"/>
  <c r="R39" i="26"/>
  <c r="R75" i="33"/>
  <c r="R79" i="33"/>
  <c r="R83" i="33"/>
  <c r="E27" i="35"/>
  <c r="D12" i="35"/>
  <c r="W27" i="35"/>
  <c r="C29" i="35"/>
  <c r="L24" i="36"/>
  <c r="O6" i="32"/>
  <c r="K9" i="28"/>
  <c r="J153" i="31" s="1"/>
  <c r="X12" i="35"/>
  <c r="Y27" i="35"/>
  <c r="Q84" i="33"/>
  <c r="Q76" i="33"/>
  <c r="Q80" i="33"/>
  <c r="O8" i="27"/>
  <c r="G136" i="31" l="1"/>
  <c r="I67" i="31"/>
  <c r="G143" i="31"/>
  <c r="P226" i="1"/>
  <c r="O229" i="1"/>
  <c r="M62" i="27" s="1"/>
  <c r="U230" i="51"/>
  <c r="P74" i="31"/>
  <c r="L76" i="31"/>
  <c r="R36" i="1"/>
  <c r="M10" i="58"/>
  <c r="AN11" i="35"/>
  <c r="BB11" i="35"/>
  <c r="V34" i="35"/>
  <c r="AC33" i="35"/>
  <c r="S116" i="35"/>
  <c r="O116" i="35" s="1"/>
  <c r="M116" i="35"/>
  <c r="AP34" i="35"/>
  <c r="AW33" i="35"/>
  <c r="AS33" i="35" s="1"/>
  <c r="B118" i="35"/>
  <c r="I117" i="35"/>
  <c r="E117" i="35" s="1"/>
  <c r="L117" i="35"/>
  <c r="C117" i="35"/>
  <c r="H31" i="35"/>
  <c r="O28" i="35"/>
  <c r="AG28" i="35"/>
  <c r="AF29" i="35"/>
  <c r="AM28" i="35"/>
  <c r="AZ26" i="35"/>
  <c r="V180" i="51"/>
  <c r="V183" i="51" s="1"/>
  <c r="W179" i="51" s="1"/>
  <c r="V146" i="51"/>
  <c r="V149" i="51" s="1"/>
  <c r="W145" i="51" s="1"/>
  <c r="L66" i="28"/>
  <c r="S200" i="51"/>
  <c r="T196" i="51" s="1"/>
  <c r="T197" i="51"/>
  <c r="U81" i="51"/>
  <c r="V77" i="51" s="1"/>
  <c r="V78" i="51"/>
  <c r="V14" i="51"/>
  <c r="V15" i="51" s="1"/>
  <c r="V236" i="51"/>
  <c r="T47" i="51"/>
  <c r="U43" i="51" s="1"/>
  <c r="U44" i="51"/>
  <c r="U185" i="51"/>
  <c r="W38" i="51"/>
  <c r="W31" i="51" s="1"/>
  <c r="W32" i="51" s="1"/>
  <c r="W21" i="51"/>
  <c r="W55" i="51"/>
  <c r="W48" i="51" s="1"/>
  <c r="W49" i="51" s="1"/>
  <c r="W72" i="51"/>
  <c r="W65" i="51" s="1"/>
  <c r="W66" i="51" s="1"/>
  <c r="W89" i="51"/>
  <c r="W82" i="51" s="1"/>
  <c r="W83" i="51" s="1"/>
  <c r="W106" i="51"/>
  <c r="W99" i="51" s="1"/>
  <c r="W100" i="51" s="1"/>
  <c r="W123" i="51"/>
  <c r="W116" i="51" s="1"/>
  <c r="W117" i="51" s="1"/>
  <c r="W174" i="51"/>
  <c r="W167" i="51" s="1"/>
  <c r="W168" i="51" s="1"/>
  <c r="W140" i="51"/>
  <c r="W133" i="51" s="1"/>
  <c r="W134" i="51" s="1"/>
  <c r="W157" i="51"/>
  <c r="W150" i="51" s="1"/>
  <c r="W151" i="51" s="1"/>
  <c r="W191" i="51"/>
  <c r="W184" i="51" s="1"/>
  <c r="W185" i="51" s="1"/>
  <c r="W225" i="51"/>
  <c r="W218" i="51" s="1"/>
  <c r="W208" i="51"/>
  <c r="W201" i="51" s="1"/>
  <c r="W202" i="51" s="1"/>
  <c r="V98" i="51"/>
  <c r="W94" i="51" s="1"/>
  <c r="W95" i="51"/>
  <c r="U64" i="51"/>
  <c r="V60" i="51" s="1"/>
  <c r="V61" i="51"/>
  <c r="S115" i="51"/>
  <c r="T111" i="51" s="1"/>
  <c r="T112" i="51"/>
  <c r="L117" i="32"/>
  <c r="L118" i="32" s="1"/>
  <c r="K105" i="31"/>
  <c r="K22" i="31"/>
  <c r="Z12" i="35"/>
  <c r="X13" i="35" s="1"/>
  <c r="AA12" i="35"/>
  <c r="AT13" i="35"/>
  <c r="AR14" i="35" s="1"/>
  <c r="AU13" i="35"/>
  <c r="AX13" i="35" s="1"/>
  <c r="AK12" i="35"/>
  <c r="AN12" i="35" s="1"/>
  <c r="AH13" i="35"/>
  <c r="AJ13" i="35" s="1"/>
  <c r="P12" i="35"/>
  <c r="N13" i="35" s="1"/>
  <c r="Q12" i="35"/>
  <c r="F12" i="35"/>
  <c r="D13" i="35" s="1"/>
  <c r="G12" i="35"/>
  <c r="J114" i="31"/>
  <c r="L44" i="31"/>
  <c r="J57" i="11"/>
  <c r="N181" i="33"/>
  <c r="AX11" i="35"/>
  <c r="V185" i="4"/>
  <c r="Y29" i="35"/>
  <c r="O29" i="35"/>
  <c r="E29" i="35"/>
  <c r="W28" i="35"/>
  <c r="AW28" i="35" s="1"/>
  <c r="M29" i="35"/>
  <c r="L20" i="36"/>
  <c r="L23" i="36" s="1"/>
  <c r="L28" i="36"/>
  <c r="O34" i="1" s="1"/>
  <c r="J96" i="58" s="1"/>
  <c r="O177" i="33"/>
  <c r="O116" i="33"/>
  <c r="AZ27" i="35"/>
  <c r="AQ26" i="35"/>
  <c r="O56" i="32"/>
  <c r="O10" i="32"/>
  <c r="O111" i="32"/>
  <c r="AX12" i="35"/>
  <c r="R71" i="33"/>
  <c r="R14" i="33"/>
  <c r="R72" i="33" s="1"/>
  <c r="S69" i="33"/>
  <c r="S11" i="33"/>
  <c r="S70" i="33" s="1"/>
  <c r="C30" i="35"/>
  <c r="P6" i="32"/>
  <c r="L9" i="28"/>
  <c r="K153" i="31" s="1"/>
  <c r="J67" i="31" l="1"/>
  <c r="H143" i="31"/>
  <c r="Q226" i="1"/>
  <c r="P229" i="1"/>
  <c r="N62" i="27" s="1"/>
  <c r="V230" i="51"/>
  <c r="Q74" i="31"/>
  <c r="L36" i="28"/>
  <c r="L98" i="58"/>
  <c r="M98" i="58"/>
  <c r="AD12" i="35"/>
  <c r="BB12" i="35"/>
  <c r="V35" i="35"/>
  <c r="H32" i="35"/>
  <c r="S117" i="35"/>
  <c r="O117" i="35" s="1"/>
  <c r="M117" i="35"/>
  <c r="AP35" i="35"/>
  <c r="W98" i="51"/>
  <c r="W180" i="51"/>
  <c r="W183" i="51" s="1"/>
  <c r="AI28" i="35"/>
  <c r="AS28" i="35"/>
  <c r="AM29" i="35"/>
  <c r="AI29" i="35" s="1"/>
  <c r="AG29" i="35"/>
  <c r="AF30" i="35"/>
  <c r="B119" i="35"/>
  <c r="L118" i="35"/>
  <c r="C118" i="35"/>
  <c r="I118" i="35" s="1"/>
  <c r="E118" i="35" s="1"/>
  <c r="W146" i="51"/>
  <c r="W149" i="51" s="1"/>
  <c r="W14" i="51"/>
  <c r="W15" i="51" s="1"/>
  <c r="W236" i="51"/>
  <c r="T200" i="51"/>
  <c r="U196" i="51" s="1"/>
  <c r="U197" i="51"/>
  <c r="U47" i="51"/>
  <c r="V43" i="51" s="1"/>
  <c r="V44" i="51"/>
  <c r="V64" i="51"/>
  <c r="W60" i="51" s="1"/>
  <c r="W61" i="51"/>
  <c r="T115" i="51"/>
  <c r="U111" i="51" s="1"/>
  <c r="U112" i="51"/>
  <c r="V81" i="51"/>
  <c r="W77" i="51" s="1"/>
  <c r="W78" i="51"/>
  <c r="L29" i="27"/>
  <c r="M116" i="32"/>
  <c r="L51" i="27"/>
  <c r="Z13" i="35"/>
  <c r="X14" i="35" s="1"/>
  <c r="AA13" i="35"/>
  <c r="J12" i="35"/>
  <c r="AU14" i="35"/>
  <c r="AX14" i="35" s="1"/>
  <c r="AT14" i="35"/>
  <c r="AR15" i="35" s="1"/>
  <c r="AK13" i="35"/>
  <c r="AH14" i="35"/>
  <c r="AJ14" i="35" s="1"/>
  <c r="P13" i="35"/>
  <c r="N14" i="35" s="1"/>
  <c r="Q13" i="35"/>
  <c r="T12" i="35"/>
  <c r="F13" i="35"/>
  <c r="D14" i="35" s="1"/>
  <c r="G13" i="35"/>
  <c r="J13" i="35" s="1"/>
  <c r="D5" i="11"/>
  <c r="J62" i="11"/>
  <c r="V187" i="4"/>
  <c r="V186" i="4"/>
  <c r="W29" i="35"/>
  <c r="R76" i="33"/>
  <c r="R84" i="33"/>
  <c r="R80" i="33"/>
  <c r="P8" i="27"/>
  <c r="L27" i="36"/>
  <c r="M18" i="36"/>
  <c r="AQ27" i="35"/>
  <c r="P56" i="32"/>
  <c r="P10" i="32"/>
  <c r="P111" i="32"/>
  <c r="S85" i="33"/>
  <c r="S81" i="33"/>
  <c r="S103" i="46" s="1"/>
  <c r="S77" i="33"/>
  <c r="S64" i="45" s="1"/>
  <c r="S39" i="26"/>
  <c r="S13" i="33"/>
  <c r="M30" i="35"/>
  <c r="C31" i="35"/>
  <c r="S75" i="33"/>
  <c r="S79" i="33"/>
  <c r="S83" i="33"/>
  <c r="O117" i="33"/>
  <c r="O180" i="33" s="1"/>
  <c r="O179" i="33"/>
  <c r="K67" i="31" l="1"/>
  <c r="I143" i="31"/>
  <c r="R226" i="1"/>
  <c r="Q229" i="1"/>
  <c r="O62" i="27" s="1"/>
  <c r="W230" i="51"/>
  <c r="R74" i="31"/>
  <c r="G137" i="31"/>
  <c r="E5" i="11"/>
  <c r="E7" i="11" s="1"/>
  <c r="J36" i="1"/>
  <c r="D36" i="28" s="1"/>
  <c r="L103" i="58"/>
  <c r="L112" i="58"/>
  <c r="M46" i="27"/>
  <c r="M103" i="58"/>
  <c r="M112" i="58"/>
  <c r="D7" i="11"/>
  <c r="AZ28" i="35"/>
  <c r="G47" i="36"/>
  <c r="W81" i="51"/>
  <c r="BB13" i="35"/>
  <c r="I31" i="35"/>
  <c r="E31" i="35" s="1"/>
  <c r="AC31" i="35"/>
  <c r="Y31" i="35" s="1"/>
  <c r="V36" i="35"/>
  <c r="AC35" i="35"/>
  <c r="H33" i="35"/>
  <c r="M118" i="35"/>
  <c r="S118" i="35" s="1"/>
  <c r="O118" i="35" s="1"/>
  <c r="B120" i="35"/>
  <c r="I119" i="35"/>
  <c r="E119" i="35" s="1"/>
  <c r="L119" i="35"/>
  <c r="C119" i="35"/>
  <c r="AM30" i="35"/>
  <c r="AI30" i="35" s="1"/>
  <c r="AG30" i="35"/>
  <c r="AF31" i="35"/>
  <c r="AP36" i="35"/>
  <c r="AW35" i="35"/>
  <c r="AS35" i="35" s="1"/>
  <c r="W64" i="51"/>
  <c r="I61" i="31"/>
  <c r="V47" i="51"/>
  <c r="W43" i="51" s="1"/>
  <c r="W44" i="51"/>
  <c r="U200" i="51"/>
  <c r="V196" i="51" s="1"/>
  <c r="V197" i="51"/>
  <c r="U115" i="51"/>
  <c r="V111" i="51" s="1"/>
  <c r="V112" i="51"/>
  <c r="Z14" i="35"/>
  <c r="X15" i="35" s="1"/>
  <c r="AA14" i="35"/>
  <c r="AD13" i="35"/>
  <c r="AU15" i="35"/>
  <c r="AT15" i="35"/>
  <c r="AR16" i="35" s="1"/>
  <c r="AZ29" i="35"/>
  <c r="AH15" i="35"/>
  <c r="AJ15" i="35" s="1"/>
  <c r="AK14" i="35"/>
  <c r="AN13" i="35"/>
  <c r="P14" i="35"/>
  <c r="N15" i="35" s="1"/>
  <c r="Q14" i="35"/>
  <c r="T13" i="35"/>
  <c r="F14" i="35"/>
  <c r="D15" i="35" s="1"/>
  <c r="G14" i="35"/>
  <c r="M44" i="31"/>
  <c r="K114" i="31"/>
  <c r="M7" i="32"/>
  <c r="M112" i="32" s="1"/>
  <c r="M113" i="32" s="1"/>
  <c r="M114" i="32" s="1"/>
  <c r="O118" i="33"/>
  <c r="O181" i="33" s="1"/>
  <c r="Y30" i="35"/>
  <c r="M24" i="36"/>
  <c r="O30" i="35"/>
  <c r="W30" i="35"/>
  <c r="C32" i="35"/>
  <c r="AQ28" i="35"/>
  <c r="M31" i="35"/>
  <c r="S31" i="35" s="1"/>
  <c r="O31" i="35" s="1"/>
  <c r="S71" i="33"/>
  <c r="S14" i="33"/>
  <c r="S72" i="33" s="1"/>
  <c r="Q6" i="32"/>
  <c r="M9" i="28"/>
  <c r="E30" i="35"/>
  <c r="H136" i="31" l="1"/>
  <c r="L67" i="31"/>
  <c r="J143" i="31"/>
  <c r="S226" i="1"/>
  <c r="S229" i="1" s="1"/>
  <c r="Q62" i="27" s="1"/>
  <c r="R229" i="1"/>
  <c r="P62" i="27" s="1"/>
  <c r="G49" i="36"/>
  <c r="G50" i="36" s="1"/>
  <c r="G52" i="36" s="1"/>
  <c r="H64" i="36" s="1"/>
  <c r="H66" i="36" s="1"/>
  <c r="D35" i="28"/>
  <c r="F5" i="11"/>
  <c r="F7" i="11" s="1"/>
  <c r="D98" i="58"/>
  <c r="D103" i="58" s="1"/>
  <c r="AN14" i="35"/>
  <c r="W47" i="51"/>
  <c r="BB14" i="35"/>
  <c r="AG31" i="35"/>
  <c r="AF32" i="35"/>
  <c r="AM31" i="35"/>
  <c r="AI31" i="35" s="1"/>
  <c r="S119" i="35"/>
  <c r="O119" i="35" s="1"/>
  <c r="M119" i="35"/>
  <c r="H34" i="35"/>
  <c r="I120" i="35"/>
  <c r="E120" i="35" s="1"/>
  <c r="L120" i="35"/>
  <c r="B121" i="35"/>
  <c r="C120" i="35"/>
  <c r="V37" i="35"/>
  <c r="AC36" i="35"/>
  <c r="AP37" i="35"/>
  <c r="AW36" i="35"/>
  <c r="AS36" i="35" s="1"/>
  <c r="V199" i="51"/>
  <c r="W197" i="51" s="1"/>
  <c r="W200" i="51" s="1"/>
  <c r="V115" i="51"/>
  <c r="W111" i="51" s="1"/>
  <c r="W112" i="51"/>
  <c r="M117" i="32"/>
  <c r="M118" i="32" s="1"/>
  <c r="Z15" i="35"/>
  <c r="X16" i="35" s="1"/>
  <c r="AA15" i="35"/>
  <c r="AD15" i="35" s="1"/>
  <c r="AD14" i="35"/>
  <c r="AT16" i="35"/>
  <c r="AR17" i="35" s="1"/>
  <c r="AU16" i="35"/>
  <c r="AH16" i="35"/>
  <c r="AJ16" i="35" s="1"/>
  <c r="AK15" i="35"/>
  <c r="P15" i="35"/>
  <c r="N16" i="35" s="1"/>
  <c r="Q15" i="35"/>
  <c r="T15" i="35" s="1"/>
  <c r="T14" i="35"/>
  <c r="F15" i="35"/>
  <c r="D16" i="35" s="1"/>
  <c r="G15" i="35"/>
  <c r="J14" i="35"/>
  <c r="P114" i="33"/>
  <c r="P116" i="33" s="1"/>
  <c r="AX15" i="35"/>
  <c r="AQ29" i="35"/>
  <c r="O32" i="35"/>
  <c r="Y32" i="35"/>
  <c r="S76" i="33"/>
  <c r="S80" i="33"/>
  <c r="S84" i="33"/>
  <c r="Q8" i="27"/>
  <c r="C33" i="35"/>
  <c r="M20" i="36"/>
  <c r="M23" i="36" s="1"/>
  <c r="M28" i="36"/>
  <c r="P34" i="1" s="1"/>
  <c r="K96" i="58" s="1"/>
  <c r="Q10" i="32"/>
  <c r="Q111" i="32"/>
  <c r="Q56" i="32"/>
  <c r="M32" i="35"/>
  <c r="W31" i="35"/>
  <c r="AW31" i="35" s="1"/>
  <c r="AZ30" i="35"/>
  <c r="M67" i="31" l="1"/>
  <c r="K143" i="31"/>
  <c r="D56" i="28"/>
  <c r="AX16" i="35"/>
  <c r="G53" i="36"/>
  <c r="G57" i="36" s="1"/>
  <c r="H37" i="27" s="1"/>
  <c r="P177" i="33"/>
  <c r="J15" i="35"/>
  <c r="BB15" i="35"/>
  <c r="V38" i="35"/>
  <c r="AC38" i="35" s="1"/>
  <c r="H35" i="35"/>
  <c r="AM32" i="35"/>
  <c r="AG32" i="35"/>
  <c r="AF33" i="35"/>
  <c r="L121" i="35"/>
  <c r="B122" i="35"/>
  <c r="C121" i="35"/>
  <c r="I121" i="35" s="1"/>
  <c r="E121" i="35" s="1"/>
  <c r="S120" i="35"/>
  <c r="O120" i="35" s="1"/>
  <c r="M120" i="35"/>
  <c r="AP38" i="35"/>
  <c r="AW38" i="35" s="1"/>
  <c r="AS31" i="35"/>
  <c r="AZ31" i="35" s="1"/>
  <c r="W115" i="51"/>
  <c r="V231" i="51"/>
  <c r="Q76" i="31" s="1"/>
  <c r="V202" i="51"/>
  <c r="M51" i="27"/>
  <c r="M29" i="27"/>
  <c r="N116" i="32"/>
  <c r="Z16" i="35"/>
  <c r="X17" i="35" s="1"/>
  <c r="AA16" i="35"/>
  <c r="AD16" i="35" s="1"/>
  <c r="AT17" i="35"/>
  <c r="AR18" i="35" s="1"/>
  <c r="AU17" i="35"/>
  <c r="AN15" i="35"/>
  <c r="AK16" i="35"/>
  <c r="AN16" i="35" s="1"/>
  <c r="AH17" i="35"/>
  <c r="AJ17" i="35" s="1"/>
  <c r="P16" i="35"/>
  <c r="N17" i="35" s="1"/>
  <c r="Q16" i="35"/>
  <c r="F16" i="35"/>
  <c r="D17" i="35" s="1"/>
  <c r="G16" i="35"/>
  <c r="W32" i="35"/>
  <c r="C34" i="35"/>
  <c r="AQ30" i="35"/>
  <c r="Y33" i="35"/>
  <c r="O33" i="35"/>
  <c r="E33" i="35"/>
  <c r="P117" i="33"/>
  <c r="P180" i="33" s="1"/>
  <c r="P179" i="33"/>
  <c r="M27" i="36"/>
  <c r="N18" i="36"/>
  <c r="M33" i="35"/>
  <c r="E32" i="35"/>
  <c r="C31" i="31" l="1"/>
  <c r="I62" i="36"/>
  <c r="I65" i="36"/>
  <c r="I63" i="36"/>
  <c r="I64" i="36"/>
  <c r="N46" i="27"/>
  <c r="G54" i="36"/>
  <c r="J16" i="35"/>
  <c r="BB16" i="35"/>
  <c r="BC16" i="35" s="1"/>
  <c r="AI32" i="35"/>
  <c r="H36" i="35"/>
  <c r="B123" i="35"/>
  <c r="I122" i="35"/>
  <c r="E122" i="35" s="1"/>
  <c r="L122" i="35"/>
  <c r="C122" i="35"/>
  <c r="M121" i="35"/>
  <c r="S121" i="35" s="1"/>
  <c r="O121" i="35" s="1"/>
  <c r="I34" i="35"/>
  <c r="E34" i="35" s="1"/>
  <c r="AC34" i="35"/>
  <c r="Y34" i="35" s="1"/>
  <c r="AP39" i="35"/>
  <c r="AW39" i="35" s="1"/>
  <c r="AS38" i="35"/>
  <c r="AM33" i="35"/>
  <c r="AI33" i="35" s="1"/>
  <c r="AG33" i="35"/>
  <c r="AF34" i="35"/>
  <c r="V39" i="35"/>
  <c r="AC39" i="35" s="1"/>
  <c r="J61" i="31"/>
  <c r="H137" i="31"/>
  <c r="Z17" i="35"/>
  <c r="X18" i="35" s="1"/>
  <c r="AA17" i="35"/>
  <c r="AD17" i="35" s="1"/>
  <c r="AX17" i="35"/>
  <c r="AT18" i="35"/>
  <c r="AR19" i="35" s="1"/>
  <c r="AU18" i="35"/>
  <c r="AX18" i="35" s="1"/>
  <c r="AK17" i="35"/>
  <c r="AH18" i="35"/>
  <c r="AJ18" i="35" s="1"/>
  <c r="P17" i="35"/>
  <c r="N18" i="35" s="1"/>
  <c r="Q17" i="35"/>
  <c r="T16" i="35"/>
  <c r="F17" i="35"/>
  <c r="D18" i="35" s="1"/>
  <c r="G17" i="35"/>
  <c r="N7" i="32"/>
  <c r="N112" i="32" s="1"/>
  <c r="N113" i="32" s="1"/>
  <c r="N114" i="32" s="1"/>
  <c r="F66" i="36"/>
  <c r="M34" i="35"/>
  <c r="S34" i="35" s="1"/>
  <c r="C35" i="35"/>
  <c r="N24" i="36"/>
  <c r="AQ31" i="35"/>
  <c r="W33" i="35"/>
  <c r="P118" i="33"/>
  <c r="I136" i="31" l="1"/>
  <c r="I150" i="48"/>
  <c r="I148" i="48" s="1"/>
  <c r="G58" i="36"/>
  <c r="J143" i="1" s="1"/>
  <c r="I66" i="36"/>
  <c r="I61" i="36"/>
  <c r="G65" i="36"/>
  <c r="G64" i="36"/>
  <c r="G62" i="36"/>
  <c r="G63" i="36"/>
  <c r="AZ33" i="35"/>
  <c r="AZ32" i="35"/>
  <c r="BB17" i="35"/>
  <c r="S122" i="35"/>
  <c r="O122" i="35" s="1"/>
  <c r="M122" i="35"/>
  <c r="O34" i="35"/>
  <c r="AP40" i="35"/>
  <c r="AS39" i="35"/>
  <c r="B124" i="35"/>
  <c r="I123" i="35"/>
  <c r="E123" i="35" s="1"/>
  <c r="L123" i="35"/>
  <c r="C123" i="35"/>
  <c r="V40" i="35"/>
  <c r="H37" i="35"/>
  <c r="AG34" i="35"/>
  <c r="AF35" i="35"/>
  <c r="AM34" i="35"/>
  <c r="AI34" i="35" s="1"/>
  <c r="N117" i="32"/>
  <c r="N118" i="32" s="1"/>
  <c r="AN17" i="35"/>
  <c r="Z18" i="35"/>
  <c r="AA18" i="35"/>
  <c r="AU19" i="35"/>
  <c r="AT19" i="35"/>
  <c r="AR20" i="35" s="1"/>
  <c r="AK18" i="35"/>
  <c r="AH19" i="35"/>
  <c r="AJ19" i="35" s="1"/>
  <c r="P18" i="35"/>
  <c r="N19" i="35" s="1"/>
  <c r="Q18" i="35"/>
  <c r="T17" i="35"/>
  <c r="F18" i="35"/>
  <c r="D19" i="35" s="1"/>
  <c r="G18" i="35"/>
  <c r="J17" i="35"/>
  <c r="P181" i="33"/>
  <c r="Q114" i="33"/>
  <c r="N28" i="36"/>
  <c r="Q34" i="1" s="1"/>
  <c r="L96" i="58" s="1"/>
  <c r="N20" i="36"/>
  <c r="N23" i="36" s="1"/>
  <c r="M35" i="35"/>
  <c r="W34" i="35"/>
  <c r="AW34" i="35" s="1"/>
  <c r="AQ32" i="35"/>
  <c r="E35" i="35"/>
  <c r="O35" i="35"/>
  <c r="Y35" i="35"/>
  <c r="C36" i="35"/>
  <c r="I143" i="48" l="1"/>
  <c r="I414" i="48" s="1"/>
  <c r="G66" i="36"/>
  <c r="G61" i="36"/>
  <c r="BB18" i="35"/>
  <c r="H38" i="35"/>
  <c r="AP41" i="35"/>
  <c r="B125" i="35"/>
  <c r="L124" i="35"/>
  <c r="C124" i="35"/>
  <c r="I124" i="35" s="1"/>
  <c r="E124" i="35" s="1"/>
  <c r="V41" i="35"/>
  <c r="AM35" i="35"/>
  <c r="AI35" i="35" s="1"/>
  <c r="AG35" i="35"/>
  <c r="AF36" i="35"/>
  <c r="AS34" i="35"/>
  <c r="AZ34" i="35" s="1"/>
  <c r="S123" i="35"/>
  <c r="O123" i="35" s="1"/>
  <c r="M123" i="35"/>
  <c r="AD18" i="35"/>
  <c r="N51" i="27"/>
  <c r="N29" i="27"/>
  <c r="O116" i="32"/>
  <c r="X19" i="35"/>
  <c r="AU20" i="35"/>
  <c r="AX20" i="35" s="1"/>
  <c r="AT20" i="35"/>
  <c r="AR21" i="35" s="1"/>
  <c r="AN18" i="35"/>
  <c r="AK19" i="35"/>
  <c r="AN19" i="35" s="1"/>
  <c r="AH20" i="35"/>
  <c r="AJ20" i="35" s="1"/>
  <c r="P19" i="35"/>
  <c r="N20" i="35" s="1"/>
  <c r="Q19" i="35"/>
  <c r="T18" i="35"/>
  <c r="F19" i="35"/>
  <c r="D20" i="35" s="1"/>
  <c r="G19" i="35"/>
  <c r="J18" i="35"/>
  <c r="J143" i="48"/>
  <c r="J414" i="48" s="1"/>
  <c r="C130" i="31"/>
  <c r="I37" i="27"/>
  <c r="W35" i="35"/>
  <c r="AQ33" i="35"/>
  <c r="M36" i="35"/>
  <c r="AX19" i="35"/>
  <c r="Y36" i="35"/>
  <c r="O36" i="35"/>
  <c r="E36" i="35"/>
  <c r="O18" i="36"/>
  <c r="N27" i="36"/>
  <c r="Q177" i="33"/>
  <c r="Q116" i="33"/>
  <c r="C37" i="35"/>
  <c r="D130" i="31" l="1"/>
  <c r="O46" i="27"/>
  <c r="AZ35" i="35"/>
  <c r="J19" i="35"/>
  <c r="I37" i="35"/>
  <c r="E37" i="35" s="1"/>
  <c r="AC37" i="35"/>
  <c r="Y37" i="35" s="1"/>
  <c r="M124" i="35"/>
  <c r="S124" i="35" s="1"/>
  <c r="O124" i="35" s="1"/>
  <c r="AM36" i="35"/>
  <c r="AI36" i="35" s="1"/>
  <c r="AG36" i="35"/>
  <c r="AF37" i="35"/>
  <c r="B126" i="35"/>
  <c r="I125" i="35"/>
  <c r="E125" i="35" s="1"/>
  <c r="L125" i="35"/>
  <c r="C125" i="35"/>
  <c r="AP42" i="35"/>
  <c r="AW41" i="35"/>
  <c r="AS41" i="35" s="1"/>
  <c r="V42" i="35"/>
  <c r="AC41" i="35"/>
  <c r="H39" i="35"/>
  <c r="K61" i="31"/>
  <c r="I137" i="31"/>
  <c r="T19" i="35"/>
  <c r="Z19" i="35"/>
  <c r="X20" i="35" s="1"/>
  <c r="AA19" i="35"/>
  <c r="BB19" i="35" s="1"/>
  <c r="BC19" i="35" s="1"/>
  <c r="AT21" i="35"/>
  <c r="AR22" i="35" s="1"/>
  <c r="AU21" i="35"/>
  <c r="AX21" i="35" s="1"/>
  <c r="AK20" i="35"/>
  <c r="AH21" i="35"/>
  <c r="AJ21" i="35" s="1"/>
  <c r="P20" i="35"/>
  <c r="N21" i="35" s="1"/>
  <c r="Q20" i="35"/>
  <c r="F20" i="35"/>
  <c r="D21" i="35" s="1"/>
  <c r="G20" i="35"/>
  <c r="J37" i="27"/>
  <c r="J145" i="1"/>
  <c r="J150" i="48" s="1"/>
  <c r="J148" i="48" s="1"/>
  <c r="C38" i="35"/>
  <c r="W36" i="35"/>
  <c r="M37" i="35"/>
  <c r="S37" i="35" s="1"/>
  <c r="O37" i="35" s="1"/>
  <c r="AQ34" i="35"/>
  <c r="O24" i="36"/>
  <c r="Q179" i="33"/>
  <c r="Q117" i="33"/>
  <c r="Q180" i="33" s="1"/>
  <c r="J136" i="31" l="1"/>
  <c r="E130" i="31"/>
  <c r="AZ36" i="35"/>
  <c r="AF38" i="35"/>
  <c r="AM38" i="35" s="1"/>
  <c r="AG37" i="35"/>
  <c r="AM37" i="35"/>
  <c r="AI37" i="35" s="1"/>
  <c r="V43" i="35"/>
  <c r="AC42" i="35"/>
  <c r="AP43" i="35"/>
  <c r="AW42" i="35"/>
  <c r="AS42" i="35" s="1"/>
  <c r="S125" i="35"/>
  <c r="O125" i="35" s="1"/>
  <c r="M125" i="35"/>
  <c r="H40" i="35"/>
  <c r="B127" i="35"/>
  <c r="I126" i="35"/>
  <c r="E126" i="35" s="1"/>
  <c r="L126" i="35"/>
  <c r="C126" i="35"/>
  <c r="AD19" i="35"/>
  <c r="Z20" i="35"/>
  <c r="AA20" i="35"/>
  <c r="BB20" i="35" s="1"/>
  <c r="AU22" i="35"/>
  <c r="AT22" i="35"/>
  <c r="AR23" i="35" s="1"/>
  <c r="AN20" i="35"/>
  <c r="AK21" i="35"/>
  <c r="AN21" i="35" s="1"/>
  <c r="AH22" i="35"/>
  <c r="AJ22" i="35" s="1"/>
  <c r="P21" i="35"/>
  <c r="N22" i="35" s="1"/>
  <c r="Q21" i="35"/>
  <c r="T21" i="35" s="1"/>
  <c r="T20" i="35"/>
  <c r="F21" i="35"/>
  <c r="D22" i="35" s="1"/>
  <c r="G21" i="35"/>
  <c r="J20" i="35"/>
  <c r="Q118" i="33"/>
  <c r="Q181" i="33" s="1"/>
  <c r="O7" i="32"/>
  <c r="O112" i="32" s="1"/>
  <c r="O113" i="32" s="1"/>
  <c r="O114" i="32" s="1"/>
  <c r="K142" i="1"/>
  <c r="K37" i="27"/>
  <c r="AQ35" i="35"/>
  <c r="M38" i="35"/>
  <c r="W37" i="35"/>
  <c r="AW37" i="35" s="1"/>
  <c r="Y38" i="35"/>
  <c r="O38" i="35"/>
  <c r="E38" i="35"/>
  <c r="C39" i="35"/>
  <c r="O28" i="36"/>
  <c r="R34" i="1" s="1"/>
  <c r="M96" i="58" s="1"/>
  <c r="O20" i="36"/>
  <c r="O23" i="36" s="1"/>
  <c r="F130" i="31" l="1"/>
  <c r="R114" i="33"/>
  <c r="R177" i="33" s="1"/>
  <c r="S126" i="35"/>
  <c r="O126" i="35" s="1"/>
  <c r="M126" i="35"/>
  <c r="AP44" i="35"/>
  <c r="AW44" i="35" s="1"/>
  <c r="B128" i="35"/>
  <c r="L127" i="35"/>
  <c r="C127" i="35"/>
  <c r="I127" i="35" s="1"/>
  <c r="E127" i="35" s="1"/>
  <c r="V44" i="35"/>
  <c r="AC44" i="35" s="1"/>
  <c r="AS37" i="35"/>
  <c r="AZ37" i="35" s="1"/>
  <c r="H41" i="35"/>
  <c r="AI38" i="35"/>
  <c r="AF39" i="35"/>
  <c r="AM39" i="35" s="1"/>
  <c r="AG38" i="35"/>
  <c r="O117" i="32"/>
  <c r="AD20" i="35"/>
  <c r="X21" i="35"/>
  <c r="AT23" i="35"/>
  <c r="AR24" i="35" s="1"/>
  <c r="AU23" i="35"/>
  <c r="AX23" i="35" s="1"/>
  <c r="AH23" i="35"/>
  <c r="AJ23" i="35" s="1"/>
  <c r="AK22" i="35"/>
  <c r="P22" i="35"/>
  <c r="N23" i="35" s="1"/>
  <c r="Q22" i="35"/>
  <c r="F22" i="35"/>
  <c r="D23" i="35" s="1"/>
  <c r="G22" i="35"/>
  <c r="J21" i="35"/>
  <c r="K145" i="1"/>
  <c r="L37" i="27"/>
  <c r="AQ36" i="35"/>
  <c r="C40" i="35"/>
  <c r="M39" i="35"/>
  <c r="P18" i="36"/>
  <c r="O27" i="36"/>
  <c r="E39" i="35"/>
  <c r="Y39" i="35"/>
  <c r="O39" i="35"/>
  <c r="W38" i="35"/>
  <c r="AX22" i="35"/>
  <c r="G130" i="31" l="1"/>
  <c r="O118" i="32"/>
  <c r="R116" i="33"/>
  <c r="R117" i="33" s="1"/>
  <c r="R180" i="33" s="1"/>
  <c r="P46" i="27"/>
  <c r="K136" i="31" s="1"/>
  <c r="I40" i="35"/>
  <c r="E40" i="35" s="1"/>
  <c r="AC40" i="35"/>
  <c r="Y40" i="35" s="1"/>
  <c r="AZ38" i="35"/>
  <c r="J22" i="35"/>
  <c r="M127" i="35"/>
  <c r="S127" i="35" s="1"/>
  <c r="O127" i="35" s="1"/>
  <c r="H42" i="35"/>
  <c r="B129" i="35"/>
  <c r="I128" i="35"/>
  <c r="E128" i="35" s="1"/>
  <c r="L128" i="35"/>
  <c r="C128" i="35"/>
  <c r="AP45" i="35"/>
  <c r="AW45" i="35" s="1"/>
  <c r="AS44" i="35"/>
  <c r="V45" i="35"/>
  <c r="AC45" i="35" s="1"/>
  <c r="AI39" i="35"/>
  <c r="AF40" i="35"/>
  <c r="AG39" i="35"/>
  <c r="O29" i="27"/>
  <c r="O51" i="27"/>
  <c r="P116" i="32"/>
  <c r="Z21" i="35"/>
  <c r="X22" i="35" s="1"/>
  <c r="AA21" i="35"/>
  <c r="BB21" i="35" s="1"/>
  <c r="AT24" i="35"/>
  <c r="AR25" i="35" s="1"/>
  <c r="AU24" i="35"/>
  <c r="AX24" i="35" s="1"/>
  <c r="AN22" i="35"/>
  <c r="AH24" i="35"/>
  <c r="AJ24" i="35" s="1"/>
  <c r="AK23" i="35"/>
  <c r="AN23" i="35" s="1"/>
  <c r="P23" i="35"/>
  <c r="N24" i="35" s="1"/>
  <c r="Q23" i="35"/>
  <c r="T22" i="35"/>
  <c r="F23" i="35"/>
  <c r="D24" i="35" s="1"/>
  <c r="G23" i="35"/>
  <c r="M37" i="27"/>
  <c r="L142" i="1"/>
  <c r="AQ37" i="35"/>
  <c r="M40" i="35"/>
  <c r="C41" i="35"/>
  <c r="W39" i="35"/>
  <c r="P24" i="36"/>
  <c r="H130" i="31" l="1"/>
  <c r="R179" i="33"/>
  <c r="L61" i="31"/>
  <c r="AM40" i="35"/>
  <c r="AI40" i="35" s="1"/>
  <c r="S40" i="35"/>
  <c r="O40" i="35" s="1"/>
  <c r="AZ39" i="35"/>
  <c r="J23" i="35"/>
  <c r="AF41" i="35"/>
  <c r="AG40" i="35"/>
  <c r="S128" i="35"/>
  <c r="O128" i="35" s="1"/>
  <c r="M128" i="35"/>
  <c r="B130" i="35"/>
  <c r="I129" i="35"/>
  <c r="E129" i="35" s="1"/>
  <c r="L129" i="35"/>
  <c r="C129" i="35"/>
  <c r="V46" i="35"/>
  <c r="H43" i="35"/>
  <c r="AP46" i="35"/>
  <c r="AS45" i="35"/>
  <c r="J137" i="31"/>
  <c r="AD21" i="35"/>
  <c r="Z22" i="35"/>
  <c r="AA22" i="35"/>
  <c r="BB22" i="35" s="1"/>
  <c r="BC22" i="35" s="1"/>
  <c r="AU25" i="35"/>
  <c r="AX25" i="35" s="1"/>
  <c r="AT25" i="35"/>
  <c r="AR26" i="35" s="1"/>
  <c r="AK24" i="35"/>
  <c r="AN24" i="35" s="1"/>
  <c r="AH25" i="35"/>
  <c r="AJ25" i="35" s="1"/>
  <c r="P24" i="35"/>
  <c r="N25" i="35" s="1"/>
  <c r="Q24" i="35"/>
  <c r="T23" i="35"/>
  <c r="F24" i="35"/>
  <c r="D25" i="35" s="1"/>
  <c r="G24" i="35"/>
  <c r="P7" i="32"/>
  <c r="P112" i="32" s="1"/>
  <c r="P113" i="32" s="1"/>
  <c r="P114" i="32" s="1"/>
  <c r="N37" i="27"/>
  <c r="L145" i="1"/>
  <c r="W40" i="35"/>
  <c r="C42" i="35"/>
  <c r="Y41" i="35"/>
  <c r="O41" i="35"/>
  <c r="E41" i="35"/>
  <c r="M41" i="35"/>
  <c r="P20" i="36"/>
  <c r="P23" i="36" s="1"/>
  <c r="P28" i="36"/>
  <c r="S34" i="1" s="1"/>
  <c r="R118" i="33"/>
  <c r="AQ38" i="35"/>
  <c r="I130" i="31" l="1"/>
  <c r="AW40" i="35"/>
  <c r="AS40" i="35" s="1"/>
  <c r="AZ40" i="35" s="1"/>
  <c r="S129" i="35"/>
  <c r="O129" i="35" s="1"/>
  <c r="M129" i="35"/>
  <c r="AP47" i="35"/>
  <c r="B131" i="35"/>
  <c r="L130" i="35"/>
  <c r="C130" i="35"/>
  <c r="I130" i="35" s="1"/>
  <c r="E130" i="35" s="1"/>
  <c r="H44" i="35"/>
  <c r="V47" i="35"/>
  <c r="AM41" i="35"/>
  <c r="AI41" i="35" s="1"/>
  <c r="AF42" i="35"/>
  <c r="AG41" i="35"/>
  <c r="P117" i="32"/>
  <c r="P118" i="32" s="1"/>
  <c r="AD22" i="35"/>
  <c r="X23" i="35"/>
  <c r="AT26" i="35"/>
  <c r="AR27" i="35" s="1"/>
  <c r="AU26" i="35"/>
  <c r="AX26" i="35" s="1"/>
  <c r="AH26" i="35"/>
  <c r="AJ26" i="35" s="1"/>
  <c r="AK25" i="35"/>
  <c r="AN25" i="35" s="1"/>
  <c r="P25" i="35"/>
  <c r="N26" i="35" s="1"/>
  <c r="Q25" i="35"/>
  <c r="T24" i="35"/>
  <c r="F25" i="35"/>
  <c r="D26" i="35" s="1"/>
  <c r="G25" i="35"/>
  <c r="J24" i="35"/>
  <c r="M142" i="1"/>
  <c r="O37" i="27"/>
  <c r="AQ39" i="35"/>
  <c r="Q18" i="36"/>
  <c r="P27" i="36"/>
  <c r="C43" i="35"/>
  <c r="Y42" i="35"/>
  <c r="O42" i="35"/>
  <c r="E42" i="35"/>
  <c r="W41" i="35"/>
  <c r="M42" i="35"/>
  <c r="R181" i="33"/>
  <c r="S114" i="33"/>
  <c r="Q46" i="27" l="1"/>
  <c r="AZ41" i="35"/>
  <c r="AM42" i="35"/>
  <c r="AI42" i="35" s="1"/>
  <c r="AF43" i="35"/>
  <c r="AG42" i="35"/>
  <c r="M130" i="35"/>
  <c r="S130" i="35" s="1"/>
  <c r="O130" i="35" s="1"/>
  <c r="B132" i="35"/>
  <c r="I131" i="35"/>
  <c r="E131" i="35" s="1"/>
  <c r="L131" i="35"/>
  <c r="C131" i="35"/>
  <c r="AP48" i="35"/>
  <c r="AW47" i="35"/>
  <c r="AS47" i="35" s="1"/>
  <c r="I43" i="35"/>
  <c r="E43" i="35" s="1"/>
  <c r="AC43" i="35"/>
  <c r="Y43" i="35" s="1"/>
  <c r="V48" i="35"/>
  <c r="AC47" i="35"/>
  <c r="H45" i="35"/>
  <c r="P51" i="27"/>
  <c r="P29" i="27"/>
  <c r="Q116" i="32"/>
  <c r="Z23" i="35"/>
  <c r="X24" i="35" s="1"/>
  <c r="AA23" i="35"/>
  <c r="AU27" i="35"/>
  <c r="AX27" i="35" s="1"/>
  <c r="AT27" i="35"/>
  <c r="AR28" i="35" s="1"/>
  <c r="AK26" i="35"/>
  <c r="AN26" i="35" s="1"/>
  <c r="AH27" i="35"/>
  <c r="AJ27" i="35" s="1"/>
  <c r="P26" i="35"/>
  <c r="N27" i="35" s="1"/>
  <c r="Q26" i="35"/>
  <c r="T25" i="35"/>
  <c r="F26" i="35"/>
  <c r="D27" i="35" s="1"/>
  <c r="G26" i="35"/>
  <c r="J25" i="35"/>
  <c r="P37" i="27"/>
  <c r="J130" i="31"/>
  <c r="M145" i="1"/>
  <c r="S177" i="33"/>
  <c r="S116" i="33"/>
  <c r="W42" i="35"/>
  <c r="Q24" i="36"/>
  <c r="AQ40" i="35"/>
  <c r="M43" i="35"/>
  <c r="S43" i="35" s="1"/>
  <c r="O43" i="35" s="1"/>
  <c r="C44" i="35"/>
  <c r="AZ42" i="35" l="1"/>
  <c r="AD23" i="35"/>
  <c r="BB23" i="35"/>
  <c r="H46" i="35"/>
  <c r="S131" i="35"/>
  <c r="O131" i="35" s="1"/>
  <c r="M131" i="35"/>
  <c r="V49" i="35"/>
  <c r="AC48" i="35"/>
  <c r="B133" i="35"/>
  <c r="I132" i="35"/>
  <c r="E132" i="35" s="1"/>
  <c r="L132" i="35"/>
  <c r="C132" i="35"/>
  <c r="AP49" i="35"/>
  <c r="AW48" i="35"/>
  <c r="AS48" i="35" s="1"/>
  <c r="AF44" i="35"/>
  <c r="AM44" i="35" s="1"/>
  <c r="AG43" i="35"/>
  <c r="AM43" i="35"/>
  <c r="AI43" i="35" s="1"/>
  <c r="K137" i="31"/>
  <c r="M61" i="31"/>
  <c r="Z24" i="35"/>
  <c r="AA24" i="35"/>
  <c r="BB24" i="35" s="1"/>
  <c r="AU28" i="35"/>
  <c r="AX28" i="35" s="1"/>
  <c r="AT28" i="35"/>
  <c r="AR29" i="35" s="1"/>
  <c r="AK27" i="35"/>
  <c r="AN27" i="35" s="1"/>
  <c r="AH28" i="35"/>
  <c r="AJ28" i="35" s="1"/>
  <c r="P27" i="35"/>
  <c r="N28" i="35" s="1"/>
  <c r="Q27" i="35"/>
  <c r="T26" i="35"/>
  <c r="F27" i="35"/>
  <c r="D28" i="35" s="1"/>
  <c r="G27" i="35"/>
  <c r="J26" i="35"/>
  <c r="Q37" i="27"/>
  <c r="K130" i="31"/>
  <c r="N142" i="1"/>
  <c r="Q20" i="36"/>
  <c r="Q23" i="36" s="1"/>
  <c r="Q28" i="36"/>
  <c r="S179" i="33"/>
  <c r="S117" i="33"/>
  <c r="S180" i="33" s="1"/>
  <c r="C45" i="35"/>
  <c r="W43" i="35"/>
  <c r="AW43" i="35" s="1"/>
  <c r="AS43" i="35" s="1"/>
  <c r="M44" i="35"/>
  <c r="Y44" i="35"/>
  <c r="O44" i="35"/>
  <c r="E44" i="35"/>
  <c r="AQ41" i="35"/>
  <c r="AZ43" i="35" l="1"/>
  <c r="B134" i="35"/>
  <c r="L133" i="35"/>
  <c r="C133" i="35"/>
  <c r="I133" i="35" s="1"/>
  <c r="E133" i="35" s="1"/>
  <c r="AI44" i="35"/>
  <c r="AF45" i="35"/>
  <c r="AM45" i="35" s="1"/>
  <c r="AG44" i="35"/>
  <c r="V50" i="35"/>
  <c r="AP50" i="35"/>
  <c r="S132" i="35"/>
  <c r="O132" i="35" s="1"/>
  <c r="M132" i="35"/>
  <c r="H47" i="35"/>
  <c r="AD24" i="35"/>
  <c r="X25" i="35"/>
  <c r="AT29" i="35"/>
  <c r="AR30" i="35" s="1"/>
  <c r="AU29" i="35"/>
  <c r="AK28" i="35"/>
  <c r="AN28" i="35" s="1"/>
  <c r="AH29" i="35"/>
  <c r="AJ29" i="35" s="1"/>
  <c r="P28" i="35"/>
  <c r="N29" i="35" s="1"/>
  <c r="Q28" i="35"/>
  <c r="T27" i="35"/>
  <c r="F28" i="35"/>
  <c r="D29" i="35" s="1"/>
  <c r="G28" i="35"/>
  <c r="J27" i="35"/>
  <c r="Q7" i="32"/>
  <c r="Q112" i="32" s="1"/>
  <c r="Q113" i="32" s="1"/>
  <c r="Q114" i="32" s="1"/>
  <c r="S118" i="33"/>
  <c r="S181" i="33" s="1"/>
  <c r="N145" i="1"/>
  <c r="C46" i="35"/>
  <c r="Y45" i="35"/>
  <c r="O45" i="35"/>
  <c r="E45" i="35"/>
  <c r="W44" i="35"/>
  <c r="AQ42" i="35"/>
  <c r="M45" i="35"/>
  <c r="R18" i="36"/>
  <c r="Q27" i="36"/>
  <c r="I46" i="35" l="1"/>
  <c r="E46" i="35" s="1"/>
  <c r="AC46" i="35"/>
  <c r="Y46" i="35" s="1"/>
  <c r="AZ44" i="35"/>
  <c r="V51" i="35"/>
  <c r="AC50" i="35"/>
  <c r="H48" i="35"/>
  <c r="AI45" i="35"/>
  <c r="AG45" i="35"/>
  <c r="AF46" i="35"/>
  <c r="AP51" i="35"/>
  <c r="AW50" i="35"/>
  <c r="AS50" i="35" s="1"/>
  <c r="M133" i="35"/>
  <c r="S133" i="35" s="1"/>
  <c r="O133" i="35" s="1"/>
  <c r="B135" i="35"/>
  <c r="I134" i="35"/>
  <c r="E134" i="35" s="1"/>
  <c r="L134" i="35"/>
  <c r="C134" i="35"/>
  <c r="Q117" i="32"/>
  <c r="Q118" i="32" s="1"/>
  <c r="AX29" i="35"/>
  <c r="Z25" i="35"/>
  <c r="AA25" i="35"/>
  <c r="BB25" i="35" s="1"/>
  <c r="BC25" i="35" s="1"/>
  <c r="AU30" i="35"/>
  <c r="AX30" i="35" s="1"/>
  <c r="AT30" i="35"/>
  <c r="AR31" i="35" s="1"/>
  <c r="AK29" i="35"/>
  <c r="AH30" i="35"/>
  <c r="AJ30" i="35" s="1"/>
  <c r="P29" i="35"/>
  <c r="N30" i="35" s="1"/>
  <c r="Q29" i="35"/>
  <c r="T28" i="35"/>
  <c r="F29" i="35"/>
  <c r="D30" i="35" s="1"/>
  <c r="G29" i="35"/>
  <c r="J28" i="35"/>
  <c r="O142" i="1"/>
  <c r="AQ43" i="35"/>
  <c r="C47" i="35"/>
  <c r="R24" i="36"/>
  <c r="M46" i="35"/>
  <c r="W45" i="35"/>
  <c r="S46" i="35" l="1"/>
  <c r="O46" i="35" s="1"/>
  <c r="AM46" i="35"/>
  <c r="AI46" i="35" s="1"/>
  <c r="AZ45" i="35"/>
  <c r="S134" i="35"/>
  <c r="O134" i="35" s="1"/>
  <c r="M134" i="35"/>
  <c r="AP52" i="35"/>
  <c r="AW51" i="35"/>
  <c r="AS51" i="35" s="1"/>
  <c r="AF47" i="35"/>
  <c r="AG46" i="35"/>
  <c r="B136" i="35"/>
  <c r="I135" i="35"/>
  <c r="E135" i="35" s="1"/>
  <c r="L135" i="35"/>
  <c r="C135" i="35"/>
  <c r="H49" i="35"/>
  <c r="V52" i="35"/>
  <c r="AC51" i="35"/>
  <c r="Q51" i="27"/>
  <c r="Q29" i="27"/>
  <c r="AN29" i="35"/>
  <c r="AD25" i="35"/>
  <c r="X26" i="35"/>
  <c r="AU31" i="35"/>
  <c r="AX31" i="35" s="1"/>
  <c r="AT31" i="35"/>
  <c r="AR32" i="35" s="1"/>
  <c r="AH31" i="35"/>
  <c r="AJ31" i="35" s="1"/>
  <c r="AK30" i="35"/>
  <c r="AN30" i="35" s="1"/>
  <c r="P30" i="35"/>
  <c r="N31" i="35" s="1"/>
  <c r="Q30" i="35"/>
  <c r="T29" i="35"/>
  <c r="F30" i="35"/>
  <c r="D31" i="35" s="1"/>
  <c r="G30" i="35"/>
  <c r="J29" i="35"/>
  <c r="O145" i="1"/>
  <c r="C48" i="35"/>
  <c r="E47" i="35"/>
  <c r="O47" i="35"/>
  <c r="Y47" i="35"/>
  <c r="AQ44" i="35"/>
  <c r="M47" i="35"/>
  <c r="W46" i="35"/>
  <c r="R20" i="36"/>
  <c r="R23" i="36" s="1"/>
  <c r="R27" i="36" s="1"/>
  <c r="R28" i="36"/>
  <c r="AW46" i="35" l="1"/>
  <c r="AS46" i="35" s="1"/>
  <c r="AZ46" i="35" s="1"/>
  <c r="L136" i="35"/>
  <c r="C136" i="35"/>
  <c r="AM47" i="35"/>
  <c r="AI47" i="35" s="1"/>
  <c r="AF48" i="35"/>
  <c r="AG47" i="35"/>
  <c r="V53" i="35"/>
  <c r="AP53" i="35"/>
  <c r="S135" i="35"/>
  <c r="O135" i="35" s="1"/>
  <c r="M135" i="35"/>
  <c r="H50" i="35"/>
  <c r="Z26" i="35"/>
  <c r="AA26" i="35"/>
  <c r="BB26" i="35" s="1"/>
  <c r="AT32" i="35"/>
  <c r="AR33" i="35" s="1"/>
  <c r="AU32" i="35"/>
  <c r="AX32" i="35" s="1"/>
  <c r="AH32" i="35"/>
  <c r="AJ32" i="35" s="1"/>
  <c r="AK31" i="35"/>
  <c r="P31" i="35"/>
  <c r="N32" i="35" s="1"/>
  <c r="Q31" i="35"/>
  <c r="T30" i="35"/>
  <c r="F31" i="35"/>
  <c r="D32" i="35" s="1"/>
  <c r="G31" i="35"/>
  <c r="J30" i="35"/>
  <c r="P142" i="1"/>
  <c r="P145" i="1" s="1"/>
  <c r="Q142" i="1" s="1"/>
  <c r="Q145" i="1" s="1"/>
  <c r="R142" i="1" s="1"/>
  <c r="R145" i="1" s="1"/>
  <c r="S142" i="1" s="1"/>
  <c r="S145" i="1" s="1"/>
  <c r="M48" i="35"/>
  <c r="W47" i="35"/>
  <c r="C49" i="35"/>
  <c r="AQ45" i="35"/>
  <c r="Y48" i="35"/>
  <c r="E48" i="35"/>
  <c r="O48" i="35"/>
  <c r="AZ47" i="35" l="1"/>
  <c r="I136" i="35"/>
  <c r="E136" i="35" s="1"/>
  <c r="I49" i="35"/>
  <c r="E49" i="35" s="1"/>
  <c r="AC49" i="35"/>
  <c r="Y49" i="35" s="1"/>
  <c r="H51" i="35"/>
  <c r="AM48" i="35"/>
  <c r="AI48" i="35" s="1"/>
  <c r="AF49" i="35"/>
  <c r="AG48" i="35"/>
  <c r="V54" i="35"/>
  <c r="AC53" i="35"/>
  <c r="AP54" i="35"/>
  <c r="AW53" i="35"/>
  <c r="AS53" i="35" s="1"/>
  <c r="M136" i="35"/>
  <c r="S136" i="35" s="1"/>
  <c r="AN31" i="35"/>
  <c r="AD26" i="35"/>
  <c r="X27" i="35"/>
  <c r="AU33" i="35"/>
  <c r="AX33" i="35" s="1"/>
  <c r="AT33" i="35"/>
  <c r="AR34" i="35" s="1"/>
  <c r="AK32" i="35"/>
  <c r="AN32" i="35" s="1"/>
  <c r="AH33" i="35"/>
  <c r="AJ33" i="35" s="1"/>
  <c r="P32" i="35"/>
  <c r="N33" i="35" s="1"/>
  <c r="Q32" i="35"/>
  <c r="T31" i="35"/>
  <c r="F32" i="35"/>
  <c r="D33" i="35" s="1"/>
  <c r="G32" i="35"/>
  <c r="J31" i="35"/>
  <c r="C50" i="35"/>
  <c r="W48" i="35"/>
  <c r="M49" i="35"/>
  <c r="S49" i="35" s="1"/>
  <c r="O49" i="35" s="1"/>
  <c r="AQ46" i="35"/>
  <c r="AZ48" i="35" l="1"/>
  <c r="O136" i="35"/>
  <c r="V55" i="35"/>
  <c r="AC54" i="35"/>
  <c r="AG49" i="35"/>
  <c r="AF50" i="35"/>
  <c r="AM49" i="35"/>
  <c r="AI49" i="35" s="1"/>
  <c r="AP55" i="35"/>
  <c r="AW54" i="35"/>
  <c r="AS54" i="35" s="1"/>
  <c r="H52" i="35"/>
  <c r="Z27" i="35"/>
  <c r="AA27" i="35"/>
  <c r="BB27" i="35" s="1"/>
  <c r="AT34" i="35"/>
  <c r="AR35" i="35" s="1"/>
  <c r="AU34" i="35"/>
  <c r="AX34" i="35" s="1"/>
  <c r="AH34" i="35"/>
  <c r="AJ34" i="35" s="1"/>
  <c r="AK33" i="35"/>
  <c r="T32" i="35"/>
  <c r="P33" i="35"/>
  <c r="N34" i="35" s="1"/>
  <c r="Q33" i="35"/>
  <c r="F33" i="35"/>
  <c r="D34" i="35" s="1"/>
  <c r="G33" i="35"/>
  <c r="J32" i="35"/>
  <c r="M50" i="35"/>
  <c r="C51" i="35"/>
  <c r="Y50" i="35"/>
  <c r="E50" i="35"/>
  <c r="O50" i="35"/>
  <c r="AQ47" i="35"/>
  <c r="W49" i="35"/>
  <c r="AW49" i="35" s="1"/>
  <c r="AS49" i="35" s="1"/>
  <c r="H53" i="35" l="1"/>
  <c r="AP56" i="35"/>
  <c r="AM50" i="35"/>
  <c r="AI50" i="35" s="1"/>
  <c r="AG50" i="35"/>
  <c r="AF51" i="35"/>
  <c r="V56" i="35"/>
  <c r="AZ49" i="35"/>
  <c r="AN33" i="35"/>
  <c r="AD27" i="35"/>
  <c r="X28" i="35"/>
  <c r="AU35" i="35"/>
  <c r="AX35" i="35" s="1"/>
  <c r="AT35" i="35"/>
  <c r="AR36" i="35" s="1"/>
  <c r="AK34" i="35"/>
  <c r="AN34" i="35" s="1"/>
  <c r="AH35" i="35"/>
  <c r="AJ35" i="35" s="1"/>
  <c r="P34" i="35"/>
  <c r="N35" i="35" s="1"/>
  <c r="Q34" i="35"/>
  <c r="T33" i="35"/>
  <c r="F34" i="35"/>
  <c r="D35" i="35" s="1"/>
  <c r="G34" i="35"/>
  <c r="J33" i="35"/>
  <c r="W50" i="35"/>
  <c r="AQ48" i="35"/>
  <c r="C52" i="35"/>
  <c r="E51" i="35"/>
  <c r="Y51" i="35"/>
  <c r="O51" i="35"/>
  <c r="M51" i="35"/>
  <c r="AZ50" i="35" l="1"/>
  <c r="AP57" i="35"/>
  <c r="AW56" i="35"/>
  <c r="AS56" i="35" s="1"/>
  <c r="I52" i="35"/>
  <c r="E52" i="35" s="1"/>
  <c r="AC52" i="35"/>
  <c r="Y52" i="35" s="1"/>
  <c r="V57" i="35"/>
  <c r="AC56" i="35"/>
  <c r="H54" i="35"/>
  <c r="AM51" i="35"/>
  <c r="AI51" i="35" s="1"/>
  <c r="AG51" i="35"/>
  <c r="AF52" i="35"/>
  <c r="Z28" i="35"/>
  <c r="AA28" i="35"/>
  <c r="BB28" i="35" s="1"/>
  <c r="BC28" i="35" s="1"/>
  <c r="BD25" i="35" s="1"/>
  <c r="AU36" i="35"/>
  <c r="AX36" i="35" s="1"/>
  <c r="AT36" i="35"/>
  <c r="AR37" i="35" s="1"/>
  <c r="AK35" i="35"/>
  <c r="AH36" i="35"/>
  <c r="AJ36" i="35" s="1"/>
  <c r="P35" i="35"/>
  <c r="N36" i="35" s="1"/>
  <c r="Q35" i="35"/>
  <c r="T34" i="35"/>
  <c r="F35" i="35"/>
  <c r="D36" i="35" s="1"/>
  <c r="G35" i="35"/>
  <c r="J34" i="35"/>
  <c r="M52" i="35"/>
  <c r="S52" i="35" s="1"/>
  <c r="C53" i="35"/>
  <c r="AQ49" i="35"/>
  <c r="W51" i="35"/>
  <c r="AZ51" i="35" l="1"/>
  <c r="O52" i="35"/>
  <c r="AP58" i="35"/>
  <c r="AW57" i="35"/>
  <c r="AS57" i="35" s="1"/>
  <c r="AF53" i="35"/>
  <c r="AG52" i="35"/>
  <c r="AM52" i="35"/>
  <c r="AI52" i="35" s="1"/>
  <c r="H55" i="35"/>
  <c r="V58" i="35"/>
  <c r="AC57" i="35"/>
  <c r="AN35" i="35"/>
  <c r="AD28" i="35"/>
  <c r="X29" i="35"/>
  <c r="AT37" i="35"/>
  <c r="AR38" i="35" s="1"/>
  <c r="AU37" i="35"/>
  <c r="AX37" i="35" s="1"/>
  <c r="AK36" i="35"/>
  <c r="AN36" i="35" s="1"/>
  <c r="AH37" i="35"/>
  <c r="AJ37" i="35" s="1"/>
  <c r="P36" i="35"/>
  <c r="N37" i="35" s="1"/>
  <c r="Q36" i="35"/>
  <c r="T35" i="35"/>
  <c r="F36" i="35"/>
  <c r="D37" i="35" s="1"/>
  <c r="G36" i="35"/>
  <c r="J35" i="35"/>
  <c r="C54" i="35"/>
  <c r="W52" i="35"/>
  <c r="AW52" i="35" s="1"/>
  <c r="AS52" i="35" s="1"/>
  <c r="AQ50" i="35"/>
  <c r="O53" i="35"/>
  <c r="E53" i="35"/>
  <c r="Y53" i="35"/>
  <c r="M53" i="35"/>
  <c r="AZ52" i="35" l="1"/>
  <c r="V59" i="35"/>
  <c r="AM53" i="35"/>
  <c r="AI53" i="35" s="1"/>
  <c r="AF54" i="35"/>
  <c r="AG53" i="35"/>
  <c r="H56" i="35"/>
  <c r="AP59" i="35"/>
  <c r="Z29" i="35"/>
  <c r="AA29" i="35"/>
  <c r="BB29" i="35" s="1"/>
  <c r="AU38" i="35"/>
  <c r="AX38" i="35" s="1"/>
  <c r="AT38" i="35"/>
  <c r="AR39" i="35" s="1"/>
  <c r="AK37" i="35"/>
  <c r="AN37" i="35" s="1"/>
  <c r="AH38" i="35"/>
  <c r="AJ38" i="35" s="1"/>
  <c r="P37" i="35"/>
  <c r="N38" i="35" s="1"/>
  <c r="Q37" i="35"/>
  <c r="T36" i="35"/>
  <c r="F37" i="35"/>
  <c r="D38" i="35" s="1"/>
  <c r="G37" i="35"/>
  <c r="J36" i="35"/>
  <c r="M54" i="35"/>
  <c r="W53" i="35"/>
  <c r="AQ51" i="35"/>
  <c r="C55" i="35"/>
  <c r="Y54" i="35"/>
  <c r="O54" i="35"/>
  <c r="E54" i="35"/>
  <c r="AZ53" i="35" l="1"/>
  <c r="AP60" i="35"/>
  <c r="AW59" i="35"/>
  <c r="AS59" i="35" s="1"/>
  <c r="AM54" i="35"/>
  <c r="AI54" i="35" s="1"/>
  <c r="AF55" i="35"/>
  <c r="AG54" i="35"/>
  <c r="I55" i="35"/>
  <c r="AC55" i="35"/>
  <c r="Y55" i="35" s="1"/>
  <c r="V60" i="35"/>
  <c r="AC59" i="35"/>
  <c r="H57" i="35"/>
  <c r="AD29" i="35"/>
  <c r="X30" i="35"/>
  <c r="AU39" i="35"/>
  <c r="AX39" i="35" s="1"/>
  <c r="AT39" i="35"/>
  <c r="AR40" i="35" s="1"/>
  <c r="AH39" i="35"/>
  <c r="AJ39" i="35" s="1"/>
  <c r="AK38" i="35"/>
  <c r="AN38" i="35" s="1"/>
  <c r="P38" i="35"/>
  <c r="N39" i="35" s="1"/>
  <c r="Q38" i="35"/>
  <c r="T37" i="35"/>
  <c r="F38" i="35"/>
  <c r="D39" i="35" s="1"/>
  <c r="G38" i="35"/>
  <c r="J37" i="35"/>
  <c r="W54" i="35"/>
  <c r="M55" i="35"/>
  <c r="S55" i="35" s="1"/>
  <c r="O55" i="35" s="1"/>
  <c r="C56" i="35"/>
  <c r="AQ52" i="35"/>
  <c r="AZ54" i="35" l="1"/>
  <c r="AF56" i="35"/>
  <c r="AG55" i="35"/>
  <c r="AM55" i="35"/>
  <c r="AI55" i="35" s="1"/>
  <c r="H58" i="35"/>
  <c r="E55" i="35"/>
  <c r="V61" i="35"/>
  <c r="AC60" i="35"/>
  <c r="AP61" i="35"/>
  <c r="AW60" i="35"/>
  <c r="AS60" i="35" s="1"/>
  <c r="Z30" i="35"/>
  <c r="AA30" i="35"/>
  <c r="BB30" i="35" s="1"/>
  <c r="AT40" i="35"/>
  <c r="AR41" i="35" s="1"/>
  <c r="AU40" i="35"/>
  <c r="AX40" i="35" s="1"/>
  <c r="AH40" i="35"/>
  <c r="AJ40" i="35" s="1"/>
  <c r="AK39" i="35"/>
  <c r="AN39" i="35" s="1"/>
  <c r="P39" i="35"/>
  <c r="N40" i="35" s="1"/>
  <c r="Q39" i="35"/>
  <c r="T38" i="35"/>
  <c r="F39" i="35"/>
  <c r="D40" i="35" s="1"/>
  <c r="G39" i="35"/>
  <c r="J38" i="35"/>
  <c r="C57" i="35"/>
  <c r="W55" i="35"/>
  <c r="AW55" i="35" s="1"/>
  <c r="AS55" i="35" s="1"/>
  <c r="AQ53" i="35"/>
  <c r="Y56" i="35"/>
  <c r="E56" i="35"/>
  <c r="O56" i="35"/>
  <c r="M56" i="35"/>
  <c r="AZ55" i="35" l="1"/>
  <c r="H59" i="35"/>
  <c r="AP62" i="35"/>
  <c r="AM56" i="35"/>
  <c r="AI56" i="35" s="1"/>
  <c r="AF57" i="35"/>
  <c r="AG56" i="35"/>
  <c r="V62" i="35"/>
  <c r="AD30" i="35"/>
  <c r="X31" i="35"/>
  <c r="AT41" i="35"/>
  <c r="AR42" i="35" s="1"/>
  <c r="AU41" i="35"/>
  <c r="AK40" i="35"/>
  <c r="AN40" i="35" s="1"/>
  <c r="AH41" i="35"/>
  <c r="AJ41" i="35" s="1"/>
  <c r="P40" i="35"/>
  <c r="N41" i="35" s="1"/>
  <c r="Q40" i="35"/>
  <c r="T39" i="35"/>
  <c r="F40" i="35"/>
  <c r="D41" i="35" s="1"/>
  <c r="G40" i="35"/>
  <c r="J39" i="35"/>
  <c r="C58" i="35"/>
  <c r="M57" i="35"/>
  <c r="AQ54" i="35"/>
  <c r="W56" i="35"/>
  <c r="Y57" i="35"/>
  <c r="E57" i="35"/>
  <c r="O57" i="35"/>
  <c r="AZ56" i="35" l="1"/>
  <c r="AM57" i="35"/>
  <c r="AI57" i="35" s="1"/>
  <c r="AG57" i="35"/>
  <c r="AF58" i="35"/>
  <c r="AP63" i="35"/>
  <c r="AW62" i="35"/>
  <c r="AS62" i="35" s="1"/>
  <c r="I58" i="35"/>
  <c r="E58" i="35" s="1"/>
  <c r="AC58" i="35"/>
  <c r="Y58" i="35" s="1"/>
  <c r="V63" i="35"/>
  <c r="AC62" i="35"/>
  <c r="H60" i="35"/>
  <c r="Z31" i="35"/>
  <c r="AA31" i="35"/>
  <c r="BB31" i="35" s="1"/>
  <c r="BC31" i="35" s="1"/>
  <c r="AX41" i="35"/>
  <c r="AT42" i="35"/>
  <c r="AR43" i="35" s="1"/>
  <c r="AU42" i="35"/>
  <c r="AH42" i="35"/>
  <c r="AJ42" i="35" s="1"/>
  <c r="AK41" i="35"/>
  <c r="P41" i="35"/>
  <c r="N42" i="35" s="1"/>
  <c r="Q41" i="35"/>
  <c r="T40" i="35"/>
  <c r="F41" i="35"/>
  <c r="D42" i="35" s="1"/>
  <c r="G41" i="35"/>
  <c r="J40" i="35"/>
  <c r="W57" i="35"/>
  <c r="AQ55" i="35"/>
  <c r="C59" i="35"/>
  <c r="M58" i="35"/>
  <c r="S58" i="35" s="1"/>
  <c r="O58" i="35" s="1"/>
  <c r="AZ57" i="35" l="1"/>
  <c r="AP64" i="35"/>
  <c r="AW63" i="35"/>
  <c r="AS63" i="35" s="1"/>
  <c r="AF59" i="35"/>
  <c r="AG58" i="35"/>
  <c r="AM58" i="35"/>
  <c r="AI58" i="35" s="1"/>
  <c r="H61" i="35"/>
  <c r="V64" i="35"/>
  <c r="AC63" i="35"/>
  <c r="AX42" i="35"/>
  <c r="AN41" i="35"/>
  <c r="AD31" i="35"/>
  <c r="X32" i="35"/>
  <c r="AU43" i="35"/>
  <c r="AX43" i="35" s="1"/>
  <c r="AT43" i="35"/>
  <c r="AR44" i="35" s="1"/>
  <c r="AK42" i="35"/>
  <c r="AN42" i="35" s="1"/>
  <c r="AH43" i="35"/>
  <c r="AJ43" i="35" s="1"/>
  <c r="P42" i="35"/>
  <c r="N43" i="35" s="1"/>
  <c r="Q42" i="35"/>
  <c r="T41" i="35"/>
  <c r="F42" i="35"/>
  <c r="D43" i="35" s="1"/>
  <c r="G42" i="35"/>
  <c r="J41" i="35"/>
  <c r="M59" i="35"/>
  <c r="C60" i="35"/>
  <c r="Y59" i="35"/>
  <c r="O59" i="35"/>
  <c r="E59" i="35"/>
  <c r="AQ56" i="35"/>
  <c r="W58" i="35"/>
  <c r="AW58" i="35" s="1"/>
  <c r="AS58" i="35" s="1"/>
  <c r="AZ58" i="35" l="1"/>
  <c r="H62" i="35"/>
  <c r="V65" i="35"/>
  <c r="AM59" i="35"/>
  <c r="AI59" i="35" s="1"/>
  <c r="AF60" i="35"/>
  <c r="AG59" i="35"/>
  <c r="AP65" i="35"/>
  <c r="Z32" i="35"/>
  <c r="AA32" i="35"/>
  <c r="BB32" i="35" s="1"/>
  <c r="AU44" i="35"/>
  <c r="AX44" i="35" s="1"/>
  <c r="AT44" i="35"/>
  <c r="AR45" i="35" s="1"/>
  <c r="AK43" i="35"/>
  <c r="AH44" i="35"/>
  <c r="AJ44" i="35" s="1"/>
  <c r="P43" i="35"/>
  <c r="N44" i="35" s="1"/>
  <c r="Q43" i="35"/>
  <c r="T42" i="35"/>
  <c r="F43" i="35"/>
  <c r="D44" i="35" s="1"/>
  <c r="G43" i="35"/>
  <c r="J42" i="35"/>
  <c r="M60" i="35"/>
  <c r="Y60" i="35"/>
  <c r="E60" i="35"/>
  <c r="O60" i="35"/>
  <c r="W59" i="35"/>
  <c r="AQ57" i="35"/>
  <c r="C61" i="35"/>
  <c r="AZ59" i="35" l="1"/>
  <c r="I61" i="35"/>
  <c r="E61" i="35" s="1"/>
  <c r="AC61" i="35"/>
  <c r="Y61" i="35" s="1"/>
  <c r="AM60" i="35"/>
  <c r="AI60" i="35" s="1"/>
  <c r="AF61" i="35"/>
  <c r="AG60" i="35"/>
  <c r="V66" i="35"/>
  <c r="AC65" i="35"/>
  <c r="AP66" i="35"/>
  <c r="AW65" i="35"/>
  <c r="AS65" i="35" s="1"/>
  <c r="H63" i="35"/>
  <c r="AN43" i="35"/>
  <c r="AD32" i="35"/>
  <c r="X33" i="35"/>
  <c r="AT45" i="35"/>
  <c r="AR46" i="35" s="1"/>
  <c r="AU45" i="35"/>
  <c r="AX45" i="35" s="1"/>
  <c r="AK44" i="35"/>
  <c r="AN44" i="35" s="1"/>
  <c r="AH45" i="35"/>
  <c r="AJ45" i="35" s="1"/>
  <c r="P44" i="35"/>
  <c r="N45" i="35" s="1"/>
  <c r="Q44" i="35"/>
  <c r="T43" i="35"/>
  <c r="F44" i="35"/>
  <c r="D45" i="35" s="1"/>
  <c r="G44" i="35"/>
  <c r="J43" i="35"/>
  <c r="W60" i="35"/>
  <c r="C62" i="35"/>
  <c r="M61" i="35"/>
  <c r="S61" i="35" s="1"/>
  <c r="O61" i="35" s="1"/>
  <c r="AQ58" i="35"/>
  <c r="AZ60" i="35" l="1"/>
  <c r="AP67" i="35"/>
  <c r="AW66" i="35"/>
  <c r="AS66" i="35" s="1"/>
  <c r="V67" i="35"/>
  <c r="AC66" i="35"/>
  <c r="AF62" i="35"/>
  <c r="AG61" i="35"/>
  <c r="AM61" i="35"/>
  <c r="AI61" i="35" s="1"/>
  <c r="H64" i="35"/>
  <c r="Z33" i="35"/>
  <c r="AA33" i="35"/>
  <c r="BB33" i="35" s="1"/>
  <c r="AU46" i="35"/>
  <c r="AX46" i="35" s="1"/>
  <c r="AT46" i="35"/>
  <c r="AR47" i="35" s="1"/>
  <c r="AK45" i="35"/>
  <c r="AH46" i="35"/>
  <c r="AJ46" i="35" s="1"/>
  <c r="P45" i="35"/>
  <c r="N46" i="35" s="1"/>
  <c r="Q45" i="35"/>
  <c r="T44" i="35"/>
  <c r="F45" i="35"/>
  <c r="D46" i="35" s="1"/>
  <c r="G45" i="35"/>
  <c r="J44" i="35"/>
  <c r="AQ59" i="35"/>
  <c r="W61" i="35"/>
  <c r="AW61" i="35" s="1"/>
  <c r="AS61" i="35" s="1"/>
  <c r="O62" i="35"/>
  <c r="E62" i="35"/>
  <c r="Y62" i="35"/>
  <c r="C63" i="35"/>
  <c r="M62" i="35"/>
  <c r="AZ61" i="35" l="1"/>
  <c r="AM62" i="35"/>
  <c r="AI62" i="35" s="1"/>
  <c r="AG62" i="35"/>
  <c r="AF63" i="35"/>
  <c r="H65" i="35"/>
  <c r="V68" i="35"/>
  <c r="AP68" i="35"/>
  <c r="AN45" i="35"/>
  <c r="AD33" i="35"/>
  <c r="X34" i="35"/>
  <c r="AU47" i="35"/>
  <c r="AX47" i="35" s="1"/>
  <c r="AT47" i="35"/>
  <c r="AR48" i="35" s="1"/>
  <c r="AK46" i="35"/>
  <c r="AN46" i="35" s="1"/>
  <c r="AH47" i="35"/>
  <c r="AJ47" i="35" s="1"/>
  <c r="P46" i="35"/>
  <c r="N47" i="35" s="1"/>
  <c r="Q46" i="35"/>
  <c r="T45" i="35"/>
  <c r="F46" i="35"/>
  <c r="D47" i="35" s="1"/>
  <c r="G46" i="35"/>
  <c r="J45" i="35"/>
  <c r="W62" i="35"/>
  <c r="Y63" i="35"/>
  <c r="O63" i="35"/>
  <c r="E63" i="35"/>
  <c r="C64" i="35"/>
  <c r="AQ60" i="35"/>
  <c r="M63" i="35"/>
  <c r="AZ62" i="35" l="1"/>
  <c r="V69" i="35"/>
  <c r="AC68" i="35"/>
  <c r="AP69" i="35"/>
  <c r="AW68" i="35"/>
  <c r="AS68" i="35" s="1"/>
  <c r="H66" i="35"/>
  <c r="AM63" i="35"/>
  <c r="AI63" i="35" s="1"/>
  <c r="AG63" i="35"/>
  <c r="AF64" i="35"/>
  <c r="I64" i="35"/>
  <c r="E64" i="35" s="1"/>
  <c r="AC64" i="35"/>
  <c r="Y64" i="35" s="1"/>
  <c r="Z34" i="35"/>
  <c r="AA34" i="35"/>
  <c r="BB34" i="35" s="1"/>
  <c r="BC34" i="35" s="1"/>
  <c r="AT48" i="35"/>
  <c r="AR49" i="35" s="1"/>
  <c r="AU48" i="35"/>
  <c r="AX48" i="35" s="1"/>
  <c r="AH48" i="35"/>
  <c r="AJ48" i="35" s="1"/>
  <c r="AK47" i="35"/>
  <c r="P47" i="35"/>
  <c r="N48" i="35" s="1"/>
  <c r="Q47" i="35"/>
  <c r="T46" i="35"/>
  <c r="F47" i="35"/>
  <c r="D48" i="35" s="1"/>
  <c r="G47" i="35"/>
  <c r="J46" i="35"/>
  <c r="AQ61" i="35"/>
  <c r="C65" i="35"/>
  <c r="M64" i="35"/>
  <c r="S64" i="35" s="1"/>
  <c r="O64" i="35" s="1"/>
  <c r="W63" i="35"/>
  <c r="AZ63" i="35" l="1"/>
  <c r="H67" i="35"/>
  <c r="AP70" i="35"/>
  <c r="AW69" i="35"/>
  <c r="AS69" i="35" s="1"/>
  <c r="AF65" i="35"/>
  <c r="AG64" i="35"/>
  <c r="AM64" i="35"/>
  <c r="AI64" i="35" s="1"/>
  <c r="V70" i="35"/>
  <c r="AC69" i="35"/>
  <c r="AN47" i="35"/>
  <c r="AD34" i="35"/>
  <c r="X35" i="35"/>
  <c r="AU49" i="35"/>
  <c r="AX49" i="35" s="1"/>
  <c r="AT49" i="35"/>
  <c r="AR50" i="35" s="1"/>
  <c r="AH49" i="35"/>
  <c r="AJ49" i="35" s="1"/>
  <c r="AK48" i="35"/>
  <c r="AN48" i="35" s="1"/>
  <c r="P48" i="35"/>
  <c r="N49" i="35" s="1"/>
  <c r="Q48" i="35"/>
  <c r="T47" i="35"/>
  <c r="F48" i="35"/>
  <c r="D49" i="35" s="1"/>
  <c r="G48" i="35"/>
  <c r="J47" i="35"/>
  <c r="W64" i="35"/>
  <c r="AW64" i="35" s="1"/>
  <c r="AS64" i="35" s="1"/>
  <c r="E65" i="35"/>
  <c r="Y65" i="35"/>
  <c r="O65" i="35"/>
  <c r="AQ62" i="35"/>
  <c r="M65" i="35"/>
  <c r="C66" i="35"/>
  <c r="AZ64" i="35" l="1"/>
  <c r="V71" i="35"/>
  <c r="AM65" i="35"/>
  <c r="AI65" i="35" s="1"/>
  <c r="AG65" i="35"/>
  <c r="AF66" i="35"/>
  <c r="AP71" i="35"/>
  <c r="H68" i="35"/>
  <c r="Z35" i="35"/>
  <c r="AA35" i="35"/>
  <c r="BB35" i="35" s="1"/>
  <c r="AT50" i="35"/>
  <c r="AR51" i="35" s="1"/>
  <c r="AU50" i="35"/>
  <c r="AX50" i="35" s="1"/>
  <c r="AK49" i="35"/>
  <c r="AN49" i="35" s="1"/>
  <c r="AH50" i="35"/>
  <c r="AJ50" i="35" s="1"/>
  <c r="P49" i="35"/>
  <c r="N50" i="35" s="1"/>
  <c r="Q49" i="35"/>
  <c r="T48" i="35"/>
  <c r="F49" i="35"/>
  <c r="D50" i="35" s="1"/>
  <c r="G49" i="35"/>
  <c r="J48" i="35"/>
  <c r="AQ63" i="35"/>
  <c r="C67" i="35"/>
  <c r="Y66" i="35"/>
  <c r="O66" i="35"/>
  <c r="E66" i="35"/>
  <c r="M66" i="35"/>
  <c r="W65" i="35"/>
  <c r="AZ65" i="35" l="1"/>
  <c r="H69" i="35"/>
  <c r="AP72" i="35"/>
  <c r="AW71" i="35"/>
  <c r="AS71" i="35" s="1"/>
  <c r="AM66" i="35"/>
  <c r="AI66" i="35" s="1"/>
  <c r="AG66" i="35"/>
  <c r="AF67" i="35"/>
  <c r="I67" i="35"/>
  <c r="E67" i="35" s="1"/>
  <c r="AC67" i="35"/>
  <c r="Y67" i="35" s="1"/>
  <c r="V72" i="35"/>
  <c r="AC71" i="35"/>
  <c r="AD35" i="35"/>
  <c r="X36" i="35"/>
  <c r="AU51" i="35"/>
  <c r="AX51" i="35" s="1"/>
  <c r="AT51" i="35"/>
  <c r="AR52" i="35" s="1"/>
  <c r="AK50" i="35"/>
  <c r="AN50" i="35" s="1"/>
  <c r="AH51" i="35"/>
  <c r="AJ51" i="35" s="1"/>
  <c r="P50" i="35"/>
  <c r="N51" i="35" s="1"/>
  <c r="Q50" i="35"/>
  <c r="T49" i="35"/>
  <c r="F50" i="35"/>
  <c r="D51" i="35" s="1"/>
  <c r="G50" i="35"/>
  <c r="J49" i="35"/>
  <c r="C68" i="35"/>
  <c r="W66" i="35"/>
  <c r="AQ64" i="35"/>
  <c r="M67" i="35"/>
  <c r="S67" i="35" s="1"/>
  <c r="O67" i="35" s="1"/>
  <c r="AZ66" i="35" l="1"/>
  <c r="AF68" i="35"/>
  <c r="AG67" i="35"/>
  <c r="AM67" i="35"/>
  <c r="AI67" i="35" s="1"/>
  <c r="AP73" i="35"/>
  <c r="AW72" i="35"/>
  <c r="AS72" i="35" s="1"/>
  <c r="V73" i="35"/>
  <c r="AC72" i="35"/>
  <c r="H70" i="35"/>
  <c r="Z36" i="35"/>
  <c r="AA36" i="35"/>
  <c r="BB36" i="35" s="1"/>
  <c r="AU52" i="35"/>
  <c r="AX52" i="35" s="1"/>
  <c r="AT52" i="35"/>
  <c r="AR53" i="35" s="1"/>
  <c r="AK51" i="35"/>
  <c r="AN51" i="35" s="1"/>
  <c r="AH52" i="35"/>
  <c r="AJ52" i="35" s="1"/>
  <c r="P51" i="35"/>
  <c r="N52" i="35" s="1"/>
  <c r="Q51" i="35"/>
  <c r="T50" i="35"/>
  <c r="F51" i="35"/>
  <c r="D52" i="35" s="1"/>
  <c r="G51" i="35"/>
  <c r="J50" i="35"/>
  <c r="W67" i="35"/>
  <c r="AW67" i="35" s="1"/>
  <c r="AS67" i="35" s="1"/>
  <c r="M68" i="35"/>
  <c r="C69" i="35"/>
  <c r="AQ65" i="35"/>
  <c r="O68" i="35"/>
  <c r="Y68" i="35"/>
  <c r="E68" i="35"/>
  <c r="AZ67" i="35" l="1"/>
  <c r="H71" i="35"/>
  <c r="V74" i="35"/>
  <c r="AP74" i="35"/>
  <c r="AM68" i="35"/>
  <c r="AI68" i="35" s="1"/>
  <c r="AF69" i="35"/>
  <c r="AG68" i="35"/>
  <c r="AD36" i="35"/>
  <c r="X37" i="35"/>
  <c r="AT53" i="35"/>
  <c r="AR54" i="35" s="1"/>
  <c r="AU53" i="35"/>
  <c r="AX53" i="35" s="1"/>
  <c r="AK52" i="35"/>
  <c r="AN52" i="35" s="1"/>
  <c r="AH53" i="35"/>
  <c r="AJ53" i="35" s="1"/>
  <c r="P52" i="35"/>
  <c r="N53" i="35" s="1"/>
  <c r="Q52" i="35"/>
  <c r="T51" i="35"/>
  <c r="F52" i="35"/>
  <c r="D53" i="35" s="1"/>
  <c r="G52" i="35"/>
  <c r="J51" i="35"/>
  <c r="E69" i="35"/>
  <c r="Y69" i="35"/>
  <c r="O69" i="35"/>
  <c r="C70" i="35"/>
  <c r="M69" i="35"/>
  <c r="W68" i="35"/>
  <c r="AQ66" i="35"/>
  <c r="AZ68" i="35" l="1"/>
  <c r="AP75" i="35"/>
  <c r="AW74" i="35"/>
  <c r="AS74" i="35" s="1"/>
  <c r="AQ74" i="35"/>
  <c r="V75" i="35"/>
  <c r="AC74" i="35"/>
  <c r="I70" i="35"/>
  <c r="E70" i="35" s="1"/>
  <c r="AC70" i="35"/>
  <c r="Y70" i="35" s="1"/>
  <c r="AM69" i="35"/>
  <c r="AI69" i="35" s="1"/>
  <c r="AF70" i="35"/>
  <c r="AG69" i="35"/>
  <c r="H72" i="35"/>
  <c r="Z37" i="35"/>
  <c r="AA37" i="35"/>
  <c r="BB37" i="35" s="1"/>
  <c r="BC37" i="35" s="1"/>
  <c r="AU54" i="35"/>
  <c r="AX54" i="35" s="1"/>
  <c r="AT54" i="35"/>
  <c r="AR55" i="35" s="1"/>
  <c r="AK53" i="35"/>
  <c r="AH54" i="35"/>
  <c r="AJ54" i="35" s="1"/>
  <c r="P53" i="35"/>
  <c r="N54" i="35" s="1"/>
  <c r="Q53" i="35"/>
  <c r="T52" i="35"/>
  <c r="F53" i="35"/>
  <c r="D54" i="35" s="1"/>
  <c r="G53" i="35"/>
  <c r="J52" i="35"/>
  <c r="W69" i="35"/>
  <c r="M70" i="35"/>
  <c r="S70" i="35" s="1"/>
  <c r="O70" i="35" s="1"/>
  <c r="C71" i="35"/>
  <c r="AQ67" i="35"/>
  <c r="AZ69" i="35" l="1"/>
  <c r="AC75" i="35"/>
  <c r="Y75" i="35" s="1"/>
  <c r="W75" i="35"/>
  <c r="V76" i="35"/>
  <c r="H73" i="35"/>
  <c r="AG70" i="35"/>
  <c r="AF71" i="35"/>
  <c r="AM70" i="35"/>
  <c r="AI70" i="35" s="1"/>
  <c r="AP76" i="35"/>
  <c r="AW75" i="35"/>
  <c r="AS75" i="35" s="1"/>
  <c r="AQ75" i="35"/>
  <c r="AN53" i="35"/>
  <c r="AD37" i="35"/>
  <c r="X38" i="35"/>
  <c r="AU55" i="35"/>
  <c r="AT55" i="35"/>
  <c r="AR56" i="35" s="1"/>
  <c r="AK54" i="35"/>
  <c r="AN54" i="35" s="1"/>
  <c r="AH55" i="35"/>
  <c r="AJ55" i="35" s="1"/>
  <c r="P54" i="35"/>
  <c r="N55" i="35" s="1"/>
  <c r="Q54" i="35"/>
  <c r="T53" i="35"/>
  <c r="F54" i="35"/>
  <c r="D55" i="35" s="1"/>
  <c r="G54" i="35"/>
  <c r="J53" i="35"/>
  <c r="W70" i="35"/>
  <c r="AW70" i="35" s="1"/>
  <c r="AS70" i="35" s="1"/>
  <c r="C72" i="35"/>
  <c r="Y71" i="35"/>
  <c r="E71" i="35"/>
  <c r="O71" i="35"/>
  <c r="AQ68" i="35"/>
  <c r="M71" i="35"/>
  <c r="AZ70" i="35" l="1"/>
  <c r="AM71" i="35"/>
  <c r="AI71" i="35" s="1"/>
  <c r="AF72" i="35"/>
  <c r="AG71" i="35"/>
  <c r="H74" i="35"/>
  <c r="V77" i="35"/>
  <c r="W76" i="35"/>
  <c r="AW76" i="35" s="1"/>
  <c r="AS76" i="35" s="1"/>
  <c r="AC76" i="35"/>
  <c r="Y76" i="35" s="1"/>
  <c r="AP77" i="35"/>
  <c r="AQ76" i="35"/>
  <c r="Z38" i="35"/>
  <c r="AA38" i="35"/>
  <c r="BB38" i="35" s="1"/>
  <c r="AX55" i="35"/>
  <c r="AT56" i="35"/>
  <c r="AR57" i="35" s="1"/>
  <c r="AU56" i="35"/>
  <c r="AX56" i="35" s="1"/>
  <c r="AK55" i="35"/>
  <c r="AH56" i="35"/>
  <c r="AJ56" i="35" s="1"/>
  <c r="T54" i="35"/>
  <c r="P55" i="35"/>
  <c r="N56" i="35" s="1"/>
  <c r="Q55" i="35"/>
  <c r="F55" i="35"/>
  <c r="D56" i="35" s="1"/>
  <c r="G55" i="35"/>
  <c r="J54" i="35"/>
  <c r="AQ69" i="35"/>
  <c r="C74" i="35"/>
  <c r="C73" i="35"/>
  <c r="Y72" i="35"/>
  <c r="O72" i="35"/>
  <c r="E72" i="35"/>
  <c r="M72" i="35"/>
  <c r="W71" i="35"/>
  <c r="AZ71" i="35" l="1"/>
  <c r="D40" i="7"/>
  <c r="D41" i="7" s="1"/>
  <c r="E38" i="7" s="1"/>
  <c r="D42" i="7"/>
  <c r="D34" i="7"/>
  <c r="D35" i="7" s="1"/>
  <c r="E32" i="7" s="1"/>
  <c r="D28" i="7"/>
  <c r="D29" i="7" s="1"/>
  <c r="E26" i="7" s="1"/>
  <c r="D22" i="7"/>
  <c r="D46" i="7"/>
  <c r="D47" i="7" s="1"/>
  <c r="AC77" i="35"/>
  <c r="Y77" i="35" s="1"/>
  <c r="W77" i="35"/>
  <c r="V78" i="35"/>
  <c r="I73" i="35"/>
  <c r="I137" i="35" s="1"/>
  <c r="AC73" i="35"/>
  <c r="Y73" i="35" s="1"/>
  <c r="H75" i="35"/>
  <c r="H76" i="35" s="1"/>
  <c r="H77" i="35" s="1"/>
  <c r="H78" i="35" s="1"/>
  <c r="H79" i="35" s="1"/>
  <c r="H80" i="35" s="1"/>
  <c r="H81" i="35" s="1"/>
  <c r="H82" i="35" s="1"/>
  <c r="H83" i="35" s="1"/>
  <c r="H84" i="35" s="1"/>
  <c r="H85" i="35" s="1"/>
  <c r="H86" i="35" s="1"/>
  <c r="H87" i="35" s="1"/>
  <c r="H88" i="35" s="1"/>
  <c r="H89" i="35" s="1"/>
  <c r="H90" i="35" s="1"/>
  <c r="H91" i="35" s="1"/>
  <c r="H92" i="35" s="1"/>
  <c r="H93" i="35" s="1"/>
  <c r="H94" i="35" s="1"/>
  <c r="H95" i="35" s="1"/>
  <c r="H96" i="35" s="1"/>
  <c r="H97" i="35" s="1"/>
  <c r="H98" i="35" s="1"/>
  <c r="H99" i="35" s="1"/>
  <c r="H100" i="35" s="1"/>
  <c r="H101" i="35" s="1"/>
  <c r="H102" i="35" s="1"/>
  <c r="H103" i="35" s="1"/>
  <c r="H104" i="35" s="1"/>
  <c r="H105" i="35" s="1"/>
  <c r="H106" i="35" s="1"/>
  <c r="H107" i="35" s="1"/>
  <c r="H108" i="35" s="1"/>
  <c r="H109" i="35" s="1"/>
  <c r="H110" i="35" s="1"/>
  <c r="H111" i="35" s="1"/>
  <c r="H112" i="35" s="1"/>
  <c r="H113" i="35" s="1"/>
  <c r="H114" i="35" s="1"/>
  <c r="H115" i="35" s="1"/>
  <c r="H116" i="35" s="1"/>
  <c r="H117" i="35" s="1"/>
  <c r="H118" i="35" s="1"/>
  <c r="H119" i="35" s="1"/>
  <c r="H120" i="35" s="1"/>
  <c r="H121" i="35" s="1"/>
  <c r="H122" i="35" s="1"/>
  <c r="H123" i="35" s="1"/>
  <c r="H124" i="35" s="1"/>
  <c r="H125" i="35" s="1"/>
  <c r="H126" i="35" s="1"/>
  <c r="H127" i="35" s="1"/>
  <c r="H128" i="35" s="1"/>
  <c r="H129" i="35" s="1"/>
  <c r="H130" i="35" s="1"/>
  <c r="H131" i="35" s="1"/>
  <c r="H132" i="35" s="1"/>
  <c r="H133" i="35" s="1"/>
  <c r="H134" i="35" s="1"/>
  <c r="H135" i="35" s="1"/>
  <c r="H136" i="35" s="1"/>
  <c r="N22" i="7"/>
  <c r="P46" i="7"/>
  <c r="P30" i="7"/>
  <c r="P40" i="7"/>
  <c r="L28" i="7"/>
  <c r="P36" i="7"/>
  <c r="P24" i="7"/>
  <c r="K28" i="7"/>
  <c r="O22" i="7"/>
  <c r="E46" i="7"/>
  <c r="E40" i="7"/>
  <c r="K22" i="7"/>
  <c r="O28" i="7"/>
  <c r="P48" i="7"/>
  <c r="P42" i="7"/>
  <c r="P22" i="7"/>
  <c r="L22" i="7"/>
  <c r="P28" i="7"/>
  <c r="J28" i="7"/>
  <c r="P34" i="7"/>
  <c r="M22" i="7"/>
  <c r="G46" i="7"/>
  <c r="M28" i="7"/>
  <c r="N28" i="7"/>
  <c r="H46" i="7"/>
  <c r="AM72" i="35"/>
  <c r="AI72" i="35" s="1"/>
  <c r="AF73" i="35"/>
  <c r="AG72" i="35"/>
  <c r="AP78" i="35"/>
  <c r="AW77" i="35"/>
  <c r="AS77" i="35" s="1"/>
  <c r="AQ77" i="35"/>
  <c r="AN55" i="35"/>
  <c r="AD38" i="35"/>
  <c r="X39" i="35"/>
  <c r="AU57" i="35"/>
  <c r="AX57" i="35" s="1"/>
  <c r="AT57" i="35"/>
  <c r="AR58" i="35" s="1"/>
  <c r="AK56" i="35"/>
  <c r="AN56" i="35" s="1"/>
  <c r="AH57" i="35"/>
  <c r="AJ57" i="35" s="1"/>
  <c r="P56" i="35"/>
  <c r="N57" i="35" s="1"/>
  <c r="Q56" i="35"/>
  <c r="T55" i="35"/>
  <c r="F56" i="35"/>
  <c r="D57" i="35" s="1"/>
  <c r="G56" i="35"/>
  <c r="J55" i="35"/>
  <c r="AQ70" i="35"/>
  <c r="W72" i="35"/>
  <c r="C36" i="7"/>
  <c r="C48" i="7"/>
  <c r="C28" i="7"/>
  <c r="C34" i="7"/>
  <c r="C42" i="7"/>
  <c r="C22" i="7"/>
  <c r="C24" i="7"/>
  <c r="C46" i="7"/>
  <c r="C40" i="7"/>
  <c r="C30" i="7"/>
  <c r="M73" i="35"/>
  <c r="S73" i="35" s="1"/>
  <c r="S137" i="35" s="1"/>
  <c r="AZ72" i="35" l="1"/>
  <c r="E73" i="35"/>
  <c r="O73" i="35"/>
  <c r="AG73" i="35"/>
  <c r="AF74" i="35"/>
  <c r="AM73" i="35"/>
  <c r="AI73" i="35" s="1"/>
  <c r="AC78" i="35"/>
  <c r="Y78" i="35" s="1"/>
  <c r="W78" i="35"/>
  <c r="V79" i="35"/>
  <c r="AP79" i="35"/>
  <c r="AW78" i="35"/>
  <c r="AS78" i="35" s="1"/>
  <c r="AQ78" i="35"/>
  <c r="E28" i="7"/>
  <c r="E29" i="7" s="1"/>
  <c r="F26" i="7" s="1"/>
  <c r="F28" i="7"/>
  <c r="G28" i="7"/>
  <c r="H28" i="7"/>
  <c r="Z39" i="35"/>
  <c r="AA39" i="35"/>
  <c r="BB39" i="35" s="1"/>
  <c r="AT58" i="35"/>
  <c r="AR59" i="35" s="1"/>
  <c r="AU58" i="35"/>
  <c r="AK57" i="35"/>
  <c r="AH58" i="35"/>
  <c r="AJ58" i="35" s="1"/>
  <c r="P57" i="35"/>
  <c r="N58" i="35" s="1"/>
  <c r="Q57" i="35"/>
  <c r="T56" i="35"/>
  <c r="F57" i="35"/>
  <c r="D58" i="35" s="1"/>
  <c r="G57" i="35"/>
  <c r="J56" i="35"/>
  <c r="E41" i="7"/>
  <c r="F38" i="7" s="1"/>
  <c r="D53" i="7"/>
  <c r="D49" i="7"/>
  <c r="C75" i="31" s="1"/>
  <c r="D23" i="7"/>
  <c r="P49" i="7"/>
  <c r="P53" i="7"/>
  <c r="W73" i="35"/>
  <c r="AW73" i="35" s="1"/>
  <c r="AS73" i="35" s="1"/>
  <c r="I46" i="7" s="1"/>
  <c r="W74" i="35"/>
  <c r="AQ71" i="35"/>
  <c r="E44" i="7"/>
  <c r="E47" i="7" s="1"/>
  <c r="E74" i="35"/>
  <c r="Y74" i="35"/>
  <c r="O137" i="35" l="1"/>
  <c r="J22" i="7"/>
  <c r="I28" i="7"/>
  <c r="Q28" i="7" s="1"/>
  <c r="AZ73" i="35"/>
  <c r="AM74" i="35"/>
  <c r="AI74" i="35" s="1"/>
  <c r="AF75" i="35"/>
  <c r="AG74" i="35"/>
  <c r="AP80" i="35"/>
  <c r="AQ79" i="35"/>
  <c r="V80" i="35"/>
  <c r="W79" i="35"/>
  <c r="AW79" i="35" s="1"/>
  <c r="AS79" i="35" s="1"/>
  <c r="AC79" i="35"/>
  <c r="Y79" i="35" s="1"/>
  <c r="D52" i="7"/>
  <c r="F29" i="7"/>
  <c r="G26" i="7" s="1"/>
  <c r="G29" i="7" s="1"/>
  <c r="H26" i="7" s="1"/>
  <c r="H29" i="7" s="1"/>
  <c r="I26" i="7" s="1"/>
  <c r="AD39" i="35"/>
  <c r="X40" i="35"/>
  <c r="E34" i="7"/>
  <c r="E35" i="7" s="1"/>
  <c r="F32" i="7" s="1"/>
  <c r="F34" i="7"/>
  <c r="G34" i="7"/>
  <c r="H34" i="7"/>
  <c r="I34" i="7"/>
  <c r="E22" i="7"/>
  <c r="E137" i="35"/>
  <c r="F22" i="7"/>
  <c r="G22" i="7"/>
  <c r="H22" i="7"/>
  <c r="I22" i="7"/>
  <c r="AN57" i="35"/>
  <c r="AU59" i="35"/>
  <c r="AT59" i="35"/>
  <c r="AR60" i="35" s="1"/>
  <c r="AH59" i="35"/>
  <c r="AJ59" i="35" s="1"/>
  <c r="AK58" i="35"/>
  <c r="AN58" i="35" s="1"/>
  <c r="P58" i="35"/>
  <c r="N59" i="35" s="1"/>
  <c r="Q58" i="35"/>
  <c r="T57" i="35"/>
  <c r="F58" i="35"/>
  <c r="D59" i="35" s="1"/>
  <c r="G58" i="35"/>
  <c r="J57" i="35"/>
  <c r="AQ72" i="35"/>
  <c r="E20" i="7"/>
  <c r="F44" i="7"/>
  <c r="AX58" i="35"/>
  <c r="AZ74" i="35" l="1"/>
  <c r="J58" i="35"/>
  <c r="AP81" i="35"/>
  <c r="AW80" i="35"/>
  <c r="AS80" i="35" s="1"/>
  <c r="AQ80" i="35"/>
  <c r="AM75" i="35"/>
  <c r="AI75" i="35" s="1"/>
  <c r="AG75" i="35"/>
  <c r="AF76" i="35"/>
  <c r="AC80" i="35"/>
  <c r="Y80" i="35" s="1"/>
  <c r="W80" i="35"/>
  <c r="V81" i="35"/>
  <c r="E23" i="7"/>
  <c r="F35" i="7"/>
  <c r="G32" i="7" s="1"/>
  <c r="G35" i="7" s="1"/>
  <c r="H32" i="7" s="1"/>
  <c r="H35" i="7" s="1"/>
  <c r="I32" i="7" s="1"/>
  <c r="I35" i="7" s="1"/>
  <c r="J32" i="7" s="1"/>
  <c r="Z40" i="35"/>
  <c r="AA40" i="35"/>
  <c r="BB40" i="35" s="1"/>
  <c r="BC40" i="35" s="1"/>
  <c r="BD37" i="35" s="1"/>
  <c r="E49" i="7"/>
  <c r="D65" i="28" s="1"/>
  <c r="E53" i="7"/>
  <c r="E109" i="58" s="1"/>
  <c r="AU60" i="35"/>
  <c r="AX60" i="35" s="1"/>
  <c r="AT60" i="35"/>
  <c r="AR61" i="35" s="1"/>
  <c r="AK59" i="35"/>
  <c r="AN59" i="35" s="1"/>
  <c r="AH60" i="35"/>
  <c r="AJ60" i="35" s="1"/>
  <c r="T58" i="35"/>
  <c r="P59" i="35"/>
  <c r="N60" i="35" s="1"/>
  <c r="Q59" i="35"/>
  <c r="T59" i="35" s="1"/>
  <c r="F59" i="35"/>
  <c r="D60" i="35" s="1"/>
  <c r="G59" i="35"/>
  <c r="Q22" i="7"/>
  <c r="I29" i="7"/>
  <c r="J26" i="7" s="1"/>
  <c r="J29" i="7" s="1"/>
  <c r="K26" i="7" s="1"/>
  <c r="K29" i="7" s="1"/>
  <c r="L26" i="7" s="1"/>
  <c r="L29" i="7" s="1"/>
  <c r="M26" i="7" s="1"/>
  <c r="M29" i="7" s="1"/>
  <c r="N26" i="7" s="1"/>
  <c r="N29" i="7" s="1"/>
  <c r="O26" i="7" s="1"/>
  <c r="O29" i="7" s="1"/>
  <c r="P26" i="7" s="1"/>
  <c r="P29" i="7" s="1"/>
  <c r="AQ73" i="35"/>
  <c r="AX59" i="35"/>
  <c r="F20" i="7" l="1"/>
  <c r="F23" i="7" s="1"/>
  <c r="G20" i="7" s="1"/>
  <c r="G23" i="7" s="1"/>
  <c r="AZ75" i="35"/>
  <c r="C38" i="31"/>
  <c r="D75" i="31"/>
  <c r="J59" i="35"/>
  <c r="AF77" i="35"/>
  <c r="AG76" i="35"/>
  <c r="AM76" i="35"/>
  <c r="AI76" i="35" s="1"/>
  <c r="AC81" i="35"/>
  <c r="Y81" i="35" s="1"/>
  <c r="W81" i="35"/>
  <c r="V82" i="35"/>
  <c r="AP82" i="35"/>
  <c r="AW81" i="35"/>
  <c r="AS81" i="35" s="1"/>
  <c r="AQ81" i="35"/>
  <c r="H45" i="27"/>
  <c r="E52" i="7"/>
  <c r="AD40" i="35"/>
  <c r="X41" i="35"/>
  <c r="AT61" i="35"/>
  <c r="AR62" i="35" s="1"/>
  <c r="AU61" i="35"/>
  <c r="AK60" i="35"/>
  <c r="AN60" i="35" s="1"/>
  <c r="AH61" i="35"/>
  <c r="AJ61" i="35" s="1"/>
  <c r="P60" i="35"/>
  <c r="N61" i="35" s="1"/>
  <c r="Q60" i="35"/>
  <c r="F60" i="35"/>
  <c r="D61" i="35" s="1"/>
  <c r="G60" i="35"/>
  <c r="J118" i="48"/>
  <c r="I118" i="48"/>
  <c r="D26" i="28" l="1"/>
  <c r="H43" i="27"/>
  <c r="AZ76" i="35"/>
  <c r="W82" i="35"/>
  <c r="V83" i="35"/>
  <c r="AC82" i="35"/>
  <c r="Y82" i="35" s="1"/>
  <c r="AM77" i="35"/>
  <c r="AI77" i="35" s="1"/>
  <c r="AG77" i="35"/>
  <c r="AF78" i="35"/>
  <c r="AP83" i="35"/>
  <c r="AQ82" i="35"/>
  <c r="AW82" i="35"/>
  <c r="AS82" i="35" s="1"/>
  <c r="C135" i="31"/>
  <c r="C134" i="31" s="1"/>
  <c r="H53" i="27"/>
  <c r="Z41" i="35"/>
  <c r="AA41" i="35"/>
  <c r="BB41" i="35" s="1"/>
  <c r="AU62" i="35"/>
  <c r="AX62" i="35" s="1"/>
  <c r="AT62" i="35"/>
  <c r="AR63" i="35" s="1"/>
  <c r="AH62" i="35"/>
  <c r="AJ62" i="35" s="1"/>
  <c r="AK61" i="35"/>
  <c r="AN61" i="35" s="1"/>
  <c r="P61" i="35"/>
  <c r="N62" i="35" s="1"/>
  <c r="Q61" i="35"/>
  <c r="T60" i="35"/>
  <c r="F61" i="35"/>
  <c r="D62" i="35" s="1"/>
  <c r="G61" i="35"/>
  <c r="J60" i="35"/>
  <c r="J130" i="48"/>
  <c r="J140" i="48" s="1"/>
  <c r="J249" i="48"/>
  <c r="I130" i="48"/>
  <c r="I140" i="48" s="1"/>
  <c r="I246" i="48" s="1"/>
  <c r="H20" i="7"/>
  <c r="H23" i="7" s="1"/>
  <c r="AX61" i="35"/>
  <c r="E60" i="31" l="1"/>
  <c r="AZ77" i="35"/>
  <c r="J61" i="35"/>
  <c r="AP84" i="35"/>
  <c r="AW83" i="35"/>
  <c r="AS83" i="35" s="1"/>
  <c r="AQ83" i="35"/>
  <c r="AM78" i="35"/>
  <c r="AI78" i="35" s="1"/>
  <c r="AG78" i="35"/>
  <c r="AF79" i="35"/>
  <c r="AC83" i="35"/>
  <c r="Y83" i="35" s="1"/>
  <c r="V84" i="35"/>
  <c r="W83" i="35"/>
  <c r="C168" i="31"/>
  <c r="C138" i="31"/>
  <c r="AD41" i="35"/>
  <c r="X42" i="35"/>
  <c r="AU63" i="35"/>
  <c r="AX63" i="35" s="1"/>
  <c r="AT63" i="35"/>
  <c r="AR64" i="35" s="1"/>
  <c r="AK62" i="35"/>
  <c r="AN62" i="35" s="1"/>
  <c r="AH63" i="35"/>
  <c r="AJ63" i="35" s="1"/>
  <c r="P62" i="35"/>
  <c r="N63" i="35" s="1"/>
  <c r="Q62" i="35"/>
  <c r="T62" i="35" s="1"/>
  <c r="T61" i="35"/>
  <c r="F62" i="35"/>
  <c r="D63" i="35" s="1"/>
  <c r="G62" i="35"/>
  <c r="J246" i="48"/>
  <c r="I20" i="7"/>
  <c r="I23" i="7" s="1"/>
  <c r="AZ78" i="35" l="1"/>
  <c r="AF80" i="35"/>
  <c r="AG79" i="35"/>
  <c r="AM79" i="35"/>
  <c r="AI79" i="35" s="1"/>
  <c r="AC84" i="35"/>
  <c r="Y84" i="35" s="1"/>
  <c r="V85" i="35"/>
  <c r="W84" i="35"/>
  <c r="AP85" i="35"/>
  <c r="AW84" i="35"/>
  <c r="AS84" i="35" s="1"/>
  <c r="AQ84" i="35"/>
  <c r="Z42" i="35"/>
  <c r="AA42" i="35"/>
  <c r="BB42" i="35" s="1"/>
  <c r="AT64" i="35"/>
  <c r="AR65" i="35" s="1"/>
  <c r="AU64" i="35"/>
  <c r="AX64" i="35" s="1"/>
  <c r="AK63" i="35"/>
  <c r="AN63" i="35" s="1"/>
  <c r="AH64" i="35"/>
  <c r="AJ64" i="35" s="1"/>
  <c r="P63" i="35"/>
  <c r="N64" i="35" s="1"/>
  <c r="Q63" i="35"/>
  <c r="F63" i="35"/>
  <c r="D64" i="35" s="1"/>
  <c r="G63" i="35"/>
  <c r="J62" i="35"/>
  <c r="P54" i="7"/>
  <c r="P50" i="7"/>
  <c r="J20" i="7"/>
  <c r="J23" i="7" s="1"/>
  <c r="AZ79" i="35" l="1"/>
  <c r="AP86" i="35"/>
  <c r="AQ85" i="35"/>
  <c r="W85" i="35"/>
  <c r="AW85" i="35" s="1"/>
  <c r="AS85" i="35" s="1"/>
  <c r="V86" i="35"/>
  <c r="AC85" i="35"/>
  <c r="Y85" i="35" s="1"/>
  <c r="AM80" i="35"/>
  <c r="AI80" i="35" s="1"/>
  <c r="AF81" i="35"/>
  <c r="AG80" i="35"/>
  <c r="AD42" i="35"/>
  <c r="X43" i="35"/>
  <c r="AU65" i="35"/>
  <c r="AT65" i="35"/>
  <c r="AR66" i="35" s="1"/>
  <c r="AK64" i="35"/>
  <c r="AN64" i="35" s="1"/>
  <c r="AH65" i="35"/>
  <c r="AJ65" i="35" s="1"/>
  <c r="P64" i="35"/>
  <c r="N65" i="35" s="1"/>
  <c r="Q64" i="35"/>
  <c r="T63" i="35"/>
  <c r="F64" i="35"/>
  <c r="D65" i="35" s="1"/>
  <c r="G64" i="35"/>
  <c r="J63" i="35"/>
  <c r="K20" i="7"/>
  <c r="K23" i="7" s="1"/>
  <c r="AZ80" i="35" l="1"/>
  <c r="AC86" i="35"/>
  <c r="Y86" i="35" s="1"/>
  <c r="W86" i="35"/>
  <c r="V87" i="35"/>
  <c r="AM81" i="35"/>
  <c r="AI81" i="35" s="1"/>
  <c r="AF82" i="35"/>
  <c r="AG81" i="35"/>
  <c r="AP87" i="35"/>
  <c r="AW86" i="35"/>
  <c r="AS86" i="35" s="1"/>
  <c r="AQ86" i="35"/>
  <c r="Z43" i="35"/>
  <c r="AA43" i="35"/>
  <c r="BB43" i="35" s="1"/>
  <c r="BC43" i="35" s="1"/>
  <c r="AT66" i="35"/>
  <c r="AR67" i="35" s="1"/>
  <c r="AU66" i="35"/>
  <c r="AX66" i="35" s="1"/>
  <c r="AK65" i="35"/>
  <c r="AH66" i="35"/>
  <c r="AJ66" i="35" s="1"/>
  <c r="P65" i="35"/>
  <c r="N66" i="35" s="1"/>
  <c r="Q65" i="35"/>
  <c r="T64" i="35"/>
  <c r="F65" i="35"/>
  <c r="D66" i="35" s="1"/>
  <c r="G65" i="35"/>
  <c r="J64" i="35"/>
  <c r="AX65" i="35"/>
  <c r="L20" i="7"/>
  <c r="L23" i="7" s="1"/>
  <c r="AZ81" i="35" l="1"/>
  <c r="J65" i="35"/>
  <c r="AF83" i="35"/>
  <c r="AG82" i="35"/>
  <c r="AM82" i="35"/>
  <c r="AI82" i="35" s="1"/>
  <c r="AC87" i="35"/>
  <c r="Y87" i="35" s="1"/>
  <c r="W87" i="35"/>
  <c r="V88" i="35"/>
  <c r="AP88" i="35"/>
  <c r="AW87" i="35"/>
  <c r="AS87" i="35" s="1"/>
  <c r="AQ87" i="35"/>
  <c r="T65" i="35"/>
  <c r="AN65" i="35"/>
  <c r="AD43" i="35"/>
  <c r="X44" i="35"/>
  <c r="AU67" i="35"/>
  <c r="AT67" i="35"/>
  <c r="AR68" i="35" s="1"/>
  <c r="AK66" i="35"/>
  <c r="AN66" i="35" s="1"/>
  <c r="AH67" i="35"/>
  <c r="AJ67" i="35" s="1"/>
  <c r="P66" i="35"/>
  <c r="Q66" i="35"/>
  <c r="F66" i="35"/>
  <c r="D67" i="35" s="1"/>
  <c r="G66" i="35"/>
  <c r="M20" i="7"/>
  <c r="M23" i="7" s="1"/>
  <c r="AZ82" i="35" l="1"/>
  <c r="W88" i="35"/>
  <c r="AW88" i="35" s="1"/>
  <c r="AS88" i="35" s="1"/>
  <c r="V89" i="35"/>
  <c r="AC88" i="35"/>
  <c r="Y88" i="35" s="1"/>
  <c r="AP89" i="35"/>
  <c r="AQ88" i="35"/>
  <c r="AM83" i="35"/>
  <c r="AI83" i="35" s="1"/>
  <c r="AF84" i="35"/>
  <c r="AG83" i="35"/>
  <c r="Z44" i="35"/>
  <c r="AA44" i="35"/>
  <c r="BB44" i="35" s="1"/>
  <c r="AU68" i="35"/>
  <c r="AX68" i="35" s="1"/>
  <c r="AT68" i="35"/>
  <c r="AR69" i="35" s="1"/>
  <c r="AK67" i="35"/>
  <c r="AH68" i="35"/>
  <c r="AJ68" i="35" s="1"/>
  <c r="T66" i="35"/>
  <c r="N67" i="35"/>
  <c r="F67" i="35"/>
  <c r="D68" i="35" s="1"/>
  <c r="G67" i="35"/>
  <c r="J66" i="35"/>
  <c r="AX67" i="35"/>
  <c r="N20" i="7"/>
  <c r="N23" i="7" s="1"/>
  <c r="AZ83" i="35" l="1"/>
  <c r="J67" i="35"/>
  <c r="AP90" i="35"/>
  <c r="AW89" i="35"/>
  <c r="AS89" i="35" s="1"/>
  <c r="AQ89" i="35"/>
  <c r="AC89" i="35"/>
  <c r="Y89" i="35" s="1"/>
  <c r="W89" i="35"/>
  <c r="V90" i="35"/>
  <c r="AM84" i="35"/>
  <c r="AI84" i="35" s="1"/>
  <c r="AG84" i="35"/>
  <c r="AF85" i="35"/>
  <c r="AN67" i="35"/>
  <c r="AD44" i="35"/>
  <c r="X45" i="35"/>
  <c r="AT69" i="35"/>
  <c r="AR70" i="35" s="1"/>
  <c r="AU69" i="35"/>
  <c r="AH69" i="35"/>
  <c r="AJ69" i="35" s="1"/>
  <c r="AK68" i="35"/>
  <c r="AN68" i="35" s="1"/>
  <c r="P67" i="35"/>
  <c r="N68" i="35" s="1"/>
  <c r="Q67" i="35"/>
  <c r="F68" i="35"/>
  <c r="D69" i="35" s="1"/>
  <c r="G68" i="35"/>
  <c r="O20" i="7"/>
  <c r="O23" i="7" s="1"/>
  <c r="P20" i="7" s="1"/>
  <c r="P23" i="7" s="1"/>
  <c r="AZ84" i="35" l="1"/>
  <c r="AC90" i="35"/>
  <c r="Y90" i="35" s="1"/>
  <c r="W90" i="35"/>
  <c r="V91" i="35"/>
  <c r="AG85" i="35"/>
  <c r="AF86" i="35"/>
  <c r="AM85" i="35"/>
  <c r="AI85" i="35" s="1"/>
  <c r="AP91" i="35"/>
  <c r="AW90" i="35"/>
  <c r="AS90" i="35" s="1"/>
  <c r="AQ90" i="35"/>
  <c r="Z45" i="35"/>
  <c r="AA45" i="35"/>
  <c r="BB45" i="35" s="1"/>
  <c r="T67" i="35"/>
  <c r="AU70" i="35"/>
  <c r="AX70" i="35" s="1"/>
  <c r="AT70" i="35"/>
  <c r="AR71" i="35" s="1"/>
  <c r="AH70" i="35"/>
  <c r="AJ70" i="35" s="1"/>
  <c r="AK69" i="35"/>
  <c r="P68" i="35"/>
  <c r="Q68" i="35"/>
  <c r="F69" i="35"/>
  <c r="D70" i="35" s="1"/>
  <c r="G69" i="35"/>
  <c r="J68" i="35"/>
  <c r="AX69" i="35"/>
  <c r="AZ85" i="35" l="1"/>
  <c r="J69" i="35"/>
  <c r="AM86" i="35"/>
  <c r="AI86" i="35" s="1"/>
  <c r="AG86" i="35"/>
  <c r="AF87" i="35"/>
  <c r="W91" i="35"/>
  <c r="AW91" i="35" s="1"/>
  <c r="AS91" i="35" s="1"/>
  <c r="V92" i="35"/>
  <c r="AC91" i="35"/>
  <c r="Y91" i="35" s="1"/>
  <c r="AP92" i="35"/>
  <c r="AQ91" i="35"/>
  <c r="AN69" i="35"/>
  <c r="AD45" i="35"/>
  <c r="X46" i="35"/>
  <c r="AU71" i="35"/>
  <c r="AT71" i="35"/>
  <c r="AR72" i="35" s="1"/>
  <c r="AK70" i="35"/>
  <c r="AN70" i="35" s="1"/>
  <c r="AH71" i="35"/>
  <c r="AJ71" i="35" s="1"/>
  <c r="T68" i="35"/>
  <c r="N69" i="35"/>
  <c r="F70" i="35"/>
  <c r="D71" i="35" s="1"/>
  <c r="G70" i="35"/>
  <c r="AZ86" i="35" l="1"/>
  <c r="AC92" i="35"/>
  <c r="Y92" i="35" s="1"/>
  <c r="W92" i="35"/>
  <c r="V93" i="35"/>
  <c r="AP93" i="35"/>
  <c r="AW92" i="35"/>
  <c r="AS92" i="35" s="1"/>
  <c r="AQ92" i="35"/>
  <c r="AM87" i="35"/>
  <c r="AI87" i="35" s="1"/>
  <c r="AF88" i="35"/>
  <c r="AG87" i="35"/>
  <c r="Z46" i="35"/>
  <c r="AA46" i="35"/>
  <c r="BB46" i="35" s="1"/>
  <c r="BC46" i="35" s="1"/>
  <c r="AT72" i="35"/>
  <c r="AR73" i="35" s="1"/>
  <c r="AU72" i="35"/>
  <c r="AX72" i="35" s="1"/>
  <c r="AK71" i="35"/>
  <c r="AH72" i="35"/>
  <c r="AJ72" i="35" s="1"/>
  <c r="P69" i="35"/>
  <c r="N70" i="35" s="1"/>
  <c r="Q69" i="35"/>
  <c r="F71" i="35"/>
  <c r="D72" i="35" s="1"/>
  <c r="G71" i="35"/>
  <c r="J70" i="35"/>
  <c r="AX71" i="35"/>
  <c r="AZ87" i="35" l="1"/>
  <c r="J71" i="35"/>
  <c r="AF89" i="35"/>
  <c r="AG88" i="35"/>
  <c r="AM88" i="35"/>
  <c r="AI88" i="35" s="1"/>
  <c r="AP94" i="35"/>
  <c r="AW93" i="35"/>
  <c r="AS93" i="35" s="1"/>
  <c r="AQ93" i="35"/>
  <c r="AC93" i="35"/>
  <c r="Y93" i="35" s="1"/>
  <c r="V94" i="35"/>
  <c r="W93" i="35"/>
  <c r="T69" i="35"/>
  <c r="AN71" i="35"/>
  <c r="AD46" i="35"/>
  <c r="X47" i="35"/>
  <c r="AT73" i="35"/>
  <c r="AR74" i="35" s="1"/>
  <c r="AU73" i="35"/>
  <c r="AK72" i="35"/>
  <c r="AN72" i="35" s="1"/>
  <c r="AH73" i="35"/>
  <c r="AJ73" i="35" s="1"/>
  <c r="P70" i="35"/>
  <c r="Q70" i="35"/>
  <c r="F72" i="35"/>
  <c r="D73" i="35" s="1"/>
  <c r="G72" i="35"/>
  <c r="AZ88" i="35" l="1"/>
  <c r="V95" i="35"/>
  <c r="W94" i="35"/>
  <c r="AW94" i="35" s="1"/>
  <c r="AS94" i="35" s="1"/>
  <c r="AC94" i="35"/>
  <c r="Y94" i="35" s="1"/>
  <c r="AP95" i="35"/>
  <c r="AQ94" i="35"/>
  <c r="AM89" i="35"/>
  <c r="AI89" i="35" s="1"/>
  <c r="AG89" i="35"/>
  <c r="AF90" i="35"/>
  <c r="Z47" i="35"/>
  <c r="AA47" i="35"/>
  <c r="BB47" i="35" s="1"/>
  <c r="AT74" i="35"/>
  <c r="AR75" i="35" s="1"/>
  <c r="AU74" i="35"/>
  <c r="AK73" i="35"/>
  <c r="AN73" i="35" s="1"/>
  <c r="AH74" i="35"/>
  <c r="AJ74" i="35" s="1"/>
  <c r="T70" i="35"/>
  <c r="N71" i="35"/>
  <c r="F73" i="35"/>
  <c r="D74" i="35" s="1"/>
  <c r="G73" i="35"/>
  <c r="J72" i="35"/>
  <c r="AX73" i="35"/>
  <c r="AZ89" i="35" l="1"/>
  <c r="J73" i="35"/>
  <c r="AP96" i="35"/>
  <c r="AW95" i="35"/>
  <c r="AS95" i="35" s="1"/>
  <c r="AQ95" i="35"/>
  <c r="AM90" i="35"/>
  <c r="AI90" i="35" s="1"/>
  <c r="AF91" i="35"/>
  <c r="AG90" i="35"/>
  <c r="AC95" i="35"/>
  <c r="Y95" i="35" s="1"/>
  <c r="W95" i="35"/>
  <c r="V96" i="35"/>
  <c r="AD47" i="35"/>
  <c r="X48" i="35"/>
  <c r="AU75" i="35"/>
  <c r="AT75" i="35"/>
  <c r="AR76" i="35" s="1"/>
  <c r="AK74" i="35"/>
  <c r="AN74" i="35" s="1"/>
  <c r="AH75" i="35"/>
  <c r="AJ75" i="35" s="1"/>
  <c r="P71" i="35"/>
  <c r="N72" i="35" s="1"/>
  <c r="Q71" i="35"/>
  <c r="F74" i="35"/>
  <c r="D75" i="35" s="1"/>
  <c r="G74" i="35"/>
  <c r="AX74" i="35"/>
  <c r="AX137" i="35" s="1"/>
  <c r="AZ90" i="35" l="1"/>
  <c r="J74" i="35"/>
  <c r="AF92" i="35"/>
  <c r="AG91" i="35"/>
  <c r="AM91" i="35"/>
  <c r="AI91" i="35" s="1"/>
  <c r="AC96" i="35"/>
  <c r="Y96" i="35" s="1"/>
  <c r="W96" i="35"/>
  <c r="V97" i="35"/>
  <c r="AP97" i="35"/>
  <c r="AW96" i="35"/>
  <c r="AS96" i="35" s="1"/>
  <c r="AQ96" i="35"/>
  <c r="Z48" i="35"/>
  <c r="AA48" i="35"/>
  <c r="BB48" i="35" s="1"/>
  <c r="AU76" i="35"/>
  <c r="AT76" i="35"/>
  <c r="AR77" i="35" s="1"/>
  <c r="AK75" i="35"/>
  <c r="AN75" i="35" s="1"/>
  <c r="AH76" i="35"/>
  <c r="AJ76" i="35" s="1"/>
  <c r="T71" i="35"/>
  <c r="P72" i="35"/>
  <c r="Q72" i="35"/>
  <c r="F75" i="35"/>
  <c r="D76" i="35" s="1"/>
  <c r="G75" i="35"/>
  <c r="J75" i="35" l="1"/>
  <c r="AZ91" i="35"/>
  <c r="W97" i="35"/>
  <c r="AW97" i="35" s="1"/>
  <c r="AS97" i="35" s="1"/>
  <c r="V98" i="35"/>
  <c r="AC97" i="35"/>
  <c r="Y97" i="35" s="1"/>
  <c r="AP98" i="35"/>
  <c r="AQ97" i="35"/>
  <c r="AM92" i="35"/>
  <c r="AI92" i="35" s="1"/>
  <c r="AF93" i="35"/>
  <c r="AG92" i="35"/>
  <c r="AD48" i="35"/>
  <c r="X49" i="35"/>
  <c r="AT77" i="35"/>
  <c r="AR78" i="35" s="1"/>
  <c r="AU77" i="35"/>
  <c r="AH77" i="35"/>
  <c r="AJ77" i="35" s="1"/>
  <c r="AK76" i="35"/>
  <c r="AN76" i="35" s="1"/>
  <c r="T72" i="35"/>
  <c r="N73" i="35"/>
  <c r="G76" i="35"/>
  <c r="F76" i="35"/>
  <c r="D77" i="35" s="1"/>
  <c r="J76" i="35" l="1"/>
  <c r="AZ92" i="35"/>
  <c r="AP99" i="35"/>
  <c r="AW98" i="35"/>
  <c r="AS98" i="35" s="1"/>
  <c r="AQ98" i="35"/>
  <c r="AC98" i="35"/>
  <c r="Y98" i="35" s="1"/>
  <c r="W98" i="35"/>
  <c r="V99" i="35"/>
  <c r="AM93" i="35"/>
  <c r="AI93" i="35" s="1"/>
  <c r="AF94" i="35"/>
  <c r="AG93" i="35"/>
  <c r="Z49" i="35"/>
  <c r="AA49" i="35"/>
  <c r="BB49" i="35" s="1"/>
  <c r="BC49" i="35" s="1"/>
  <c r="AU78" i="35"/>
  <c r="AT78" i="35"/>
  <c r="AR79" i="35" s="1"/>
  <c r="AH78" i="35"/>
  <c r="AJ78" i="35" s="1"/>
  <c r="AK77" i="35"/>
  <c r="P73" i="35"/>
  <c r="N74" i="35" s="1"/>
  <c r="Q73" i="35"/>
  <c r="F77" i="35"/>
  <c r="D78" i="35" s="1"/>
  <c r="G77" i="35"/>
  <c r="AZ93" i="35" l="1"/>
  <c r="AF95" i="35"/>
  <c r="AG94" i="35"/>
  <c r="AM94" i="35"/>
  <c r="AI94" i="35" s="1"/>
  <c r="AC99" i="35"/>
  <c r="Y99" i="35" s="1"/>
  <c r="W99" i="35"/>
  <c r="V100" i="35"/>
  <c r="AP100" i="35"/>
  <c r="AW99" i="35"/>
  <c r="AS99" i="35" s="1"/>
  <c r="AQ99" i="35"/>
  <c r="AN77" i="35"/>
  <c r="J77" i="35"/>
  <c r="AD49" i="35"/>
  <c r="X50" i="35"/>
  <c r="AU79" i="35"/>
  <c r="AT79" i="35"/>
  <c r="AR80" i="35" s="1"/>
  <c r="AK78" i="35"/>
  <c r="AN78" i="35" s="1"/>
  <c r="AH79" i="35"/>
  <c r="AJ79" i="35" s="1"/>
  <c r="Q74" i="35"/>
  <c r="P74" i="35"/>
  <c r="N75" i="35" s="1"/>
  <c r="T73" i="35"/>
  <c r="F78" i="35"/>
  <c r="D79" i="35" s="1"/>
  <c r="G78" i="35"/>
  <c r="E23" i="45"/>
  <c r="E71" i="46" s="1"/>
  <c r="E76" i="46" s="1"/>
  <c r="F23" i="45"/>
  <c r="F71" i="46" s="1"/>
  <c r="G23" i="45"/>
  <c r="G71" i="46" s="1"/>
  <c r="H23" i="45"/>
  <c r="H17" i="45" s="1"/>
  <c r="E206" i="45"/>
  <c r="E90" i="4" s="1"/>
  <c r="F206" i="45"/>
  <c r="F90" i="4" s="1"/>
  <c r="G206" i="45"/>
  <c r="G90" i="4" s="1"/>
  <c r="H206" i="45"/>
  <c r="H90" i="4" s="1"/>
  <c r="J78" i="35" l="1"/>
  <c r="AZ94" i="35"/>
  <c r="T74" i="35"/>
  <c r="V101" i="35"/>
  <c r="W100" i="35"/>
  <c r="AW100" i="35" s="1"/>
  <c r="AS100" i="35" s="1"/>
  <c r="AC100" i="35"/>
  <c r="Y100" i="35" s="1"/>
  <c r="AP101" i="35"/>
  <c r="AQ100" i="35"/>
  <c r="AM95" i="35"/>
  <c r="AI95" i="35" s="1"/>
  <c r="AG95" i="35"/>
  <c r="AF96" i="35"/>
  <c r="Z50" i="35"/>
  <c r="AA50" i="35"/>
  <c r="BB50" i="35" s="1"/>
  <c r="AT80" i="35"/>
  <c r="AR81" i="35" s="1"/>
  <c r="AU80" i="35"/>
  <c r="AK79" i="35"/>
  <c r="AH80" i="35"/>
  <c r="AJ80" i="35" s="1"/>
  <c r="P75" i="35"/>
  <c r="N76" i="35" s="1"/>
  <c r="Q75" i="35"/>
  <c r="F79" i="35"/>
  <c r="D80" i="35" s="1"/>
  <c r="G79" i="35"/>
  <c r="G79" i="45"/>
  <c r="G17" i="45"/>
  <c r="F17" i="45"/>
  <c r="H79" i="45"/>
  <c r="E17" i="45"/>
  <c r="G137" i="4"/>
  <c r="G76" i="46"/>
  <c r="F137" i="4"/>
  <c r="F76" i="46"/>
  <c r="E33" i="46"/>
  <c r="E34" i="46" s="1"/>
  <c r="E104" i="46"/>
  <c r="E106" i="46" s="1"/>
  <c r="E107" i="46" s="1"/>
  <c r="H71" i="46"/>
  <c r="I137" i="4" s="1"/>
  <c r="T75" i="35" l="1"/>
  <c r="AZ95" i="35"/>
  <c r="AP102" i="35"/>
  <c r="AW101" i="35"/>
  <c r="AS101" i="35" s="1"/>
  <c r="AQ101" i="35"/>
  <c r="AM96" i="35"/>
  <c r="AI96" i="35" s="1"/>
  <c r="AF97" i="35"/>
  <c r="AG96" i="35"/>
  <c r="AC101" i="35"/>
  <c r="Y101" i="35" s="1"/>
  <c r="V102" i="35"/>
  <c r="W101" i="35"/>
  <c r="AN79" i="35"/>
  <c r="J79" i="35"/>
  <c r="AD50" i="35"/>
  <c r="X51" i="35"/>
  <c r="AT81" i="35"/>
  <c r="AR82" i="35" s="1"/>
  <c r="AU81" i="35"/>
  <c r="AK80" i="35"/>
  <c r="AN80" i="35" s="1"/>
  <c r="AH81" i="35"/>
  <c r="AJ81" i="35" s="1"/>
  <c r="P76" i="35"/>
  <c r="N77" i="35" s="1"/>
  <c r="Q76" i="35"/>
  <c r="F80" i="35"/>
  <c r="D81" i="35" s="1"/>
  <c r="G80" i="35"/>
  <c r="E110" i="46"/>
  <c r="E109" i="46"/>
  <c r="H76" i="46"/>
  <c r="H137" i="4"/>
  <c r="F33" i="46"/>
  <c r="F34" i="46" s="1"/>
  <c r="F35" i="46" s="1"/>
  <c r="F36" i="46" s="1"/>
  <c r="F104" i="46"/>
  <c r="F106" i="46" s="1"/>
  <c r="F107" i="46" s="1"/>
  <c r="E35" i="46"/>
  <c r="E36" i="46" s="1"/>
  <c r="E187" i="1"/>
  <c r="E167" i="4" s="1"/>
  <c r="G33" i="46"/>
  <c r="G34" i="46" s="1"/>
  <c r="G35" i="46" s="1"/>
  <c r="G36" i="46" s="1"/>
  <c r="G104" i="46"/>
  <c r="G106" i="46" s="1"/>
  <c r="G107" i="46" s="1"/>
  <c r="J80" i="35" l="1"/>
  <c r="T76" i="35"/>
  <c r="AZ96" i="35"/>
  <c r="AF98" i="35"/>
  <c r="AG97" i="35"/>
  <c r="AM97" i="35"/>
  <c r="AI97" i="35" s="1"/>
  <c r="AC102" i="35"/>
  <c r="Y102" i="35" s="1"/>
  <c r="W102" i="35"/>
  <c r="V103" i="35"/>
  <c r="AP103" i="35"/>
  <c r="AW102" i="35"/>
  <c r="AS102" i="35" s="1"/>
  <c r="AQ102" i="35"/>
  <c r="Z51" i="35"/>
  <c r="AA51" i="35"/>
  <c r="BB51" i="35" s="1"/>
  <c r="AT82" i="35"/>
  <c r="AR83" i="35" s="1"/>
  <c r="AU82" i="35"/>
  <c r="AK81" i="35"/>
  <c r="AH82" i="35"/>
  <c r="AJ82" i="35" s="1"/>
  <c r="P77" i="35"/>
  <c r="N78" i="35" s="1"/>
  <c r="Q77" i="35"/>
  <c r="F81" i="35"/>
  <c r="D82" i="35" s="1"/>
  <c r="G81" i="35"/>
  <c r="F110" i="46"/>
  <c r="F109" i="46"/>
  <c r="E51" i="26"/>
  <c r="F187" i="1"/>
  <c r="F167" i="4" s="1"/>
  <c r="H33" i="46"/>
  <c r="H34" i="46" s="1"/>
  <c r="H35" i="46" s="1"/>
  <c r="H36" i="46" s="1"/>
  <c r="H104" i="46"/>
  <c r="H106" i="46" s="1"/>
  <c r="H107" i="46" s="1"/>
  <c r="G110" i="46"/>
  <c r="G109" i="46"/>
  <c r="G187" i="1"/>
  <c r="G167" i="4" s="1"/>
  <c r="AZ97" i="35" l="1"/>
  <c r="V104" i="35"/>
  <c r="W103" i="35"/>
  <c r="AW103" i="35" s="1"/>
  <c r="AS103" i="35" s="1"/>
  <c r="AC103" i="35"/>
  <c r="Y103" i="35" s="1"/>
  <c r="AP104" i="35"/>
  <c r="AQ103" i="35"/>
  <c r="AM98" i="35"/>
  <c r="AI98" i="35" s="1"/>
  <c r="AG98" i="35"/>
  <c r="AF99" i="35"/>
  <c r="AN81" i="35"/>
  <c r="AD51" i="35"/>
  <c r="X52" i="35"/>
  <c r="J81" i="35"/>
  <c r="T77" i="35"/>
  <c r="AU83" i="35"/>
  <c r="AT83" i="35"/>
  <c r="AR84" i="35" s="1"/>
  <c r="AK82" i="35"/>
  <c r="AN82" i="35" s="1"/>
  <c r="AH83" i="35"/>
  <c r="AJ83" i="35" s="1"/>
  <c r="P78" i="35"/>
  <c r="N79" i="35" s="1"/>
  <c r="Q78" i="35"/>
  <c r="F82" i="35"/>
  <c r="D83" i="35" s="1"/>
  <c r="G82" i="35"/>
  <c r="H109" i="46"/>
  <c r="H110" i="46"/>
  <c r="F51" i="26"/>
  <c r="G51" i="26"/>
  <c r="T78" i="35" l="1"/>
  <c r="J82" i="35"/>
  <c r="AZ98" i="35"/>
  <c r="AP105" i="35"/>
  <c r="AW104" i="35"/>
  <c r="AS104" i="35" s="1"/>
  <c r="AQ104" i="35"/>
  <c r="AM99" i="35"/>
  <c r="AI99" i="35" s="1"/>
  <c r="AF100" i="35"/>
  <c r="AG99" i="35"/>
  <c r="AC104" i="35"/>
  <c r="Y104" i="35" s="1"/>
  <c r="V105" i="35"/>
  <c r="W104" i="35"/>
  <c r="Z52" i="35"/>
  <c r="AA52" i="35"/>
  <c r="BB52" i="35" s="1"/>
  <c r="BC52" i="35" s="1"/>
  <c r="BD49" i="35" s="1"/>
  <c r="AU84" i="35"/>
  <c r="AT84" i="35"/>
  <c r="AR85" i="35" s="1"/>
  <c r="AK83" i="35"/>
  <c r="AH84" i="35"/>
  <c r="AJ84" i="35" s="1"/>
  <c r="Q79" i="35"/>
  <c r="P79" i="35"/>
  <c r="N80" i="35" s="1"/>
  <c r="F83" i="35"/>
  <c r="D84" i="35" s="1"/>
  <c r="G83" i="35"/>
  <c r="H187" i="1"/>
  <c r="H51" i="26"/>
  <c r="C87" i="58" l="1"/>
  <c r="C18" i="58" s="1"/>
  <c r="AZ99" i="35"/>
  <c r="AC105" i="35"/>
  <c r="Y105" i="35" s="1"/>
  <c r="W105" i="35"/>
  <c r="V106" i="35"/>
  <c r="AF101" i="35"/>
  <c r="AG100" i="35"/>
  <c r="AM100" i="35"/>
  <c r="AI100" i="35" s="1"/>
  <c r="AP106" i="35"/>
  <c r="AW105" i="35"/>
  <c r="AS105" i="35" s="1"/>
  <c r="AQ105" i="35"/>
  <c r="AN83" i="35"/>
  <c r="T79" i="35"/>
  <c r="J83" i="35"/>
  <c r="AD52" i="35"/>
  <c r="X53" i="35"/>
  <c r="AT85" i="35"/>
  <c r="AR86" i="35" s="1"/>
  <c r="AU85" i="35"/>
  <c r="AH85" i="35"/>
  <c r="AJ85" i="35" s="1"/>
  <c r="AK84" i="35"/>
  <c r="AN84" i="35" s="1"/>
  <c r="P80" i="35"/>
  <c r="N81" i="35" s="1"/>
  <c r="Q80" i="35"/>
  <c r="F84" i="35"/>
  <c r="D85" i="35" s="1"/>
  <c r="G84" i="35"/>
  <c r="H167" i="4"/>
  <c r="J84" i="35" l="1"/>
  <c r="T80" i="35"/>
  <c r="AZ100" i="35"/>
  <c r="J155" i="45"/>
  <c r="AP107" i="35"/>
  <c r="AQ106" i="35"/>
  <c r="W106" i="35"/>
  <c r="AW106" i="35" s="1"/>
  <c r="AS106" i="35" s="1"/>
  <c r="V107" i="35"/>
  <c r="AC106" i="35"/>
  <c r="Y106" i="35" s="1"/>
  <c r="AM101" i="35"/>
  <c r="AI101" i="35" s="1"/>
  <c r="AF102" i="35"/>
  <c r="AG101" i="35"/>
  <c r="Z53" i="35"/>
  <c r="AA53" i="35"/>
  <c r="BB53" i="35" s="1"/>
  <c r="AU86" i="35"/>
  <c r="AT86" i="35"/>
  <c r="AR87" i="35" s="1"/>
  <c r="AH86" i="35"/>
  <c r="AJ86" i="35" s="1"/>
  <c r="AK85" i="35"/>
  <c r="AN85" i="35" s="1"/>
  <c r="Q81" i="35"/>
  <c r="P81" i="35"/>
  <c r="N82" i="35" s="1"/>
  <c r="F85" i="35"/>
  <c r="D86" i="35" s="1"/>
  <c r="G85" i="35"/>
  <c r="K76" i="4"/>
  <c r="J85" i="35" l="1"/>
  <c r="AZ101" i="35"/>
  <c r="AM102" i="35"/>
  <c r="AI102" i="35" s="1"/>
  <c r="AF103" i="35"/>
  <c r="AG102" i="35"/>
  <c r="AC107" i="35"/>
  <c r="Y107" i="35" s="1"/>
  <c r="W107" i="35"/>
  <c r="V108" i="35"/>
  <c r="AP108" i="35"/>
  <c r="AW107" i="35"/>
  <c r="AS107" i="35" s="1"/>
  <c r="AQ107" i="35"/>
  <c r="T81" i="35"/>
  <c r="AD53" i="35"/>
  <c r="X54" i="35"/>
  <c r="AU87" i="35"/>
  <c r="AT87" i="35"/>
  <c r="AR88" i="35" s="1"/>
  <c r="AK86" i="35"/>
  <c r="AN86" i="35" s="1"/>
  <c r="AH87" i="35"/>
  <c r="AJ87" i="35" s="1"/>
  <c r="P82" i="35"/>
  <c r="N83" i="35" s="1"/>
  <c r="Q82" i="35"/>
  <c r="F86" i="35"/>
  <c r="D87" i="35" s="1"/>
  <c r="G86" i="35"/>
  <c r="L76" i="4"/>
  <c r="K155" i="45"/>
  <c r="J156" i="45"/>
  <c r="T82" i="35" l="1"/>
  <c r="J86" i="35"/>
  <c r="AZ102" i="35"/>
  <c r="AP109" i="35"/>
  <c r="AW108" i="35"/>
  <c r="AS108" i="35" s="1"/>
  <c r="AQ108" i="35"/>
  <c r="AF104" i="35"/>
  <c r="AG103" i="35"/>
  <c r="AM103" i="35"/>
  <c r="AI103" i="35" s="1"/>
  <c r="AC108" i="35"/>
  <c r="Y108" i="35" s="1"/>
  <c r="V109" i="35"/>
  <c r="W108" i="35"/>
  <c r="Z54" i="35"/>
  <c r="AA54" i="35"/>
  <c r="BB54" i="35" s="1"/>
  <c r="AT88" i="35"/>
  <c r="AR89" i="35" s="1"/>
  <c r="AU88" i="35"/>
  <c r="AK87" i="35"/>
  <c r="AN87" i="35" s="1"/>
  <c r="AH88" i="35"/>
  <c r="AJ88" i="35" s="1"/>
  <c r="Q83" i="35"/>
  <c r="P83" i="35"/>
  <c r="N84" i="35" s="1"/>
  <c r="F87" i="35"/>
  <c r="D88" i="35" s="1"/>
  <c r="G87" i="35"/>
  <c r="M76" i="4"/>
  <c r="L155" i="45"/>
  <c r="K156" i="45"/>
  <c r="J87" i="35" l="1"/>
  <c r="AZ103" i="35"/>
  <c r="V110" i="35"/>
  <c r="W109" i="35"/>
  <c r="AW109" i="35" s="1"/>
  <c r="AS109" i="35" s="1"/>
  <c r="AC109" i="35"/>
  <c r="Y109" i="35" s="1"/>
  <c r="AM104" i="35"/>
  <c r="AI104" i="35" s="1"/>
  <c r="AF105" i="35"/>
  <c r="AG104" i="35"/>
  <c r="AP110" i="35"/>
  <c r="AQ109" i="35"/>
  <c r="T83" i="35"/>
  <c r="AD54" i="35"/>
  <c r="X55" i="35"/>
  <c r="AU89" i="35"/>
  <c r="AT89" i="35"/>
  <c r="AR90" i="35" s="1"/>
  <c r="AK88" i="35"/>
  <c r="AN88" i="35" s="1"/>
  <c r="AH89" i="35"/>
  <c r="AJ89" i="35" s="1"/>
  <c r="Q84" i="35"/>
  <c r="P84" i="35"/>
  <c r="N85" i="35" s="1"/>
  <c r="F88" i="35"/>
  <c r="D89" i="35" s="1"/>
  <c r="G88" i="35"/>
  <c r="N76" i="4"/>
  <c r="M155" i="45"/>
  <c r="L156" i="45"/>
  <c r="J88" i="35" l="1"/>
  <c r="T84" i="35"/>
  <c r="AZ104" i="35"/>
  <c r="AM105" i="35"/>
  <c r="AI105" i="35" s="1"/>
  <c r="AF106" i="35"/>
  <c r="AG105" i="35"/>
  <c r="AP111" i="35"/>
  <c r="AW110" i="35"/>
  <c r="AS110" i="35" s="1"/>
  <c r="AQ110" i="35"/>
  <c r="AC110" i="35"/>
  <c r="Y110" i="35" s="1"/>
  <c r="W110" i="35"/>
  <c r="V111" i="35"/>
  <c r="Z55" i="35"/>
  <c r="AA55" i="35"/>
  <c r="BB55" i="35" s="1"/>
  <c r="BC55" i="35" s="1"/>
  <c r="AT90" i="35"/>
  <c r="AR91" i="35" s="1"/>
  <c r="AU90" i="35"/>
  <c r="AK89" i="35"/>
  <c r="AH90" i="35"/>
  <c r="AJ90" i="35" s="1"/>
  <c r="Q85" i="35"/>
  <c r="P85" i="35"/>
  <c r="N86" i="35" s="1"/>
  <c r="F89" i="35"/>
  <c r="D90" i="35" s="1"/>
  <c r="G89" i="35"/>
  <c r="O76" i="4"/>
  <c r="N155" i="45"/>
  <c r="M156" i="45"/>
  <c r="T85" i="35" l="1"/>
  <c r="AZ105" i="35"/>
  <c r="AP112" i="35"/>
  <c r="AW111" i="35"/>
  <c r="AS111" i="35" s="1"/>
  <c r="AQ111" i="35"/>
  <c r="AF107" i="35"/>
  <c r="AG106" i="35"/>
  <c r="AM106" i="35"/>
  <c r="AI106" i="35" s="1"/>
  <c r="AC111" i="35"/>
  <c r="Y111" i="35" s="1"/>
  <c r="V112" i="35"/>
  <c r="W111" i="35"/>
  <c r="AN89" i="35"/>
  <c r="J89" i="35"/>
  <c r="AD55" i="35"/>
  <c r="X56" i="35"/>
  <c r="AU91" i="35"/>
  <c r="AT91" i="35"/>
  <c r="AR92" i="35" s="1"/>
  <c r="AK90" i="35"/>
  <c r="AN90" i="35" s="1"/>
  <c r="AH91" i="35"/>
  <c r="AJ91" i="35" s="1"/>
  <c r="P86" i="35"/>
  <c r="N87" i="35" s="1"/>
  <c r="Q86" i="35"/>
  <c r="F90" i="35"/>
  <c r="D91" i="35" s="1"/>
  <c r="G90" i="35"/>
  <c r="P76" i="4"/>
  <c r="O155" i="45"/>
  <c r="N156" i="45"/>
  <c r="T86" i="35" l="1"/>
  <c r="J90" i="35"/>
  <c r="AZ106" i="35"/>
  <c r="W112" i="35"/>
  <c r="AW112" i="35" s="1"/>
  <c r="AS112" i="35" s="1"/>
  <c r="V113" i="35"/>
  <c r="AC112" i="35"/>
  <c r="Y112" i="35" s="1"/>
  <c r="AM107" i="35"/>
  <c r="AI107" i="35" s="1"/>
  <c r="AG107" i="35"/>
  <c r="AF108" i="35"/>
  <c r="AP113" i="35"/>
  <c r="AQ112" i="35"/>
  <c r="Z56" i="35"/>
  <c r="AA56" i="35"/>
  <c r="BB56" i="35" s="1"/>
  <c r="AU92" i="35"/>
  <c r="AT92" i="35"/>
  <c r="AR93" i="35" s="1"/>
  <c r="AK91" i="35"/>
  <c r="AH92" i="35"/>
  <c r="AJ92" i="35" s="1"/>
  <c r="P87" i="35"/>
  <c r="N88" i="35" s="1"/>
  <c r="Q87" i="35"/>
  <c r="F91" i="35"/>
  <c r="D92" i="35" s="1"/>
  <c r="G91" i="35"/>
  <c r="Q76" i="4"/>
  <c r="P155" i="45"/>
  <c r="O156" i="45"/>
  <c r="T87" i="35" l="1"/>
  <c r="AZ107" i="35"/>
  <c r="AM108" i="35"/>
  <c r="AI108" i="35" s="1"/>
  <c r="AF109" i="35"/>
  <c r="AG108" i="35"/>
  <c r="AP114" i="35"/>
  <c r="AW113" i="35"/>
  <c r="AS113" i="35" s="1"/>
  <c r="AQ113" i="35"/>
  <c r="AC113" i="35"/>
  <c r="Y113" i="35" s="1"/>
  <c r="W113" i="35"/>
  <c r="V114" i="35"/>
  <c r="J91" i="35"/>
  <c r="AN91" i="35"/>
  <c r="AD56" i="35"/>
  <c r="X57" i="35"/>
  <c r="AT93" i="35"/>
  <c r="AR94" i="35" s="1"/>
  <c r="AU93" i="35"/>
  <c r="AH93" i="35"/>
  <c r="AJ93" i="35" s="1"/>
  <c r="AK92" i="35"/>
  <c r="AN92" i="35" s="1"/>
  <c r="P88" i="35"/>
  <c r="N89" i="35" s="1"/>
  <c r="Q88" i="35"/>
  <c r="F92" i="35"/>
  <c r="D93" i="35" s="1"/>
  <c r="G92" i="35"/>
  <c r="R76" i="4"/>
  <c r="Q155" i="45"/>
  <c r="P156" i="45"/>
  <c r="J92" i="35" l="1"/>
  <c r="T88" i="35"/>
  <c r="AZ108" i="35"/>
  <c r="AP115" i="35"/>
  <c r="AW114" i="35"/>
  <c r="AS114" i="35" s="1"/>
  <c r="AQ114" i="35"/>
  <c r="AG109" i="35"/>
  <c r="AF110" i="35"/>
  <c r="AM109" i="35"/>
  <c r="AI109" i="35" s="1"/>
  <c r="AC114" i="35"/>
  <c r="Y114" i="35" s="1"/>
  <c r="W114" i="35"/>
  <c r="V115" i="35"/>
  <c r="Z57" i="35"/>
  <c r="AA57" i="35"/>
  <c r="BB57" i="35" s="1"/>
  <c r="AU94" i="35"/>
  <c r="AT94" i="35"/>
  <c r="AR95" i="35" s="1"/>
  <c r="AH94" i="35"/>
  <c r="AJ94" i="35" s="1"/>
  <c r="AK93" i="35"/>
  <c r="Q89" i="35"/>
  <c r="P89" i="35"/>
  <c r="N90" i="35" s="1"/>
  <c r="F93" i="35"/>
  <c r="D94" i="35" s="1"/>
  <c r="G93" i="35"/>
  <c r="S76" i="4"/>
  <c r="S155" i="45" s="1"/>
  <c r="R155" i="45"/>
  <c r="Q156" i="45"/>
  <c r="AZ109" i="35" l="1"/>
  <c r="AM110" i="35"/>
  <c r="AI110" i="35" s="1"/>
  <c r="AF111" i="35"/>
  <c r="AG110" i="35"/>
  <c r="W115" i="35"/>
  <c r="AW115" i="35" s="1"/>
  <c r="AS115" i="35" s="1"/>
  <c r="V116" i="35"/>
  <c r="AC115" i="35"/>
  <c r="Y115" i="35" s="1"/>
  <c r="AP116" i="35"/>
  <c r="AQ115" i="35"/>
  <c r="AN93" i="35"/>
  <c r="J93" i="35"/>
  <c r="T89" i="35"/>
  <c r="AD57" i="35"/>
  <c r="X58" i="35"/>
  <c r="AU95" i="35"/>
  <c r="AT95" i="35"/>
  <c r="AR96" i="35" s="1"/>
  <c r="AK94" i="35"/>
  <c r="AN94" i="35" s="1"/>
  <c r="AH95" i="35"/>
  <c r="AJ95" i="35" s="1"/>
  <c r="Q90" i="35"/>
  <c r="P90" i="35"/>
  <c r="N91" i="35" s="1"/>
  <c r="F94" i="35"/>
  <c r="D95" i="35" s="1"/>
  <c r="G94" i="35"/>
  <c r="R156" i="45"/>
  <c r="S156" i="45"/>
  <c r="T90" i="35" l="1"/>
  <c r="J94" i="35"/>
  <c r="AZ110" i="35"/>
  <c r="AC116" i="35"/>
  <c r="Y116" i="35" s="1"/>
  <c r="V117" i="35"/>
  <c r="W116" i="35"/>
  <c r="AP117" i="35"/>
  <c r="AW116" i="35"/>
  <c r="AS116" i="35" s="1"/>
  <c r="AQ116" i="35"/>
  <c r="AM111" i="35"/>
  <c r="AI111" i="35" s="1"/>
  <c r="AF112" i="35"/>
  <c r="AG111" i="35"/>
  <c r="Z58" i="35"/>
  <c r="X59" i="35" s="1"/>
  <c r="AA58" i="35"/>
  <c r="AT96" i="35"/>
  <c r="AR97" i="35" s="1"/>
  <c r="AU96" i="35"/>
  <c r="AK95" i="35"/>
  <c r="AH96" i="35"/>
  <c r="AJ96" i="35" s="1"/>
  <c r="Q91" i="35"/>
  <c r="P91" i="35"/>
  <c r="N92" i="35" s="1"/>
  <c r="F95" i="35"/>
  <c r="D96" i="35" s="1"/>
  <c r="G95" i="35"/>
  <c r="AZ111" i="35" l="1"/>
  <c r="AD58" i="35"/>
  <c r="BB58" i="35"/>
  <c r="BC58" i="35" s="1"/>
  <c r="AP118" i="35"/>
  <c r="AW117" i="35"/>
  <c r="AS117" i="35" s="1"/>
  <c r="AQ117" i="35"/>
  <c r="AF113" i="35"/>
  <c r="AG112" i="35"/>
  <c r="AM112" i="35"/>
  <c r="AI112" i="35" s="1"/>
  <c r="AC117" i="35"/>
  <c r="Y117" i="35" s="1"/>
  <c r="V118" i="35"/>
  <c r="W117" i="35"/>
  <c r="J95" i="35"/>
  <c r="T91" i="35"/>
  <c r="AN95" i="35"/>
  <c r="Z59" i="35"/>
  <c r="X60" i="35" s="1"/>
  <c r="AA59" i="35"/>
  <c r="AT97" i="35"/>
  <c r="AR98" i="35" s="1"/>
  <c r="AU97" i="35"/>
  <c r="AK96" i="35"/>
  <c r="AN96" i="35" s="1"/>
  <c r="AH97" i="35"/>
  <c r="AJ97" i="35" s="1"/>
  <c r="Q92" i="35"/>
  <c r="P92" i="35"/>
  <c r="N93" i="35" s="1"/>
  <c r="F96" i="35"/>
  <c r="D97" i="35" s="1"/>
  <c r="G96" i="35"/>
  <c r="T92" i="35" l="1"/>
  <c r="J96" i="35"/>
  <c r="AZ112" i="35"/>
  <c r="AD59" i="35"/>
  <c r="BB59" i="35"/>
  <c r="W118" i="35"/>
  <c r="AW118" i="35" s="1"/>
  <c r="AS118" i="35" s="1"/>
  <c r="V119" i="35"/>
  <c r="AC118" i="35"/>
  <c r="Y118" i="35" s="1"/>
  <c r="AM113" i="35"/>
  <c r="AI113" i="35" s="1"/>
  <c r="AG113" i="35"/>
  <c r="AF114" i="35"/>
  <c r="AP119" i="35"/>
  <c r="AQ118" i="35"/>
  <c r="Z60" i="35"/>
  <c r="AA60" i="35"/>
  <c r="BB60" i="35" s="1"/>
  <c r="AT98" i="35"/>
  <c r="AR99" i="35" s="1"/>
  <c r="AU98" i="35"/>
  <c r="AK97" i="35"/>
  <c r="AN97" i="35" s="1"/>
  <c r="AH98" i="35"/>
  <c r="AJ98" i="35" s="1"/>
  <c r="P93" i="35"/>
  <c r="N94" i="35" s="1"/>
  <c r="Q93" i="35"/>
  <c r="F97" i="35"/>
  <c r="D98" i="35" s="1"/>
  <c r="G97" i="35"/>
  <c r="J97" i="35" l="1"/>
  <c r="AZ113" i="35"/>
  <c r="AP120" i="35"/>
  <c r="AW119" i="35"/>
  <c r="AS119" i="35" s="1"/>
  <c r="AQ119" i="35"/>
  <c r="AM114" i="35"/>
  <c r="AI114" i="35" s="1"/>
  <c r="AF115" i="35"/>
  <c r="AG114" i="35"/>
  <c r="AC119" i="35"/>
  <c r="Y119" i="35" s="1"/>
  <c r="V120" i="35"/>
  <c r="W119" i="35"/>
  <c r="T93" i="35"/>
  <c r="AD60" i="35"/>
  <c r="X61" i="35"/>
  <c r="AU99" i="35"/>
  <c r="AT99" i="35"/>
  <c r="AR100" i="35" s="1"/>
  <c r="AK98" i="35"/>
  <c r="AN98" i="35" s="1"/>
  <c r="AH99" i="35"/>
  <c r="AJ99" i="35" s="1"/>
  <c r="P94" i="35"/>
  <c r="N95" i="35" s="1"/>
  <c r="Q94" i="35"/>
  <c r="F98" i="35"/>
  <c r="D99" i="35" s="1"/>
  <c r="G98" i="35"/>
  <c r="T94" i="35" l="1"/>
  <c r="J98" i="35"/>
  <c r="AZ114" i="35"/>
  <c r="AF116" i="35"/>
  <c r="AG115" i="35"/>
  <c r="AM115" i="35"/>
  <c r="AI115" i="35" s="1"/>
  <c r="AC120" i="35"/>
  <c r="Y120" i="35" s="1"/>
  <c r="V121" i="35"/>
  <c r="W120" i="35"/>
  <c r="AP121" i="35"/>
  <c r="AW120" i="35"/>
  <c r="AS120" i="35" s="1"/>
  <c r="AQ120" i="35"/>
  <c r="Z61" i="35"/>
  <c r="X62" i="35" s="1"/>
  <c r="AA61" i="35"/>
  <c r="AU100" i="35"/>
  <c r="AT100" i="35"/>
  <c r="AR101" i="35" s="1"/>
  <c r="AK99" i="35"/>
  <c r="AN99" i="35" s="1"/>
  <c r="AH100" i="35"/>
  <c r="AJ100" i="35" s="1"/>
  <c r="P95" i="35"/>
  <c r="N96" i="35" s="1"/>
  <c r="Q95" i="35"/>
  <c r="F99" i="35"/>
  <c r="D100" i="35" s="1"/>
  <c r="G99" i="35"/>
  <c r="J99" i="35" l="1"/>
  <c r="AZ115" i="35"/>
  <c r="AD61" i="35"/>
  <c r="BB61" i="35"/>
  <c r="BC61" i="35" s="1"/>
  <c r="W121" i="35"/>
  <c r="AW121" i="35" s="1"/>
  <c r="AS121" i="35" s="1"/>
  <c r="V122" i="35"/>
  <c r="AC121" i="35"/>
  <c r="Y121" i="35" s="1"/>
  <c r="AP122" i="35"/>
  <c r="AQ121" i="35"/>
  <c r="AM116" i="35"/>
  <c r="AI116" i="35" s="1"/>
  <c r="AF117" i="35"/>
  <c r="AG116" i="35"/>
  <c r="T95" i="35"/>
  <c r="Z62" i="35"/>
  <c r="AA62" i="35"/>
  <c r="BB62" i="35" s="1"/>
  <c r="AT101" i="35"/>
  <c r="AR102" i="35" s="1"/>
  <c r="AU101" i="35"/>
  <c r="AH101" i="35"/>
  <c r="AJ101" i="35" s="1"/>
  <c r="AK100" i="35"/>
  <c r="AN100" i="35" s="1"/>
  <c r="Q96" i="35"/>
  <c r="P96" i="35"/>
  <c r="N97" i="35" s="1"/>
  <c r="F100" i="35"/>
  <c r="D101" i="35" s="1"/>
  <c r="G100" i="35"/>
  <c r="J100" i="35" l="1"/>
  <c r="T96" i="35"/>
  <c r="AZ116" i="35"/>
  <c r="AP123" i="35"/>
  <c r="AW122" i="35"/>
  <c r="AS122" i="35" s="1"/>
  <c r="AQ122" i="35"/>
  <c r="AC122" i="35"/>
  <c r="Y122" i="35" s="1"/>
  <c r="W122" i="35"/>
  <c r="V123" i="35"/>
  <c r="AM117" i="35"/>
  <c r="AI117" i="35" s="1"/>
  <c r="AG117" i="35"/>
  <c r="AF118" i="35"/>
  <c r="AD62" i="35"/>
  <c r="X63" i="35"/>
  <c r="AU102" i="35"/>
  <c r="AT102" i="35"/>
  <c r="AR103" i="35" s="1"/>
  <c r="AH102" i="35"/>
  <c r="AJ102" i="35" s="1"/>
  <c r="AK101" i="35"/>
  <c r="Q97" i="35"/>
  <c r="P97" i="35"/>
  <c r="N98" i="35" s="1"/>
  <c r="F101" i="35"/>
  <c r="D102" i="35" s="1"/>
  <c r="G101" i="35"/>
  <c r="T97" i="35" l="1"/>
  <c r="AZ117" i="35"/>
  <c r="AC123" i="35"/>
  <c r="Y123" i="35" s="1"/>
  <c r="W123" i="35"/>
  <c r="V124" i="35"/>
  <c r="AM118" i="35"/>
  <c r="AI118" i="35" s="1"/>
  <c r="AF119" i="35"/>
  <c r="AG118" i="35"/>
  <c r="AP124" i="35"/>
  <c r="AW123" i="35"/>
  <c r="AS123" i="35" s="1"/>
  <c r="AQ123" i="35"/>
  <c r="J101" i="35"/>
  <c r="AN101" i="35"/>
  <c r="Z63" i="35"/>
  <c r="AA63" i="35"/>
  <c r="BB63" i="35" s="1"/>
  <c r="AU103" i="35"/>
  <c r="AT103" i="35"/>
  <c r="AR104" i="35" s="1"/>
  <c r="AK102" i="35"/>
  <c r="AN102" i="35" s="1"/>
  <c r="AH103" i="35"/>
  <c r="AJ103" i="35" s="1"/>
  <c r="P98" i="35"/>
  <c r="N99" i="35" s="1"/>
  <c r="Q98" i="35"/>
  <c r="F102" i="35"/>
  <c r="D103" i="35" s="1"/>
  <c r="G102" i="35"/>
  <c r="T98" i="35" l="1"/>
  <c r="J102" i="35"/>
  <c r="AZ118" i="35"/>
  <c r="AP125" i="35"/>
  <c r="AQ124" i="35"/>
  <c r="AM119" i="35"/>
  <c r="AI119" i="35" s="1"/>
  <c r="AG119" i="35"/>
  <c r="AF120" i="35"/>
  <c r="V125" i="35"/>
  <c r="W124" i="35"/>
  <c r="AW124" i="35" s="1"/>
  <c r="AS124" i="35" s="1"/>
  <c r="AC124" i="35"/>
  <c r="Y124" i="35" s="1"/>
  <c r="AD63" i="35"/>
  <c r="X64" i="35"/>
  <c r="AT104" i="35"/>
  <c r="AR105" i="35" s="1"/>
  <c r="AU104" i="35"/>
  <c r="AK103" i="35"/>
  <c r="AH104" i="35"/>
  <c r="AJ104" i="35" s="1"/>
  <c r="Q99" i="35"/>
  <c r="P99" i="35"/>
  <c r="N100" i="35" s="1"/>
  <c r="F103" i="35"/>
  <c r="D104" i="35" s="1"/>
  <c r="G103" i="35"/>
  <c r="T99" i="35" l="1"/>
  <c r="AZ119" i="35"/>
  <c r="AC125" i="35"/>
  <c r="Y125" i="35" s="1"/>
  <c r="V126" i="35"/>
  <c r="W125" i="35"/>
  <c r="AM120" i="35"/>
  <c r="AI120" i="35" s="1"/>
  <c r="AG120" i="35"/>
  <c r="AF121" i="35"/>
  <c r="AP126" i="35"/>
  <c r="AW125" i="35"/>
  <c r="AS125" i="35" s="1"/>
  <c r="AQ125" i="35"/>
  <c r="AN103" i="35"/>
  <c r="J103" i="35"/>
  <c r="Z64" i="35"/>
  <c r="AA64" i="35"/>
  <c r="BB64" i="35" s="1"/>
  <c r="BC64" i="35" s="1"/>
  <c r="BD61" i="35" s="1"/>
  <c r="AU105" i="35"/>
  <c r="AT105" i="35"/>
  <c r="AR106" i="35" s="1"/>
  <c r="AK104" i="35"/>
  <c r="AN104" i="35" s="1"/>
  <c r="AH105" i="35"/>
  <c r="AJ105" i="35" s="1"/>
  <c r="Q100" i="35"/>
  <c r="P100" i="35"/>
  <c r="N101" i="35" s="1"/>
  <c r="F104" i="35"/>
  <c r="D105" i="35" s="1"/>
  <c r="G104" i="35"/>
  <c r="T100" i="35" l="1"/>
  <c r="J104" i="35"/>
  <c r="AZ120" i="35"/>
  <c r="AP127" i="35"/>
  <c r="AW126" i="35"/>
  <c r="AS126" i="35" s="1"/>
  <c r="AQ126" i="35"/>
  <c r="AM121" i="35"/>
  <c r="AI121" i="35" s="1"/>
  <c r="AG121" i="35"/>
  <c r="AF122" i="35"/>
  <c r="AC126" i="35"/>
  <c r="Y126" i="35" s="1"/>
  <c r="V127" i="35"/>
  <c r="W126" i="35"/>
  <c r="AD64" i="35"/>
  <c r="X65" i="35"/>
  <c r="AT106" i="35"/>
  <c r="AR107" i="35" s="1"/>
  <c r="AU106" i="35"/>
  <c r="AK105" i="35"/>
  <c r="AH106" i="35"/>
  <c r="AJ106" i="35" s="1"/>
  <c r="P101" i="35"/>
  <c r="N102" i="35" s="1"/>
  <c r="Q101" i="35"/>
  <c r="F105" i="35"/>
  <c r="D106" i="35" s="1"/>
  <c r="G105" i="35"/>
  <c r="AZ121" i="35" l="1"/>
  <c r="AM122" i="35"/>
  <c r="AI122" i="35" s="1"/>
  <c r="AF123" i="35"/>
  <c r="AG122" i="35"/>
  <c r="V128" i="35"/>
  <c r="W127" i="35"/>
  <c r="AW127" i="35" s="1"/>
  <c r="AS127" i="35" s="1"/>
  <c r="AC127" i="35"/>
  <c r="Y127" i="35" s="1"/>
  <c r="AP128" i="35"/>
  <c r="AQ127" i="35"/>
  <c r="AN105" i="35"/>
  <c r="T101" i="35"/>
  <c r="Z65" i="35"/>
  <c r="X66" i="35" s="1"/>
  <c r="AA65" i="35"/>
  <c r="BB65" i="35" s="1"/>
  <c r="J105" i="35"/>
  <c r="AU107" i="35"/>
  <c r="AT107" i="35"/>
  <c r="AR108" i="35" s="1"/>
  <c r="AK106" i="35"/>
  <c r="AN106" i="35" s="1"/>
  <c r="AH107" i="35"/>
  <c r="AJ107" i="35" s="1"/>
  <c r="Q102" i="35"/>
  <c r="P102" i="35"/>
  <c r="N103" i="35" s="1"/>
  <c r="F106" i="35"/>
  <c r="D107" i="35" s="1"/>
  <c r="G106" i="35"/>
  <c r="T102" i="35" l="1"/>
  <c r="J106" i="35"/>
  <c r="AZ122" i="35"/>
  <c r="AC128" i="35"/>
  <c r="Y128" i="35" s="1"/>
  <c r="V129" i="35"/>
  <c r="W128" i="35"/>
  <c r="AM123" i="35"/>
  <c r="AI123" i="35" s="1"/>
  <c r="AG123" i="35"/>
  <c r="AF124" i="35"/>
  <c r="AP129" i="35"/>
  <c r="AW128" i="35"/>
  <c r="AS128" i="35" s="1"/>
  <c r="AQ128" i="35"/>
  <c r="Z66" i="35"/>
  <c r="AA66" i="35"/>
  <c r="BB66" i="35" s="1"/>
  <c r="AD65" i="35"/>
  <c r="AU108" i="35"/>
  <c r="AT108" i="35"/>
  <c r="AR109" i="35" s="1"/>
  <c r="AK107" i="35"/>
  <c r="AH108" i="35"/>
  <c r="AJ108" i="35" s="1"/>
  <c r="P103" i="35"/>
  <c r="N104" i="35" s="1"/>
  <c r="Q103" i="35"/>
  <c r="F107" i="35"/>
  <c r="D108" i="35" s="1"/>
  <c r="G107" i="35"/>
  <c r="AZ123" i="35" l="1"/>
  <c r="AM124" i="35"/>
  <c r="AI124" i="35" s="1"/>
  <c r="AF125" i="35"/>
  <c r="AG124" i="35"/>
  <c r="AP130" i="35"/>
  <c r="AW129" i="35"/>
  <c r="AS129" i="35" s="1"/>
  <c r="AQ129" i="35"/>
  <c r="AC129" i="35"/>
  <c r="Y129" i="35" s="1"/>
  <c r="W129" i="35"/>
  <c r="V130" i="35"/>
  <c r="AN107" i="35"/>
  <c r="T103" i="35"/>
  <c r="J107" i="35"/>
  <c r="AD66" i="35"/>
  <c r="X67" i="35"/>
  <c r="AT109" i="35"/>
  <c r="AR110" i="35" s="1"/>
  <c r="AU109" i="35"/>
  <c r="AH109" i="35"/>
  <c r="AJ109" i="35" s="1"/>
  <c r="AK108" i="35"/>
  <c r="AN108" i="35" s="1"/>
  <c r="P104" i="35"/>
  <c r="N105" i="35" s="1"/>
  <c r="Q104" i="35"/>
  <c r="F108" i="35"/>
  <c r="D109" i="35" s="1"/>
  <c r="G108" i="35"/>
  <c r="T104" i="35" l="1"/>
  <c r="J108" i="35"/>
  <c r="AZ124" i="35"/>
  <c r="AP131" i="35"/>
  <c r="AQ130" i="35"/>
  <c r="AM125" i="35"/>
  <c r="AI125" i="35" s="1"/>
  <c r="AF126" i="35"/>
  <c r="AG125" i="35"/>
  <c r="W130" i="35"/>
  <c r="AW130" i="35" s="1"/>
  <c r="AS130" i="35" s="1"/>
  <c r="V131" i="35"/>
  <c r="AC130" i="35"/>
  <c r="Y130" i="35" s="1"/>
  <c r="Z67" i="35"/>
  <c r="X68" i="35" s="1"/>
  <c r="AA67" i="35"/>
  <c r="BB67" i="35" s="1"/>
  <c r="BC67" i="35" s="1"/>
  <c r="AU110" i="35"/>
  <c r="AT110" i="35"/>
  <c r="AR111" i="35" s="1"/>
  <c r="AH110" i="35"/>
  <c r="AJ110" i="35" s="1"/>
  <c r="AK109" i="35"/>
  <c r="AN109" i="35" s="1"/>
  <c r="Q105" i="35"/>
  <c r="P105" i="35"/>
  <c r="N106" i="35" s="1"/>
  <c r="F109" i="35"/>
  <c r="D110" i="35" s="1"/>
  <c r="G109" i="35"/>
  <c r="J109" i="35" l="1"/>
  <c r="AZ125" i="35"/>
  <c r="AC131" i="35"/>
  <c r="Y131" i="35" s="1"/>
  <c r="W131" i="35"/>
  <c r="V132" i="35"/>
  <c r="AM126" i="35"/>
  <c r="AI126" i="35" s="1"/>
  <c r="AF127" i="35"/>
  <c r="AG126" i="35"/>
  <c r="AP132" i="35"/>
  <c r="AW131" i="35"/>
  <c r="AS131" i="35" s="1"/>
  <c r="AQ131" i="35"/>
  <c r="AD67" i="35"/>
  <c r="T105" i="35"/>
  <c r="Z68" i="35"/>
  <c r="AA68" i="35"/>
  <c r="BB68" i="35" s="1"/>
  <c r="AU111" i="35"/>
  <c r="AT111" i="35"/>
  <c r="AR112" i="35" s="1"/>
  <c r="AK110" i="35"/>
  <c r="AN110" i="35" s="1"/>
  <c r="AH111" i="35"/>
  <c r="AJ111" i="35" s="1"/>
  <c r="P106" i="35"/>
  <c r="N107" i="35" s="1"/>
  <c r="Q106" i="35"/>
  <c r="F110" i="35"/>
  <c r="D111" i="35" s="1"/>
  <c r="G110" i="35"/>
  <c r="J110" i="35" s="1"/>
  <c r="F91" i="4"/>
  <c r="F54" i="4"/>
  <c r="H54" i="4"/>
  <c r="H91" i="4"/>
  <c r="G91" i="4"/>
  <c r="G54" i="4"/>
  <c r="E91" i="4"/>
  <c r="F197" i="45"/>
  <c r="F15" i="45" s="1"/>
  <c r="F11" i="26" s="1"/>
  <c r="G197" i="45"/>
  <c r="G15" i="45" s="1"/>
  <c r="H197" i="45"/>
  <c r="H15" i="45" s="1"/>
  <c r="E197" i="45"/>
  <c r="E15" i="45" s="1"/>
  <c r="E7" i="45" s="1"/>
  <c r="T106" i="35" l="1"/>
  <c r="AZ126" i="35"/>
  <c r="AC132" i="35"/>
  <c r="Y132" i="35" s="1"/>
  <c r="W132" i="35"/>
  <c r="V133" i="35"/>
  <c r="AP133" i="35"/>
  <c r="AW132" i="35"/>
  <c r="AS132" i="35" s="1"/>
  <c r="AQ132" i="35"/>
  <c r="AM127" i="35"/>
  <c r="AI127" i="35" s="1"/>
  <c r="AF128" i="35"/>
  <c r="AG127" i="35"/>
  <c r="AD68" i="35"/>
  <c r="X69" i="35"/>
  <c r="AT112" i="35"/>
  <c r="AR113" i="35" s="1"/>
  <c r="AU112" i="35"/>
  <c r="AK111" i="35"/>
  <c r="AN111" i="35" s="1"/>
  <c r="AH112" i="35"/>
  <c r="AJ112" i="35" s="1"/>
  <c r="Q107" i="35"/>
  <c r="P107" i="35"/>
  <c r="N108" i="35" s="1"/>
  <c r="F111" i="35"/>
  <c r="D112" i="35" s="1"/>
  <c r="G111" i="35"/>
  <c r="J111" i="35" s="1"/>
  <c r="E11" i="26"/>
  <c r="E14" i="26" s="1"/>
  <c r="G78" i="45"/>
  <c r="G84" i="45" s="1"/>
  <c r="G85" i="45" s="1"/>
  <c r="G7" i="45"/>
  <c r="G11" i="26"/>
  <c r="E26" i="45"/>
  <c r="E56" i="45" s="1"/>
  <c r="E57" i="45" s="1"/>
  <c r="H11" i="26"/>
  <c r="H78" i="45"/>
  <c r="H84" i="45" s="1"/>
  <c r="H85" i="45" s="1"/>
  <c r="H7" i="45"/>
  <c r="F14" i="26"/>
  <c r="F7" i="45"/>
  <c r="E17" i="48" l="1"/>
  <c r="E20" i="48" s="1"/>
  <c r="E22" i="48" s="1"/>
  <c r="E50" i="48" s="1"/>
  <c r="F17" i="48"/>
  <c r="F20" i="48" s="1"/>
  <c r="AZ127" i="35"/>
  <c r="AM128" i="35"/>
  <c r="AI128" i="35" s="1"/>
  <c r="AF129" i="35"/>
  <c r="AG128" i="35"/>
  <c r="W133" i="35"/>
  <c r="AW133" i="35" s="1"/>
  <c r="AS133" i="35" s="1"/>
  <c r="V134" i="35"/>
  <c r="AC133" i="35"/>
  <c r="Y133" i="35" s="1"/>
  <c r="AP134" i="35"/>
  <c r="AQ133" i="35"/>
  <c r="E17" i="26"/>
  <c r="E36" i="26" s="1"/>
  <c r="E37" i="26" s="1"/>
  <c r="E119" i="1"/>
  <c r="E120" i="1" s="1"/>
  <c r="E164" i="4" s="1"/>
  <c r="Z69" i="35"/>
  <c r="X70" i="35" s="1"/>
  <c r="AA69" i="35"/>
  <c r="BB69" i="35" s="1"/>
  <c r="T107" i="35"/>
  <c r="AU113" i="35"/>
  <c r="AT113" i="35"/>
  <c r="AR114" i="35" s="1"/>
  <c r="AK112" i="35"/>
  <c r="AN112" i="35" s="1"/>
  <c r="AH113" i="35"/>
  <c r="AJ113" i="35" s="1"/>
  <c r="Q108" i="35"/>
  <c r="P108" i="35"/>
  <c r="N109" i="35" s="1"/>
  <c r="F112" i="35"/>
  <c r="D113" i="35" s="1"/>
  <c r="G112" i="35"/>
  <c r="J112" i="35" s="1"/>
  <c r="G26" i="45"/>
  <c r="G56" i="45" s="1"/>
  <c r="G57" i="45" s="1"/>
  <c r="G14" i="26"/>
  <c r="F119" i="1"/>
  <c r="F120" i="1" s="1"/>
  <c r="F164" i="4" s="1"/>
  <c r="F17" i="26"/>
  <c r="F26" i="45"/>
  <c r="F56" i="45" s="1"/>
  <c r="F57" i="45" s="1"/>
  <c r="H14" i="26"/>
  <c r="E52" i="26"/>
  <c r="H26" i="45"/>
  <c r="H56" i="45" s="1"/>
  <c r="H57" i="45" s="1"/>
  <c r="E53" i="26" l="1"/>
  <c r="E54" i="48"/>
  <c r="E59" i="48" s="1"/>
  <c r="E84" i="48" s="1"/>
  <c r="E81" i="48"/>
  <c r="F278" i="48"/>
  <c r="F274" i="48"/>
  <c r="T108" i="35"/>
  <c r="H17" i="48"/>
  <c r="H278" i="48" s="1"/>
  <c r="AZ128" i="35"/>
  <c r="E40" i="26"/>
  <c r="E42" i="26" s="1"/>
  <c r="E45" i="26" s="1"/>
  <c r="E47" i="26" s="1"/>
  <c r="AP135" i="35"/>
  <c r="AW134" i="35"/>
  <c r="AS134" i="35" s="1"/>
  <c r="AQ134" i="35"/>
  <c r="AC134" i="35"/>
  <c r="Y134" i="35" s="1"/>
  <c r="W134" i="35"/>
  <c r="V135" i="35"/>
  <c r="AM129" i="35"/>
  <c r="AI129" i="35" s="1"/>
  <c r="AG129" i="35"/>
  <c r="AF130" i="35"/>
  <c r="AD69" i="35"/>
  <c r="Z70" i="35"/>
  <c r="AA70" i="35"/>
  <c r="BB70" i="35" s="1"/>
  <c r="BC70" i="35" s="1"/>
  <c r="AT114" i="35"/>
  <c r="AR115" i="35" s="1"/>
  <c r="AU114" i="35"/>
  <c r="AK113" i="35"/>
  <c r="AH114" i="35"/>
  <c r="AJ114" i="35" s="1"/>
  <c r="P109" i="35"/>
  <c r="N110" i="35" s="1"/>
  <c r="Q109" i="35"/>
  <c r="F113" i="35"/>
  <c r="D114" i="35" s="1"/>
  <c r="G113" i="35"/>
  <c r="G52" i="26"/>
  <c r="G119" i="1"/>
  <c r="G120" i="1" s="1"/>
  <c r="G164" i="4" s="1"/>
  <c r="G17" i="48"/>
  <c r="G17" i="26"/>
  <c r="G18" i="26" s="1"/>
  <c r="F22" i="48"/>
  <c r="F275" i="48"/>
  <c r="H52" i="26"/>
  <c r="F52" i="26"/>
  <c r="F36" i="26"/>
  <c r="F18" i="26"/>
  <c r="H119" i="1"/>
  <c r="H17" i="26"/>
  <c r="E74" i="48" l="1"/>
  <c r="E85" i="48" s="1"/>
  <c r="G53" i="26"/>
  <c r="F53" i="26"/>
  <c r="C7" i="58"/>
  <c r="I18" i="26"/>
  <c r="H20" i="48"/>
  <c r="H275" i="48" s="1"/>
  <c r="H274" i="48"/>
  <c r="T109" i="35"/>
  <c r="AZ129" i="35"/>
  <c r="H53" i="26"/>
  <c r="C86" i="58"/>
  <c r="E83" i="48"/>
  <c r="E82" i="48"/>
  <c r="E76" i="48"/>
  <c r="E79" i="48" s="1"/>
  <c r="E80" i="48" s="1"/>
  <c r="AC135" i="35"/>
  <c r="Y135" i="35" s="1"/>
  <c r="W135" i="35"/>
  <c r="V136" i="35"/>
  <c r="AM130" i="35"/>
  <c r="AI130" i="35" s="1"/>
  <c r="AG130" i="35"/>
  <c r="AF131" i="35"/>
  <c r="AP136" i="35"/>
  <c r="AW135" i="35"/>
  <c r="AS135" i="35" s="1"/>
  <c r="AQ135" i="35"/>
  <c r="AN113" i="35"/>
  <c r="J113" i="35"/>
  <c r="AD70" i="35"/>
  <c r="X71" i="35"/>
  <c r="AU115" i="35"/>
  <c r="AT115" i="35"/>
  <c r="AR116" i="35" s="1"/>
  <c r="AK114" i="35"/>
  <c r="AN114" i="35" s="1"/>
  <c r="AH115" i="35"/>
  <c r="AJ115" i="35" s="1"/>
  <c r="P110" i="35"/>
  <c r="N111" i="35" s="1"/>
  <c r="Q110" i="35"/>
  <c r="T110" i="35" s="1"/>
  <c r="F114" i="35"/>
  <c r="D115" i="35" s="1"/>
  <c r="G114" i="35"/>
  <c r="J114" i="35" s="1"/>
  <c r="G36" i="26"/>
  <c r="F361" i="48"/>
  <c r="F405" i="48"/>
  <c r="F330" i="48"/>
  <c r="F350" i="48"/>
  <c r="F219" i="48"/>
  <c r="F222" i="48"/>
  <c r="F352" i="48"/>
  <c r="F329" i="48"/>
  <c r="F231" i="48"/>
  <c r="F395" i="48" s="1"/>
  <c r="F427" i="48" s="1"/>
  <c r="F397" i="48"/>
  <c r="F272" i="48"/>
  <c r="F81" i="48"/>
  <c r="F333" i="48" s="1"/>
  <c r="F359" i="48"/>
  <c r="F49" i="48"/>
  <c r="F379" i="48" s="1"/>
  <c r="F425" i="48"/>
  <c r="F54" i="48"/>
  <c r="F386" i="48"/>
  <c r="F351" i="48"/>
  <c r="F353" i="48"/>
  <c r="F387" i="48"/>
  <c r="F423" i="48" s="1"/>
  <c r="G20" i="48"/>
  <c r="G274" i="48"/>
  <c r="G278" i="48"/>
  <c r="F40" i="26"/>
  <c r="F37" i="26"/>
  <c r="H120" i="1"/>
  <c r="H164" i="4" s="1"/>
  <c r="H36" i="26"/>
  <c r="H18" i="26"/>
  <c r="H22" i="48" l="1"/>
  <c r="H397" i="48" s="1"/>
  <c r="AZ130" i="35"/>
  <c r="C89" i="58"/>
  <c r="C8" i="58" s="1"/>
  <c r="C17" i="58"/>
  <c r="C19" i="58" s="1"/>
  <c r="E86" i="48"/>
  <c r="E77" i="48"/>
  <c r="E87" i="48" s="1"/>
  <c r="AQ136" i="35"/>
  <c r="AM131" i="35"/>
  <c r="AI131" i="35" s="1"/>
  <c r="AG131" i="35"/>
  <c r="AF132" i="35"/>
  <c r="W136" i="35"/>
  <c r="AW136" i="35" s="1"/>
  <c r="AC136" i="35"/>
  <c r="Z71" i="35"/>
  <c r="X72" i="35" s="1"/>
  <c r="AA71" i="35"/>
  <c r="BB71" i="35" s="1"/>
  <c r="AU116" i="35"/>
  <c r="AT116" i="35"/>
  <c r="AR117" i="35" s="1"/>
  <c r="AK115" i="35"/>
  <c r="AH116" i="35"/>
  <c r="AJ116" i="35" s="1"/>
  <c r="P111" i="35"/>
  <c r="N112" i="35" s="1"/>
  <c r="Q111" i="35"/>
  <c r="T111" i="35" s="1"/>
  <c r="F115" i="35"/>
  <c r="D116" i="35" s="1"/>
  <c r="G115" i="35"/>
  <c r="F362" i="48"/>
  <c r="F368" i="48" s="1"/>
  <c r="G37" i="26"/>
  <c r="G40" i="26"/>
  <c r="G42" i="26" s="1"/>
  <c r="F354" i="48"/>
  <c r="F367" i="48" s="1"/>
  <c r="G275" i="48"/>
  <c r="G22" i="48"/>
  <c r="F50" i="48"/>
  <c r="F59" i="48"/>
  <c r="F230" i="48"/>
  <c r="F398" i="48" s="1"/>
  <c r="H40" i="26"/>
  <c r="H37" i="26"/>
  <c r="F42" i="26"/>
  <c r="H54" i="48" l="1"/>
  <c r="H59" i="48" s="1"/>
  <c r="H231" i="48"/>
  <c r="H395" i="48" s="1"/>
  <c r="H427" i="48" s="1"/>
  <c r="H334" i="48"/>
  <c r="H330" i="48"/>
  <c r="H361" i="48"/>
  <c r="H351" i="48"/>
  <c r="H425" i="48"/>
  <c r="H352" i="48"/>
  <c r="H350" i="48"/>
  <c r="H49" i="48"/>
  <c r="H50" i="48" s="1"/>
  <c r="H222" i="48"/>
  <c r="H81" i="48"/>
  <c r="H272" i="48"/>
  <c r="H329" i="48"/>
  <c r="H332" i="48"/>
  <c r="H333" i="48"/>
  <c r="H405" i="48"/>
  <c r="AZ131" i="35"/>
  <c r="AS136" i="35"/>
  <c r="O46" i="7" s="1"/>
  <c r="AW137" i="35"/>
  <c r="AM132" i="35"/>
  <c r="AI132" i="35" s="1"/>
  <c r="AG132" i="35"/>
  <c r="AF133" i="35"/>
  <c r="Y136" i="35"/>
  <c r="AC137" i="35"/>
  <c r="AN115" i="35"/>
  <c r="AD71" i="35"/>
  <c r="J115" i="35"/>
  <c r="Z72" i="35"/>
  <c r="AA72" i="35"/>
  <c r="BB72" i="35" s="1"/>
  <c r="AT117" i="35"/>
  <c r="AR118" i="35" s="1"/>
  <c r="AU117" i="35"/>
  <c r="AH117" i="35"/>
  <c r="AJ117" i="35" s="1"/>
  <c r="AK116" i="35"/>
  <c r="AN116" i="35" s="1"/>
  <c r="Q112" i="35"/>
  <c r="T112" i="35" s="1"/>
  <c r="P112" i="35"/>
  <c r="N113" i="35" s="1"/>
  <c r="F116" i="35"/>
  <c r="D117" i="35" s="1"/>
  <c r="G116" i="35"/>
  <c r="J116" i="35" s="1"/>
  <c r="F369" i="48"/>
  <c r="G329" i="48"/>
  <c r="G81" i="48"/>
  <c r="G359" i="48"/>
  <c r="G222" i="48"/>
  <c r="G330" i="48"/>
  <c r="G405" i="48"/>
  <c r="G334" i="48"/>
  <c r="G351" i="48"/>
  <c r="G49" i="48"/>
  <c r="G50" i="48" s="1"/>
  <c r="H23" i="48"/>
  <c r="H378" i="48" s="1"/>
  <c r="G333" i="48"/>
  <c r="G397" i="48"/>
  <c r="G332" i="48"/>
  <c r="G361" i="48"/>
  <c r="G350" i="48"/>
  <c r="G353" i="48"/>
  <c r="G231" i="48"/>
  <c r="G395" i="48" s="1"/>
  <c r="G427" i="48" s="1"/>
  <c r="G352" i="48"/>
  <c r="G272" i="48"/>
  <c r="G54" i="48"/>
  <c r="G425" i="48"/>
  <c r="G387" i="48"/>
  <c r="G423" i="48" s="1"/>
  <c r="G23" i="48"/>
  <c r="G378" i="48" s="1"/>
  <c r="H354" i="48"/>
  <c r="H367" i="48" s="1"/>
  <c r="F74" i="48"/>
  <c r="F406" i="48"/>
  <c r="F388" i="48"/>
  <c r="F84" i="48"/>
  <c r="F382" i="48" s="1"/>
  <c r="G45" i="26"/>
  <c r="F45" i="26"/>
  <c r="H42" i="26"/>
  <c r="H379" i="48" l="1"/>
  <c r="AZ132" i="35"/>
  <c r="O34" i="7"/>
  <c r="J34" i="7"/>
  <c r="Y137" i="35"/>
  <c r="K34" i="7"/>
  <c r="L34" i="7"/>
  <c r="M34" i="7"/>
  <c r="N34" i="7"/>
  <c r="AM133" i="35"/>
  <c r="AI133" i="35" s="1"/>
  <c r="AF134" i="35"/>
  <c r="AG133" i="35"/>
  <c r="F46" i="7"/>
  <c r="J46" i="7"/>
  <c r="AS137" i="35"/>
  <c r="K46" i="7"/>
  <c r="L46" i="7"/>
  <c r="M46" i="7"/>
  <c r="N46" i="7"/>
  <c r="AD72" i="35"/>
  <c r="X73" i="35"/>
  <c r="AU118" i="35"/>
  <c r="AT118" i="35"/>
  <c r="AR119" i="35" s="1"/>
  <c r="AH118" i="35"/>
  <c r="AJ118" i="35" s="1"/>
  <c r="AK117" i="35"/>
  <c r="P113" i="35"/>
  <c r="N114" i="35" s="1"/>
  <c r="Q113" i="35"/>
  <c r="F117" i="35"/>
  <c r="D118" i="35" s="1"/>
  <c r="G117" i="35"/>
  <c r="G379" i="48"/>
  <c r="G354" i="48"/>
  <c r="G367" i="48" s="1"/>
  <c r="G59" i="48"/>
  <c r="G230" i="48"/>
  <c r="G398" i="48" s="1"/>
  <c r="G362" i="48"/>
  <c r="G368" i="48" s="1"/>
  <c r="G175" i="1"/>
  <c r="G177" i="1" s="1"/>
  <c r="G47" i="26"/>
  <c r="F76" i="48"/>
  <c r="F389" i="48"/>
  <c r="F85" i="48"/>
  <c r="F83" i="48"/>
  <c r="F381" i="48" s="1"/>
  <c r="F408" i="48" s="1"/>
  <c r="F424" i="48"/>
  <c r="F82" i="48"/>
  <c r="F380" i="48" s="1"/>
  <c r="H74" i="48"/>
  <c r="H406" i="48"/>
  <c r="H388" i="48"/>
  <c r="H84" i="48"/>
  <c r="H382" i="48" s="1"/>
  <c r="H45" i="26"/>
  <c r="C11" i="58" s="1"/>
  <c r="C12" i="58" s="1"/>
  <c r="F47" i="26"/>
  <c r="AZ133" i="35" l="1"/>
  <c r="G369" i="48"/>
  <c r="AM134" i="35"/>
  <c r="AI134" i="35" s="1"/>
  <c r="AF135" i="35"/>
  <c r="AG134" i="35"/>
  <c r="Q46" i="7"/>
  <c r="F47" i="7"/>
  <c r="Q34" i="7"/>
  <c r="J35" i="7"/>
  <c r="J117" i="35"/>
  <c r="Z73" i="35"/>
  <c r="X74" i="35" s="1"/>
  <c r="AA73" i="35"/>
  <c r="AN117" i="35"/>
  <c r="T113" i="35"/>
  <c r="AU119" i="35"/>
  <c r="AT119" i="35"/>
  <c r="AR120" i="35" s="1"/>
  <c r="AK118" i="35"/>
  <c r="AN118" i="35" s="1"/>
  <c r="AH119" i="35"/>
  <c r="AJ119" i="35" s="1"/>
  <c r="Q114" i="35"/>
  <c r="T114" i="35" s="1"/>
  <c r="P114" i="35"/>
  <c r="N115" i="35" s="1"/>
  <c r="F118" i="35"/>
  <c r="D119" i="35" s="1"/>
  <c r="G118" i="35"/>
  <c r="J118" i="35" s="1"/>
  <c r="G154" i="48"/>
  <c r="G155" i="48" s="1"/>
  <c r="H174" i="1"/>
  <c r="G179" i="1"/>
  <c r="F383" i="48"/>
  <c r="F409" i="48"/>
  <c r="G84" i="48"/>
  <c r="G382" i="48" s="1"/>
  <c r="G406" i="48"/>
  <c r="G388" i="48"/>
  <c r="G74" i="48"/>
  <c r="H76" i="48"/>
  <c r="H389" i="48"/>
  <c r="H83" i="48"/>
  <c r="H381" i="48" s="1"/>
  <c r="H408" i="48" s="1"/>
  <c r="H85" i="48"/>
  <c r="H424" i="48"/>
  <c r="H82" i="48"/>
  <c r="H380" i="48" s="1"/>
  <c r="F410" i="48"/>
  <c r="F411" i="48" s="1"/>
  <c r="F158" i="48"/>
  <c r="F334" i="48" s="1"/>
  <c r="F79" i="48"/>
  <c r="F77" i="48"/>
  <c r="F337" i="48"/>
  <c r="F429" i="48"/>
  <c r="F86" i="48"/>
  <c r="F384" i="48" s="1"/>
  <c r="F328" i="48"/>
  <c r="H175" i="1"/>
  <c r="H47" i="26"/>
  <c r="E39" i="27" l="1"/>
  <c r="E40" i="27" s="1"/>
  <c r="E65" i="27" s="1"/>
  <c r="AZ134" i="35"/>
  <c r="AD73" i="35"/>
  <c r="BB73" i="35"/>
  <c r="BC73" i="35" s="1"/>
  <c r="G44" i="7"/>
  <c r="G47" i="7" s="1"/>
  <c r="K32" i="7"/>
  <c r="K35" i="7" s="1"/>
  <c r="AM135" i="35"/>
  <c r="AI135" i="35" s="1"/>
  <c r="AG135" i="35"/>
  <c r="AF136" i="35"/>
  <c r="Z74" i="35"/>
  <c r="X75" i="35" s="1"/>
  <c r="AA74" i="35"/>
  <c r="AT120" i="35"/>
  <c r="AR121" i="35" s="1"/>
  <c r="AU120" i="35"/>
  <c r="AK119" i="35"/>
  <c r="AH120" i="35"/>
  <c r="AJ120" i="35" s="1"/>
  <c r="Q115" i="35"/>
  <c r="P115" i="35"/>
  <c r="N116" i="35" s="1"/>
  <c r="F119" i="35"/>
  <c r="D120" i="35" s="1"/>
  <c r="G119" i="35"/>
  <c r="F412" i="48"/>
  <c r="F87" i="48"/>
  <c r="F385" i="48" s="1"/>
  <c r="F413" i="48" s="1"/>
  <c r="H77" i="48"/>
  <c r="H410" i="48"/>
  <c r="H411" i="48" s="1"/>
  <c r="H79" i="48"/>
  <c r="H86" i="48"/>
  <c r="H384" i="48" s="1"/>
  <c r="H328" i="48"/>
  <c r="H429" i="48"/>
  <c r="H337" i="48"/>
  <c r="G213" i="48"/>
  <c r="G244" i="48"/>
  <c r="G156" i="48"/>
  <c r="H383" i="48"/>
  <c r="H409" i="48"/>
  <c r="F80" i="48"/>
  <c r="F332" i="48" s="1"/>
  <c r="F340" i="48" s="1"/>
  <c r="F331" i="48"/>
  <c r="F430" i="48"/>
  <c r="F431" i="48"/>
  <c r="F220" i="48"/>
  <c r="F221" i="48"/>
  <c r="F339" i="48"/>
  <c r="G76" i="48"/>
  <c r="G389" i="48"/>
  <c r="G424" i="48"/>
  <c r="G83" i="48"/>
  <c r="G381" i="48" s="1"/>
  <c r="G408" i="48" s="1"/>
  <c r="G85" i="48"/>
  <c r="G82" i="48"/>
  <c r="G380" i="48" s="1"/>
  <c r="H177" i="1"/>
  <c r="E67" i="27" l="1"/>
  <c r="H154" i="48"/>
  <c r="H155" i="48" s="1"/>
  <c r="H339" i="48" s="1"/>
  <c r="I174" i="1"/>
  <c r="I177" i="1" s="1"/>
  <c r="AZ135" i="35"/>
  <c r="AD74" i="35"/>
  <c r="BB74" i="35"/>
  <c r="H44" i="7"/>
  <c r="H47" i="7" s="1"/>
  <c r="AG136" i="35"/>
  <c r="AM136" i="35"/>
  <c r="L32" i="7"/>
  <c r="L35" i="7" s="1"/>
  <c r="AN119" i="35"/>
  <c r="J119" i="35"/>
  <c r="T115" i="35"/>
  <c r="Z75" i="35"/>
  <c r="X76" i="35" s="1"/>
  <c r="AA75" i="35"/>
  <c r="AT121" i="35"/>
  <c r="AR122" i="35" s="1"/>
  <c r="AU121" i="35"/>
  <c r="AK120" i="35"/>
  <c r="AN120" i="35" s="1"/>
  <c r="AH121" i="35"/>
  <c r="AJ121" i="35" s="1"/>
  <c r="Q116" i="35"/>
  <c r="T116" i="35" s="1"/>
  <c r="P116" i="35"/>
  <c r="N117" i="35" s="1"/>
  <c r="F120" i="35"/>
  <c r="D121" i="35" s="1"/>
  <c r="G120" i="35"/>
  <c r="J120" i="35" s="1"/>
  <c r="F345" i="48"/>
  <c r="F365" i="48" s="1"/>
  <c r="F335" i="48"/>
  <c r="F223" i="48"/>
  <c r="G219" i="48" s="1"/>
  <c r="G243" i="48"/>
  <c r="G216" i="48"/>
  <c r="H80" i="48"/>
  <c r="H431" i="48"/>
  <c r="H220" i="48"/>
  <c r="H412" i="48"/>
  <c r="H87" i="48"/>
  <c r="H385" i="48" s="1"/>
  <c r="H413" i="48" s="1"/>
  <c r="G77" i="48"/>
  <c r="G410" i="48"/>
  <c r="G411" i="48" s="1"/>
  <c r="G79" i="48"/>
  <c r="G337" i="48"/>
  <c r="G86" i="48"/>
  <c r="G384" i="48" s="1"/>
  <c r="G328" i="48"/>
  <c r="G429" i="48"/>
  <c r="G228" i="48"/>
  <c r="G390" i="48"/>
  <c r="G227" i="48"/>
  <c r="G386" i="48"/>
  <c r="G391" i="48"/>
  <c r="G417" i="48" s="1"/>
  <c r="G415" i="48"/>
  <c r="G416" i="48" s="1"/>
  <c r="G418" i="48" s="1"/>
  <c r="G383" i="48"/>
  <c r="G409" i="48"/>
  <c r="H179" i="1"/>
  <c r="H331" i="48" l="1"/>
  <c r="H335" i="48" s="1"/>
  <c r="H364" i="48" s="1"/>
  <c r="I179" i="1"/>
  <c r="G39" i="27" s="1"/>
  <c r="J174" i="1"/>
  <c r="H156" i="48"/>
  <c r="H244" i="48"/>
  <c r="H213" i="48"/>
  <c r="H386" i="48" s="1"/>
  <c r="H221" i="48"/>
  <c r="AD75" i="35"/>
  <c r="BB75" i="35"/>
  <c r="F39" i="27"/>
  <c r="F40" i="27" s="1"/>
  <c r="F346" i="48"/>
  <c r="M32" i="7"/>
  <c r="M35" i="7" s="1"/>
  <c r="AI136" i="35"/>
  <c r="AM137" i="35"/>
  <c r="I44" i="7"/>
  <c r="I47" i="7" s="1"/>
  <c r="F364" i="48"/>
  <c r="F366" i="48" s="1"/>
  <c r="F371" i="48" s="1"/>
  <c r="Z76" i="35"/>
  <c r="X77" i="35" s="1"/>
  <c r="AA76" i="35"/>
  <c r="AT122" i="35"/>
  <c r="AR123" i="35" s="1"/>
  <c r="AU122" i="35"/>
  <c r="AK121" i="35"/>
  <c r="AN121" i="35" s="1"/>
  <c r="AH122" i="35"/>
  <c r="AJ122" i="35" s="1"/>
  <c r="P117" i="35"/>
  <c r="N118" i="35" s="1"/>
  <c r="Q117" i="35"/>
  <c r="F121" i="35"/>
  <c r="D122" i="35" s="1"/>
  <c r="G121" i="35"/>
  <c r="J121" i="35" s="1"/>
  <c r="G412" i="48"/>
  <c r="G87" i="48"/>
  <c r="G385" i="48" s="1"/>
  <c r="G413" i="48" s="1"/>
  <c r="G80" i="48"/>
  <c r="G430" i="48"/>
  <c r="G431" i="48"/>
  <c r="G220" i="48"/>
  <c r="G221" i="48"/>
  <c r="G339" i="48"/>
  <c r="G331" i="48"/>
  <c r="G335" i="48" s="1"/>
  <c r="G40" i="27" l="1"/>
  <c r="G65" i="27" s="1"/>
  <c r="H390" i="48"/>
  <c r="H415" i="48"/>
  <c r="H416" i="48" s="1"/>
  <c r="H418" i="48" s="1"/>
  <c r="H227" i="48"/>
  <c r="H391" i="48"/>
  <c r="H417" i="48" s="1"/>
  <c r="H228" i="48"/>
  <c r="F65" i="27"/>
  <c r="C59" i="31"/>
  <c r="C62" i="31" s="1"/>
  <c r="C69" i="31" s="1"/>
  <c r="AD76" i="35"/>
  <c r="BB76" i="35"/>
  <c r="BC76" i="35" s="1"/>
  <c r="BD73" i="35" s="1"/>
  <c r="AZ136" i="35"/>
  <c r="O40" i="7"/>
  <c r="J44" i="7"/>
  <c r="J47" i="7" s="1"/>
  <c r="F40" i="7"/>
  <c r="AI137" i="35"/>
  <c r="G40" i="7"/>
  <c r="H40" i="7"/>
  <c r="I40" i="7"/>
  <c r="J40" i="7"/>
  <c r="K40" i="7"/>
  <c r="L40" i="7"/>
  <c r="M40" i="7"/>
  <c r="N40" i="7"/>
  <c r="N32" i="7"/>
  <c r="N35" i="7" s="1"/>
  <c r="T117" i="35"/>
  <c r="Z77" i="35"/>
  <c r="X78" i="35" s="1"/>
  <c r="AA77" i="35"/>
  <c r="BB77" i="35" s="1"/>
  <c r="AU123" i="35"/>
  <c r="AT123" i="35"/>
  <c r="AR124" i="35" s="1"/>
  <c r="AK122" i="35"/>
  <c r="AN122" i="35" s="1"/>
  <c r="AH123" i="35"/>
  <c r="AJ123" i="35" s="1"/>
  <c r="P118" i="35"/>
  <c r="N119" i="35" s="1"/>
  <c r="Q118" i="35"/>
  <c r="T118" i="35" s="1"/>
  <c r="F122" i="35"/>
  <c r="D123" i="35" s="1"/>
  <c r="G122" i="35"/>
  <c r="J122" i="35" s="1"/>
  <c r="G364" i="48"/>
  <c r="G223" i="48"/>
  <c r="D59" i="31" l="1"/>
  <c r="D62" i="31" s="1"/>
  <c r="D69" i="31" s="1"/>
  <c r="G67" i="27"/>
  <c r="O53" i="7"/>
  <c r="O49" i="7"/>
  <c r="J53" i="7"/>
  <c r="J109" i="58" s="1"/>
  <c r="J49" i="7"/>
  <c r="I65" i="28" s="1"/>
  <c r="I53" i="7"/>
  <c r="I109" i="58" s="1"/>
  <c r="I49" i="7"/>
  <c r="H65" i="28" s="1"/>
  <c r="H53" i="7"/>
  <c r="H109" i="58" s="1"/>
  <c r="H49" i="7"/>
  <c r="G65" i="28" s="1"/>
  <c r="G53" i="7"/>
  <c r="G109" i="58" s="1"/>
  <c r="G49" i="7"/>
  <c r="F65" i="28" s="1"/>
  <c r="N49" i="7"/>
  <c r="M65" i="28" s="1"/>
  <c r="N53" i="7"/>
  <c r="F41" i="7"/>
  <c r="Q40" i="7"/>
  <c r="Q49" i="7" s="1"/>
  <c r="F53" i="7"/>
  <c r="F109" i="58" s="1"/>
  <c r="F49" i="7"/>
  <c r="E65" i="28" s="1"/>
  <c r="M53" i="7"/>
  <c r="M109" i="58" s="1"/>
  <c r="M49" i="7"/>
  <c r="L65" i="28" s="1"/>
  <c r="L53" i="7"/>
  <c r="L109" i="58" s="1"/>
  <c r="L49" i="7"/>
  <c r="K65" i="28" s="1"/>
  <c r="O32" i="7"/>
  <c r="O35" i="7" s="1"/>
  <c r="P32" i="7" s="1"/>
  <c r="P35" i="7" s="1"/>
  <c r="K53" i="7"/>
  <c r="K109" i="58" s="1"/>
  <c r="K49" i="7"/>
  <c r="J65" i="28" s="1"/>
  <c r="K44" i="7"/>
  <c r="K47" i="7" s="1"/>
  <c r="AD77" i="35"/>
  <c r="Z78" i="35"/>
  <c r="X79" i="35" s="1"/>
  <c r="AA78" i="35"/>
  <c r="AU124" i="35"/>
  <c r="AT124" i="35"/>
  <c r="AR125" i="35" s="1"/>
  <c r="AK123" i="35"/>
  <c r="AN123" i="35" s="1"/>
  <c r="AH124" i="35"/>
  <c r="AJ124" i="35" s="1"/>
  <c r="P119" i="35"/>
  <c r="N120" i="35" s="1"/>
  <c r="Q119" i="35"/>
  <c r="F123" i="35"/>
  <c r="D124" i="35" s="1"/>
  <c r="G123" i="35"/>
  <c r="J123" i="35" s="1"/>
  <c r="H219" i="48"/>
  <c r="H223" i="48" s="1"/>
  <c r="AD78" i="35" l="1"/>
  <c r="BB78" i="35"/>
  <c r="M75" i="31"/>
  <c r="K38" i="31"/>
  <c r="L75" i="31"/>
  <c r="E38" i="31"/>
  <c r="F75" i="31"/>
  <c r="D38" i="31"/>
  <c r="E75" i="31"/>
  <c r="F38" i="31"/>
  <c r="G75" i="31"/>
  <c r="G38" i="31"/>
  <c r="H75" i="31"/>
  <c r="I38" i="31"/>
  <c r="J75" i="31"/>
  <c r="H38" i="31"/>
  <c r="I75" i="31"/>
  <c r="J38" i="31"/>
  <c r="K75" i="31"/>
  <c r="G38" i="7"/>
  <c r="G41" i="7" s="1"/>
  <c r="I45" i="27"/>
  <c r="F52" i="7"/>
  <c r="Q53" i="7"/>
  <c r="L44" i="7"/>
  <c r="L47" i="7" s="1"/>
  <c r="Z79" i="35"/>
  <c r="X80" i="35" s="1"/>
  <c r="AA79" i="35"/>
  <c r="BB79" i="35" s="1"/>
  <c r="T119" i="35"/>
  <c r="AT125" i="35"/>
  <c r="AR126" i="35" s="1"/>
  <c r="AU125" i="35"/>
  <c r="AH125" i="35"/>
  <c r="AJ125" i="35" s="1"/>
  <c r="AK124" i="35"/>
  <c r="AN124" i="35" s="1"/>
  <c r="P120" i="35"/>
  <c r="N121" i="35" s="1"/>
  <c r="Q120" i="35"/>
  <c r="T120" i="35" s="1"/>
  <c r="F124" i="35"/>
  <c r="D125" i="35" s="1"/>
  <c r="G124" i="35"/>
  <c r="J124" i="35" s="1"/>
  <c r="L45" i="4"/>
  <c r="K46" i="4"/>
  <c r="E11" i="31" s="1"/>
  <c r="J9" i="48"/>
  <c r="H14" i="18"/>
  <c r="H15" i="18" s="1"/>
  <c r="H23" i="18" s="1"/>
  <c r="J86" i="45"/>
  <c r="M45" i="4" l="1"/>
  <c r="L48" i="10"/>
  <c r="BC79" i="35"/>
  <c r="K86" i="45"/>
  <c r="D135" i="31"/>
  <c r="E26" i="28"/>
  <c r="D168" i="31" s="1"/>
  <c r="I53" i="27"/>
  <c r="I43" i="27"/>
  <c r="M44" i="7"/>
  <c r="M47" i="7" s="1"/>
  <c r="H38" i="7"/>
  <c r="H41" i="7" s="1"/>
  <c r="J45" i="27"/>
  <c r="G52" i="7"/>
  <c r="I14" i="18"/>
  <c r="I15" i="18" s="1"/>
  <c r="I23" i="18" s="1"/>
  <c r="AD79" i="35"/>
  <c r="Z80" i="35"/>
  <c r="X81" i="35" s="1"/>
  <c r="AA80" i="35"/>
  <c r="AU126" i="35"/>
  <c r="AT126" i="35"/>
  <c r="AR127" i="35" s="1"/>
  <c r="AH126" i="35"/>
  <c r="AJ126" i="35" s="1"/>
  <c r="AK125" i="35"/>
  <c r="Q121" i="35"/>
  <c r="T121" i="35" s="1"/>
  <c r="P121" i="35"/>
  <c r="N122" i="35" s="1"/>
  <c r="F125" i="35"/>
  <c r="D126" i="35" s="1"/>
  <c r="G125" i="35"/>
  <c r="L46" i="4"/>
  <c r="F11" i="31" s="1"/>
  <c r="L50" i="10" l="1"/>
  <c r="N45" i="4"/>
  <c r="M48" i="10"/>
  <c r="AD80" i="35"/>
  <c r="BB80" i="35"/>
  <c r="M46" i="4"/>
  <c r="G11" i="31" s="1"/>
  <c r="N44" i="7"/>
  <c r="N47" i="7" s="1"/>
  <c r="I38" i="7"/>
  <c r="I41" i="7" s="1"/>
  <c r="K45" i="27"/>
  <c r="H52" i="7"/>
  <c r="F60" i="31"/>
  <c r="E135" i="31"/>
  <c r="J43" i="27"/>
  <c r="J53" i="27"/>
  <c r="F26" i="28"/>
  <c r="E168" i="31" s="1"/>
  <c r="D134" i="31"/>
  <c r="D138" i="31"/>
  <c r="AN125" i="35"/>
  <c r="J125" i="35"/>
  <c r="Z81" i="35"/>
  <c r="X82" i="35" s="1"/>
  <c r="AA81" i="35"/>
  <c r="BB81" i="35" s="1"/>
  <c r="AT127" i="35"/>
  <c r="AR128" i="35" s="1"/>
  <c r="AU127" i="35"/>
  <c r="AK126" i="35"/>
  <c r="AN126" i="35" s="1"/>
  <c r="AH127" i="35"/>
  <c r="AJ127" i="35" s="1"/>
  <c r="P122" i="35"/>
  <c r="N123" i="35" s="1"/>
  <c r="Q122" i="35"/>
  <c r="T122" i="35" s="1"/>
  <c r="F126" i="35"/>
  <c r="D127" i="35" s="1"/>
  <c r="G126" i="35"/>
  <c r="J126" i="35" s="1"/>
  <c r="J14" i="18"/>
  <c r="L86" i="45"/>
  <c r="M50" i="10" l="1"/>
  <c r="O45" i="4"/>
  <c r="N48" i="10"/>
  <c r="K14" i="18"/>
  <c r="K15" i="18" s="1"/>
  <c r="K23" i="18" s="1"/>
  <c r="N46" i="4"/>
  <c r="H11" i="31" s="1"/>
  <c r="M86" i="45"/>
  <c r="E138" i="31"/>
  <c r="E134" i="31"/>
  <c r="F135" i="31"/>
  <c r="K53" i="27"/>
  <c r="G26" i="28"/>
  <c r="F168" i="31" s="1"/>
  <c r="K43" i="27"/>
  <c r="J38" i="7"/>
  <c r="J41" i="7" s="1"/>
  <c r="L45" i="27"/>
  <c r="I52" i="7"/>
  <c r="G60" i="31"/>
  <c r="O44" i="7"/>
  <c r="O47" i="7" s="1"/>
  <c r="AD81" i="35"/>
  <c r="Z82" i="35"/>
  <c r="X83" i="35" s="1"/>
  <c r="AA82" i="35"/>
  <c r="AT128" i="35"/>
  <c r="AR129" i="35" s="1"/>
  <c r="AU128" i="35"/>
  <c r="AK127" i="35"/>
  <c r="AH128" i="35"/>
  <c r="AJ128" i="35" s="1"/>
  <c r="Q123" i="35"/>
  <c r="T123" i="35" s="1"/>
  <c r="P123" i="35"/>
  <c r="N124" i="35" s="1"/>
  <c r="F127" i="35"/>
  <c r="D128" i="35" s="1"/>
  <c r="G127" i="35"/>
  <c r="J15" i="18"/>
  <c r="J23" i="18" s="1"/>
  <c r="N50" i="10" l="1"/>
  <c r="P45" i="4"/>
  <c r="O48" i="10"/>
  <c r="AD82" i="35"/>
  <c r="BB82" i="35"/>
  <c r="BC82" i="35" s="1"/>
  <c r="N86" i="45"/>
  <c r="L14" i="18"/>
  <c r="L15" i="18" s="1"/>
  <c r="L23" i="18" s="1"/>
  <c r="O46" i="4"/>
  <c r="I11" i="31" s="1"/>
  <c r="K38" i="7"/>
  <c r="K41" i="7" s="1"/>
  <c r="M45" i="27"/>
  <c r="J52" i="7"/>
  <c r="H60" i="31"/>
  <c r="P44" i="7"/>
  <c r="P47" i="7" s="1"/>
  <c r="F138" i="31"/>
  <c r="F134" i="31"/>
  <c r="G135" i="31"/>
  <c r="H26" i="28"/>
  <c r="G168" i="31" s="1"/>
  <c r="L43" i="27"/>
  <c r="L53" i="27"/>
  <c r="AN127" i="35"/>
  <c r="J127" i="35"/>
  <c r="Z83" i="35"/>
  <c r="X84" i="35" s="1"/>
  <c r="AA83" i="35"/>
  <c r="BB83" i="35" s="1"/>
  <c r="AU129" i="35"/>
  <c r="AT129" i="35"/>
  <c r="AR130" i="35" s="1"/>
  <c r="AK128" i="35"/>
  <c r="AN128" i="35" s="1"/>
  <c r="AH129" i="35"/>
  <c r="AJ129" i="35" s="1"/>
  <c r="Q124" i="35"/>
  <c r="T124" i="35" s="1"/>
  <c r="P124" i="35"/>
  <c r="N125" i="35" s="1"/>
  <c r="F128" i="35"/>
  <c r="D129" i="35" s="1"/>
  <c r="G128" i="35"/>
  <c r="J128" i="35" s="1"/>
  <c r="Q45" i="4" l="1"/>
  <c r="P48" i="10"/>
  <c r="O50" i="10"/>
  <c r="M14" i="18"/>
  <c r="M15" i="18" s="1"/>
  <c r="M23" i="18" s="1"/>
  <c r="P46" i="4"/>
  <c r="J11" i="31" s="1"/>
  <c r="O86" i="45"/>
  <c r="I60" i="31"/>
  <c r="H135" i="31"/>
  <c r="M53" i="27"/>
  <c r="I26" i="28"/>
  <c r="H168" i="31" s="1"/>
  <c r="M43" i="27"/>
  <c r="G134" i="31"/>
  <c r="G138" i="31"/>
  <c r="L38" i="7"/>
  <c r="L41" i="7" s="1"/>
  <c r="N45" i="27"/>
  <c r="K52" i="7"/>
  <c r="AD83" i="35"/>
  <c r="Z84" i="35"/>
  <c r="X85" i="35" s="1"/>
  <c r="AA84" i="35"/>
  <c r="AT130" i="35"/>
  <c r="AR131" i="35" s="1"/>
  <c r="AU130" i="35"/>
  <c r="AK129" i="35"/>
  <c r="AH130" i="35"/>
  <c r="AJ130" i="35" s="1"/>
  <c r="Q125" i="35"/>
  <c r="P125" i="35"/>
  <c r="N126" i="35" s="1"/>
  <c r="F129" i="35"/>
  <c r="D130" i="35" s="1"/>
  <c r="G129" i="35"/>
  <c r="P50" i="10" l="1"/>
  <c r="R45" i="4"/>
  <c r="Q48" i="10"/>
  <c r="AD84" i="35"/>
  <c r="BB84" i="35"/>
  <c r="P86" i="45"/>
  <c r="N14" i="18"/>
  <c r="N15" i="18" s="1"/>
  <c r="N23" i="18" s="1"/>
  <c r="Q46" i="4"/>
  <c r="K11" i="31" s="1"/>
  <c r="J60" i="31"/>
  <c r="I135" i="31"/>
  <c r="J26" i="28"/>
  <c r="I168" i="31" s="1"/>
  <c r="N53" i="27"/>
  <c r="N43" i="27"/>
  <c r="H134" i="31"/>
  <c r="H138" i="31"/>
  <c r="M38" i="7"/>
  <c r="M41" i="7" s="1"/>
  <c r="O45" i="27"/>
  <c r="L52" i="7"/>
  <c r="AN129" i="35"/>
  <c r="J129" i="35"/>
  <c r="T125" i="35"/>
  <c r="Z85" i="35"/>
  <c r="X86" i="35" s="1"/>
  <c r="AA85" i="35"/>
  <c r="AU131" i="35"/>
  <c r="AT131" i="35"/>
  <c r="AR132" i="35" s="1"/>
  <c r="AK130" i="35"/>
  <c r="AN130" i="35" s="1"/>
  <c r="AH131" i="35"/>
  <c r="AJ131" i="35" s="1"/>
  <c r="Q126" i="35"/>
  <c r="T126" i="35" s="1"/>
  <c r="P126" i="35"/>
  <c r="N127" i="35" s="1"/>
  <c r="F130" i="35"/>
  <c r="D131" i="35" s="1"/>
  <c r="G130" i="35"/>
  <c r="J130" i="35" s="1"/>
  <c r="Q50" i="10" l="1"/>
  <c r="S45" i="4"/>
  <c r="S48" i="10" s="1"/>
  <c r="R48" i="10"/>
  <c r="AD85" i="35"/>
  <c r="BB85" i="35"/>
  <c r="BC85" i="35" s="1"/>
  <c r="O14" i="18"/>
  <c r="O15" i="18" s="1"/>
  <c r="O23" i="18" s="1"/>
  <c r="Q86" i="45"/>
  <c r="R46" i="4"/>
  <c r="J135" i="31"/>
  <c r="O43" i="27"/>
  <c r="O53" i="27"/>
  <c r="K26" i="28"/>
  <c r="J168" i="31" s="1"/>
  <c r="K60" i="31"/>
  <c r="N38" i="7"/>
  <c r="N41" i="7" s="1"/>
  <c r="P45" i="27"/>
  <c r="M52" i="7"/>
  <c r="I138" i="31"/>
  <c r="I134" i="31"/>
  <c r="Z86" i="35"/>
  <c r="X87" i="35" s="1"/>
  <c r="AA86" i="35"/>
  <c r="AU132" i="35"/>
  <c r="AT132" i="35"/>
  <c r="AR133" i="35" s="1"/>
  <c r="AK131" i="35"/>
  <c r="AH132" i="35"/>
  <c r="AJ132" i="35" s="1"/>
  <c r="P127" i="35"/>
  <c r="N128" i="35" s="1"/>
  <c r="Q127" i="35"/>
  <c r="F131" i="35"/>
  <c r="D132" i="35" s="1"/>
  <c r="G131" i="35"/>
  <c r="L60" i="31" l="1"/>
  <c r="R50" i="10"/>
  <c r="S50" i="10"/>
  <c r="AD86" i="35"/>
  <c r="BB86" i="35"/>
  <c r="S46" i="4"/>
  <c r="Q14" i="18" s="1"/>
  <c r="R86" i="45"/>
  <c r="P14" i="18"/>
  <c r="P15" i="18" s="1"/>
  <c r="P23" i="18" s="1"/>
  <c r="K135" i="31"/>
  <c r="L26" i="28"/>
  <c r="K168" i="31" s="1"/>
  <c r="P43" i="27"/>
  <c r="M60" i="31" s="1"/>
  <c r="P53" i="27"/>
  <c r="O38" i="7"/>
  <c r="O41" i="7" s="1"/>
  <c r="Q45" i="27"/>
  <c r="N52" i="7"/>
  <c r="J134" i="31"/>
  <c r="J138" i="31"/>
  <c r="AN131" i="35"/>
  <c r="J131" i="35"/>
  <c r="T127" i="35"/>
  <c r="Z87" i="35"/>
  <c r="X88" i="35" s="1"/>
  <c r="AA87" i="35"/>
  <c r="AT133" i="35"/>
  <c r="AR134" i="35" s="1"/>
  <c r="AU133" i="35"/>
  <c r="AH133" i="35"/>
  <c r="AJ133" i="35" s="1"/>
  <c r="AK132" i="35"/>
  <c r="AN132" i="35" s="1"/>
  <c r="Q128" i="35"/>
  <c r="T128" i="35" s="1"/>
  <c r="P128" i="35"/>
  <c r="N129" i="35" s="1"/>
  <c r="F132" i="35"/>
  <c r="D133" i="35" s="1"/>
  <c r="G132" i="35"/>
  <c r="J132" i="35" s="1"/>
  <c r="S86" i="45" l="1"/>
  <c r="AD87" i="35"/>
  <c r="BB87" i="35"/>
  <c r="M26" i="28"/>
  <c r="Q43" i="27"/>
  <c r="Q53" i="27"/>
  <c r="P38" i="7"/>
  <c r="P41" i="7" s="1"/>
  <c r="P52" i="7" s="1"/>
  <c r="O52" i="7"/>
  <c r="K134" i="31"/>
  <c r="K138" i="31"/>
  <c r="Z88" i="35"/>
  <c r="X89" i="35" s="1"/>
  <c r="AA88" i="35"/>
  <c r="AU134" i="35"/>
  <c r="AT134" i="35"/>
  <c r="AR135" i="35" s="1"/>
  <c r="AH134" i="35"/>
  <c r="AJ134" i="35" s="1"/>
  <c r="AK133" i="35"/>
  <c r="AN133" i="35" s="1"/>
  <c r="Q129" i="35"/>
  <c r="P129" i="35"/>
  <c r="N130" i="35" s="1"/>
  <c r="F133" i="35"/>
  <c r="D134" i="35" s="1"/>
  <c r="G133" i="35"/>
  <c r="J133" i="35" s="1"/>
  <c r="Q15" i="18"/>
  <c r="Q23" i="18" s="1"/>
  <c r="AD88" i="35" l="1"/>
  <c r="BB88" i="35"/>
  <c r="BC88" i="35" s="1"/>
  <c r="BD85" i="35" s="1"/>
  <c r="T129" i="35"/>
  <c r="Z89" i="35"/>
  <c r="X90" i="35" s="1"/>
  <c r="AA89" i="35"/>
  <c r="BB89" i="35" s="1"/>
  <c r="AU135" i="35"/>
  <c r="AT135" i="35"/>
  <c r="AR136" i="35" s="1"/>
  <c r="AK134" i="35"/>
  <c r="AH135" i="35"/>
  <c r="AJ135" i="35" s="1"/>
  <c r="Q130" i="35"/>
  <c r="T130" i="35" s="1"/>
  <c r="P130" i="35"/>
  <c r="N131" i="35" s="1"/>
  <c r="F134" i="35"/>
  <c r="D135" i="35" s="1"/>
  <c r="G134" i="35"/>
  <c r="AN134" i="35" l="1"/>
  <c r="O42" i="7"/>
  <c r="J134" i="35"/>
  <c r="AD89" i="35"/>
  <c r="Z90" i="35"/>
  <c r="X91" i="35" s="1"/>
  <c r="AA90" i="35"/>
  <c r="AT136" i="35"/>
  <c r="AU136" i="35"/>
  <c r="AK135" i="35"/>
  <c r="AN135" i="35" s="1"/>
  <c r="AH136" i="35"/>
  <c r="AJ136" i="35" s="1"/>
  <c r="AK136" i="35" s="1"/>
  <c r="P131" i="35"/>
  <c r="N132" i="35" s="1"/>
  <c r="Q131" i="35"/>
  <c r="F135" i="35"/>
  <c r="D136" i="35" s="1"/>
  <c r="G135" i="35"/>
  <c r="J135" i="35" s="1"/>
  <c r="AD90" i="35" l="1"/>
  <c r="BB90" i="35"/>
  <c r="O48" i="7"/>
  <c r="D48" i="7"/>
  <c r="E42" i="7"/>
  <c r="F42" i="7"/>
  <c r="G42" i="7"/>
  <c r="H42" i="7"/>
  <c r="I42" i="7"/>
  <c r="J42" i="7"/>
  <c r="K42" i="7"/>
  <c r="L42" i="7"/>
  <c r="M42" i="7"/>
  <c r="N42" i="7"/>
  <c r="AU137" i="35"/>
  <c r="AY137" i="35" s="1"/>
  <c r="E48" i="7"/>
  <c r="F48" i="7"/>
  <c r="G48" i="7"/>
  <c r="H48" i="7"/>
  <c r="I48" i="7"/>
  <c r="J48" i="7"/>
  <c r="K48" i="7"/>
  <c r="L48" i="7"/>
  <c r="M48" i="7"/>
  <c r="N48" i="7"/>
  <c r="T131" i="35"/>
  <c r="Z91" i="35"/>
  <c r="X92" i="35" s="1"/>
  <c r="AA91" i="35"/>
  <c r="BB91" i="35" s="1"/>
  <c r="AN136" i="35"/>
  <c r="AN137" i="35" s="1"/>
  <c r="AK137" i="35"/>
  <c r="Q132" i="35"/>
  <c r="T132" i="35" s="1"/>
  <c r="P132" i="35"/>
  <c r="N133" i="35" s="1"/>
  <c r="F136" i="35"/>
  <c r="G136" i="35"/>
  <c r="D24" i="7" s="1"/>
  <c r="BC91" i="35" l="1"/>
  <c r="O24" i="7"/>
  <c r="J136" i="35"/>
  <c r="J137" i="35" s="1"/>
  <c r="G137" i="35"/>
  <c r="E24" i="7"/>
  <c r="F24" i="7"/>
  <c r="G24" i="7"/>
  <c r="H24" i="7"/>
  <c r="I24" i="7"/>
  <c r="J24" i="7"/>
  <c r="K24" i="7"/>
  <c r="L24" i="7"/>
  <c r="M24" i="7"/>
  <c r="N24" i="7"/>
  <c r="AD91" i="35"/>
  <c r="Z92" i="35"/>
  <c r="X93" i="35" s="1"/>
  <c r="AA92" i="35"/>
  <c r="Q48" i="7"/>
  <c r="Q42" i="7"/>
  <c r="AO137" i="35"/>
  <c r="P133" i="35"/>
  <c r="N134" i="35" s="1"/>
  <c r="Q133" i="35"/>
  <c r="T133" i="35" s="1"/>
  <c r="AD92" i="35" l="1"/>
  <c r="BB92" i="35"/>
  <c r="K137" i="35"/>
  <c r="Q24" i="7"/>
  <c r="Z93" i="35"/>
  <c r="X94" i="35" s="1"/>
  <c r="AA93" i="35"/>
  <c r="BB93" i="35" s="1"/>
  <c r="P134" i="35"/>
  <c r="N135" i="35" s="1"/>
  <c r="Q134" i="35"/>
  <c r="T134" i="35" l="1"/>
  <c r="Z94" i="35"/>
  <c r="X95" i="35" s="1"/>
  <c r="AA94" i="35"/>
  <c r="AD93" i="35"/>
  <c r="P135" i="35"/>
  <c r="N136" i="35" s="1"/>
  <c r="Q135" i="35"/>
  <c r="T135" i="35" s="1"/>
  <c r="AD94" i="35" l="1"/>
  <c r="BB94" i="35"/>
  <c r="BC94" i="35" s="1"/>
  <c r="Z95" i="35"/>
  <c r="X96" i="35" s="1"/>
  <c r="AA95" i="35"/>
  <c r="BB95" i="35" s="1"/>
  <c r="P136" i="35"/>
  <c r="Q136" i="35"/>
  <c r="D30" i="7" s="1"/>
  <c r="O30" i="7" l="1"/>
  <c r="AD95" i="35"/>
  <c r="Z96" i="35"/>
  <c r="X97" i="35" s="1"/>
  <c r="AA96" i="35"/>
  <c r="Q137" i="35"/>
  <c r="T136" i="35"/>
  <c r="T137" i="35" s="1"/>
  <c r="E30" i="7"/>
  <c r="F30" i="7"/>
  <c r="G30" i="7"/>
  <c r="H30" i="7"/>
  <c r="I30" i="7"/>
  <c r="J30" i="7"/>
  <c r="K30" i="7"/>
  <c r="L30" i="7"/>
  <c r="M30" i="7"/>
  <c r="N30" i="7"/>
  <c r="AD96" i="35" l="1"/>
  <c r="BB96" i="35"/>
  <c r="U137" i="35"/>
  <c r="Z97" i="35"/>
  <c r="X98" i="35" s="1"/>
  <c r="AA97" i="35"/>
  <c r="Q30" i="7"/>
  <c r="AD97" i="35" l="1"/>
  <c r="BB97" i="35"/>
  <c r="BC97" i="35" s="1"/>
  <c r="Z98" i="35"/>
  <c r="X99" i="35" s="1"/>
  <c r="AA98" i="35"/>
  <c r="BB98" i="35" s="1"/>
  <c r="AD98" i="35" l="1"/>
  <c r="Z99" i="35"/>
  <c r="X100" i="35" s="1"/>
  <c r="AA99" i="35"/>
  <c r="AD99" i="35" l="1"/>
  <c r="BB99" i="35"/>
  <c r="Z100" i="35"/>
  <c r="X101" i="35" s="1"/>
  <c r="AA100" i="35"/>
  <c r="AD100" i="35" l="1"/>
  <c r="BB100" i="35"/>
  <c r="BC100" i="35" s="1"/>
  <c r="BD97" i="35" s="1"/>
  <c r="Z101" i="35"/>
  <c r="X102" i="35" s="1"/>
  <c r="AA101" i="35"/>
  <c r="BB101" i="35" s="1"/>
  <c r="D43" i="28" l="1"/>
  <c r="H25" i="27" s="1"/>
  <c r="AD101" i="35"/>
  <c r="Z102" i="35"/>
  <c r="X103" i="35" s="1"/>
  <c r="AA102" i="35"/>
  <c r="E52" i="31" l="1"/>
  <c r="I25" i="27"/>
  <c r="AD102" i="35"/>
  <c r="BB102" i="35"/>
  <c r="Z103" i="35"/>
  <c r="X104" i="35" s="1"/>
  <c r="AA103" i="35"/>
  <c r="BB103" i="35" s="1"/>
  <c r="F52" i="31" l="1"/>
  <c r="E43" i="28"/>
  <c r="J25" i="27"/>
  <c r="BC103" i="35"/>
  <c r="AD103" i="35"/>
  <c r="Z104" i="35"/>
  <c r="X105" i="35" s="1"/>
  <c r="AA104" i="35"/>
  <c r="F43" i="28" l="1"/>
  <c r="K25" i="27"/>
  <c r="G52" i="31"/>
  <c r="AD104" i="35"/>
  <c r="BB104" i="35"/>
  <c r="Z105" i="35"/>
  <c r="X106" i="35" s="1"/>
  <c r="AA105" i="35"/>
  <c r="BB105" i="35" s="1"/>
  <c r="G43" i="28" l="1"/>
  <c r="L25" i="27"/>
  <c r="H52" i="31"/>
  <c r="AD105" i="35"/>
  <c r="Z106" i="35"/>
  <c r="X107" i="35" s="1"/>
  <c r="AA106" i="35"/>
  <c r="H43" i="28" l="1"/>
  <c r="M25" i="27"/>
  <c r="I52" i="31"/>
  <c r="AD106" i="35"/>
  <c r="BB106" i="35"/>
  <c r="BC106" i="35" s="1"/>
  <c r="Z107" i="35"/>
  <c r="X108" i="35" s="1"/>
  <c r="AA107" i="35"/>
  <c r="BB107" i="35" s="1"/>
  <c r="I43" i="28" l="1"/>
  <c r="N25" i="27"/>
  <c r="J52" i="31"/>
  <c r="AD107" i="35"/>
  <c r="Z108" i="35"/>
  <c r="X109" i="35" s="1"/>
  <c r="AA108" i="35"/>
  <c r="K52" i="31" l="1"/>
  <c r="K43" i="28"/>
  <c r="J43" i="28"/>
  <c r="AD108" i="35"/>
  <c r="BB108" i="35"/>
  <c r="Z109" i="35"/>
  <c r="X110" i="35" s="1"/>
  <c r="AA109" i="35"/>
  <c r="AD109" i="35" l="1"/>
  <c r="BB109" i="35"/>
  <c r="BC109" i="35" s="1"/>
  <c r="Z110" i="35"/>
  <c r="X111" i="35" s="1"/>
  <c r="AA110" i="35"/>
  <c r="AD110" i="35" s="1"/>
  <c r="Z111" i="35" l="1"/>
  <c r="X112" i="35" s="1"/>
  <c r="AA111" i="35"/>
  <c r="AD111" i="35" s="1"/>
  <c r="Z112" i="35" l="1"/>
  <c r="X113" i="35" s="1"/>
  <c r="AA112" i="35"/>
  <c r="AD112" i="35" s="1"/>
  <c r="Z113" i="35" l="1"/>
  <c r="X114" i="35" s="1"/>
  <c r="AA113" i="35"/>
  <c r="AD113" i="35" l="1"/>
  <c r="Z114" i="35"/>
  <c r="X115" i="35" s="1"/>
  <c r="AA114" i="35"/>
  <c r="AD114" i="35" s="1"/>
  <c r="Z115" i="35" l="1"/>
  <c r="X116" i="35" s="1"/>
  <c r="AA115" i="35"/>
  <c r="AD115" i="35" l="1"/>
  <c r="Z116" i="35"/>
  <c r="X117" i="35" s="1"/>
  <c r="AA116" i="35"/>
  <c r="AD116" i="35" s="1"/>
  <c r="Z117" i="35" l="1"/>
  <c r="X118" i="35" s="1"/>
  <c r="AA117" i="35"/>
  <c r="AD117" i="35" l="1"/>
  <c r="Z118" i="35"/>
  <c r="X119" i="35" s="1"/>
  <c r="AA118" i="35"/>
  <c r="AD118" i="35" s="1"/>
  <c r="Z119" i="35" l="1"/>
  <c r="X120" i="35" s="1"/>
  <c r="AA119" i="35"/>
  <c r="AD119" i="35" l="1"/>
  <c r="Z120" i="35"/>
  <c r="X121" i="35" s="1"/>
  <c r="AA120" i="35"/>
  <c r="AD120" i="35" s="1"/>
  <c r="Z121" i="35" l="1"/>
  <c r="X122" i="35" s="1"/>
  <c r="AA121" i="35"/>
  <c r="AD121" i="35" s="1"/>
  <c r="Z122" i="35" l="1"/>
  <c r="X123" i="35" s="1"/>
  <c r="AA122" i="35"/>
  <c r="AD122" i="35" s="1"/>
  <c r="Z123" i="35" l="1"/>
  <c r="X124" i="35" s="1"/>
  <c r="AA123" i="35"/>
  <c r="AD123" i="35" s="1"/>
  <c r="Z124" i="35" l="1"/>
  <c r="X125" i="35" s="1"/>
  <c r="AA124" i="35"/>
  <c r="AD124" i="35" s="1"/>
  <c r="Z125" i="35" l="1"/>
  <c r="X126" i="35" s="1"/>
  <c r="AA125" i="35"/>
  <c r="AD125" i="35" l="1"/>
  <c r="Z126" i="35"/>
  <c r="X127" i="35" s="1"/>
  <c r="AA126" i="35"/>
  <c r="AD126" i="35" s="1"/>
  <c r="Z127" i="35" l="1"/>
  <c r="X128" i="35" s="1"/>
  <c r="AA127" i="35"/>
  <c r="AD127" i="35" l="1"/>
  <c r="Z128" i="35"/>
  <c r="X129" i="35" s="1"/>
  <c r="AA128" i="35"/>
  <c r="AD128" i="35" s="1"/>
  <c r="Z129" i="35" l="1"/>
  <c r="X130" i="35" s="1"/>
  <c r="AA129" i="35"/>
  <c r="AD129" i="35" l="1"/>
  <c r="Z130" i="35"/>
  <c r="X131" i="35" s="1"/>
  <c r="AA130" i="35"/>
  <c r="AD130" i="35" s="1"/>
  <c r="Z131" i="35" l="1"/>
  <c r="X132" i="35" s="1"/>
  <c r="AA131" i="35"/>
  <c r="AD131" i="35" l="1"/>
  <c r="Z132" i="35"/>
  <c r="X133" i="35" s="1"/>
  <c r="AA132" i="35"/>
  <c r="AD132" i="35" s="1"/>
  <c r="Z133" i="35" l="1"/>
  <c r="X134" i="35" s="1"/>
  <c r="AA133" i="35"/>
  <c r="AD133" i="35" s="1"/>
  <c r="Z134" i="35" l="1"/>
  <c r="X135" i="35" s="1"/>
  <c r="AA134" i="35"/>
  <c r="AD134" i="35" l="1"/>
  <c r="Z135" i="35"/>
  <c r="X136" i="35" s="1"/>
  <c r="AA135" i="35"/>
  <c r="AD135" i="35" s="1"/>
  <c r="Z136" i="35" l="1"/>
  <c r="AA136" i="35"/>
  <c r="D36" i="7" s="1"/>
  <c r="O36" i="7" l="1"/>
  <c r="E36" i="7"/>
  <c r="F36" i="7"/>
  <c r="G36" i="7"/>
  <c r="H36" i="7"/>
  <c r="I36" i="7"/>
  <c r="J36" i="7"/>
  <c r="AD136" i="35"/>
  <c r="AD137" i="35" s="1"/>
  <c r="K36" i="7"/>
  <c r="AA137" i="35"/>
  <c r="L36" i="7"/>
  <c r="M36" i="7"/>
  <c r="N36" i="7"/>
  <c r="O54" i="7" l="1"/>
  <c r="O50" i="7"/>
  <c r="K54" i="7"/>
  <c r="K50" i="7"/>
  <c r="AE137" i="35"/>
  <c r="J54" i="7"/>
  <c r="J50" i="7"/>
  <c r="I50" i="7"/>
  <c r="I54" i="7"/>
  <c r="N54" i="7"/>
  <c r="N50" i="7"/>
  <c r="H54" i="7"/>
  <c r="H50" i="7"/>
  <c r="M50" i="7"/>
  <c r="L63" i="28" s="1"/>
  <c r="M54" i="7"/>
  <c r="G54" i="7"/>
  <c r="G50" i="7"/>
  <c r="F50" i="7"/>
  <c r="F54" i="7"/>
  <c r="E50" i="7"/>
  <c r="E54" i="7"/>
  <c r="L54" i="7"/>
  <c r="L50" i="7"/>
  <c r="Q36" i="7"/>
  <c r="Q50" i="7" s="1"/>
  <c r="D50" i="7"/>
  <c r="D54" i="7"/>
  <c r="F63" i="28" l="1"/>
  <c r="L32" i="1"/>
  <c r="H63" i="28"/>
  <c r="N32" i="1"/>
  <c r="Q32" i="1"/>
  <c r="K63" i="28"/>
  <c r="I63" i="28"/>
  <c r="O32" i="1"/>
  <c r="R32" i="1"/>
  <c r="E63" i="28"/>
  <c r="K32" i="1"/>
  <c r="M32" i="1"/>
  <c r="G63" i="28"/>
  <c r="D63" i="28"/>
  <c r="J32" i="1"/>
  <c r="P32" i="1"/>
  <c r="J63" i="28"/>
  <c r="M63" i="28"/>
  <c r="S32" i="1"/>
  <c r="L94" i="58" l="1"/>
  <c r="L110" i="58" s="1"/>
  <c r="H94" i="58"/>
  <c r="H110" i="58" s="1"/>
  <c r="I94" i="58"/>
  <c r="I110" i="58" s="1"/>
  <c r="M94" i="58"/>
  <c r="M110" i="58" s="1"/>
  <c r="K94" i="58"/>
  <c r="K110" i="58" s="1"/>
  <c r="J94" i="58"/>
  <c r="J110" i="58" s="1"/>
  <c r="G94" i="58"/>
  <c r="G110" i="58" s="1"/>
  <c r="F94" i="58"/>
  <c r="F110" i="58" s="1"/>
  <c r="D94" i="58"/>
  <c r="E94" i="58"/>
  <c r="E110" i="58" s="1"/>
  <c r="J37" i="31"/>
  <c r="I56" i="48"/>
  <c r="I37" i="31"/>
  <c r="G37" i="31"/>
  <c r="F37" i="31"/>
  <c r="G32" i="28"/>
  <c r="F20" i="31"/>
  <c r="M32" i="28"/>
  <c r="D37" i="31"/>
  <c r="K37" i="31"/>
  <c r="C20" i="31"/>
  <c r="D32" i="28"/>
  <c r="J56" i="48"/>
  <c r="H20" i="31"/>
  <c r="I32" i="28"/>
  <c r="E20" i="31"/>
  <c r="F32" i="28"/>
  <c r="J20" i="31"/>
  <c r="K32" i="28"/>
  <c r="D20" i="31"/>
  <c r="E32" i="28"/>
  <c r="H32" i="28"/>
  <c r="G20" i="31"/>
  <c r="I20" i="31"/>
  <c r="J32" i="28"/>
  <c r="K20" i="31"/>
  <c r="L32" i="28"/>
  <c r="C37" i="31"/>
  <c r="H37" i="31"/>
  <c r="E37" i="31"/>
  <c r="G172" i="31" l="1"/>
  <c r="E172" i="31"/>
  <c r="D172" i="31"/>
  <c r="I90" i="48"/>
  <c r="K172" i="31"/>
  <c r="H172" i="31"/>
  <c r="I172" i="31"/>
  <c r="J172" i="31"/>
  <c r="F172" i="31"/>
  <c r="J90" i="48"/>
  <c r="C172" i="31"/>
  <c r="M27" i="51" l="1"/>
  <c r="M26" i="51"/>
  <c r="L32" i="51"/>
  <c r="M30" i="51" l="1"/>
  <c r="N26" i="51" s="1"/>
  <c r="N27" i="51"/>
  <c r="N30" i="51" l="1"/>
  <c r="O26" i="51" s="1"/>
  <c r="O27" i="51"/>
  <c r="P27" i="51" s="1"/>
  <c r="Q27" i="51" l="1"/>
  <c r="R27" i="51" s="1"/>
  <c r="O30" i="51"/>
  <c r="P26" i="51" s="1"/>
  <c r="P30" i="51" s="1"/>
  <c r="Q26" i="51" s="1"/>
  <c r="Q30" i="51" l="1"/>
  <c r="R26" i="51" s="1"/>
  <c r="R30" i="51" s="1"/>
  <c r="S26" i="51" s="1"/>
  <c r="S27" i="51"/>
  <c r="T27" i="51" s="1"/>
  <c r="S30" i="51" l="1"/>
  <c r="T26" i="51" s="1"/>
  <c r="T30" i="51" s="1"/>
  <c r="U26" i="51" s="1"/>
  <c r="U27" i="51"/>
  <c r="V27" i="51" s="1"/>
  <c r="U30" i="51" l="1"/>
  <c r="V26" i="51" s="1"/>
  <c r="V30" i="51" s="1"/>
  <c r="W26" i="51" s="1"/>
  <c r="W27" i="51"/>
  <c r="U162" i="51"/>
  <c r="T165" i="51"/>
  <c r="T231" i="51" s="1"/>
  <c r="O76" i="31" s="1"/>
  <c r="W30" i="51" l="1"/>
  <c r="T168" i="51"/>
  <c r="U163" i="51"/>
  <c r="V163" i="51" s="1"/>
  <c r="W163" i="51" s="1"/>
  <c r="U166" i="51" l="1"/>
  <c r="V162" i="51" s="1"/>
  <c r="V166" i="51" s="1"/>
  <c r="W162" i="51" s="1"/>
  <c r="W166" i="51" s="1"/>
  <c r="V217" i="51"/>
  <c r="W213" i="51" s="1"/>
  <c r="V219" i="51"/>
  <c r="W216" i="51" l="1"/>
  <c r="W219" i="51" l="1"/>
  <c r="W231" i="51"/>
  <c r="R76" i="31" s="1"/>
  <c r="K31" i="4" l="1"/>
  <c r="L31" i="4" l="1"/>
  <c r="K14" i="4"/>
  <c r="J23" i="10"/>
  <c r="J24" i="10" l="1"/>
  <c r="J8" i="48"/>
  <c r="K15" i="4"/>
  <c r="K25" i="4" s="1"/>
  <c r="K9" i="10" s="1"/>
  <c r="K23" i="10"/>
  <c r="L14" i="4"/>
  <c r="M31" i="4"/>
  <c r="J40" i="45" l="1"/>
  <c r="J27" i="26" s="1"/>
  <c r="J12" i="10"/>
  <c r="J92" i="45" s="1"/>
  <c r="L23" i="10"/>
  <c r="L15" i="4"/>
  <c r="L25" i="4" s="1"/>
  <c r="L9" i="10" s="1"/>
  <c r="M14" i="4"/>
  <c r="N31" i="4"/>
  <c r="K60" i="45" l="1"/>
  <c r="J35" i="48"/>
  <c r="K12" i="10"/>
  <c r="K92" i="45" s="1"/>
  <c r="K40" i="45"/>
  <c r="K27" i="26" s="1"/>
  <c r="J10" i="10"/>
  <c r="J13" i="48"/>
  <c r="H6" i="18"/>
  <c r="H22" i="18" s="1"/>
  <c r="K8" i="10"/>
  <c r="N14" i="4"/>
  <c r="O31" i="4"/>
  <c r="M23" i="10"/>
  <c r="M15" i="4"/>
  <c r="M25" i="4" s="1"/>
  <c r="M9" i="10" s="1"/>
  <c r="L60" i="45" l="1"/>
  <c r="L8" i="10"/>
  <c r="I6" i="18"/>
  <c r="I22" i="18" s="1"/>
  <c r="K10" i="10"/>
  <c r="J14" i="10"/>
  <c r="P31" i="4"/>
  <c r="O14" i="4"/>
  <c r="N15" i="4"/>
  <c r="N25" i="4" s="1"/>
  <c r="N9" i="10" s="1"/>
  <c r="N23" i="10"/>
  <c r="J8" i="45"/>
  <c r="J9" i="26" s="1"/>
  <c r="J42" i="45"/>
  <c r="J31" i="26" s="1"/>
  <c r="J41" i="45"/>
  <c r="L40" i="45" l="1"/>
  <c r="L27" i="26" s="1"/>
  <c r="M12" i="10"/>
  <c r="M92" i="45" s="1"/>
  <c r="L12" i="10"/>
  <c r="L92" i="45" s="1"/>
  <c r="K14" i="10"/>
  <c r="C88" i="31"/>
  <c r="M60" i="45"/>
  <c r="K8" i="45"/>
  <c r="K9" i="26" s="1"/>
  <c r="K42" i="45"/>
  <c r="K31" i="26" s="1"/>
  <c r="K41" i="45"/>
  <c r="M40" i="45"/>
  <c r="M27" i="26" s="1"/>
  <c r="J54" i="45"/>
  <c r="J65" i="45" s="1"/>
  <c r="O23" i="10"/>
  <c r="O15" i="4"/>
  <c r="O25" i="4" s="1"/>
  <c r="O9" i="10" s="1"/>
  <c r="Q31" i="4"/>
  <c r="P14" i="4"/>
  <c r="N8" i="10" l="1"/>
  <c r="K6" i="18"/>
  <c r="K22" i="18" s="1"/>
  <c r="D88" i="31"/>
  <c r="N40" i="45"/>
  <c r="N27" i="26" s="1"/>
  <c r="M8" i="10"/>
  <c r="M10" i="10" s="1"/>
  <c r="J6" i="18"/>
  <c r="J22" i="18" s="1"/>
  <c r="L10" i="10"/>
  <c r="K54" i="45"/>
  <c r="K65" i="45" s="1"/>
  <c r="N60" i="45"/>
  <c r="N12" i="10"/>
  <c r="N92" i="45" s="1"/>
  <c r="P15" i="4"/>
  <c r="P25" i="4" s="1"/>
  <c r="P9" i="10" s="1"/>
  <c r="P23" i="10"/>
  <c r="Q14" i="4"/>
  <c r="R31" i="4"/>
  <c r="N10" i="10" l="1"/>
  <c r="O40" i="45"/>
  <c r="O27" i="26" s="1"/>
  <c r="M42" i="45"/>
  <c r="M31" i="26" s="1"/>
  <c r="L8" i="45"/>
  <c r="L9" i="26" s="1"/>
  <c r="L42" i="45"/>
  <c r="L31" i="26" s="1"/>
  <c r="L14" i="10"/>
  <c r="L41" i="45"/>
  <c r="M41" i="45"/>
  <c r="M8" i="45"/>
  <c r="M9" i="26" s="1"/>
  <c r="M14" i="10"/>
  <c r="L6" i="18"/>
  <c r="L22" i="18" s="1"/>
  <c r="O8" i="10"/>
  <c r="O12" i="10"/>
  <c r="O92" i="45" s="1"/>
  <c r="O60" i="45"/>
  <c r="R14" i="4"/>
  <c r="S31" i="4"/>
  <c r="S14" i="4" s="1"/>
  <c r="Q23" i="10"/>
  <c r="Q15" i="4"/>
  <c r="Q25" i="4" s="1"/>
  <c r="Q9" i="10" s="1"/>
  <c r="L54" i="45" l="1"/>
  <c r="L65" i="45" s="1"/>
  <c r="E88" i="31"/>
  <c r="F88" i="31"/>
  <c r="P40" i="45"/>
  <c r="P27" i="26" s="1"/>
  <c r="M54" i="45"/>
  <c r="M65" i="45" s="1"/>
  <c r="P8" i="10"/>
  <c r="M6" i="18"/>
  <c r="M22" i="18" s="1"/>
  <c r="N14" i="10"/>
  <c r="N42" i="45"/>
  <c r="N31" i="26" s="1"/>
  <c r="N8" i="45"/>
  <c r="N9" i="26" s="1"/>
  <c r="N41" i="45"/>
  <c r="O10" i="10"/>
  <c r="P12" i="10"/>
  <c r="P92" i="45" s="1"/>
  <c r="P60" i="45"/>
  <c r="R15" i="4"/>
  <c r="R25" i="4" s="1"/>
  <c r="R9" i="10" s="1"/>
  <c r="R23" i="10"/>
  <c r="S23" i="10"/>
  <c r="S15" i="4"/>
  <c r="S25" i="4" s="1"/>
  <c r="S9" i="10" s="1"/>
  <c r="N54" i="45" l="1"/>
  <c r="N65" i="45" s="1"/>
  <c r="G88" i="31"/>
  <c r="Q60" i="45"/>
  <c r="Q8" i="10"/>
  <c r="N6" i="18"/>
  <c r="N22" i="18" s="1"/>
  <c r="O14" i="10"/>
  <c r="P10" i="10"/>
  <c r="O8" i="45"/>
  <c r="O9" i="26" s="1"/>
  <c r="O41" i="45"/>
  <c r="O42" i="45"/>
  <c r="O31" i="26" s="1"/>
  <c r="Q12" i="10"/>
  <c r="Q92" i="45" s="1"/>
  <c r="Q40" i="45"/>
  <c r="Q27" i="26" s="1"/>
  <c r="H88" i="31" l="1"/>
  <c r="S12" i="10"/>
  <c r="R12" i="10"/>
  <c r="O6" i="18"/>
  <c r="O22" i="18" s="1"/>
  <c r="P41" i="45"/>
  <c r="P8" i="45"/>
  <c r="P9" i="26" s="1"/>
  <c r="P42" i="45"/>
  <c r="P31" i="26" s="1"/>
  <c r="P14" i="10"/>
  <c r="O54" i="45"/>
  <c r="O65" i="45" s="1"/>
  <c r="S60" i="45"/>
  <c r="S40" i="45"/>
  <c r="S27" i="26" s="1"/>
  <c r="R60" i="45"/>
  <c r="Q10" i="10"/>
  <c r="R8" i="10"/>
  <c r="R40" i="45"/>
  <c r="R27" i="26" s="1"/>
  <c r="Q6" i="18" l="1"/>
  <c r="Q22" i="18" s="1"/>
  <c r="S92" i="45"/>
  <c r="S8" i="10"/>
  <c r="R92" i="45"/>
  <c r="S10" i="10"/>
  <c r="S8" i="45" s="1"/>
  <c r="S9" i="26" s="1"/>
  <c r="P6" i="18"/>
  <c r="P22" i="18" s="1"/>
  <c r="I88" i="31"/>
  <c r="R10" i="10"/>
  <c r="P54" i="45"/>
  <c r="P65" i="45" s="1"/>
  <c r="Q8" i="45"/>
  <c r="Q9" i="26" s="1"/>
  <c r="Q14" i="10"/>
  <c r="Q41" i="45"/>
  <c r="Q42" i="45"/>
  <c r="Q31" i="26" s="1"/>
  <c r="S42" i="45" l="1"/>
  <c r="S31" i="26" s="1"/>
  <c r="S41" i="45"/>
  <c r="S14" i="10"/>
  <c r="R41" i="45"/>
  <c r="R14" i="10"/>
  <c r="R42" i="45"/>
  <c r="R31" i="26" s="1"/>
  <c r="R8" i="45"/>
  <c r="R9" i="26" s="1"/>
  <c r="K88" i="31" s="1"/>
  <c r="J88" i="31"/>
  <c r="Q54" i="45"/>
  <c r="Q65" i="45" s="1"/>
  <c r="S54" i="45" l="1"/>
  <c r="S65" i="45" s="1"/>
  <c r="R54" i="45"/>
  <c r="R65" i="45" s="1"/>
  <c r="K32" i="4" l="1"/>
  <c r="J35" i="10"/>
  <c r="J33" i="4"/>
  <c r="J37" i="10" l="1"/>
  <c r="J39" i="10"/>
  <c r="K35" i="10"/>
  <c r="L32" i="4"/>
  <c r="K33" i="4"/>
  <c r="J11" i="45" l="1"/>
  <c r="L35" i="10"/>
  <c r="M32" i="4"/>
  <c r="L33" i="4"/>
  <c r="K39" i="10"/>
  <c r="K37" i="10"/>
  <c r="J96" i="45"/>
  <c r="J119" i="45" s="1"/>
  <c r="K34" i="10"/>
  <c r="J36" i="10"/>
  <c r="J68" i="45" l="1"/>
  <c r="J12" i="26"/>
  <c r="K11" i="45"/>
  <c r="J81" i="10"/>
  <c r="J85" i="10" s="1"/>
  <c r="K36" i="10"/>
  <c r="N32" i="4"/>
  <c r="M35" i="10"/>
  <c r="M33" i="4"/>
  <c r="K96" i="45"/>
  <c r="K119" i="45" s="1"/>
  <c r="L34" i="10"/>
  <c r="L37" i="10"/>
  <c r="L11" i="45" s="1"/>
  <c r="L39" i="10"/>
  <c r="L68" i="45" l="1"/>
  <c r="L12" i="26"/>
  <c r="K68" i="45"/>
  <c r="K12" i="26"/>
  <c r="J115" i="46"/>
  <c r="J129" i="46" s="1"/>
  <c r="C91" i="31"/>
  <c r="K80" i="10"/>
  <c r="I26" i="48"/>
  <c r="I265" i="48" s="1"/>
  <c r="K81" i="10"/>
  <c r="J24" i="46"/>
  <c r="J20" i="45" s="1"/>
  <c r="L36" i="10"/>
  <c r="L81" i="10" s="1"/>
  <c r="L85" i="10" s="1"/>
  <c r="L96" i="45"/>
  <c r="L119" i="45" s="1"/>
  <c r="M34" i="10"/>
  <c r="H9" i="18"/>
  <c r="H27" i="18" s="1"/>
  <c r="H39" i="18" s="1"/>
  <c r="H49" i="18" s="1"/>
  <c r="O32" i="4"/>
  <c r="N35" i="10"/>
  <c r="N33" i="4"/>
  <c r="M37" i="10"/>
  <c r="M11" i="45" s="1"/>
  <c r="M39" i="10"/>
  <c r="M68" i="45" l="1"/>
  <c r="M12" i="26"/>
  <c r="D91" i="31"/>
  <c r="K24" i="46"/>
  <c r="K85" i="10"/>
  <c r="L24" i="46"/>
  <c r="E91" i="31"/>
  <c r="AE129" i="46"/>
  <c r="L115" i="46"/>
  <c r="L129" i="46" s="1"/>
  <c r="M80" i="10"/>
  <c r="M36" i="10"/>
  <c r="M81" i="10" s="1"/>
  <c r="P32" i="4"/>
  <c r="O35" i="10"/>
  <c r="O33" i="4"/>
  <c r="N34" i="10"/>
  <c r="M96" i="45"/>
  <c r="M119" i="45" s="1"/>
  <c r="J9" i="18"/>
  <c r="J27" i="18" s="1"/>
  <c r="J39" i="18" s="1"/>
  <c r="J49" i="18" s="1"/>
  <c r="N37" i="10"/>
  <c r="N11" i="45" s="1"/>
  <c r="N39" i="10"/>
  <c r="N68" i="45" l="1"/>
  <c r="N12" i="26"/>
  <c r="K83" i="10"/>
  <c r="K87" i="10" s="1"/>
  <c r="K115" i="46"/>
  <c r="I9" i="18"/>
  <c r="I27" i="18" s="1"/>
  <c r="I39" i="18" s="1"/>
  <c r="I49" i="18" s="1"/>
  <c r="L80" i="10"/>
  <c r="L83" i="10" s="1"/>
  <c r="K20" i="45"/>
  <c r="L20" i="45"/>
  <c r="F91" i="31"/>
  <c r="N36" i="10"/>
  <c r="N81" i="10" s="1"/>
  <c r="O39" i="10"/>
  <c r="O37" i="10"/>
  <c r="O11" i="45" s="1"/>
  <c r="P35" i="10"/>
  <c r="Q32" i="4"/>
  <c r="P33" i="4"/>
  <c r="AE142" i="46"/>
  <c r="N96" i="45"/>
  <c r="N119" i="45" s="1"/>
  <c r="O34" i="10"/>
  <c r="M24" i="46"/>
  <c r="M85" i="10"/>
  <c r="AG129" i="46"/>
  <c r="O68" i="45" l="1"/>
  <c r="O12" i="26"/>
  <c r="L105" i="10"/>
  <c r="M83" i="10"/>
  <c r="M105" i="10" s="1"/>
  <c r="K105" i="10"/>
  <c r="K129" i="46"/>
  <c r="AF142" i="46" s="1"/>
  <c r="AF129" i="46"/>
  <c r="L87" i="10"/>
  <c r="G91" i="31"/>
  <c r="O36" i="10"/>
  <c r="O81" i="10" s="1"/>
  <c r="O24" i="46" s="1"/>
  <c r="AG142" i="46"/>
  <c r="Q35" i="10"/>
  <c r="R32" i="4"/>
  <c r="Q33" i="4"/>
  <c r="P34" i="10"/>
  <c r="O96" i="45"/>
  <c r="O119" i="45" s="1"/>
  <c r="P39" i="10"/>
  <c r="P37" i="10"/>
  <c r="P11" i="45" s="1"/>
  <c r="N85" i="10"/>
  <c r="N24" i="46"/>
  <c r="M20" i="45"/>
  <c r="M115" i="46"/>
  <c r="N80" i="10"/>
  <c r="K9" i="18"/>
  <c r="K27" i="18" s="1"/>
  <c r="K39" i="18" s="1"/>
  <c r="K49" i="18" s="1"/>
  <c r="P68" i="45" l="1"/>
  <c r="P12" i="26"/>
  <c r="K108" i="10"/>
  <c r="L104" i="10" s="1"/>
  <c r="M103" i="4"/>
  <c r="G7" i="31" s="1"/>
  <c r="L103" i="4"/>
  <c r="F7" i="31" s="1"/>
  <c r="L108" i="10"/>
  <c r="L117" i="46" s="1"/>
  <c r="AG131" i="46" s="1"/>
  <c r="M87" i="10"/>
  <c r="M108" i="10"/>
  <c r="N104" i="10" s="1"/>
  <c r="K103" i="4"/>
  <c r="E7" i="31" s="1"/>
  <c r="H91" i="31"/>
  <c r="O85" i="10"/>
  <c r="O115" i="46" s="1"/>
  <c r="N83" i="10"/>
  <c r="N105" i="10" s="1"/>
  <c r="Q34" i="10"/>
  <c r="P96" i="45"/>
  <c r="P119" i="45" s="1"/>
  <c r="P36" i="10"/>
  <c r="P81" i="10" s="1"/>
  <c r="R35" i="10"/>
  <c r="S32" i="4"/>
  <c r="R33" i="4"/>
  <c r="M129" i="46"/>
  <c r="AH129" i="46"/>
  <c r="Q37" i="10"/>
  <c r="Q11" i="45" s="1"/>
  <c r="Q39" i="10"/>
  <c r="N20" i="45"/>
  <c r="O20" i="45"/>
  <c r="N115" i="46"/>
  <c r="O80" i="10"/>
  <c r="L9" i="18"/>
  <c r="L27" i="18" s="1"/>
  <c r="L39" i="18" s="1"/>
  <c r="L49" i="18" s="1"/>
  <c r="I11" i="18" l="1"/>
  <c r="I29" i="18" s="1"/>
  <c r="I41" i="18" s="1"/>
  <c r="I51" i="18" s="1"/>
  <c r="K117" i="46"/>
  <c r="AF131" i="46" s="1"/>
  <c r="Q68" i="45"/>
  <c r="Q12" i="26"/>
  <c r="J11" i="18"/>
  <c r="J29" i="18" s="1"/>
  <c r="J41" i="18" s="1"/>
  <c r="J51" i="18" s="1"/>
  <c r="M104" i="10"/>
  <c r="M106" i="10" s="1"/>
  <c r="K11" i="18"/>
  <c r="K29" i="18" s="1"/>
  <c r="K41" i="18" s="1"/>
  <c r="K51" i="18" s="1"/>
  <c r="M117" i="46"/>
  <c r="AH131" i="46" s="1"/>
  <c r="O83" i="10"/>
  <c r="O105" i="10" s="1"/>
  <c r="M9" i="18"/>
  <c r="M27" i="18" s="1"/>
  <c r="M39" i="18" s="1"/>
  <c r="M49" i="18" s="1"/>
  <c r="P80" i="10"/>
  <c r="I91" i="31"/>
  <c r="L106" i="10"/>
  <c r="N87" i="10"/>
  <c r="N103" i="4"/>
  <c r="H7" i="31" s="1"/>
  <c r="N108" i="10"/>
  <c r="P85" i="10"/>
  <c r="P24" i="46"/>
  <c r="O129" i="46"/>
  <c r="AJ129" i="46"/>
  <c r="S35" i="10"/>
  <c r="S33" i="4"/>
  <c r="Q36" i="10"/>
  <c r="Q81" i="10" s="1"/>
  <c r="R34" i="10"/>
  <c r="Q96" i="45"/>
  <c r="Q119" i="45" s="1"/>
  <c r="AH142" i="46"/>
  <c r="R37" i="10"/>
  <c r="R11" i="45" s="1"/>
  <c r="R39" i="10"/>
  <c r="N129" i="46"/>
  <c r="AI129" i="46"/>
  <c r="R68" i="45" l="1"/>
  <c r="R12" i="26"/>
  <c r="O103" i="4"/>
  <c r="I7" i="31" s="1"/>
  <c r="M9" i="46"/>
  <c r="AH9" i="46" s="1"/>
  <c r="M110" i="10"/>
  <c r="O108" i="10"/>
  <c r="P104" i="10" s="1"/>
  <c r="O87" i="10"/>
  <c r="N117" i="46"/>
  <c r="AI131" i="46" s="1"/>
  <c r="J91" i="31"/>
  <c r="L110" i="10"/>
  <c r="L9" i="46"/>
  <c r="AG9" i="46" s="1"/>
  <c r="N106" i="10"/>
  <c r="O104" i="10"/>
  <c r="L11" i="18"/>
  <c r="L29" i="18" s="1"/>
  <c r="L41" i="18" s="1"/>
  <c r="L51" i="18" s="1"/>
  <c r="Q80" i="10"/>
  <c r="P115" i="46"/>
  <c r="N9" i="18"/>
  <c r="N27" i="18" s="1"/>
  <c r="N39" i="18" s="1"/>
  <c r="N49" i="18" s="1"/>
  <c r="AJ142" i="46"/>
  <c r="Q85" i="10"/>
  <c r="Q24" i="46"/>
  <c r="AI142" i="46"/>
  <c r="P83" i="10"/>
  <c r="P105" i="10" s="1"/>
  <c r="R96" i="45"/>
  <c r="R119" i="45" s="1"/>
  <c r="S34" i="10"/>
  <c r="R36" i="10"/>
  <c r="R81" i="10" s="1"/>
  <c r="S37" i="10"/>
  <c r="S11" i="45" s="1"/>
  <c r="S39" i="10"/>
  <c r="P20" i="45"/>
  <c r="S68" i="45" l="1"/>
  <c r="S12" i="26"/>
  <c r="M11" i="18"/>
  <c r="M29" i="18" s="1"/>
  <c r="M41" i="18" s="1"/>
  <c r="M51" i="18" s="1"/>
  <c r="O117" i="46"/>
  <c r="AJ131" i="46" s="1"/>
  <c r="O106" i="10"/>
  <c r="N110" i="10"/>
  <c r="K91" i="31"/>
  <c r="N9" i="46"/>
  <c r="S96" i="45"/>
  <c r="S119" i="45" s="1"/>
  <c r="R85" i="10"/>
  <c r="R24" i="46"/>
  <c r="S36" i="10"/>
  <c r="S81" i="10" s="1"/>
  <c r="Q20" i="45"/>
  <c r="P87" i="10"/>
  <c r="P108" i="10"/>
  <c r="P103" i="4"/>
  <c r="J7" i="31" s="1"/>
  <c r="R80" i="10"/>
  <c r="Q115" i="46"/>
  <c r="O9" i="18"/>
  <c r="O27" i="18" s="1"/>
  <c r="O39" i="18" s="1"/>
  <c r="O49" i="18" s="1"/>
  <c r="P129" i="46"/>
  <c r="Q83" i="10"/>
  <c r="Q105" i="10" s="1"/>
  <c r="O9" i="46" l="1"/>
  <c r="AJ9" i="46" s="1"/>
  <c r="O110" i="10"/>
  <c r="R83" i="10"/>
  <c r="R105" i="10" s="1"/>
  <c r="AI9" i="46"/>
  <c r="N11" i="18"/>
  <c r="N29" i="18" s="1"/>
  <c r="N41" i="18" s="1"/>
  <c r="N51" i="18" s="1"/>
  <c r="P117" i="46"/>
  <c r="Q104" i="10"/>
  <c r="Q87" i="10"/>
  <c r="Q108" i="10"/>
  <c r="Q103" i="4"/>
  <c r="K7" i="31" s="1"/>
  <c r="P106" i="10"/>
  <c r="Q129" i="46"/>
  <c r="R20" i="45"/>
  <c r="S85" i="10"/>
  <c r="S24" i="46"/>
  <c r="R115" i="46"/>
  <c r="S80" i="10"/>
  <c r="P9" i="18"/>
  <c r="P27" i="18" s="1"/>
  <c r="P39" i="18" s="1"/>
  <c r="P49" i="18" s="1"/>
  <c r="R108" i="10" l="1"/>
  <c r="R103" i="4"/>
  <c r="R87" i="10"/>
  <c r="S83" i="10"/>
  <c r="S105" i="10" s="1"/>
  <c r="P9" i="46"/>
  <c r="P110" i="10"/>
  <c r="Q106" i="10"/>
  <c r="S20" i="45"/>
  <c r="R129" i="46"/>
  <c r="S115" i="46"/>
  <c r="S129" i="46" s="1"/>
  <c r="Q9" i="18"/>
  <c r="Q27" i="18" s="1"/>
  <c r="Q39" i="18" s="1"/>
  <c r="Q49" i="18" s="1"/>
  <c r="R104" i="10"/>
  <c r="Q117" i="46"/>
  <c r="O11" i="18"/>
  <c r="O29" i="18" s="1"/>
  <c r="O41" i="18" s="1"/>
  <c r="O51" i="18" s="1"/>
  <c r="P11" i="18" l="1"/>
  <c r="P29" i="18" s="1"/>
  <c r="P41" i="18" s="1"/>
  <c r="P51" i="18" s="1"/>
  <c r="S103" i="4"/>
  <c r="S104" i="10"/>
  <c r="R117" i="46"/>
  <c r="S87" i="10"/>
  <c r="S108" i="10"/>
  <c r="R106" i="10"/>
  <c r="Q110" i="10"/>
  <c r="AK9" i="46"/>
  <c r="Q9" i="46"/>
  <c r="R110" i="10" l="1"/>
  <c r="R9" i="46"/>
  <c r="S106" i="10"/>
  <c r="Q11" i="18"/>
  <c r="Q29" i="18" s="1"/>
  <c r="Q41" i="18" s="1"/>
  <c r="Q51" i="18" s="1"/>
  <c r="S117" i="46"/>
  <c r="S9" i="46" l="1"/>
  <c r="S110" i="10"/>
  <c r="J83" i="10" l="1"/>
  <c r="AD129" i="46"/>
  <c r="J87" i="10" l="1"/>
  <c r="J105" i="10"/>
  <c r="AD142" i="46"/>
  <c r="J103" i="4" l="1"/>
  <c r="D7" i="31" s="1"/>
  <c r="J108" i="10"/>
  <c r="AD131" i="46"/>
  <c r="H11" i="18" l="1"/>
  <c r="H29" i="18" s="1"/>
  <c r="H41" i="18" s="1"/>
  <c r="H51" i="18" s="1"/>
  <c r="J117" i="46"/>
  <c r="AE131" i="46" s="1"/>
  <c r="K104" i="10"/>
  <c r="J106" i="10"/>
  <c r="K106" i="10" l="1"/>
  <c r="J110" i="10"/>
  <c r="J9" i="46"/>
  <c r="AE9" i="46" s="1"/>
  <c r="AD9" i="46"/>
  <c r="K110" i="10" l="1"/>
  <c r="K9" i="46"/>
  <c r="AF9" i="46" s="1"/>
  <c r="AD128" i="46"/>
  <c r="AD141" i="46" l="1"/>
  <c r="I31" i="48" l="1"/>
  <c r="I176" i="48"/>
  <c r="AD130" i="46"/>
  <c r="I36" i="48"/>
  <c r="I34" i="48" s="1"/>
  <c r="I40" i="48" l="1"/>
  <c r="I42" i="48" s="1"/>
  <c r="AD8" i="46" l="1"/>
  <c r="I51" i="48"/>
  <c r="I17" i="48" l="1"/>
  <c r="D7" i="58" l="1"/>
  <c r="I112" i="48"/>
  <c r="AD137" i="46"/>
  <c r="I20" i="48"/>
  <c r="I280" i="48" l="1"/>
  <c r="I124" i="48"/>
  <c r="AD143" i="46"/>
  <c r="I275" i="48"/>
  <c r="I22" i="48"/>
  <c r="AD138" i="46"/>
  <c r="AD144" i="46"/>
  <c r="I302" i="48" l="1"/>
  <c r="I349" i="48"/>
  <c r="I360" i="48"/>
  <c r="I292" i="48"/>
  <c r="I43" i="48"/>
  <c r="I174" i="48"/>
  <c r="I334" i="48"/>
  <c r="I222" i="48"/>
  <c r="I330" i="48"/>
  <c r="I329" i="48"/>
  <c r="I333" i="48"/>
  <c r="I219" i="48"/>
  <c r="I23" i="48"/>
  <c r="I378" i="48" s="1"/>
  <c r="I332" i="48"/>
  <c r="G340" i="48" s="1"/>
  <c r="G345" i="48" s="1"/>
  <c r="I405" i="48"/>
  <c r="I169" i="48"/>
  <c r="E10" i="57" l="1"/>
  <c r="E11" i="57" s="1"/>
  <c r="J41" i="48"/>
  <c r="I44" i="48"/>
  <c r="I357" i="48"/>
  <c r="I277" i="48"/>
  <c r="I278" i="48" s="1"/>
  <c r="I274" i="48"/>
  <c r="G346" i="48"/>
  <c r="G365" i="48"/>
  <c r="G366" i="48" s="1"/>
  <c r="G371" i="48" s="1"/>
  <c r="I175" i="48"/>
  <c r="I271" i="48" s="1"/>
  <c r="I272" i="48" s="1"/>
  <c r="I47" i="48"/>
  <c r="I351" i="48"/>
  <c r="I356" i="48" l="1"/>
  <c r="I46" i="48"/>
  <c r="I48" i="48" s="1"/>
  <c r="I268" i="48"/>
  <c r="AD147" i="46"/>
  <c r="J45" i="48"/>
  <c r="I397" i="48"/>
  <c r="I350" i="48"/>
  <c r="I231" i="48"/>
  <c r="I395" i="48" s="1"/>
  <c r="I427" i="48" s="1"/>
  <c r="I81" i="48"/>
  <c r="D86" i="58" l="1"/>
  <c r="D17" i="58" s="1"/>
  <c r="I109" i="48"/>
  <c r="I53" i="48"/>
  <c r="I269" i="48"/>
  <c r="I49" i="48"/>
  <c r="D87" i="58" l="1"/>
  <c r="D18" i="58" s="1"/>
  <c r="D19" i="58" s="1"/>
  <c r="D95" i="58"/>
  <c r="D102" i="58" s="1"/>
  <c r="D104" i="58" s="1"/>
  <c r="D9" i="58" s="1"/>
  <c r="C77" i="31"/>
  <c r="I125" i="48"/>
  <c r="I295" i="48"/>
  <c r="I348" i="48"/>
  <c r="I361" i="48"/>
  <c r="I55" i="48"/>
  <c r="I54" i="48"/>
  <c r="I379" i="48"/>
  <c r="I50" i="48"/>
  <c r="D89" i="58" l="1"/>
  <c r="D8" i="58" s="1"/>
  <c r="D11" i="58" s="1"/>
  <c r="D12" i="58" s="1"/>
  <c r="I57" i="48"/>
  <c r="I91" i="48" s="1"/>
  <c r="I141" i="48"/>
  <c r="I89" i="48"/>
  <c r="I58" i="48" l="1"/>
  <c r="I59" i="48" s="1"/>
  <c r="I388" i="48" s="1"/>
  <c r="I406" i="48" l="1"/>
  <c r="I84" i="48"/>
  <c r="I382" i="48" s="1"/>
  <c r="I74" i="48"/>
  <c r="I389" i="48" s="1"/>
  <c r="I425" i="48"/>
  <c r="G9" i="32" l="1"/>
  <c r="G11" i="32" s="1"/>
  <c r="G12" i="32" s="1"/>
  <c r="G49" i="32" s="1"/>
  <c r="G50" i="32" s="1"/>
  <c r="I82" i="48"/>
  <c r="I380" i="48" s="1"/>
  <c r="I85" i="48"/>
  <c r="I409" i="48" s="1"/>
  <c r="I83" i="48"/>
  <c r="I381" i="48" s="1"/>
  <c r="I408" i="48" s="1"/>
  <c r="G55" i="32" l="1"/>
  <c r="G71" i="32" s="1"/>
  <c r="I383" i="48"/>
  <c r="G13" i="32"/>
  <c r="G57" i="32" l="1"/>
  <c r="G67" i="32" s="1"/>
  <c r="G42" i="32"/>
  <c r="C31" i="32" s="1"/>
  <c r="G72" i="32" l="1"/>
  <c r="G61" i="32" s="1"/>
  <c r="G60" i="32"/>
  <c r="G66" i="32"/>
  <c r="G31" i="32"/>
  <c r="G41" i="32" s="1"/>
  <c r="G43" i="32" s="1"/>
  <c r="H31" i="32"/>
  <c r="G62" i="32" l="1"/>
  <c r="G63" i="32" s="1"/>
  <c r="G68" i="32"/>
  <c r="H65" i="32" s="1"/>
  <c r="G73" i="32"/>
  <c r="H70" i="32" s="1"/>
  <c r="G44" i="32"/>
  <c r="G14" i="32" s="1"/>
  <c r="G15" i="32" s="1"/>
  <c r="G51" i="32" s="1"/>
  <c r="G16" i="32" s="1"/>
  <c r="G17" i="32" s="1"/>
  <c r="G19" i="32" s="1"/>
  <c r="G45" i="32" l="1"/>
  <c r="G52" i="32"/>
  <c r="H48" i="32" s="1"/>
  <c r="G101" i="32"/>
  <c r="G107" i="32" s="1"/>
  <c r="G100" i="32"/>
  <c r="G106" i="32"/>
  <c r="G108" i="32" l="1"/>
  <c r="G102" i="32"/>
  <c r="C78" i="31" l="1"/>
  <c r="C79" i="31"/>
  <c r="C80" i="31" s="1"/>
  <c r="C180" i="31"/>
  <c r="E16" i="57" l="1"/>
  <c r="D41" i="28"/>
  <c r="I166" i="48" l="1"/>
  <c r="I358" i="48" l="1"/>
  <c r="I352" i="48"/>
  <c r="E17" i="57" l="1"/>
  <c r="D74" i="28"/>
  <c r="I431" i="48"/>
  <c r="I392" i="48" l="1"/>
  <c r="I419" i="48" s="1"/>
  <c r="I226" i="48"/>
  <c r="I393" i="48"/>
  <c r="I420" i="48" s="1"/>
  <c r="I354" i="48" l="1"/>
  <c r="I367" i="48" s="1"/>
  <c r="K22" i="10"/>
  <c r="J29" i="10"/>
  <c r="L22" i="10"/>
  <c r="J73" i="10"/>
  <c r="J95" i="45"/>
  <c r="J118" i="45" s="1"/>
  <c r="K95" i="45"/>
  <c r="K118" i="45" s="1"/>
  <c r="J23" i="46" l="1"/>
  <c r="J30" i="46"/>
  <c r="J20" i="26" s="1"/>
  <c r="L67" i="45"/>
  <c r="K67" i="45"/>
  <c r="J70" i="45"/>
  <c r="K70" i="45"/>
  <c r="K24" i="10"/>
  <c r="J19" i="45" l="1"/>
  <c r="J69" i="45" s="1"/>
  <c r="C96" i="31"/>
  <c r="J26" i="48"/>
  <c r="J265" i="48" s="1"/>
  <c r="J100" i="46"/>
  <c r="M22" i="10"/>
  <c r="L95" i="45"/>
  <c r="L118" i="45" s="1"/>
  <c r="K73" i="10"/>
  <c r="K29" i="10"/>
  <c r="L24" i="10"/>
  <c r="K30" i="46" l="1"/>
  <c r="K23" i="46"/>
  <c r="M67" i="45"/>
  <c r="L70" i="45"/>
  <c r="L73" i="10"/>
  <c r="L29" i="10"/>
  <c r="N22" i="10" l="1"/>
  <c r="M95" i="45"/>
  <c r="M118" i="45" s="1"/>
  <c r="L23" i="46"/>
  <c r="L30" i="46"/>
  <c r="K19" i="45"/>
  <c r="M24" i="10"/>
  <c r="K20" i="26"/>
  <c r="K100" i="46"/>
  <c r="L20" i="26" l="1"/>
  <c r="L100" i="46"/>
  <c r="L19" i="45"/>
  <c r="N67" i="45"/>
  <c r="M70" i="45"/>
  <c r="N24" i="10"/>
  <c r="N73" i="10" s="1"/>
  <c r="M73" i="10"/>
  <c r="M29" i="10"/>
  <c r="K69" i="45"/>
  <c r="D96" i="31"/>
  <c r="M23" i="46" l="1"/>
  <c r="M30" i="46"/>
  <c r="O22" i="10"/>
  <c r="N95" i="45"/>
  <c r="N118" i="45" s="1"/>
  <c r="N23" i="46"/>
  <c r="N30" i="46"/>
  <c r="L69" i="45"/>
  <c r="N29" i="10"/>
  <c r="E96" i="31"/>
  <c r="O24" i="10" l="1"/>
  <c r="M20" i="26"/>
  <c r="M100" i="46"/>
  <c r="N20" i="26"/>
  <c r="N100" i="46"/>
  <c r="M19" i="45"/>
  <c r="N19" i="45"/>
  <c r="N70" i="45"/>
  <c r="O67" i="45"/>
  <c r="O73" i="10" l="1"/>
  <c r="O29" i="10"/>
  <c r="F96" i="31"/>
  <c r="G96" i="31"/>
  <c r="P22" i="10"/>
  <c r="O95" i="45"/>
  <c r="O118" i="45" s="1"/>
  <c r="N69" i="45"/>
  <c r="M69" i="45"/>
  <c r="P24" i="10" l="1"/>
  <c r="P73" i="10" s="1"/>
  <c r="O70" i="45"/>
  <c r="P67" i="45"/>
  <c r="O23" i="46"/>
  <c r="O30" i="46"/>
  <c r="Q22" i="10" l="1"/>
  <c r="P95" i="45"/>
  <c r="P118" i="45" s="1"/>
  <c r="P23" i="46"/>
  <c r="P30" i="46"/>
  <c r="O20" i="26"/>
  <c r="O100" i="46"/>
  <c r="O19" i="45"/>
  <c r="P29" i="10"/>
  <c r="P20" i="26" l="1"/>
  <c r="P100" i="46"/>
  <c r="P19" i="45"/>
  <c r="H96" i="31"/>
  <c r="O69" i="45"/>
  <c r="P70" i="45"/>
  <c r="Q67" i="45"/>
  <c r="Q24" i="10"/>
  <c r="Q73" i="10" l="1"/>
  <c r="Q29" i="10"/>
  <c r="P69" i="45"/>
  <c r="I96" i="31"/>
  <c r="R22" i="10"/>
  <c r="Q95" i="45"/>
  <c r="Q118" i="45" s="1"/>
  <c r="Q30" i="46" l="1"/>
  <c r="Q23" i="46"/>
  <c r="R67" i="45"/>
  <c r="Q70" i="45"/>
  <c r="Q19" i="45" l="1"/>
  <c r="S22" i="10"/>
  <c r="R95" i="45"/>
  <c r="R118" i="45" s="1"/>
  <c r="R24" i="10"/>
  <c r="Q20" i="26"/>
  <c r="Q100" i="46"/>
  <c r="S67" i="45" l="1"/>
  <c r="R70" i="45"/>
  <c r="Q69" i="45"/>
  <c r="S24" i="10"/>
  <c r="S73" i="10" s="1"/>
  <c r="J96" i="31"/>
  <c r="R73" i="10"/>
  <c r="R29" i="10"/>
  <c r="S30" i="46" l="1"/>
  <c r="S23" i="46"/>
  <c r="S29" i="10"/>
  <c r="R30" i="46"/>
  <c r="R23" i="46"/>
  <c r="S95" i="45"/>
  <c r="S118" i="45" s="1"/>
  <c r="S19" i="45" l="1"/>
  <c r="S20" i="26"/>
  <c r="S100" i="46"/>
  <c r="R19" i="45"/>
  <c r="R20" i="26"/>
  <c r="R100" i="46"/>
  <c r="S70" i="45"/>
  <c r="S69" i="45" l="1"/>
  <c r="E39" i="31"/>
  <c r="R69" i="45"/>
  <c r="K96" i="31"/>
  <c r="F39" i="31" l="1"/>
  <c r="G39" i="31"/>
  <c r="H39" i="31" l="1"/>
  <c r="I39" i="31" l="1"/>
  <c r="J39" i="31" l="1"/>
  <c r="P77" i="31" l="1"/>
  <c r="Q77" i="31"/>
  <c r="R77" i="31"/>
  <c r="N77" i="31"/>
  <c r="O77" i="31"/>
  <c r="K39" i="31"/>
  <c r="K186" i="1" l="1"/>
  <c r="G13" i="57" s="1"/>
  <c r="K183" i="1" l="1"/>
  <c r="G8" i="57" s="1"/>
  <c r="I58" i="27" l="1"/>
  <c r="H4" i="57"/>
  <c r="H7" i="57" s="1"/>
  <c r="F64" i="31" l="1"/>
  <c r="D186" i="31"/>
  <c r="D140" i="31"/>
  <c r="D39" i="31" l="1"/>
  <c r="J186" i="1" l="1"/>
  <c r="F13" i="57" l="1"/>
  <c r="J183" i="1"/>
  <c r="F8" i="57" l="1"/>
  <c r="H58" i="27"/>
  <c r="C186" i="31" l="1"/>
  <c r="C140" i="31"/>
  <c r="E64" i="31"/>
  <c r="G4" i="57"/>
  <c r="G7" i="57" s="1"/>
  <c r="F7" i="57"/>
  <c r="C39" i="31" l="1"/>
  <c r="K52" i="10" l="1"/>
  <c r="K51" i="10" s="1"/>
  <c r="L47" i="10" s="1"/>
  <c r="J51" i="10"/>
  <c r="K47" i="10" s="1"/>
  <c r="J49" i="10" l="1"/>
  <c r="J114" i="10" s="1"/>
  <c r="L52" i="10"/>
  <c r="K49" i="10"/>
  <c r="J25" i="46" l="1"/>
  <c r="J104" i="4"/>
  <c r="J115" i="10"/>
  <c r="K25" i="46"/>
  <c r="K114" i="10"/>
  <c r="J20" i="46"/>
  <c r="J99" i="46"/>
  <c r="J21" i="45"/>
  <c r="L51" i="10"/>
  <c r="M52" i="10"/>
  <c r="J10" i="46" l="1"/>
  <c r="J71" i="45"/>
  <c r="K20" i="46"/>
  <c r="K21" i="45"/>
  <c r="K99" i="46"/>
  <c r="M51" i="10"/>
  <c r="N47" i="10" s="1"/>
  <c r="N52" i="10"/>
  <c r="M47" i="10"/>
  <c r="L49" i="10"/>
  <c r="J117" i="10"/>
  <c r="K104" i="4"/>
  <c r="K115" i="10"/>
  <c r="M49" i="10" l="1"/>
  <c r="M25" i="46" s="1"/>
  <c r="L25" i="46"/>
  <c r="L114" i="10"/>
  <c r="K71" i="45"/>
  <c r="J118" i="46"/>
  <c r="K113" i="10"/>
  <c r="K117" i="10" s="1"/>
  <c r="K10" i="46"/>
  <c r="O52" i="10"/>
  <c r="N51" i="10"/>
  <c r="O47" i="10" s="1"/>
  <c r="M114" i="10" l="1"/>
  <c r="M115" i="10" s="1"/>
  <c r="N49" i="10"/>
  <c r="N25" i="46" s="1"/>
  <c r="L104" i="4"/>
  <c r="L115" i="10"/>
  <c r="L20" i="46"/>
  <c r="L21" i="45"/>
  <c r="L99" i="46"/>
  <c r="K118" i="46"/>
  <c r="L113" i="10"/>
  <c r="M21" i="45"/>
  <c r="M20" i="46"/>
  <c r="M99" i="46"/>
  <c r="O51" i="10"/>
  <c r="P47" i="10" s="1"/>
  <c r="P52" i="10"/>
  <c r="M104" i="4" l="1"/>
  <c r="N114" i="10"/>
  <c r="L117" i="10"/>
  <c r="L118" i="46" s="1"/>
  <c r="L71" i="45"/>
  <c r="L10" i="46"/>
  <c r="M10" i="46"/>
  <c r="Q52" i="10"/>
  <c r="P51" i="10"/>
  <c r="Q47" i="10" s="1"/>
  <c r="N104" i="4"/>
  <c r="N115" i="10"/>
  <c r="M71" i="45"/>
  <c r="M113" i="10"/>
  <c r="M117" i="10" s="1"/>
  <c r="O49" i="10"/>
  <c r="N21" i="45"/>
  <c r="N20" i="46"/>
  <c r="N99" i="46"/>
  <c r="P49" i="10" l="1"/>
  <c r="P114" i="10" s="1"/>
  <c r="Q51" i="10"/>
  <c r="R47" i="10" s="1"/>
  <c r="R52" i="10"/>
  <c r="N71" i="45"/>
  <c r="O25" i="46"/>
  <c r="O114" i="10"/>
  <c r="N10" i="46"/>
  <c r="M118" i="46"/>
  <c r="N113" i="10"/>
  <c r="N117" i="10" s="1"/>
  <c r="Q49" i="10" l="1"/>
  <c r="P25" i="46"/>
  <c r="P20" i="46" s="1"/>
  <c r="O104" i="4"/>
  <c r="O115" i="10"/>
  <c r="S52" i="10"/>
  <c r="S51" i="10" s="1"/>
  <c r="R51" i="10"/>
  <c r="S47" i="10" s="1"/>
  <c r="Q25" i="46"/>
  <c r="Q114" i="10"/>
  <c r="N118" i="46"/>
  <c r="O113" i="10"/>
  <c r="O20" i="46"/>
  <c r="O21" i="45"/>
  <c r="O99" i="46"/>
  <c r="P104" i="4"/>
  <c r="P115" i="10"/>
  <c r="O117" i="10" l="1"/>
  <c r="O118" i="46" s="1"/>
  <c r="P99" i="46"/>
  <c r="P21" i="45"/>
  <c r="P71" i="45" s="1"/>
  <c r="R49" i="10"/>
  <c r="R25" i="46" s="1"/>
  <c r="O10" i="46"/>
  <c r="Q104" i="4"/>
  <c r="Q115" i="10"/>
  <c r="S49" i="10"/>
  <c r="Q21" i="45"/>
  <c r="Q20" i="46"/>
  <c r="Q99" i="46"/>
  <c r="P10" i="46"/>
  <c r="O71" i="45"/>
  <c r="R114" i="10" l="1"/>
  <c r="R104" i="4" s="1"/>
  <c r="P113" i="10"/>
  <c r="P117" i="10" s="1"/>
  <c r="P118" i="46" s="1"/>
  <c r="R20" i="46"/>
  <c r="R21" i="45"/>
  <c r="R99" i="46"/>
  <c r="S25" i="46"/>
  <c r="S114" i="10"/>
  <c r="Q10" i="46"/>
  <c r="Q71" i="45"/>
  <c r="R115" i="10" l="1"/>
  <c r="R10" i="46" s="1"/>
  <c r="Q113" i="10"/>
  <c r="Q117" i="10" s="1"/>
  <c r="S104" i="4"/>
  <c r="S115" i="10"/>
  <c r="S20" i="46"/>
  <c r="S21" i="45"/>
  <c r="S99" i="46"/>
  <c r="Q118" i="46"/>
  <c r="R113" i="10"/>
  <c r="R117" i="10" s="1"/>
  <c r="R71" i="45"/>
  <c r="S10" i="46" l="1"/>
  <c r="S113" i="10"/>
  <c r="S117" i="10" s="1"/>
  <c r="S118" i="46" s="1"/>
  <c r="R118" i="46"/>
  <c r="S71" i="45"/>
  <c r="J114" i="46" l="1"/>
  <c r="K72" i="10"/>
  <c r="K76" i="10"/>
  <c r="K114" i="46" s="1"/>
  <c r="J74" i="10"/>
  <c r="J98" i="10" s="1"/>
  <c r="J102" i="4" s="1"/>
  <c r="D6" i="31" s="1"/>
  <c r="D8" i="31" s="1"/>
  <c r="H8" i="18"/>
  <c r="H26" i="18" s="1"/>
  <c r="H38" i="18" s="1"/>
  <c r="H48" i="18" s="1"/>
  <c r="L76" i="10" l="1"/>
  <c r="M72" i="10" s="1"/>
  <c r="J101" i="4"/>
  <c r="J105" i="4" s="1"/>
  <c r="I8" i="18"/>
  <c r="I26" i="18" s="1"/>
  <c r="I38" i="18" s="1"/>
  <c r="I48" i="18" s="1"/>
  <c r="K101" i="46"/>
  <c r="AE128" i="46"/>
  <c r="J101" i="46"/>
  <c r="K74" i="10"/>
  <c r="K98" i="10" s="1"/>
  <c r="K97" i="46" s="1"/>
  <c r="L72" i="10"/>
  <c r="L74" i="10" s="1"/>
  <c r="L98" i="10" s="1"/>
  <c r="L97" i="46" s="1"/>
  <c r="J101" i="10"/>
  <c r="J108" i="46" s="1"/>
  <c r="AF128" i="46"/>
  <c r="M76" i="10"/>
  <c r="M74" i="10" s="1"/>
  <c r="M98" i="10" s="1"/>
  <c r="M97" i="46" s="1"/>
  <c r="K128" i="46"/>
  <c r="J169" i="45"/>
  <c r="J67" i="46"/>
  <c r="J32" i="26" s="1"/>
  <c r="J66" i="46"/>
  <c r="J128" i="46"/>
  <c r="J97" i="46"/>
  <c r="J8" i="18"/>
  <c r="J26" i="18" s="1"/>
  <c r="J38" i="18" s="1"/>
  <c r="J48" i="18" s="1"/>
  <c r="J129" i="10"/>
  <c r="L114" i="46"/>
  <c r="J31" i="48" l="1"/>
  <c r="C99" i="31"/>
  <c r="K66" i="46"/>
  <c r="K25" i="26" s="1"/>
  <c r="K102" i="4"/>
  <c r="E6" i="31" s="1"/>
  <c r="E8" i="31" s="1"/>
  <c r="J116" i="46"/>
  <c r="AE130" i="46" s="1"/>
  <c r="K67" i="46"/>
  <c r="K32" i="26" s="1"/>
  <c r="D99" i="31" s="1"/>
  <c r="K101" i="10"/>
  <c r="K108" i="46" s="1"/>
  <c r="L101" i="46"/>
  <c r="K97" i="10"/>
  <c r="H10" i="18"/>
  <c r="H28" i="18" s="1"/>
  <c r="H40" i="18" s="1"/>
  <c r="H50" i="18" s="1"/>
  <c r="J99" i="10"/>
  <c r="J130" i="10" s="1"/>
  <c r="K129" i="10"/>
  <c r="J178" i="45"/>
  <c r="J193" i="45" s="1"/>
  <c r="J205" i="45" s="1"/>
  <c r="J23" i="45" s="1"/>
  <c r="J177" i="45"/>
  <c r="J176" i="45"/>
  <c r="M102" i="4"/>
  <c r="G6" i="31" s="1"/>
  <c r="G8" i="31" s="1"/>
  <c r="M67" i="46"/>
  <c r="M32" i="26" s="1"/>
  <c r="F99" i="31" s="1"/>
  <c r="M101" i="10"/>
  <c r="M108" i="46" s="1"/>
  <c r="M66" i="46"/>
  <c r="M129" i="10"/>
  <c r="J113" i="1"/>
  <c r="J176" i="48" s="1"/>
  <c r="AE141" i="46"/>
  <c r="AG128" i="46"/>
  <c r="L128" i="46"/>
  <c r="J25" i="26"/>
  <c r="L102" i="4"/>
  <c r="F6" i="31" s="1"/>
  <c r="F8" i="31" s="1"/>
  <c r="L129" i="10"/>
  <c r="L101" i="10"/>
  <c r="L108" i="46" s="1"/>
  <c r="L67" i="46"/>
  <c r="L32" i="26" s="1"/>
  <c r="E99" i="31" s="1"/>
  <c r="L66" i="46"/>
  <c r="AF141" i="46"/>
  <c r="K113" i="1"/>
  <c r="M114" i="46"/>
  <c r="N76" i="10"/>
  <c r="N72" i="10"/>
  <c r="K8" i="18"/>
  <c r="K26" i="18" s="1"/>
  <c r="K38" i="18" s="1"/>
  <c r="K48" i="18" s="1"/>
  <c r="K116" i="46" l="1"/>
  <c r="K99" i="10"/>
  <c r="L97" i="10"/>
  <c r="L99" i="10" s="1"/>
  <c r="I10" i="18"/>
  <c r="I28" i="18" s="1"/>
  <c r="I40" i="18" s="1"/>
  <c r="I50" i="18" s="1"/>
  <c r="M101" i="4"/>
  <c r="M169" i="45" s="1"/>
  <c r="N74" i="10"/>
  <c r="N98" i="10" s="1"/>
  <c r="N97" i="46" s="1"/>
  <c r="J68" i="46"/>
  <c r="J30" i="26" s="1"/>
  <c r="J51" i="48" s="1"/>
  <c r="L101" i="4"/>
  <c r="L105" i="4" s="1"/>
  <c r="K101" i="4"/>
  <c r="J8" i="46"/>
  <c r="AE8" i="46" s="1"/>
  <c r="M101" i="46"/>
  <c r="N114" i="46"/>
  <c r="O72" i="10"/>
  <c r="O76" i="10"/>
  <c r="L8" i="18"/>
  <c r="L26" i="18" s="1"/>
  <c r="L38" i="18" s="1"/>
  <c r="L48" i="18" s="1"/>
  <c r="M97" i="10"/>
  <c r="M99" i="10" s="1"/>
  <c r="L116" i="46"/>
  <c r="J10" i="18"/>
  <c r="J28" i="18" s="1"/>
  <c r="J40" i="18" s="1"/>
  <c r="J50" i="18" s="1"/>
  <c r="AF130" i="46"/>
  <c r="M25" i="26"/>
  <c r="M128" i="46"/>
  <c r="AH128" i="46"/>
  <c r="AG141" i="46"/>
  <c r="L113" i="1"/>
  <c r="K10" i="18"/>
  <c r="K28" i="18" s="1"/>
  <c r="K40" i="18" s="1"/>
  <c r="K50" i="18" s="1"/>
  <c r="M116" i="46"/>
  <c r="N97" i="10"/>
  <c r="J182" i="45"/>
  <c r="J186" i="45" s="1"/>
  <c r="J188" i="45" s="1"/>
  <c r="J202" i="45"/>
  <c r="L25" i="26"/>
  <c r="J36" i="48"/>
  <c r="J34" i="48" s="1"/>
  <c r="J40" i="48" s="1"/>
  <c r="J42" i="48" s="1"/>
  <c r="K8" i="46"/>
  <c r="K130" i="10"/>
  <c r="K68" i="46"/>
  <c r="J183" i="45"/>
  <c r="J203" i="45"/>
  <c r="J71" i="46"/>
  <c r="J79" i="45"/>
  <c r="N101" i="10" l="1"/>
  <c r="N108" i="46" s="1"/>
  <c r="N102" i="4"/>
  <c r="H6" i="31" s="1"/>
  <c r="H8" i="31" s="1"/>
  <c r="N66" i="46"/>
  <c r="N129" i="10"/>
  <c r="N67" i="46"/>
  <c r="N32" i="26" s="1"/>
  <c r="G99" i="31" s="1"/>
  <c r="J24" i="26"/>
  <c r="C100" i="31" s="1"/>
  <c r="L169" i="45"/>
  <c r="L176" i="45" s="1"/>
  <c r="M105" i="4"/>
  <c r="K169" i="45"/>
  <c r="K105" i="4"/>
  <c r="N101" i="4"/>
  <c r="N169" i="45" s="1"/>
  <c r="J7" i="46"/>
  <c r="J18" i="46" s="1"/>
  <c r="J10" i="26"/>
  <c r="C89" i="31" s="1"/>
  <c r="N101" i="46"/>
  <c r="M176" i="45"/>
  <c r="M178" i="45"/>
  <c r="M193" i="45" s="1"/>
  <c r="M205" i="45" s="1"/>
  <c r="M23" i="45" s="1"/>
  <c r="M177" i="45"/>
  <c r="N116" i="46"/>
  <c r="O97" i="10"/>
  <c r="L10" i="18"/>
  <c r="L28" i="18" s="1"/>
  <c r="L40" i="18" s="1"/>
  <c r="L50" i="18" s="1"/>
  <c r="AG130" i="46"/>
  <c r="M130" i="10"/>
  <c r="M68" i="46"/>
  <c r="M8" i="46"/>
  <c r="N99" i="10"/>
  <c r="J191" i="45"/>
  <c r="J194" i="45" s="1"/>
  <c r="J197" i="45" s="1"/>
  <c r="J15" i="45" s="1"/>
  <c r="O74" i="10"/>
  <c r="O98" i="10" s="1"/>
  <c r="O97" i="46" s="1"/>
  <c r="AI128" i="46"/>
  <c r="N128" i="46"/>
  <c r="K7" i="46"/>
  <c r="K18" i="46" s="1"/>
  <c r="AF8" i="46"/>
  <c r="K10" i="26"/>
  <c r="AH130" i="46"/>
  <c r="P76" i="10"/>
  <c r="M8" i="18"/>
  <c r="M26" i="18" s="1"/>
  <c r="M38" i="18" s="1"/>
  <c r="M48" i="18" s="1"/>
  <c r="O114" i="46"/>
  <c r="P72" i="10"/>
  <c r="AH141" i="46"/>
  <c r="M113" i="1"/>
  <c r="K30" i="26"/>
  <c r="K24" i="26" s="1"/>
  <c r="D100" i="31" s="1"/>
  <c r="J24" i="45"/>
  <c r="J204" i="45"/>
  <c r="L68" i="46"/>
  <c r="L8" i="46"/>
  <c r="L130" i="10"/>
  <c r="N25" i="26"/>
  <c r="L177" i="45" l="1"/>
  <c r="L178" i="45"/>
  <c r="L193" i="45" s="1"/>
  <c r="L205" i="45" s="1"/>
  <c r="L23" i="45" s="1"/>
  <c r="J190" i="1"/>
  <c r="P74" i="10"/>
  <c r="P98" i="10" s="1"/>
  <c r="P97" i="46" s="1"/>
  <c r="N105" i="4"/>
  <c r="K178" i="45"/>
  <c r="K193" i="45" s="1"/>
  <c r="K205" i="45" s="1"/>
  <c r="K23" i="45" s="1"/>
  <c r="K176" i="45"/>
  <c r="K177" i="45"/>
  <c r="O101" i="46"/>
  <c r="J7" i="45"/>
  <c r="J11" i="26"/>
  <c r="J78" i="45"/>
  <c r="O66" i="46"/>
  <c r="O102" i="4"/>
  <c r="I6" i="31" s="1"/>
  <c r="I8" i="31" s="1"/>
  <c r="O67" i="46"/>
  <c r="O32" i="26" s="1"/>
  <c r="H99" i="31" s="1"/>
  <c r="O129" i="10"/>
  <c r="O101" i="10"/>
  <c r="O108" i="46" s="1"/>
  <c r="M30" i="26"/>
  <c r="M24" i="26" s="1"/>
  <c r="F100" i="31" s="1"/>
  <c r="J80" i="45"/>
  <c r="J69" i="46"/>
  <c r="J76" i="46" s="1"/>
  <c r="J17" i="45"/>
  <c r="O128" i="46"/>
  <c r="AJ128" i="46"/>
  <c r="D89" i="31"/>
  <c r="L203" i="45"/>
  <c r="L183" i="45"/>
  <c r="AI130" i="46"/>
  <c r="L71" i="46"/>
  <c r="L79" i="45"/>
  <c r="M203" i="45"/>
  <c r="M183" i="45"/>
  <c r="P114" i="46"/>
  <c r="N8" i="18"/>
  <c r="N26" i="18" s="1"/>
  <c r="N38" i="18" s="1"/>
  <c r="N48" i="18" s="1"/>
  <c r="Q76" i="10"/>
  <c r="Q72" i="10"/>
  <c r="M71" i="46"/>
  <c r="M79" i="45"/>
  <c r="K190" i="1"/>
  <c r="AI141" i="46"/>
  <c r="N113" i="1"/>
  <c r="M182" i="45"/>
  <c r="M186" i="45" s="1"/>
  <c r="M188" i="45" s="1"/>
  <c r="M202" i="45"/>
  <c r="L202" i="45"/>
  <c r="L182" i="45"/>
  <c r="L186" i="45" s="1"/>
  <c r="L188" i="45" s="1"/>
  <c r="P102" i="4"/>
  <c r="J6" i="31" s="1"/>
  <c r="J8" i="31" s="1"/>
  <c r="P101" i="10"/>
  <c r="P108" i="46" s="1"/>
  <c r="P67" i="46"/>
  <c r="P32" i="26" s="1"/>
  <c r="I99" i="31" s="1"/>
  <c r="P66" i="46"/>
  <c r="P129" i="10"/>
  <c r="N177" i="45"/>
  <c r="N178" i="45"/>
  <c r="N193" i="45" s="1"/>
  <c r="N205" i="45" s="1"/>
  <c r="N23" i="45" s="1"/>
  <c r="N176" i="45"/>
  <c r="N8" i="46"/>
  <c r="N68" i="46"/>
  <c r="N130" i="10"/>
  <c r="L7" i="46"/>
  <c r="L18" i="46" s="1"/>
  <c r="L10" i="26"/>
  <c r="AG8" i="46"/>
  <c r="L30" i="26"/>
  <c r="L24" i="26" s="1"/>
  <c r="E100" i="31" s="1"/>
  <c r="M7" i="46"/>
  <c r="M18" i="46" s="1"/>
  <c r="AH8" i="46"/>
  <c r="M10" i="26"/>
  <c r="K184" i="1" l="1"/>
  <c r="K185" i="1" s="1"/>
  <c r="I24" i="18" s="1"/>
  <c r="I25" i="18" s="1"/>
  <c r="AA192" i="1"/>
  <c r="J184" i="1"/>
  <c r="Z192" i="1"/>
  <c r="K183" i="45"/>
  <c r="K203" i="45"/>
  <c r="K202" i="45"/>
  <c r="K204" i="45" s="1"/>
  <c r="K182" i="45"/>
  <c r="K186" i="45" s="1"/>
  <c r="K188" i="45" s="1"/>
  <c r="K191" i="45" s="1"/>
  <c r="K194" i="45" s="1"/>
  <c r="K197" i="45" s="1"/>
  <c r="K15" i="45" s="1"/>
  <c r="P101" i="4"/>
  <c r="P105" i="4" s="1"/>
  <c r="O101" i="4"/>
  <c r="O169" i="45" s="1"/>
  <c r="K79" i="45"/>
  <c r="K71" i="46"/>
  <c r="O99" i="10"/>
  <c r="O8" i="46" s="1"/>
  <c r="P101" i="46"/>
  <c r="N71" i="46"/>
  <c r="N79" i="45"/>
  <c r="Q114" i="46"/>
  <c r="O8" i="18"/>
  <c r="O26" i="18" s="1"/>
  <c r="O38" i="18" s="1"/>
  <c r="O48" i="18" s="1"/>
  <c r="R76" i="10"/>
  <c r="R72" i="10"/>
  <c r="N183" i="45"/>
  <c r="N203" i="45"/>
  <c r="L204" i="45"/>
  <c r="L24" i="45"/>
  <c r="P128" i="46"/>
  <c r="J104" i="46"/>
  <c r="J106" i="46" s="1"/>
  <c r="J107" i="46" s="1"/>
  <c r="J33" i="46"/>
  <c r="M24" i="45"/>
  <c r="M204" i="45"/>
  <c r="O25" i="26"/>
  <c r="I59" i="27"/>
  <c r="P25" i="26"/>
  <c r="M191" i="45"/>
  <c r="M194" i="45" s="1"/>
  <c r="M197" i="45" s="1"/>
  <c r="M15" i="45" s="1"/>
  <c r="M190" i="1"/>
  <c r="J84" i="45"/>
  <c r="J85" i="45" s="1"/>
  <c r="L190" i="1"/>
  <c r="O68" i="46"/>
  <c r="O30" i="26" s="1"/>
  <c r="E89" i="31"/>
  <c r="N7" i="46"/>
  <c r="N18" i="46" s="1"/>
  <c r="N10" i="26"/>
  <c r="AI8" i="46"/>
  <c r="P97" i="10"/>
  <c r="P99" i="10" s="1"/>
  <c r="M10" i="18"/>
  <c r="M28" i="18" s="1"/>
  <c r="M40" i="18" s="1"/>
  <c r="M50" i="18" s="1"/>
  <c r="O116" i="46"/>
  <c r="C90" i="31"/>
  <c r="C92" i="31" s="1"/>
  <c r="C94" i="31" s="1"/>
  <c r="J14" i="26"/>
  <c r="L191" i="45"/>
  <c r="L194" i="45" s="1"/>
  <c r="L197" i="45" s="1"/>
  <c r="L15" i="45" s="1"/>
  <c r="N30" i="26"/>
  <c r="N24" i="26" s="1"/>
  <c r="G100" i="31" s="1"/>
  <c r="F89" i="31"/>
  <c r="N182" i="45"/>
  <c r="N186" i="45" s="1"/>
  <c r="N188" i="45" s="1"/>
  <c r="N202" i="45"/>
  <c r="P116" i="46"/>
  <c r="N10" i="18"/>
  <c r="N28" i="18" s="1"/>
  <c r="N40" i="18" s="1"/>
  <c r="N50" i="18" s="1"/>
  <c r="Q97" i="10"/>
  <c r="Q74" i="10"/>
  <c r="Q98" i="10" s="1"/>
  <c r="Q97" i="46" s="1"/>
  <c r="O113" i="1"/>
  <c r="AJ141" i="46"/>
  <c r="J26" i="45"/>
  <c r="O130" i="10" l="1"/>
  <c r="M184" i="1"/>
  <c r="M185" i="1" s="1"/>
  <c r="K24" i="18" s="1"/>
  <c r="K25" i="18" s="1"/>
  <c r="AC192" i="1"/>
  <c r="J185" i="1"/>
  <c r="H24" i="18" s="1"/>
  <c r="H25" i="18" s="1"/>
  <c r="H37" i="18" s="1"/>
  <c r="H47" i="18" s="1"/>
  <c r="H59" i="27"/>
  <c r="L184" i="1"/>
  <c r="L185" i="1" s="1"/>
  <c r="J24" i="18" s="1"/>
  <c r="J25" i="18" s="1"/>
  <c r="AB192" i="1"/>
  <c r="O105" i="4"/>
  <c r="K78" i="45"/>
  <c r="K11" i="26"/>
  <c r="K7" i="45"/>
  <c r="K24" i="45"/>
  <c r="P169" i="45"/>
  <c r="P178" i="45" s="1"/>
  <c r="P193" i="45" s="1"/>
  <c r="P205" i="45" s="1"/>
  <c r="P23" i="45" s="1"/>
  <c r="Q101" i="46"/>
  <c r="R74" i="10"/>
  <c r="R98" i="10" s="1"/>
  <c r="R97" i="46" s="1"/>
  <c r="M7" i="45"/>
  <c r="M78" i="45"/>
  <c r="M11" i="26"/>
  <c r="L7" i="45"/>
  <c r="L11" i="26"/>
  <c r="L78" i="45"/>
  <c r="J17" i="26"/>
  <c r="J119" i="1"/>
  <c r="J118" i="1" s="1"/>
  <c r="J17" i="48"/>
  <c r="L69" i="46"/>
  <c r="L76" i="46" s="1"/>
  <c r="L80" i="45"/>
  <c r="L17" i="45"/>
  <c r="Q128" i="46"/>
  <c r="G89" i="31"/>
  <c r="AJ130" i="46"/>
  <c r="J88" i="45"/>
  <c r="J87" i="45"/>
  <c r="J103" i="45" s="1"/>
  <c r="D141" i="31"/>
  <c r="D142" i="31" s="1"/>
  <c r="F65" i="31"/>
  <c r="F66" i="31" s="1"/>
  <c r="I60" i="27"/>
  <c r="O178" i="45"/>
  <c r="O193" i="45" s="1"/>
  <c r="O205" i="45" s="1"/>
  <c r="O23" i="45" s="1"/>
  <c r="O176" i="45"/>
  <c r="O177" i="45"/>
  <c r="I37" i="18"/>
  <c r="N190" i="1"/>
  <c r="P8" i="46"/>
  <c r="P68" i="46"/>
  <c r="P130" i="10"/>
  <c r="O24" i="26"/>
  <c r="H100" i="31" s="1"/>
  <c r="J109" i="46"/>
  <c r="J123" i="46" s="1"/>
  <c r="J110" i="46"/>
  <c r="Q102" i="4"/>
  <c r="K6" i="31" s="1"/>
  <c r="K8" i="31" s="1"/>
  <c r="Q66" i="46"/>
  <c r="Q129" i="10"/>
  <c r="Q101" i="10"/>
  <c r="Q108" i="46" s="1"/>
  <c r="Q67" i="46"/>
  <c r="Q32" i="26" s="1"/>
  <c r="J99" i="31" s="1"/>
  <c r="P113" i="1"/>
  <c r="N24" i="45"/>
  <c r="N204" i="45"/>
  <c r="N191" i="45"/>
  <c r="N194" i="45" s="1"/>
  <c r="N197" i="45" s="1"/>
  <c r="N15" i="45" s="1"/>
  <c r="O10" i="26"/>
  <c r="AJ8" i="46"/>
  <c r="O7" i="46"/>
  <c r="O18" i="46" s="1"/>
  <c r="M80" i="45"/>
  <c r="M69" i="46"/>
  <c r="M76" i="46" s="1"/>
  <c r="M17" i="45"/>
  <c r="R114" i="46"/>
  <c r="S72" i="10"/>
  <c r="S76" i="10"/>
  <c r="P8" i="18"/>
  <c r="P26" i="18" s="1"/>
  <c r="P38" i="18" s="1"/>
  <c r="P48" i="18" s="1"/>
  <c r="K59" i="27" l="1"/>
  <c r="J59" i="27"/>
  <c r="N184" i="1"/>
  <c r="N185" i="1" s="1"/>
  <c r="L24" i="18" s="1"/>
  <c r="L25" i="18" s="1"/>
  <c r="AD192" i="1"/>
  <c r="E65" i="31"/>
  <c r="E66" i="31" s="1"/>
  <c r="C141" i="31"/>
  <c r="C142" i="31" s="1"/>
  <c r="H60" i="27"/>
  <c r="E14" i="28" s="1"/>
  <c r="D158" i="31" s="1"/>
  <c r="J112" i="48"/>
  <c r="R67" i="46"/>
  <c r="R32" i="26" s="1"/>
  <c r="K99" i="31" s="1"/>
  <c r="R129" i="10"/>
  <c r="R102" i="4"/>
  <c r="R101" i="4" s="1"/>
  <c r="R169" i="45" s="1"/>
  <c r="R66" i="46"/>
  <c r="R101" i="10"/>
  <c r="R108" i="46" s="1"/>
  <c r="P176" i="45"/>
  <c r="P182" i="45" s="1"/>
  <c r="P186" i="45" s="1"/>
  <c r="P188" i="45" s="1"/>
  <c r="P177" i="45"/>
  <c r="P183" i="45" s="1"/>
  <c r="K80" i="45"/>
  <c r="K84" i="45" s="1"/>
  <c r="K85" i="45" s="1"/>
  <c r="K69" i="46"/>
  <c r="K76" i="46" s="1"/>
  <c r="K17" i="45"/>
  <c r="K26" i="45" s="1"/>
  <c r="Q101" i="4"/>
  <c r="Q169" i="45" s="1"/>
  <c r="D90" i="31"/>
  <c r="D92" i="31" s="1"/>
  <c r="D94" i="31" s="1"/>
  <c r="K14" i="26"/>
  <c r="Q99" i="10"/>
  <c r="Q130" i="10" s="1"/>
  <c r="R101" i="46"/>
  <c r="S74" i="10"/>
  <c r="S98" i="10" s="1"/>
  <c r="S97" i="46" s="1"/>
  <c r="L84" i="45"/>
  <c r="L85" i="45" s="1"/>
  <c r="L87" i="45" s="1"/>
  <c r="L103" i="45" s="1"/>
  <c r="J18" i="26"/>
  <c r="N7" i="45"/>
  <c r="N11" i="26"/>
  <c r="N78" i="45"/>
  <c r="I47" i="18"/>
  <c r="O79" i="45"/>
  <c r="O71" i="46"/>
  <c r="H30" i="18"/>
  <c r="H23" i="27"/>
  <c r="H89" i="31"/>
  <c r="J124" i="46"/>
  <c r="AE137" i="46"/>
  <c r="J130" i="46"/>
  <c r="F141" i="31"/>
  <c r="F142" i="31" s="1"/>
  <c r="H65" i="31"/>
  <c r="H66" i="31" s="1"/>
  <c r="K60" i="27"/>
  <c r="C17" i="31"/>
  <c r="E7" i="58"/>
  <c r="G65" i="31"/>
  <c r="G66" i="31" s="1"/>
  <c r="E141" i="31"/>
  <c r="E142" i="31" s="1"/>
  <c r="J60" i="27"/>
  <c r="K37" i="18"/>
  <c r="Q116" i="46"/>
  <c r="R97" i="10"/>
  <c r="O10" i="18"/>
  <c r="O28" i="18" s="1"/>
  <c r="O40" i="18" s="1"/>
  <c r="O50" i="18" s="1"/>
  <c r="J37" i="18"/>
  <c r="E90" i="31"/>
  <c r="E92" i="31" s="1"/>
  <c r="E94" i="31" s="1"/>
  <c r="L14" i="26"/>
  <c r="R128" i="46"/>
  <c r="P30" i="26"/>
  <c r="P24" i="26" s="1"/>
  <c r="I100" i="31" s="1"/>
  <c r="P203" i="45"/>
  <c r="J104" i="45"/>
  <c r="J116" i="45" s="1"/>
  <c r="J105" i="45"/>
  <c r="J117" i="45" s="1"/>
  <c r="J114" i="1" s="1"/>
  <c r="J115" i="45"/>
  <c r="Q113" i="1"/>
  <c r="L104" i="46"/>
  <c r="L106" i="46" s="1"/>
  <c r="L107" i="46" s="1"/>
  <c r="L33" i="46"/>
  <c r="L26" i="45"/>
  <c r="P7" i="46"/>
  <c r="P18" i="46" s="1"/>
  <c r="AK8" i="46"/>
  <c r="P10" i="26"/>
  <c r="P79" i="45"/>
  <c r="P71" i="46"/>
  <c r="F90" i="31"/>
  <c r="F92" i="31" s="1"/>
  <c r="F94" i="31" s="1"/>
  <c r="M14" i="26"/>
  <c r="M104" i="46"/>
  <c r="M106" i="46" s="1"/>
  <c r="M107" i="46" s="1"/>
  <c r="M33" i="46"/>
  <c r="S114" i="46"/>
  <c r="S101" i="46" s="1"/>
  <c r="Q8" i="18"/>
  <c r="Q26" i="18" s="1"/>
  <c r="Q38" i="18" s="1"/>
  <c r="Q48" i="18" s="1"/>
  <c r="R25" i="26"/>
  <c r="Q25" i="26"/>
  <c r="O190" i="1"/>
  <c r="L59" i="27"/>
  <c r="O183" i="45"/>
  <c r="O203" i="45"/>
  <c r="M84" i="45"/>
  <c r="M85" i="45" s="1"/>
  <c r="N69" i="46"/>
  <c r="N76" i="46" s="1"/>
  <c r="N80" i="45"/>
  <c r="N17" i="45"/>
  <c r="Q105" i="4"/>
  <c r="O182" i="45"/>
  <c r="O186" i="45" s="1"/>
  <c r="O188" i="45" s="1"/>
  <c r="O202" i="45"/>
  <c r="J20" i="48"/>
  <c r="M26" i="45"/>
  <c r="R105" i="4" l="1"/>
  <c r="R99" i="10"/>
  <c r="S97" i="10"/>
  <c r="P10" i="18"/>
  <c r="P28" i="18" s="1"/>
  <c r="P40" i="18" s="1"/>
  <c r="P50" i="18" s="1"/>
  <c r="R116" i="46"/>
  <c r="F14" i="28"/>
  <c r="E158" i="31" s="1"/>
  <c r="J124" i="48"/>
  <c r="J280" i="48"/>
  <c r="D14" i="28"/>
  <c r="C158" i="31" s="1"/>
  <c r="D13" i="28"/>
  <c r="O184" i="1"/>
  <c r="AE192" i="1"/>
  <c r="Q68" i="46"/>
  <c r="Q30" i="26" s="1"/>
  <c r="P202" i="45"/>
  <c r="P24" i="45" s="1"/>
  <c r="K119" i="1"/>
  <c r="K118" i="1" s="1"/>
  <c r="K17" i="26"/>
  <c r="K33" i="46"/>
  <c r="K104" i="46"/>
  <c r="K106" i="46" s="1"/>
  <c r="K107" i="46" s="1"/>
  <c r="K87" i="45"/>
  <c r="K103" i="45" s="1"/>
  <c r="K88" i="45"/>
  <c r="Q8" i="46"/>
  <c r="Q7" i="46" s="1"/>
  <c r="Q18" i="46" s="1"/>
  <c r="S128" i="46"/>
  <c r="S113" i="1" s="1"/>
  <c r="S67" i="46"/>
  <c r="S32" i="26" s="1"/>
  <c r="S102" i="4"/>
  <c r="S101" i="4" s="1"/>
  <c r="S105" i="4" s="1"/>
  <c r="S129" i="10"/>
  <c r="S66" i="46"/>
  <c r="S25" i="26" s="1"/>
  <c r="S101" i="10"/>
  <c r="S108" i="46" s="1"/>
  <c r="L88" i="45"/>
  <c r="J125" i="45"/>
  <c r="J126" i="45" s="1"/>
  <c r="J35" i="45" s="1"/>
  <c r="J55" i="45" s="1"/>
  <c r="J56" i="45" s="1"/>
  <c r="N84" i="45"/>
  <c r="N85" i="45" s="1"/>
  <c r="N88" i="45" s="1"/>
  <c r="Q24" i="26"/>
  <c r="J100" i="31" s="1"/>
  <c r="L110" i="46"/>
  <c r="L109" i="46"/>
  <c r="L123" i="46" s="1"/>
  <c r="K47" i="18"/>
  <c r="G14" i="28"/>
  <c r="F158" i="31" s="1"/>
  <c r="J169" i="48"/>
  <c r="C121" i="31"/>
  <c r="E50" i="31"/>
  <c r="C157" i="31"/>
  <c r="G90" i="31"/>
  <c r="G92" i="31" s="1"/>
  <c r="G94" i="31" s="1"/>
  <c r="N14" i="26"/>
  <c r="O191" i="45"/>
  <c r="O194" i="45" s="1"/>
  <c r="O197" i="45" s="1"/>
  <c r="O15" i="45" s="1"/>
  <c r="O185" i="1"/>
  <c r="M24" i="18" s="1"/>
  <c r="M25" i="18" s="1"/>
  <c r="M59" i="27"/>
  <c r="P191" i="45"/>
  <c r="P194" i="45" s="1"/>
  <c r="P197" i="45" s="1"/>
  <c r="P15" i="45" s="1"/>
  <c r="R8" i="46"/>
  <c r="R68" i="46"/>
  <c r="R130" i="10"/>
  <c r="H42" i="18"/>
  <c r="H32" i="18"/>
  <c r="N26" i="45"/>
  <c r="M109" i="46"/>
  <c r="M123" i="46" s="1"/>
  <c r="M110" i="46"/>
  <c r="I89" i="31"/>
  <c r="J174" i="48"/>
  <c r="J43" i="48"/>
  <c r="J44" i="48" s="1"/>
  <c r="P190" i="1"/>
  <c r="I65" i="31"/>
  <c r="I66" i="31" s="1"/>
  <c r="G141" i="31"/>
  <c r="G142" i="31" s="1"/>
  <c r="L60" i="27"/>
  <c r="M87" i="45"/>
  <c r="M103" i="45" s="1"/>
  <c r="M88" i="45"/>
  <c r="R176" i="45"/>
  <c r="R178" i="45"/>
  <c r="R193" i="45" s="1"/>
  <c r="R205" i="45" s="1"/>
  <c r="R23" i="45" s="1"/>
  <c r="R177" i="45"/>
  <c r="R113" i="1"/>
  <c r="J47" i="18"/>
  <c r="AE143" i="46"/>
  <c r="O24" i="45"/>
  <c r="O204" i="45"/>
  <c r="L37" i="18"/>
  <c r="N104" i="46"/>
  <c r="N106" i="46" s="1"/>
  <c r="N107" i="46" s="1"/>
  <c r="N33" i="46"/>
  <c r="M17" i="26"/>
  <c r="M119" i="1"/>
  <c r="M118" i="1" s="1"/>
  <c r="L115" i="45"/>
  <c r="L104" i="45"/>
  <c r="L116" i="45" s="1"/>
  <c r="L105" i="45"/>
  <c r="L117" i="45" s="1"/>
  <c r="L114" i="1" s="1"/>
  <c r="Q176" i="45"/>
  <c r="Q178" i="45"/>
  <c r="Q193" i="45" s="1"/>
  <c r="Q205" i="45" s="1"/>
  <c r="Q23" i="45" s="1"/>
  <c r="Q177" i="45"/>
  <c r="Q10" i="18"/>
  <c r="Q28" i="18" s="1"/>
  <c r="Q40" i="18" s="1"/>
  <c r="Q50" i="18" s="1"/>
  <c r="J275" i="48"/>
  <c r="J22" i="48"/>
  <c r="L17" i="26"/>
  <c r="L119" i="1"/>
  <c r="L118" i="1" s="1"/>
  <c r="J131" i="46"/>
  <c r="AE144" i="46" s="1"/>
  <c r="J125" i="46"/>
  <c r="J132" i="46" s="1"/>
  <c r="AE138" i="46"/>
  <c r="S116" i="46" l="1"/>
  <c r="P184" i="1"/>
  <c r="AF192" i="1"/>
  <c r="J360" i="48"/>
  <c r="J302" i="48"/>
  <c r="J292" i="48"/>
  <c r="J349" i="48"/>
  <c r="H14" i="28"/>
  <c r="G158" i="31" s="1"/>
  <c r="S169" i="45"/>
  <c r="S178" i="45" s="1"/>
  <c r="S193" i="45" s="1"/>
  <c r="S205" i="45" s="1"/>
  <c r="S23" i="45" s="1"/>
  <c r="P204" i="45"/>
  <c r="K104" i="45"/>
  <c r="K116" i="45" s="1"/>
  <c r="K105" i="45"/>
  <c r="K117" i="45" s="1"/>
  <c r="K114" i="1" s="1"/>
  <c r="K115" i="45"/>
  <c r="K109" i="46"/>
  <c r="K123" i="46" s="1"/>
  <c r="K110" i="46"/>
  <c r="F7" i="58"/>
  <c r="D17" i="31"/>
  <c r="K18" i="26"/>
  <c r="I23" i="27"/>
  <c r="I30" i="18"/>
  <c r="Q10" i="26"/>
  <c r="J89" i="31" s="1"/>
  <c r="S99" i="10"/>
  <c r="S68" i="46" s="1"/>
  <c r="N87" i="45"/>
  <c r="N103" i="45" s="1"/>
  <c r="N115" i="45" s="1"/>
  <c r="Q190" i="1"/>
  <c r="L125" i="45"/>
  <c r="P78" i="45"/>
  <c r="P7" i="45"/>
  <c r="P11" i="26"/>
  <c r="J268" i="48"/>
  <c r="J46" i="48"/>
  <c r="R30" i="26"/>
  <c r="R24" i="26" s="1"/>
  <c r="K100" i="31" s="1"/>
  <c r="O69" i="46"/>
  <c r="O76" i="46" s="1"/>
  <c r="O80" i="45"/>
  <c r="O17" i="45"/>
  <c r="O7" i="45"/>
  <c r="O78" i="45"/>
  <c r="O11" i="26"/>
  <c r="N109" i="46"/>
  <c r="N123" i="46" s="1"/>
  <c r="N110" i="46"/>
  <c r="R182" i="45"/>
  <c r="R186" i="45" s="1"/>
  <c r="R188" i="45" s="1"/>
  <c r="R202" i="45"/>
  <c r="AG137" i="46"/>
  <c r="L124" i="46"/>
  <c r="L130" i="46"/>
  <c r="R7" i="46"/>
  <c r="R18" i="46" s="1"/>
  <c r="R10" i="26"/>
  <c r="R79" i="45"/>
  <c r="R71" i="46"/>
  <c r="L47" i="18"/>
  <c r="H52" i="18"/>
  <c r="H54" i="18" s="1"/>
  <c r="H55" i="18" s="1"/>
  <c r="H44" i="18"/>
  <c r="J57" i="45"/>
  <c r="J52" i="26"/>
  <c r="N119" i="1"/>
  <c r="N118" i="1" s="1"/>
  <c r="N17" i="26"/>
  <c r="J30" i="18"/>
  <c r="J23" i="27"/>
  <c r="Q203" i="45"/>
  <c r="Q183" i="45"/>
  <c r="J112" i="1"/>
  <c r="Q79" i="45"/>
  <c r="Q71" i="46"/>
  <c r="K23" i="27"/>
  <c r="K30" i="18"/>
  <c r="M124" i="46"/>
  <c r="AH137" i="46"/>
  <c r="M130" i="46"/>
  <c r="P69" i="46"/>
  <c r="P76" i="46" s="1"/>
  <c r="P80" i="45"/>
  <c r="P17" i="45"/>
  <c r="R203" i="45"/>
  <c r="R183" i="45"/>
  <c r="J134" i="46"/>
  <c r="J135" i="46" s="1"/>
  <c r="E17" i="31"/>
  <c r="G7" i="58"/>
  <c r="L18" i="26"/>
  <c r="Q182" i="45"/>
  <c r="Q186" i="45" s="1"/>
  <c r="Q188" i="45" s="1"/>
  <c r="Q202" i="45"/>
  <c r="H7" i="58"/>
  <c r="M18" i="26"/>
  <c r="F17" i="31"/>
  <c r="P185" i="1"/>
  <c r="N24" i="18" s="1"/>
  <c r="N25" i="18" s="1"/>
  <c r="N59" i="27"/>
  <c r="H141" i="31"/>
  <c r="H142" i="31" s="1"/>
  <c r="J65" i="31"/>
  <c r="J66" i="31" s="1"/>
  <c r="M60" i="27"/>
  <c r="S130" i="10"/>
  <c r="J357" i="48"/>
  <c r="J277" i="48"/>
  <c r="J278" i="48" s="1"/>
  <c r="J274" i="48"/>
  <c r="J405" i="48"/>
  <c r="J351" i="48"/>
  <c r="J332" i="48"/>
  <c r="J222" i="48"/>
  <c r="J333" i="48"/>
  <c r="J330" i="48"/>
  <c r="J23" i="48"/>
  <c r="J378" i="48" s="1"/>
  <c r="J329" i="48"/>
  <c r="S176" i="45"/>
  <c r="S177" i="45"/>
  <c r="M104" i="45"/>
  <c r="M116" i="45" s="1"/>
  <c r="M105" i="45"/>
  <c r="M117" i="45" s="1"/>
  <c r="M114" i="1" s="1"/>
  <c r="M115" i="45"/>
  <c r="M37" i="18"/>
  <c r="I14" i="28" l="1"/>
  <c r="H158" i="31" s="1"/>
  <c r="Q184" i="1"/>
  <c r="O59" i="27" s="1"/>
  <c r="L65" i="31" s="1"/>
  <c r="L66" i="31" s="1"/>
  <c r="AG192" i="1"/>
  <c r="S8" i="46"/>
  <c r="S7" i="46" s="1"/>
  <c r="S18" i="46" s="1"/>
  <c r="E86" i="58"/>
  <c r="E17" i="58" s="1"/>
  <c r="K125" i="45"/>
  <c r="K126" i="45" s="1"/>
  <c r="K35" i="45" s="1"/>
  <c r="K55" i="45" s="1"/>
  <c r="K56" i="45" s="1"/>
  <c r="K57" i="45" s="1"/>
  <c r="K124" i="46"/>
  <c r="AF137" i="46"/>
  <c r="K130" i="46"/>
  <c r="I42" i="18"/>
  <c r="I32" i="18"/>
  <c r="F50" i="31"/>
  <c r="D121" i="31"/>
  <c r="E13" i="28"/>
  <c r="D157" i="31" s="1"/>
  <c r="N105" i="45"/>
  <c r="N117" i="45" s="1"/>
  <c r="N114" i="1" s="1"/>
  <c r="N104" i="45"/>
  <c r="N116" i="45" s="1"/>
  <c r="Q185" i="1"/>
  <c r="O24" i="18" s="1"/>
  <c r="O25" i="18" s="1"/>
  <c r="O37" i="18" s="1"/>
  <c r="O60" i="27"/>
  <c r="S79" i="45"/>
  <c r="S71" i="46"/>
  <c r="L23" i="27"/>
  <c r="L30" i="18"/>
  <c r="N124" i="46"/>
  <c r="AI137" i="46"/>
  <c r="N130" i="46"/>
  <c r="S30" i="26"/>
  <c r="S24" i="26" s="1"/>
  <c r="S190" i="1" s="1"/>
  <c r="S184" i="1" s="1"/>
  <c r="G17" i="31"/>
  <c r="I7" i="58"/>
  <c r="N18" i="26"/>
  <c r="S203" i="45"/>
  <c r="S183" i="45"/>
  <c r="AH138" i="46"/>
  <c r="M125" i="46"/>
  <c r="M132" i="46" s="1"/>
  <c r="M131" i="46"/>
  <c r="AH144" i="46" s="1"/>
  <c r="R190" i="1"/>
  <c r="R184" i="1" s="1"/>
  <c r="AH143" i="46"/>
  <c r="K42" i="18"/>
  <c r="K32" i="18"/>
  <c r="G50" i="31"/>
  <c r="G13" i="28"/>
  <c r="F157" i="31" s="1"/>
  <c r="E121" i="31"/>
  <c r="F13" i="28"/>
  <c r="E157" i="31" s="1"/>
  <c r="K89" i="31"/>
  <c r="O33" i="46"/>
  <c r="O104" i="46"/>
  <c r="O106" i="46" s="1"/>
  <c r="O107" i="46" s="1"/>
  <c r="C188" i="31"/>
  <c r="F10" i="57"/>
  <c r="F11" i="57" s="1"/>
  <c r="J175" i="48"/>
  <c r="J115" i="1"/>
  <c r="J47" i="48"/>
  <c r="P104" i="46"/>
  <c r="P106" i="46" s="1"/>
  <c r="P107" i="46" s="1"/>
  <c r="P33" i="46"/>
  <c r="F121" i="31"/>
  <c r="H50" i="31"/>
  <c r="J42" i="18"/>
  <c r="J32" i="18"/>
  <c r="H90" i="31"/>
  <c r="H92" i="31" s="1"/>
  <c r="H94" i="31" s="1"/>
  <c r="O14" i="26"/>
  <c r="H57" i="27"/>
  <c r="H65" i="18"/>
  <c r="H63" i="18"/>
  <c r="H62" i="18"/>
  <c r="H61" i="18"/>
  <c r="H67" i="18"/>
  <c r="H68" i="18"/>
  <c r="H64" i="18"/>
  <c r="H58" i="18"/>
  <c r="H69" i="18"/>
  <c r="H60" i="18"/>
  <c r="H66" i="18"/>
  <c r="H73" i="18"/>
  <c r="H59" i="18"/>
  <c r="H70" i="18"/>
  <c r="O84" i="45"/>
  <c r="O85" i="45" s="1"/>
  <c r="I90" i="31"/>
  <c r="I92" i="31" s="1"/>
  <c r="I94" i="31" s="1"/>
  <c r="P14" i="26"/>
  <c r="S202" i="45"/>
  <c r="S182" i="45"/>
  <c r="S186" i="45" s="1"/>
  <c r="S188" i="45" s="1"/>
  <c r="M47" i="18"/>
  <c r="M125" i="45"/>
  <c r="K65" i="31"/>
  <c r="K66" i="31" s="1"/>
  <c r="I141" i="31"/>
  <c r="I142" i="31" s="1"/>
  <c r="N60" i="27"/>
  <c r="Q204" i="45"/>
  <c r="Q24" i="45"/>
  <c r="AG143" i="46"/>
  <c r="R204" i="45"/>
  <c r="R24" i="45"/>
  <c r="O26" i="45"/>
  <c r="P26" i="45"/>
  <c r="I340" i="48"/>
  <c r="J340" i="48"/>
  <c r="H340" i="48"/>
  <c r="H345" i="48" s="1"/>
  <c r="N37" i="18"/>
  <c r="Q191" i="45"/>
  <c r="Q194" i="45" s="1"/>
  <c r="Q197" i="45" s="1"/>
  <c r="Q15" i="45" s="1"/>
  <c r="L125" i="46"/>
  <c r="L132" i="46" s="1"/>
  <c r="L131" i="46"/>
  <c r="AG144" i="46" s="1"/>
  <c r="AG138" i="46"/>
  <c r="R191" i="45"/>
  <c r="R194" i="45" s="1"/>
  <c r="R197" i="45" s="1"/>
  <c r="R15" i="45" s="1"/>
  <c r="P84" i="45"/>
  <c r="P85" i="45" s="1"/>
  <c r="S10" i="26" l="1"/>
  <c r="J141" i="31"/>
  <c r="J142" i="31" s="1"/>
  <c r="J14" i="28"/>
  <c r="I158" i="31" s="1"/>
  <c r="D28" i="28"/>
  <c r="H13" i="28"/>
  <c r="G157" i="31" s="1"/>
  <c r="L126" i="45"/>
  <c r="L35" i="45" s="1"/>
  <c r="L55" i="45" s="1"/>
  <c r="L56" i="45" s="1"/>
  <c r="K52" i="26"/>
  <c r="I52" i="18"/>
  <c r="I54" i="18" s="1"/>
  <c r="I55" i="18" s="1"/>
  <c r="I44" i="18"/>
  <c r="AF143" i="46"/>
  <c r="K125" i="46"/>
  <c r="K132" i="46" s="1"/>
  <c r="AF138" i="46"/>
  <c r="K131" i="46"/>
  <c r="AF144" i="46" s="1"/>
  <c r="N125" i="45"/>
  <c r="N126" i="45" s="1"/>
  <c r="N35" i="45" s="1"/>
  <c r="N55" i="45" s="1"/>
  <c r="N56" i="45" s="1"/>
  <c r="M134" i="46"/>
  <c r="L112" i="1"/>
  <c r="E188" i="31" s="1"/>
  <c r="M112" i="1"/>
  <c r="M115" i="1" s="1"/>
  <c r="R78" i="45"/>
  <c r="R11" i="26"/>
  <c r="R7" i="45"/>
  <c r="H71" i="18"/>
  <c r="J109" i="48"/>
  <c r="H64" i="27"/>
  <c r="C139" i="31"/>
  <c r="C144" i="31" s="1"/>
  <c r="E63" i="31"/>
  <c r="E68" i="31" s="1"/>
  <c r="P110" i="46"/>
  <c r="P109" i="46"/>
  <c r="P123" i="46" s="1"/>
  <c r="O109" i="46"/>
  <c r="O123" i="46" s="1"/>
  <c r="O110" i="46"/>
  <c r="R185" i="1"/>
  <c r="P24" i="18" s="1"/>
  <c r="P25" i="18" s="1"/>
  <c r="P59" i="27"/>
  <c r="AI143" i="46"/>
  <c r="Q59" i="27"/>
  <c r="Q60" i="27" s="1"/>
  <c r="S185" i="1"/>
  <c r="Q24" i="18" s="1"/>
  <c r="Q25" i="18" s="1"/>
  <c r="J22" i="26"/>
  <c r="J231" i="1" s="1"/>
  <c r="AE147" i="46"/>
  <c r="J21" i="46"/>
  <c r="J34" i="46" s="1"/>
  <c r="J35" i="46" s="1"/>
  <c r="J81" i="48"/>
  <c r="J397" i="48"/>
  <c r="K52" i="18"/>
  <c r="K54" i="18" s="1"/>
  <c r="K55" i="18" s="1"/>
  <c r="K44" i="18"/>
  <c r="E48" i="58"/>
  <c r="C24" i="58"/>
  <c r="AI138" i="46"/>
  <c r="N131" i="46"/>
  <c r="AI144" i="46" s="1"/>
  <c r="N125" i="46"/>
  <c r="N132" i="46" s="1"/>
  <c r="O88" i="45"/>
  <c r="O87" i="45"/>
  <c r="O103" i="45" s="1"/>
  <c r="O47" i="18"/>
  <c r="J52" i="18"/>
  <c r="J54" i="18" s="1"/>
  <c r="J55" i="18" s="1"/>
  <c r="J44" i="18"/>
  <c r="H20" i="27"/>
  <c r="P88" i="45"/>
  <c r="P87" i="45"/>
  <c r="P103" i="45" s="1"/>
  <c r="R80" i="45"/>
  <c r="R69" i="46"/>
  <c r="R76" i="46" s="1"/>
  <c r="R17" i="45"/>
  <c r="S191" i="45"/>
  <c r="S194" i="45" s="1"/>
  <c r="S197" i="45" s="1"/>
  <c r="S15" i="45" s="1"/>
  <c r="D64" i="28"/>
  <c r="J33" i="1"/>
  <c r="J356" i="48"/>
  <c r="J271" i="48"/>
  <c r="J272" i="48" s="1"/>
  <c r="J231" i="48"/>
  <c r="J395" i="48" s="1"/>
  <c r="J427" i="48" s="1"/>
  <c r="J350" i="48"/>
  <c r="L42" i="18"/>
  <c r="L32" i="18"/>
  <c r="G121" i="31"/>
  <c r="I50" i="31"/>
  <c r="K14" i="28"/>
  <c r="J158" i="31" s="1"/>
  <c r="Q80" i="45"/>
  <c r="Q69" i="46"/>
  <c r="Q76" i="46" s="1"/>
  <c r="Q17" i="45"/>
  <c r="N47" i="18"/>
  <c r="S24" i="45"/>
  <c r="S204" i="45"/>
  <c r="C189" i="31"/>
  <c r="M126" i="45"/>
  <c r="M35" i="45" s="1"/>
  <c r="M55" i="45" s="1"/>
  <c r="M56" i="45" s="1"/>
  <c r="Q7" i="45"/>
  <c r="Q78" i="45"/>
  <c r="Q11" i="26"/>
  <c r="L134" i="46"/>
  <c r="H346" i="48"/>
  <c r="H365" i="48"/>
  <c r="H366" i="48" s="1"/>
  <c r="P119" i="1"/>
  <c r="P118" i="1" s="1"/>
  <c r="P17" i="26"/>
  <c r="O119" i="1"/>
  <c r="O118" i="1" s="1"/>
  <c r="O17" i="26"/>
  <c r="J48" i="48"/>
  <c r="D12" i="28" l="1"/>
  <c r="F86" i="58"/>
  <c r="F17" i="58" s="1"/>
  <c r="F48" i="58" s="1"/>
  <c r="L57" i="45"/>
  <c r="L52" i="26"/>
  <c r="K112" i="1"/>
  <c r="K134" i="46"/>
  <c r="K135" i="46" s="1"/>
  <c r="I67" i="18"/>
  <c r="I62" i="18"/>
  <c r="I70" i="18"/>
  <c r="I65" i="18"/>
  <c r="I63" i="18"/>
  <c r="I58" i="18"/>
  <c r="I57" i="27"/>
  <c r="I69" i="18"/>
  <c r="I64" i="18"/>
  <c r="I60" i="18"/>
  <c r="I61" i="18"/>
  <c r="I68" i="18"/>
  <c r="I66" i="18"/>
  <c r="I73" i="18"/>
  <c r="I59" i="18"/>
  <c r="L115" i="1"/>
  <c r="J20" i="27" s="1"/>
  <c r="H10" i="57"/>
  <c r="H11" i="57" s="1"/>
  <c r="F188" i="31"/>
  <c r="F189" i="31" s="1"/>
  <c r="I10" i="57"/>
  <c r="I11" i="57" s="1"/>
  <c r="R84" i="45"/>
  <c r="R85" i="45" s="1"/>
  <c r="R88" i="45" s="1"/>
  <c r="Q26" i="45"/>
  <c r="C187" i="31"/>
  <c r="N30" i="18"/>
  <c r="N23" i="27"/>
  <c r="Q104" i="46"/>
  <c r="Q106" i="46" s="1"/>
  <c r="Q107" i="46" s="1"/>
  <c r="Q33" i="46"/>
  <c r="N112" i="1"/>
  <c r="N52" i="26"/>
  <c r="N57" i="45"/>
  <c r="R33" i="46"/>
  <c r="R104" i="46"/>
  <c r="R106" i="46" s="1"/>
  <c r="R107" i="46" s="1"/>
  <c r="D24" i="58"/>
  <c r="E189" i="31"/>
  <c r="I17" i="31"/>
  <c r="P18" i="26"/>
  <c r="K7" i="58"/>
  <c r="J36" i="46"/>
  <c r="J51" i="26"/>
  <c r="J35" i="26"/>
  <c r="J36" i="26" s="1"/>
  <c r="C97" i="31"/>
  <c r="C101" i="31" s="1"/>
  <c r="C102" i="31" s="1"/>
  <c r="C103" i="31" s="1"/>
  <c r="K141" i="31"/>
  <c r="K142" i="31" s="1"/>
  <c r="M65" i="31"/>
  <c r="M66" i="31" s="1"/>
  <c r="P60" i="27"/>
  <c r="L14" i="28" s="1"/>
  <c r="K158" i="31" s="1"/>
  <c r="S7" i="45"/>
  <c r="S78" i="45"/>
  <c r="S11" i="26"/>
  <c r="S14" i="26" s="1"/>
  <c r="J53" i="48"/>
  <c r="J269" i="48"/>
  <c r="J49" i="48"/>
  <c r="M135" i="46"/>
  <c r="S69" i="46"/>
  <c r="S76" i="46" s="1"/>
  <c r="S80" i="45"/>
  <c r="S17" i="45"/>
  <c r="K20" i="27"/>
  <c r="D33" i="28"/>
  <c r="E95" i="58"/>
  <c r="J55" i="48"/>
  <c r="J40" i="1"/>
  <c r="C21" i="31"/>
  <c r="C29" i="31"/>
  <c r="D54" i="28"/>
  <c r="D74" i="31" s="1"/>
  <c r="D77" i="31" s="1"/>
  <c r="P115" i="45"/>
  <c r="P104" i="45"/>
  <c r="P116" i="45" s="1"/>
  <c r="P105" i="45"/>
  <c r="P117" i="45" s="1"/>
  <c r="P114" i="1" s="1"/>
  <c r="O115" i="45"/>
  <c r="O104" i="45"/>
  <c r="O116" i="45" s="1"/>
  <c r="O105" i="45"/>
  <c r="O117" i="45" s="1"/>
  <c r="O114" i="1" s="1"/>
  <c r="Q37" i="18"/>
  <c r="D68" i="28"/>
  <c r="K57" i="27"/>
  <c r="K58" i="18"/>
  <c r="K68" i="18"/>
  <c r="K61" i="18"/>
  <c r="K59" i="18"/>
  <c r="K73" i="18"/>
  <c r="K66" i="18"/>
  <c r="K70" i="18"/>
  <c r="K63" i="18"/>
  <c r="K60" i="18"/>
  <c r="K65" i="18"/>
  <c r="K67" i="18"/>
  <c r="K62" i="18"/>
  <c r="K69" i="18"/>
  <c r="K64" i="18"/>
  <c r="AJ137" i="46"/>
  <c r="O124" i="46"/>
  <c r="O130" i="46"/>
  <c r="D29" i="28"/>
  <c r="C169" i="31"/>
  <c r="D59" i="28"/>
  <c r="R26" i="45"/>
  <c r="M52" i="26"/>
  <c r="M57" i="45"/>
  <c r="J73" i="18"/>
  <c r="J58" i="18"/>
  <c r="J70" i="18"/>
  <c r="J60" i="18"/>
  <c r="J65" i="18"/>
  <c r="J63" i="18"/>
  <c r="J59" i="18"/>
  <c r="J66" i="18"/>
  <c r="J62" i="18"/>
  <c r="J69" i="18"/>
  <c r="J57" i="27"/>
  <c r="J61" i="18"/>
  <c r="J67" i="18"/>
  <c r="J68" i="18"/>
  <c r="J64" i="18"/>
  <c r="P37" i="18"/>
  <c r="H17" i="31"/>
  <c r="O18" i="26"/>
  <c r="J7" i="58"/>
  <c r="J90" i="31"/>
  <c r="J92" i="31" s="1"/>
  <c r="J94" i="31" s="1"/>
  <c r="Q14" i="26"/>
  <c r="M30" i="18"/>
  <c r="M23" i="27"/>
  <c r="Q84" i="45"/>
  <c r="Q85" i="45" s="1"/>
  <c r="L52" i="18"/>
  <c r="L54" i="18" s="1"/>
  <c r="L55" i="18" s="1"/>
  <c r="L44" i="18"/>
  <c r="E48" i="31"/>
  <c r="C119" i="31"/>
  <c r="N134" i="46"/>
  <c r="P124" i="46"/>
  <c r="P130" i="46"/>
  <c r="J348" i="48"/>
  <c r="J354" i="48" s="1"/>
  <c r="J367" i="48" s="1"/>
  <c r="J125" i="48"/>
  <c r="J295" i="48"/>
  <c r="J361" i="48"/>
  <c r="K90" i="31"/>
  <c r="K92" i="31" s="1"/>
  <c r="K94" i="31" s="1"/>
  <c r="R14" i="26"/>
  <c r="H86" i="58" l="1"/>
  <c r="G86" i="58"/>
  <c r="G17" i="58" s="1"/>
  <c r="G48" i="58" s="1"/>
  <c r="I86" i="58"/>
  <c r="I17" i="58" s="1"/>
  <c r="L135" i="46"/>
  <c r="AG147" i="46" s="1"/>
  <c r="I71" i="18"/>
  <c r="K33" i="1"/>
  <c r="E64" i="28"/>
  <c r="E68" i="28" s="1"/>
  <c r="K22" i="26"/>
  <c r="AF147" i="46"/>
  <c r="K21" i="46"/>
  <c r="K34" i="46" s="1"/>
  <c r="K35" i="46" s="1"/>
  <c r="I64" i="27"/>
  <c r="D139" i="31"/>
  <c r="D144" i="31" s="1"/>
  <c r="F63" i="31"/>
  <c r="F68" i="31" s="1"/>
  <c r="E28" i="28"/>
  <c r="D188" i="31"/>
  <c r="G10" i="57"/>
  <c r="G11" i="57" s="1"/>
  <c r="K115" i="1"/>
  <c r="R87" i="45"/>
  <c r="R103" i="45" s="1"/>
  <c r="R104" i="45" s="1"/>
  <c r="R116" i="45" s="1"/>
  <c r="L66" i="18"/>
  <c r="L57" i="27"/>
  <c r="L59" i="18"/>
  <c r="L73" i="18"/>
  <c r="L58" i="18"/>
  <c r="L60" i="18"/>
  <c r="L68" i="18"/>
  <c r="L64" i="18"/>
  <c r="L67" i="18"/>
  <c r="L70" i="18"/>
  <c r="L62" i="18"/>
  <c r="L65" i="18"/>
  <c r="L61" i="18"/>
  <c r="L69" i="18"/>
  <c r="L63" i="18"/>
  <c r="J54" i="48"/>
  <c r="M14" i="28"/>
  <c r="E80" i="58"/>
  <c r="C34" i="31"/>
  <c r="G64" i="28"/>
  <c r="G68" i="28" s="1"/>
  <c r="M33" i="1"/>
  <c r="J57" i="48"/>
  <c r="J91" i="48" s="1"/>
  <c r="J38" i="26"/>
  <c r="J40" i="26" s="1"/>
  <c r="J42" i="26" s="1"/>
  <c r="C106" i="31" s="1"/>
  <c r="S33" i="46"/>
  <c r="S104" i="46"/>
  <c r="S106" i="46" s="1"/>
  <c r="S107" i="46" s="1"/>
  <c r="O125" i="45"/>
  <c r="J89" i="48"/>
  <c r="G48" i="31"/>
  <c r="E119" i="31"/>
  <c r="G12" i="28"/>
  <c r="S17" i="26"/>
  <c r="S119" i="1"/>
  <c r="S118" i="1" s="1"/>
  <c r="E24" i="58"/>
  <c r="G188" i="31"/>
  <c r="J10" i="57"/>
  <c r="J11" i="57" s="1"/>
  <c r="N115" i="1"/>
  <c r="N135" i="46"/>
  <c r="Q47" i="18"/>
  <c r="C156" i="31"/>
  <c r="D52" i="28"/>
  <c r="D16" i="28"/>
  <c r="C159" i="31" s="1"/>
  <c r="J141" i="48"/>
  <c r="J393" i="48"/>
  <c r="J420" i="48" s="1"/>
  <c r="J392" i="48"/>
  <c r="J419" i="48" s="1"/>
  <c r="J226" i="48"/>
  <c r="Q87" i="45"/>
  <c r="Q103" i="45" s="1"/>
  <c r="Q88" i="45"/>
  <c r="E139" i="31"/>
  <c r="E144" i="31" s="1"/>
  <c r="F28" i="28"/>
  <c r="J64" i="27"/>
  <c r="G63" i="31"/>
  <c r="G68" i="31" s="1"/>
  <c r="E102" i="58"/>
  <c r="E104" i="58" s="1"/>
  <c r="E9" i="58" s="1"/>
  <c r="E111" i="58"/>
  <c r="S84" i="45"/>
  <c r="S85" i="45" s="1"/>
  <c r="J37" i="26"/>
  <c r="D49" i="28"/>
  <c r="C18" i="31"/>
  <c r="C19" i="31" s="1"/>
  <c r="R109" i="46"/>
  <c r="R123" i="46" s="1"/>
  <c r="R110" i="46"/>
  <c r="H17" i="58"/>
  <c r="J71" i="18"/>
  <c r="C173" i="31"/>
  <c r="C177" i="31" s="1"/>
  <c r="C178" i="31" s="1"/>
  <c r="D38" i="28"/>
  <c r="D39" i="28" s="1"/>
  <c r="S26" i="45"/>
  <c r="Q109" i="46"/>
  <c r="Q123" i="46" s="1"/>
  <c r="Q110" i="46"/>
  <c r="R17" i="26"/>
  <c r="R119" i="1"/>
  <c r="R118" i="1" s="1"/>
  <c r="J13" i="28"/>
  <c r="I157" i="31" s="1"/>
  <c r="H121" i="31"/>
  <c r="J50" i="31"/>
  <c r="I13" i="28"/>
  <c r="H157" i="31" s="1"/>
  <c r="AJ143" i="46"/>
  <c r="M42" i="18"/>
  <c r="M32" i="18"/>
  <c r="P47" i="18"/>
  <c r="F64" i="28"/>
  <c r="L33" i="1"/>
  <c r="O131" i="46"/>
  <c r="AJ144" i="46" s="1"/>
  <c r="O125" i="46"/>
  <c r="O132" i="46" s="1"/>
  <c r="AJ138" i="46"/>
  <c r="K71" i="18"/>
  <c r="P125" i="45"/>
  <c r="F119" i="31"/>
  <c r="H48" i="31"/>
  <c r="AH147" i="46"/>
  <c r="M22" i="26"/>
  <c r="M21" i="46"/>
  <c r="M34" i="46" s="1"/>
  <c r="M35" i="46" s="1"/>
  <c r="I121" i="31"/>
  <c r="K50" i="31"/>
  <c r="P125" i="46"/>
  <c r="P132" i="46" s="1"/>
  <c r="P131" i="46"/>
  <c r="P112" i="1" s="1"/>
  <c r="Q119" i="1"/>
  <c r="Q118" i="1" s="1"/>
  <c r="Q17" i="26"/>
  <c r="K64" i="27"/>
  <c r="F139" i="31"/>
  <c r="F144" i="31" s="1"/>
  <c r="G28" i="28"/>
  <c r="H63" i="31"/>
  <c r="H68" i="31" s="1"/>
  <c r="J379" i="48"/>
  <c r="J50" i="48"/>
  <c r="J53" i="26"/>
  <c r="E87" i="58"/>
  <c r="N42" i="18"/>
  <c r="N32" i="18"/>
  <c r="L21" i="46" l="1"/>
  <c r="L34" i="46" s="1"/>
  <c r="L35" i="46" s="1"/>
  <c r="L22" i="26"/>
  <c r="K51" i="26"/>
  <c r="K36" i="46"/>
  <c r="I20" i="27"/>
  <c r="K231" i="1"/>
  <c r="K35" i="26"/>
  <c r="K36" i="26" s="1"/>
  <c r="D97" i="31"/>
  <c r="D101" i="31" s="1"/>
  <c r="D102" i="31" s="1"/>
  <c r="D103" i="31" s="1"/>
  <c r="D189" i="31"/>
  <c r="D187" i="31"/>
  <c r="E59" i="28"/>
  <c r="E29" i="28"/>
  <c r="D169" i="31"/>
  <c r="D29" i="31"/>
  <c r="E33" i="28"/>
  <c r="F95" i="58"/>
  <c r="E54" i="28"/>
  <c r="E74" i="31" s="1"/>
  <c r="E77" i="31" s="1"/>
  <c r="K40" i="1"/>
  <c r="K38" i="26" s="1"/>
  <c r="D21" i="31"/>
  <c r="S109" i="46"/>
  <c r="S123" i="46" s="1"/>
  <c r="S124" i="46" s="1"/>
  <c r="S125" i="46" s="1"/>
  <c r="S110" i="46"/>
  <c r="R115" i="45"/>
  <c r="R105" i="45"/>
  <c r="R117" i="45" s="1"/>
  <c r="R114" i="1" s="1"/>
  <c r="O134" i="46"/>
  <c r="O135" i="46" s="1"/>
  <c r="AJ147" i="46" s="1"/>
  <c r="E18" i="58"/>
  <c r="E19" i="58" s="1"/>
  <c r="E89" i="58"/>
  <c r="E8" i="58" s="1"/>
  <c r="E11" i="58" s="1"/>
  <c r="E12" i="58" s="1"/>
  <c r="J58" i="48"/>
  <c r="J425" i="48" s="1"/>
  <c r="P115" i="1"/>
  <c r="I188" i="31"/>
  <c r="L10" i="57"/>
  <c r="L11" i="57" s="1"/>
  <c r="M51" i="26"/>
  <c r="M36" i="46"/>
  <c r="S88" i="45"/>
  <c r="S87" i="45"/>
  <c r="S103" i="45" s="1"/>
  <c r="G59" i="28"/>
  <c r="G29" i="28"/>
  <c r="F169" i="31"/>
  <c r="H48" i="58"/>
  <c r="J431" i="48"/>
  <c r="L20" i="27"/>
  <c r="I48" i="58"/>
  <c r="P134" i="46"/>
  <c r="L35" i="26"/>
  <c r="L36" i="26" s="1"/>
  <c r="E97" i="31"/>
  <c r="E101" i="31" s="1"/>
  <c r="E102" i="31" s="1"/>
  <c r="E103" i="31" s="1"/>
  <c r="E187" i="31"/>
  <c r="L231" i="1"/>
  <c r="E113" i="58"/>
  <c r="C104" i="31"/>
  <c r="D8" i="28"/>
  <c r="C152" i="31" s="1"/>
  <c r="L71" i="18"/>
  <c r="M52" i="18"/>
  <c r="M54" i="18" s="1"/>
  <c r="M55" i="18" s="1"/>
  <c r="M44" i="18"/>
  <c r="F29" i="28"/>
  <c r="F59" i="28"/>
  <c r="E169" i="31"/>
  <c r="G52" i="28"/>
  <c r="G16" i="28"/>
  <c r="F159" i="31" s="1"/>
  <c r="F156" i="31"/>
  <c r="N52" i="18"/>
  <c r="N54" i="18" s="1"/>
  <c r="N55" i="18" s="1"/>
  <c r="N44" i="18"/>
  <c r="R124" i="46"/>
  <c r="R130" i="46"/>
  <c r="E78" i="58"/>
  <c r="C28" i="31"/>
  <c r="G189" i="31"/>
  <c r="H64" i="28"/>
  <c r="H68" i="28" s="1"/>
  <c r="N33" i="1"/>
  <c r="F97" i="31"/>
  <c r="F101" i="31" s="1"/>
  <c r="F102" i="31" s="1"/>
  <c r="F103" i="31" s="1"/>
  <c r="M35" i="26"/>
  <c r="M36" i="26" s="1"/>
  <c r="M231" i="1"/>
  <c r="F187" i="31"/>
  <c r="L7" i="58"/>
  <c r="Q18" i="26"/>
  <c r="J17" i="31"/>
  <c r="Q115" i="45"/>
  <c r="Q104" i="45"/>
  <c r="Q116" i="45" s="1"/>
  <c r="Q105" i="45"/>
  <c r="Q117" i="45" s="1"/>
  <c r="Q114" i="1" s="1"/>
  <c r="G33" i="28"/>
  <c r="F21" i="31"/>
  <c r="M40" i="1"/>
  <c r="M38" i="26" s="1"/>
  <c r="G54" i="28"/>
  <c r="G74" i="31" s="1"/>
  <c r="G77" i="31" s="1"/>
  <c r="H95" i="58"/>
  <c r="F29" i="31"/>
  <c r="O30" i="18"/>
  <c r="O23" i="27"/>
  <c r="F68" i="28"/>
  <c r="O112" i="1"/>
  <c r="K17" i="31"/>
  <c r="M7" i="58"/>
  <c r="R18" i="26"/>
  <c r="C25" i="31"/>
  <c r="L64" i="27"/>
  <c r="I63" i="31"/>
  <c r="I68" i="31" s="1"/>
  <c r="H28" i="28"/>
  <c r="G139" i="31"/>
  <c r="G144" i="31" s="1"/>
  <c r="L51" i="26"/>
  <c r="L36" i="46"/>
  <c r="F33" i="28"/>
  <c r="G95" i="58"/>
  <c r="F54" i="28"/>
  <c r="F74" i="31" s="1"/>
  <c r="F77" i="31" s="1"/>
  <c r="E29" i="31"/>
  <c r="E21" i="31"/>
  <c r="L40" i="1"/>
  <c r="L38" i="26" s="1"/>
  <c r="G24" i="58"/>
  <c r="E25" i="58"/>
  <c r="G25" i="58" s="1"/>
  <c r="Q23" i="27"/>
  <c r="Q30" i="18"/>
  <c r="P30" i="18"/>
  <c r="P23" i="27"/>
  <c r="Q124" i="46"/>
  <c r="Q130" i="46"/>
  <c r="D6" i="28"/>
  <c r="H5" i="32"/>
  <c r="H9" i="32" s="1"/>
  <c r="H11" i="32" s="1"/>
  <c r="AI147" i="46"/>
  <c r="N22" i="26"/>
  <c r="G187" i="31" s="1"/>
  <c r="N21" i="46"/>
  <c r="N34" i="46" s="1"/>
  <c r="N35" i="46" s="1"/>
  <c r="S18" i="26"/>
  <c r="P126" i="45"/>
  <c r="P35" i="45" s="1"/>
  <c r="P55" i="45" s="1"/>
  <c r="P56" i="45" s="1"/>
  <c r="O126" i="45"/>
  <c r="O35" i="45" s="1"/>
  <c r="O55" i="45" s="1"/>
  <c r="O56" i="45" s="1"/>
  <c r="D104" i="31" l="1"/>
  <c r="E8" i="28"/>
  <c r="D152" i="31" s="1"/>
  <c r="F111" i="58"/>
  <c r="F113" i="58" s="1"/>
  <c r="F102" i="58"/>
  <c r="F104" i="58" s="1"/>
  <c r="F9" i="58" s="1"/>
  <c r="D173" i="31"/>
  <c r="D177" i="31" s="1"/>
  <c r="D178" i="31" s="1"/>
  <c r="E38" i="28"/>
  <c r="E39" i="28" s="1"/>
  <c r="E49" i="28"/>
  <c r="D25" i="31" s="1"/>
  <c r="D18" i="31"/>
  <c r="D19" i="31" s="1"/>
  <c r="K40" i="26"/>
  <c r="K42" i="26" s="1"/>
  <c r="D106" i="31" s="1"/>
  <c r="K37" i="26"/>
  <c r="D119" i="31"/>
  <c r="F48" i="31"/>
  <c r="E12" i="28"/>
  <c r="F12" i="28"/>
  <c r="F80" i="58"/>
  <c r="D34" i="31"/>
  <c r="K53" i="26"/>
  <c r="F87" i="58"/>
  <c r="R125" i="45"/>
  <c r="C25" i="58"/>
  <c r="D25" i="58" s="1"/>
  <c r="D26" i="58" s="1"/>
  <c r="J59" i="48"/>
  <c r="J74" i="48" s="1"/>
  <c r="O21" i="46"/>
  <c r="O34" i="46" s="1"/>
  <c r="O35" i="46" s="1"/>
  <c r="O36" i="46" s="1"/>
  <c r="E57" i="58"/>
  <c r="Q125" i="46"/>
  <c r="Q132" i="46" s="1"/>
  <c r="Q131" i="46"/>
  <c r="Q112" i="1" s="1"/>
  <c r="M50" i="31"/>
  <c r="M13" i="28"/>
  <c r="K121" i="31"/>
  <c r="E104" i="31"/>
  <c r="F8" i="28"/>
  <c r="E152" i="31" s="1"/>
  <c r="O42" i="18"/>
  <c r="O32" i="18"/>
  <c r="F49" i="28"/>
  <c r="L40" i="26"/>
  <c r="L42" i="26" s="1"/>
  <c r="E106" i="31" s="1"/>
  <c r="L37" i="26"/>
  <c r="E18" i="31"/>
  <c r="E19" i="31" s="1"/>
  <c r="O22" i="26"/>
  <c r="S130" i="46"/>
  <c r="H111" i="58"/>
  <c r="H102" i="58"/>
  <c r="H104" i="58" s="1"/>
  <c r="H9" i="58" s="1"/>
  <c r="Q125" i="45"/>
  <c r="G49" i="28"/>
  <c r="M40" i="26"/>
  <c r="M42" i="26" s="1"/>
  <c r="F106" i="31" s="1"/>
  <c r="M37" i="26"/>
  <c r="F18" i="31"/>
  <c r="F19" i="31" s="1"/>
  <c r="N73" i="18"/>
  <c r="N67" i="18"/>
  <c r="N62" i="18"/>
  <c r="N57" i="27"/>
  <c r="N68" i="18"/>
  <c r="N64" i="18"/>
  <c r="N61" i="18"/>
  <c r="N66" i="18"/>
  <c r="N69" i="18"/>
  <c r="N60" i="18"/>
  <c r="N70" i="18"/>
  <c r="N59" i="18"/>
  <c r="N58" i="18"/>
  <c r="N65" i="18"/>
  <c r="N63" i="18"/>
  <c r="M73" i="18"/>
  <c r="M68" i="18"/>
  <c r="M69" i="18"/>
  <c r="M58" i="18"/>
  <c r="M62" i="18"/>
  <c r="M64" i="18"/>
  <c r="M63" i="18"/>
  <c r="M61" i="18"/>
  <c r="M57" i="27"/>
  <c r="M60" i="18"/>
  <c r="M67" i="18"/>
  <c r="M65" i="18"/>
  <c r="M70" i="18"/>
  <c r="M66" i="18"/>
  <c r="M59" i="18"/>
  <c r="Q42" i="18"/>
  <c r="Q32" i="18"/>
  <c r="H59" i="28"/>
  <c r="H29" i="28"/>
  <c r="G169" i="31"/>
  <c r="H188" i="31"/>
  <c r="O115" i="1"/>
  <c r="K10" i="57"/>
  <c r="K11" i="57" s="1"/>
  <c r="E81" i="58"/>
  <c r="N51" i="26"/>
  <c r="N36" i="46"/>
  <c r="S105" i="45"/>
  <c r="S117" i="45" s="1"/>
  <c r="S114" i="1" s="1"/>
  <c r="S115" i="45"/>
  <c r="S104" i="45"/>
  <c r="S116" i="45" s="1"/>
  <c r="F104" i="31"/>
  <c r="G8" i="28"/>
  <c r="F152" i="31" s="1"/>
  <c r="H87" i="58"/>
  <c r="M53" i="26"/>
  <c r="N35" i="26"/>
  <c r="N36" i="26" s="1"/>
  <c r="G97" i="31"/>
  <c r="G101" i="31" s="1"/>
  <c r="G102" i="31" s="1"/>
  <c r="G103" i="31" s="1"/>
  <c r="H55" i="32"/>
  <c r="H12" i="32"/>
  <c r="H49" i="32" s="1"/>
  <c r="H50" i="32" s="1"/>
  <c r="E173" i="31"/>
  <c r="E177" i="31" s="1"/>
  <c r="E178" i="31" s="1"/>
  <c r="F38" i="28"/>
  <c r="F39" i="28" s="1"/>
  <c r="H33" i="28"/>
  <c r="N40" i="1"/>
  <c r="N38" i="26" s="1"/>
  <c r="I95" i="58"/>
  <c r="G21" i="31"/>
  <c r="G29" i="31"/>
  <c r="H54" i="28"/>
  <c r="H74" i="31" s="1"/>
  <c r="H77" i="31" s="1"/>
  <c r="R125" i="46"/>
  <c r="R132" i="46" s="1"/>
  <c r="R131" i="46"/>
  <c r="R112" i="1" s="1"/>
  <c r="F28" i="31"/>
  <c r="H78" i="58"/>
  <c r="N231" i="1"/>
  <c r="H80" i="58"/>
  <c r="F34" i="31"/>
  <c r="P135" i="46"/>
  <c r="G111" i="58"/>
  <c r="G102" i="58"/>
  <c r="G104" i="58" s="1"/>
  <c r="G9" i="58" s="1"/>
  <c r="O57" i="45"/>
  <c r="O52" i="26"/>
  <c r="P57" i="45"/>
  <c r="P52" i="26"/>
  <c r="G38" i="28"/>
  <c r="G39" i="28" s="1"/>
  <c r="F173" i="31"/>
  <c r="F177" i="31" s="1"/>
  <c r="F178" i="31" s="1"/>
  <c r="G119" i="31"/>
  <c r="I48" i="31"/>
  <c r="H12" i="28"/>
  <c r="I189" i="31"/>
  <c r="P42" i="18"/>
  <c r="P32" i="18"/>
  <c r="D10" i="28"/>
  <c r="C154" i="31" s="1"/>
  <c r="C150" i="31"/>
  <c r="G26" i="58"/>
  <c r="E52" i="58" s="1"/>
  <c r="G87" i="58"/>
  <c r="L53" i="26"/>
  <c r="L50" i="31"/>
  <c r="J121" i="31"/>
  <c r="L13" i="28"/>
  <c r="K157" i="31" s="1"/>
  <c r="K13" i="28"/>
  <c r="J157" i="31" s="1"/>
  <c r="G80" i="58"/>
  <c r="E34" i="31"/>
  <c r="N20" i="27"/>
  <c r="K86" i="58" l="1"/>
  <c r="J86" i="58"/>
  <c r="J17" i="58" s="1"/>
  <c r="F52" i="28"/>
  <c r="F16" i="28"/>
  <c r="E159" i="31" s="1"/>
  <c r="E156" i="31"/>
  <c r="D156" i="31"/>
  <c r="E16" i="28"/>
  <c r="D159" i="31" s="1"/>
  <c r="E52" i="28"/>
  <c r="F18" i="58"/>
  <c r="F89" i="58"/>
  <c r="F8" i="58" s="1"/>
  <c r="F11" i="58" s="1"/>
  <c r="F12" i="58" s="1"/>
  <c r="I5" i="32"/>
  <c r="I9" i="32" s="1"/>
  <c r="I11" i="32" s="1"/>
  <c r="E6" i="28"/>
  <c r="C26" i="58"/>
  <c r="J84" i="48"/>
  <c r="J382" i="48" s="1"/>
  <c r="J388" i="48"/>
  <c r="J406" i="48"/>
  <c r="O51" i="26"/>
  <c r="Q134" i="46"/>
  <c r="Q135" i="46" s="1"/>
  <c r="H58" i="58"/>
  <c r="E49" i="58"/>
  <c r="I32" i="58"/>
  <c r="M33" i="58"/>
  <c r="K32" i="58"/>
  <c r="I33" i="58"/>
  <c r="F33" i="58"/>
  <c r="J32" i="58"/>
  <c r="J37" i="58"/>
  <c r="F34" i="58"/>
  <c r="L49" i="58"/>
  <c r="K51" i="58"/>
  <c r="L38" i="58"/>
  <c r="F51" i="58"/>
  <c r="F39" i="58"/>
  <c r="J33" i="58"/>
  <c r="L32" i="58"/>
  <c r="L60" i="58"/>
  <c r="H24" i="58"/>
  <c r="H49" i="58"/>
  <c r="L33" i="58"/>
  <c r="F49" i="58"/>
  <c r="K33" i="58"/>
  <c r="K60" i="58"/>
  <c r="J60" i="58"/>
  <c r="E39" i="58"/>
  <c r="H38" i="58"/>
  <c r="K58" i="58"/>
  <c r="E38" i="58"/>
  <c r="H13" i="32"/>
  <c r="H42" i="32" s="1"/>
  <c r="C32" i="32" s="1"/>
  <c r="H32" i="32" s="1"/>
  <c r="E61" i="58"/>
  <c r="K38" i="58"/>
  <c r="M60" i="58"/>
  <c r="E58" i="58"/>
  <c r="I60" i="58"/>
  <c r="E50" i="58"/>
  <c r="J51" i="58"/>
  <c r="G33" i="58"/>
  <c r="E51" i="58"/>
  <c r="I51" i="58"/>
  <c r="J49" i="58"/>
  <c r="F58" i="58"/>
  <c r="L37" i="58"/>
  <c r="I58" i="58"/>
  <c r="J58" i="58"/>
  <c r="H60" i="58"/>
  <c r="F37" i="58"/>
  <c r="L51" i="58"/>
  <c r="G32" i="58"/>
  <c r="G51" i="58"/>
  <c r="G49" i="58"/>
  <c r="K37" i="58"/>
  <c r="J38" i="58"/>
  <c r="F38" i="58"/>
  <c r="F60" i="58"/>
  <c r="M38" i="58"/>
  <c r="M51" i="58"/>
  <c r="K49" i="58"/>
  <c r="M32" i="58"/>
  <c r="I49" i="58"/>
  <c r="F32" i="58"/>
  <c r="I38" i="58"/>
  <c r="G38" i="58"/>
  <c r="G58" i="58"/>
  <c r="M58" i="58"/>
  <c r="G37" i="58"/>
  <c r="G60" i="58"/>
  <c r="E33" i="58"/>
  <c r="H51" i="58"/>
  <c r="M49" i="58"/>
  <c r="H33" i="58"/>
  <c r="H32" i="58"/>
  <c r="E32" i="58"/>
  <c r="I37" i="58"/>
  <c r="E60" i="58"/>
  <c r="L58" i="58"/>
  <c r="H25" i="58"/>
  <c r="E37" i="58"/>
  <c r="F61" i="58"/>
  <c r="K188" i="31"/>
  <c r="R115" i="1"/>
  <c r="N10" i="57"/>
  <c r="N11" i="57" s="1"/>
  <c r="O52" i="18"/>
  <c r="O54" i="18" s="1"/>
  <c r="O55" i="18" s="1"/>
  <c r="O44" i="18"/>
  <c r="H187" i="31"/>
  <c r="H189" i="31"/>
  <c r="N71" i="18"/>
  <c r="F25" i="31"/>
  <c r="G18" i="58"/>
  <c r="G89" i="58"/>
  <c r="G8" i="58" s="1"/>
  <c r="G11" i="58" s="1"/>
  <c r="G12" i="58" s="1"/>
  <c r="P52" i="18"/>
  <c r="P54" i="18" s="1"/>
  <c r="P55" i="18" s="1"/>
  <c r="P44" i="18"/>
  <c r="J85" i="48"/>
  <c r="J83" i="48"/>
  <c r="J381" i="48" s="1"/>
  <c r="J408" i="48" s="1"/>
  <c r="J82" i="48"/>
  <c r="J380" i="48" s="1"/>
  <c r="J389" i="48"/>
  <c r="G34" i="58"/>
  <c r="G39" i="58"/>
  <c r="G113" i="58"/>
  <c r="H18" i="58"/>
  <c r="H89" i="58"/>
  <c r="H8" i="58" s="1"/>
  <c r="H11" i="58" s="1"/>
  <c r="H12" i="58" s="1"/>
  <c r="I87" i="58"/>
  <c r="N53" i="26"/>
  <c r="K63" i="31"/>
  <c r="K68" i="31" s="1"/>
  <c r="I139" i="31"/>
  <c r="I144" i="31" s="1"/>
  <c r="J28" i="28"/>
  <c r="N64" i="27"/>
  <c r="R126" i="45"/>
  <c r="R35" i="45" s="1"/>
  <c r="R55" i="45" s="1"/>
  <c r="R56" i="45" s="1"/>
  <c r="Q126" i="45"/>
  <c r="Q35" i="45" s="1"/>
  <c r="Q55" i="45" s="1"/>
  <c r="Q56" i="45" s="1"/>
  <c r="Q115" i="1"/>
  <c r="J188" i="31"/>
  <c r="M10" i="57"/>
  <c r="M11" i="57" s="1"/>
  <c r="M20" i="27"/>
  <c r="O231" i="1"/>
  <c r="K5" i="32"/>
  <c r="K9" i="32" s="1"/>
  <c r="K11" i="32" s="1"/>
  <c r="G6" i="28"/>
  <c r="O35" i="26"/>
  <c r="O36" i="26" s="1"/>
  <c r="H97" i="31"/>
  <c r="H101" i="31" s="1"/>
  <c r="H102" i="31" s="1"/>
  <c r="H103" i="31" s="1"/>
  <c r="K17" i="58"/>
  <c r="P22" i="26"/>
  <c r="P21" i="46"/>
  <c r="P34" i="46" s="1"/>
  <c r="P35" i="46" s="1"/>
  <c r="AK147" i="46"/>
  <c r="E34" i="58"/>
  <c r="M71" i="18"/>
  <c r="H38" i="28"/>
  <c r="H39" i="28" s="1"/>
  <c r="G173" i="31"/>
  <c r="G177" i="31" s="1"/>
  <c r="G178" i="31" s="1"/>
  <c r="G34" i="31"/>
  <c r="I80" i="58"/>
  <c r="H113" i="58"/>
  <c r="H39" i="58"/>
  <c r="H34" i="58"/>
  <c r="H61" i="58"/>
  <c r="H52" i="58"/>
  <c r="R134" i="46"/>
  <c r="J64" i="28"/>
  <c r="J68" i="28" s="1"/>
  <c r="P33" i="1"/>
  <c r="J5" i="32"/>
  <c r="J9" i="32" s="1"/>
  <c r="J11" i="32" s="1"/>
  <c r="F6" i="28"/>
  <c r="S132" i="46"/>
  <c r="S131" i="46"/>
  <c r="S112" i="1" s="1"/>
  <c r="K48" i="31"/>
  <c r="I119" i="31"/>
  <c r="I102" i="58"/>
  <c r="I104" i="58" s="1"/>
  <c r="I9" i="58" s="1"/>
  <c r="I111" i="58"/>
  <c r="H71" i="32"/>
  <c r="H57" i="32"/>
  <c r="E59" i="58"/>
  <c r="Q52" i="18"/>
  <c r="Q54" i="18" s="1"/>
  <c r="Q55" i="18" s="1"/>
  <c r="Q44" i="18"/>
  <c r="I28" i="28"/>
  <c r="H139" i="31"/>
  <c r="H144" i="31" s="1"/>
  <c r="J63" i="31"/>
  <c r="J68" i="31" s="1"/>
  <c r="M64" i="27"/>
  <c r="I64" i="28"/>
  <c r="O33" i="1"/>
  <c r="E25" i="31"/>
  <c r="H49" i="28"/>
  <c r="N40" i="26"/>
  <c r="N42" i="26" s="1"/>
  <c r="G106" i="31" s="1"/>
  <c r="N37" i="26"/>
  <c r="G18" i="31"/>
  <c r="G19" i="31" s="1"/>
  <c r="G52" i="58"/>
  <c r="G61" i="58"/>
  <c r="H37" i="58"/>
  <c r="M37" i="58"/>
  <c r="G156" i="31"/>
  <c r="H16" i="28"/>
  <c r="G159" i="31" s="1"/>
  <c r="H52" i="28"/>
  <c r="H50" i="58"/>
  <c r="H81" i="58"/>
  <c r="H59" i="58"/>
  <c r="H8" i="28"/>
  <c r="G152" i="31" s="1"/>
  <c r="G104" i="31"/>
  <c r="S125" i="45"/>
  <c r="S126" i="45" s="1"/>
  <c r="S35" i="45" s="1"/>
  <c r="S55" i="45" s="1"/>
  <c r="S56" i="45" s="1"/>
  <c r="F52" i="58"/>
  <c r="J87" i="58" l="1"/>
  <c r="J18" i="58" s="1"/>
  <c r="J57" i="58" s="1"/>
  <c r="H72" i="32"/>
  <c r="H61" i="32" s="1"/>
  <c r="H67" i="32"/>
  <c r="F19" i="58"/>
  <c r="F57" i="58"/>
  <c r="F78" i="58"/>
  <c r="D28" i="31"/>
  <c r="E10" i="28"/>
  <c r="D154" i="31" s="1"/>
  <c r="D150" i="31"/>
  <c r="I12" i="32"/>
  <c r="I55" i="32"/>
  <c r="E28" i="31"/>
  <c r="G78" i="58"/>
  <c r="O53" i="26"/>
  <c r="E62" i="58"/>
  <c r="S134" i="46"/>
  <c r="S135" i="46" s="1"/>
  <c r="E35" i="58"/>
  <c r="C32" i="58"/>
  <c r="F35" i="58"/>
  <c r="C37" i="58"/>
  <c r="C38" i="58"/>
  <c r="C33" i="58"/>
  <c r="H53" i="58"/>
  <c r="H40" i="58"/>
  <c r="G40" i="58"/>
  <c r="G35" i="58"/>
  <c r="H35" i="58"/>
  <c r="E53" i="58"/>
  <c r="F40" i="58"/>
  <c r="H44" i="32"/>
  <c r="E40" i="58"/>
  <c r="H41" i="32"/>
  <c r="H43" i="32" s="1"/>
  <c r="I34" i="58"/>
  <c r="I113" i="58"/>
  <c r="I39" i="58"/>
  <c r="R52" i="26"/>
  <c r="M86" i="58" s="1"/>
  <c r="R57" i="45"/>
  <c r="H57" i="58"/>
  <c r="H62" i="58" s="1"/>
  <c r="H19" i="58"/>
  <c r="J48" i="31"/>
  <c r="H119" i="31"/>
  <c r="J12" i="28"/>
  <c r="I12" i="28"/>
  <c r="J409" i="48"/>
  <c r="J383" i="48"/>
  <c r="G57" i="58"/>
  <c r="G19" i="58"/>
  <c r="I78" i="58"/>
  <c r="G28" i="31"/>
  <c r="I59" i="28"/>
  <c r="H169" i="31"/>
  <c r="I29" i="28"/>
  <c r="I52" i="58"/>
  <c r="I61" i="58"/>
  <c r="P51" i="26"/>
  <c r="P36" i="46"/>
  <c r="I49" i="28"/>
  <c r="O37" i="26"/>
  <c r="H18" i="31"/>
  <c r="H19" i="31" s="1"/>
  <c r="J59" i="28"/>
  <c r="I169" i="31"/>
  <c r="J29" i="28"/>
  <c r="R135" i="46"/>
  <c r="O10" i="57"/>
  <c r="O11" i="57" s="1"/>
  <c r="S115" i="1"/>
  <c r="S52" i="26"/>
  <c r="S57" i="45"/>
  <c r="E150" i="31"/>
  <c r="F10" i="28"/>
  <c r="E154" i="31" s="1"/>
  <c r="P35" i="26"/>
  <c r="P36" i="26" s="1"/>
  <c r="I97" i="31"/>
  <c r="I101" i="31" s="1"/>
  <c r="I102" i="31" s="1"/>
  <c r="I103" i="31" s="1"/>
  <c r="P231" i="1"/>
  <c r="I187" i="31"/>
  <c r="O57" i="27"/>
  <c r="O73" i="18"/>
  <c r="O65" i="18"/>
  <c r="O69" i="18"/>
  <c r="O62" i="18"/>
  <c r="O63" i="18"/>
  <c r="O61" i="18"/>
  <c r="O70" i="18"/>
  <c r="O58" i="18"/>
  <c r="O60" i="18"/>
  <c r="O67" i="18"/>
  <c r="O68" i="18"/>
  <c r="O59" i="18"/>
  <c r="O66" i="18"/>
  <c r="O64" i="18"/>
  <c r="Q22" i="26"/>
  <c r="J187" i="31" s="1"/>
  <c r="Q21" i="46"/>
  <c r="Q34" i="46" s="1"/>
  <c r="Q35" i="46" s="1"/>
  <c r="J48" i="58"/>
  <c r="Q73" i="18"/>
  <c r="Q66" i="18"/>
  <c r="Q59" i="18"/>
  <c r="Q69" i="18"/>
  <c r="Q62" i="18"/>
  <c r="Q67" i="18"/>
  <c r="Q68" i="18"/>
  <c r="Q63" i="18"/>
  <c r="Q70" i="18"/>
  <c r="Q57" i="27"/>
  <c r="Q61" i="18"/>
  <c r="Q65" i="18"/>
  <c r="Q64" i="18"/>
  <c r="Q60" i="18"/>
  <c r="Q58" i="18"/>
  <c r="J55" i="32"/>
  <c r="J12" i="32"/>
  <c r="J49" i="32" s="1"/>
  <c r="L5" i="32"/>
  <c r="L9" i="32" s="1"/>
  <c r="L11" i="32" s="1"/>
  <c r="H6" i="28"/>
  <c r="I33" i="28"/>
  <c r="J95" i="58"/>
  <c r="H21" i="31"/>
  <c r="O40" i="1"/>
  <c r="O38" i="26" s="1"/>
  <c r="O40" i="26" s="1"/>
  <c r="O42" i="26" s="1"/>
  <c r="H106" i="31" s="1"/>
  <c r="H29" i="31"/>
  <c r="I54" i="28"/>
  <c r="I74" i="31" s="1"/>
  <c r="I77" i="31" s="1"/>
  <c r="K48" i="58"/>
  <c r="F150" i="31"/>
  <c r="G10" i="28"/>
  <c r="F154" i="31" s="1"/>
  <c r="J189" i="31"/>
  <c r="P65" i="18"/>
  <c r="P64" i="18"/>
  <c r="P73" i="18"/>
  <c r="P58" i="18"/>
  <c r="P67" i="18"/>
  <c r="P68" i="18"/>
  <c r="P69" i="18"/>
  <c r="P60" i="18"/>
  <c r="P61" i="18"/>
  <c r="P57" i="27"/>
  <c r="P70" i="18"/>
  <c r="P63" i="18"/>
  <c r="P62" i="18"/>
  <c r="P59" i="18"/>
  <c r="P66" i="18"/>
  <c r="P20" i="27"/>
  <c r="Q57" i="45"/>
  <c r="Q52" i="26"/>
  <c r="G25" i="31"/>
  <c r="I68" i="28"/>
  <c r="H60" i="32"/>
  <c r="H66" i="32"/>
  <c r="J33" i="28"/>
  <c r="P40" i="1"/>
  <c r="P38" i="26" s="1"/>
  <c r="I21" i="31"/>
  <c r="K95" i="58"/>
  <c r="I29" i="31"/>
  <c r="J54" i="28"/>
  <c r="J74" i="31" s="1"/>
  <c r="J77" i="31" s="1"/>
  <c r="K55" i="32"/>
  <c r="K12" i="32"/>
  <c r="K49" i="32" s="1"/>
  <c r="O20" i="27"/>
  <c r="I18" i="58"/>
  <c r="I89" i="58"/>
  <c r="I8" i="58" s="1"/>
  <c r="I11" i="58" s="1"/>
  <c r="I12" i="58" s="1"/>
  <c r="K189" i="31"/>
  <c r="J89" i="58" l="1"/>
  <c r="J8" i="58" s="1"/>
  <c r="H62" i="32"/>
  <c r="H68" i="32"/>
  <c r="I65" i="32" s="1"/>
  <c r="L86" i="58"/>
  <c r="H14" i="32"/>
  <c r="H15" i="32" s="1"/>
  <c r="H51" i="32" s="1"/>
  <c r="H52" i="32" s="1"/>
  <c r="I48" i="32" s="1"/>
  <c r="I31" i="32"/>
  <c r="I32" i="32"/>
  <c r="H45" i="32"/>
  <c r="I49" i="32"/>
  <c r="I13" i="32"/>
  <c r="I42" i="32" s="1"/>
  <c r="C33" i="32" s="1"/>
  <c r="I57" i="32"/>
  <c r="I71" i="32"/>
  <c r="F81" i="58"/>
  <c r="F59" i="58"/>
  <c r="F62" i="58" s="1"/>
  <c r="F50" i="58"/>
  <c r="F53" i="58" s="1"/>
  <c r="F54" i="58" s="1"/>
  <c r="G59" i="58"/>
  <c r="G62" i="58" s="1"/>
  <c r="G50" i="58"/>
  <c r="G53" i="58" s="1"/>
  <c r="G54" i="58" s="1"/>
  <c r="G81" i="58"/>
  <c r="E65" i="58"/>
  <c r="J19" i="58"/>
  <c r="E63" i="58"/>
  <c r="H73" i="32"/>
  <c r="I70" i="32" s="1"/>
  <c r="H63" i="32"/>
  <c r="H54" i="58"/>
  <c r="F41" i="58"/>
  <c r="Q231" i="1"/>
  <c r="G41" i="58"/>
  <c r="E54" i="58"/>
  <c r="I40" i="58"/>
  <c r="I35" i="58"/>
  <c r="H41" i="58"/>
  <c r="E41" i="58"/>
  <c r="I173" i="31"/>
  <c r="I177" i="31" s="1"/>
  <c r="I178" i="31" s="1"/>
  <c r="J38" i="28"/>
  <c r="J39" i="28" s="1"/>
  <c r="L12" i="32"/>
  <c r="L49" i="32" s="1"/>
  <c r="L55" i="32"/>
  <c r="J49" i="28"/>
  <c r="P40" i="26"/>
  <c r="P42" i="26" s="1"/>
  <c r="I106" i="31" s="1"/>
  <c r="P37" i="26"/>
  <c r="I18" i="31"/>
  <c r="I19" i="31" s="1"/>
  <c r="I34" i="31"/>
  <c r="K80" i="58"/>
  <c r="H63" i="58"/>
  <c r="H65" i="58"/>
  <c r="S22" i="26"/>
  <c r="S35" i="26" s="1"/>
  <c r="S36" i="26" s="1"/>
  <c r="S21" i="46"/>
  <c r="S34" i="46" s="1"/>
  <c r="S35" i="46" s="1"/>
  <c r="K57" i="32"/>
  <c r="K71" i="32"/>
  <c r="Q64" i="27"/>
  <c r="M28" i="28"/>
  <c r="Q35" i="26"/>
  <c r="Q36" i="26" s="1"/>
  <c r="J97" i="31"/>
  <c r="J101" i="31" s="1"/>
  <c r="J102" i="31" s="1"/>
  <c r="J103" i="31" s="1"/>
  <c r="K64" i="28"/>
  <c r="Q33" i="1"/>
  <c r="M17" i="58"/>
  <c r="K13" i="32"/>
  <c r="H104" i="31"/>
  <c r="I8" i="28"/>
  <c r="H152" i="31" s="1"/>
  <c r="J13" i="32"/>
  <c r="M64" i="28"/>
  <c r="M68" i="28" s="1"/>
  <c r="S33" i="1"/>
  <c r="O71" i="18"/>
  <c r="J139" i="31"/>
  <c r="J144" i="31" s="1"/>
  <c r="L63" i="31"/>
  <c r="L68" i="31" s="1"/>
  <c r="K28" i="28"/>
  <c r="O64" i="27"/>
  <c r="Q20" i="27"/>
  <c r="J80" i="58"/>
  <c r="H34" i="31"/>
  <c r="K119" i="31"/>
  <c r="M48" i="31"/>
  <c r="L17" i="58"/>
  <c r="J71" i="32"/>
  <c r="J57" i="32"/>
  <c r="H25" i="31"/>
  <c r="M5" i="32"/>
  <c r="M9" i="32" s="1"/>
  <c r="M11" i="32" s="1"/>
  <c r="I6" i="28"/>
  <c r="P71" i="18"/>
  <c r="J111" i="58"/>
  <c r="J102" i="58"/>
  <c r="J104" i="58" s="1"/>
  <c r="J9" i="58" s="1"/>
  <c r="J11" i="58" s="1"/>
  <c r="J12" i="58" s="1"/>
  <c r="Q71" i="18"/>
  <c r="R21" i="46"/>
  <c r="R34" i="46" s="1"/>
  <c r="R35" i="46" s="1"/>
  <c r="R22" i="26"/>
  <c r="I50" i="58"/>
  <c r="I53" i="58" s="1"/>
  <c r="I81" i="58"/>
  <c r="I59" i="58"/>
  <c r="I52" i="28"/>
  <c r="I16" i="28"/>
  <c r="H159" i="31" s="1"/>
  <c r="H156" i="31"/>
  <c r="Q51" i="26"/>
  <c r="Q36" i="46"/>
  <c r="I57" i="58"/>
  <c r="I19" i="58"/>
  <c r="I30" i="32"/>
  <c r="I29" i="32"/>
  <c r="I25" i="32"/>
  <c r="I33" i="32"/>
  <c r="I26" i="32"/>
  <c r="I28" i="32"/>
  <c r="H16" i="32"/>
  <c r="H17" i="32" s="1"/>
  <c r="H19" i="32" s="1"/>
  <c r="I27" i="32"/>
  <c r="R33" i="1"/>
  <c r="L64" i="28"/>
  <c r="L68" i="28" s="1"/>
  <c r="I38" i="28"/>
  <c r="I39" i="28" s="1"/>
  <c r="H173" i="31"/>
  <c r="H177" i="31" s="1"/>
  <c r="H178" i="31" s="1"/>
  <c r="K87" i="58"/>
  <c r="P53" i="26"/>
  <c r="K111" i="58"/>
  <c r="K102" i="58"/>
  <c r="K104" i="58" s="1"/>
  <c r="K9" i="58" s="1"/>
  <c r="L48" i="31"/>
  <c r="J119" i="31"/>
  <c r="L12" i="28"/>
  <c r="K12" i="28"/>
  <c r="I104" i="31"/>
  <c r="J8" i="28"/>
  <c r="I152" i="31" s="1"/>
  <c r="K139" i="31"/>
  <c r="K144" i="31" s="1"/>
  <c r="L28" i="28"/>
  <c r="P64" i="27"/>
  <c r="M63" i="31"/>
  <c r="M68" i="31" s="1"/>
  <c r="G150" i="31"/>
  <c r="H10" i="28"/>
  <c r="G154" i="31" s="1"/>
  <c r="J52" i="28"/>
  <c r="J16" i="28"/>
  <c r="I159" i="31" s="1"/>
  <c r="I156" i="31"/>
  <c r="C87" i="32" l="1"/>
  <c r="R87" i="32" s="1"/>
  <c r="I67" i="32"/>
  <c r="I50" i="32"/>
  <c r="G65" i="58"/>
  <c r="G66" i="58" s="1"/>
  <c r="G63" i="58"/>
  <c r="F63" i="58"/>
  <c r="F65" i="58"/>
  <c r="F66" i="58" s="1"/>
  <c r="I66" i="32"/>
  <c r="I60" i="32"/>
  <c r="E66" i="58"/>
  <c r="H100" i="32"/>
  <c r="H106" i="32"/>
  <c r="I62" i="58"/>
  <c r="I63" i="58" s="1"/>
  <c r="I41" i="58"/>
  <c r="I54" i="58"/>
  <c r="H66" i="58"/>
  <c r="S231" i="1"/>
  <c r="L33" i="28"/>
  <c r="K21" i="31"/>
  <c r="K29" i="31"/>
  <c r="L54" i="28"/>
  <c r="L74" i="31" s="1"/>
  <c r="L77" i="31" s="1"/>
  <c r="R40" i="1"/>
  <c r="R38" i="26" s="1"/>
  <c r="M95" i="58"/>
  <c r="K78" i="58"/>
  <c r="I28" i="31"/>
  <c r="K49" i="28"/>
  <c r="Q37" i="26"/>
  <c r="J18" i="31"/>
  <c r="J19" i="31" s="1"/>
  <c r="L57" i="32"/>
  <c r="L71" i="32"/>
  <c r="K34" i="58"/>
  <c r="K35" i="58" s="1"/>
  <c r="K113" i="58"/>
  <c r="K39" i="58"/>
  <c r="K40" i="58" s="1"/>
  <c r="J66" i="32"/>
  <c r="J60" i="32"/>
  <c r="Q53" i="26"/>
  <c r="L87" i="58"/>
  <c r="R35" i="26"/>
  <c r="R36" i="26" s="1"/>
  <c r="K97" i="31"/>
  <c r="K101" i="31" s="1"/>
  <c r="K102" i="31" s="1"/>
  <c r="K103" i="31" s="1"/>
  <c r="K187" i="31"/>
  <c r="R231" i="1"/>
  <c r="I10" i="28"/>
  <c r="H154" i="31" s="1"/>
  <c r="H150" i="31"/>
  <c r="L48" i="58"/>
  <c r="M12" i="28"/>
  <c r="K59" i="28"/>
  <c r="K29" i="28"/>
  <c r="J169" i="31"/>
  <c r="M29" i="28"/>
  <c r="M59" i="28"/>
  <c r="K156" i="31"/>
  <c r="L52" i="28"/>
  <c r="L16" i="28"/>
  <c r="K159" i="31" s="1"/>
  <c r="R36" i="46"/>
  <c r="R51" i="26"/>
  <c r="M55" i="32"/>
  <c r="M12" i="32"/>
  <c r="M49" i="32" s="1"/>
  <c r="K42" i="32"/>
  <c r="C35" i="32" s="1"/>
  <c r="K61" i="58"/>
  <c r="K52" i="58"/>
  <c r="L13" i="32"/>
  <c r="J42" i="32"/>
  <c r="C34" i="32" s="1"/>
  <c r="K18" i="58"/>
  <c r="K89" i="58"/>
  <c r="K8" i="58" s="1"/>
  <c r="K11" i="58" s="1"/>
  <c r="K12" i="58" s="1"/>
  <c r="M48" i="58"/>
  <c r="K52" i="28"/>
  <c r="J156" i="31"/>
  <c r="K16" i="28"/>
  <c r="J159" i="31" s="1"/>
  <c r="C88" i="32"/>
  <c r="R88" i="32" s="1"/>
  <c r="K66" i="32"/>
  <c r="K60" i="32"/>
  <c r="I25" i="31"/>
  <c r="L59" i="28"/>
  <c r="K169" i="31"/>
  <c r="L29" i="28"/>
  <c r="I41" i="32"/>
  <c r="I43" i="32" s="1"/>
  <c r="J78" i="58"/>
  <c r="H28" i="31"/>
  <c r="J39" i="58"/>
  <c r="J34" i="58"/>
  <c r="J113" i="58"/>
  <c r="H101" i="32"/>
  <c r="H107" i="32" s="1"/>
  <c r="J52" i="58"/>
  <c r="J61" i="58"/>
  <c r="M33" i="28"/>
  <c r="M38" i="28" s="1"/>
  <c r="M54" i="28"/>
  <c r="M74" i="31" s="1"/>
  <c r="M77" i="31" s="1"/>
  <c r="S40" i="1"/>
  <c r="S38" i="26" s="1"/>
  <c r="M8" i="28" s="1"/>
  <c r="K33" i="28"/>
  <c r="Q40" i="1"/>
  <c r="Q38" i="26" s="1"/>
  <c r="J29" i="31"/>
  <c r="J21" i="31"/>
  <c r="K54" i="28"/>
  <c r="K74" i="31" s="1"/>
  <c r="K77" i="31" s="1"/>
  <c r="L95" i="58"/>
  <c r="S51" i="26"/>
  <c r="S53" i="26" s="1"/>
  <c r="S36" i="46"/>
  <c r="K68" i="28"/>
  <c r="M49" i="28"/>
  <c r="S37" i="26"/>
  <c r="J6" i="28"/>
  <c r="N5" i="32"/>
  <c r="N9" i="32" s="1"/>
  <c r="N11" i="32" s="1"/>
  <c r="G87" i="32" l="1"/>
  <c r="G97" i="32" s="1"/>
  <c r="I87" i="32"/>
  <c r="M87" i="32"/>
  <c r="Q87" i="32"/>
  <c r="L87" i="32"/>
  <c r="J87" i="32"/>
  <c r="K87" i="32"/>
  <c r="P87" i="32"/>
  <c r="O87" i="32"/>
  <c r="H87" i="32"/>
  <c r="N87" i="32"/>
  <c r="I68" i="32"/>
  <c r="J65" i="32" s="1"/>
  <c r="I72" i="32"/>
  <c r="I73" i="32" s="1"/>
  <c r="J70" i="32" s="1"/>
  <c r="I61" i="32"/>
  <c r="I62" i="32" s="1"/>
  <c r="I63" i="32" s="1"/>
  <c r="H108" i="32"/>
  <c r="J43" i="26" s="1"/>
  <c r="K41" i="58"/>
  <c r="I65" i="58"/>
  <c r="I66" i="58" s="1"/>
  <c r="J40" i="58"/>
  <c r="J35" i="58"/>
  <c r="M39" i="28"/>
  <c r="J104" i="31"/>
  <c r="K8" i="28"/>
  <c r="J152" i="31" s="1"/>
  <c r="L80" i="58"/>
  <c r="J34" i="31"/>
  <c r="M111" i="58"/>
  <c r="M102" i="58"/>
  <c r="M104" i="58" s="1"/>
  <c r="M9" i="58" s="1"/>
  <c r="J28" i="31"/>
  <c r="L78" i="58"/>
  <c r="K57" i="58"/>
  <c r="K19" i="58"/>
  <c r="M87" i="58"/>
  <c r="R53" i="26"/>
  <c r="K28" i="31"/>
  <c r="M78" i="58"/>
  <c r="L18" i="58"/>
  <c r="L89" i="58"/>
  <c r="L8" i="58" s="1"/>
  <c r="M57" i="32"/>
  <c r="M71" i="32"/>
  <c r="J25" i="31"/>
  <c r="N88" i="32"/>
  <c r="P88" i="32"/>
  <c r="M88" i="32"/>
  <c r="J88" i="32"/>
  <c r="H88" i="32"/>
  <c r="H97" i="32" s="1"/>
  <c r="G103" i="32" s="1"/>
  <c r="O88" i="32"/>
  <c r="I88" i="32"/>
  <c r="L88" i="32"/>
  <c r="Q88" i="32"/>
  <c r="K88" i="32"/>
  <c r="L49" i="28"/>
  <c r="R37" i="26"/>
  <c r="R40" i="26"/>
  <c r="R42" i="26" s="1"/>
  <c r="K106" i="31" s="1"/>
  <c r="K18" i="31"/>
  <c r="K19" i="31" s="1"/>
  <c r="L111" i="58"/>
  <c r="L102" i="58"/>
  <c r="L104" i="58" s="1"/>
  <c r="L9" i="58" s="1"/>
  <c r="J81" i="58"/>
  <c r="J59" i="58"/>
  <c r="J62" i="58" s="1"/>
  <c r="J50" i="58"/>
  <c r="J53" i="58" s="1"/>
  <c r="K34" i="31"/>
  <c r="M80" i="58"/>
  <c r="L60" i="32"/>
  <c r="L66" i="32"/>
  <c r="K173" i="31"/>
  <c r="K177" i="31" s="1"/>
  <c r="K178" i="31" s="1"/>
  <c r="L38" i="28"/>
  <c r="L39" i="28" s="1"/>
  <c r="L8" i="28"/>
  <c r="K152" i="31" s="1"/>
  <c r="K104" i="31"/>
  <c r="N55" i="32"/>
  <c r="N12" i="32"/>
  <c r="N49" i="32" s="1"/>
  <c r="I150" i="31"/>
  <c r="J10" i="28"/>
  <c r="I154" i="31" s="1"/>
  <c r="L42" i="32"/>
  <c r="C36" i="32" s="1"/>
  <c r="K50" i="58"/>
  <c r="K53" i="58" s="1"/>
  <c r="K54" i="58" s="1"/>
  <c r="K81" i="58"/>
  <c r="K59" i="58"/>
  <c r="J173" i="31"/>
  <c r="J177" i="31" s="1"/>
  <c r="J178" i="31" s="1"/>
  <c r="K38" i="28"/>
  <c r="K39" i="28" s="1"/>
  <c r="M52" i="28"/>
  <c r="M16" i="28"/>
  <c r="S40" i="26"/>
  <c r="S42" i="26" s="1"/>
  <c r="I44" i="32"/>
  <c r="M13" i="32"/>
  <c r="Q40" i="26"/>
  <c r="Q42" i="26" s="1"/>
  <c r="J106" i="31" s="1"/>
  <c r="J31" i="32" l="1"/>
  <c r="J32" i="32"/>
  <c r="I14" i="32"/>
  <c r="I15" i="32" s="1"/>
  <c r="J67" i="32"/>
  <c r="D17" i="28"/>
  <c r="C160" i="31" s="1"/>
  <c r="D50" i="28"/>
  <c r="G104" i="32"/>
  <c r="J54" i="58"/>
  <c r="K62" i="58"/>
  <c r="K65" i="58" s="1"/>
  <c r="K66" i="58" s="1"/>
  <c r="J63" i="58"/>
  <c r="J65" i="58"/>
  <c r="J41" i="58"/>
  <c r="N13" i="32"/>
  <c r="N42" i="32" s="1"/>
  <c r="C38" i="32" s="1"/>
  <c r="L6" i="28"/>
  <c r="P5" i="32"/>
  <c r="P9" i="32" s="1"/>
  <c r="P11" i="32" s="1"/>
  <c r="M66" i="32"/>
  <c r="M60" i="32"/>
  <c r="L52" i="58"/>
  <c r="L61" i="58"/>
  <c r="I51" i="32"/>
  <c r="I45" i="32"/>
  <c r="K25" i="31"/>
  <c r="L11" i="58"/>
  <c r="L12" i="58" s="1"/>
  <c r="L57" i="58"/>
  <c r="L19" i="58"/>
  <c r="O5" i="32"/>
  <c r="O9" i="32" s="1"/>
  <c r="O11" i="32" s="1"/>
  <c r="K6" i="28"/>
  <c r="L113" i="58"/>
  <c r="L34" i="58"/>
  <c r="L39" i="58"/>
  <c r="M50" i="58"/>
  <c r="M59" i="58"/>
  <c r="M81" i="58"/>
  <c r="L59" i="58"/>
  <c r="L50" i="58"/>
  <c r="L81" i="58"/>
  <c r="Q5" i="32"/>
  <c r="Q9" i="32" s="1"/>
  <c r="Q11" i="32" s="1"/>
  <c r="M6" i="28"/>
  <c r="M10" i="28" s="1"/>
  <c r="C107" i="31"/>
  <c r="M61" i="58"/>
  <c r="M52" i="58"/>
  <c r="M42" i="32"/>
  <c r="C37" i="32" s="1"/>
  <c r="N57" i="32"/>
  <c r="N71" i="32"/>
  <c r="M18" i="58"/>
  <c r="M89" i="58"/>
  <c r="M8" i="58" s="1"/>
  <c r="M11" i="58" s="1"/>
  <c r="M12" i="58" s="1"/>
  <c r="M34" i="58"/>
  <c r="M35" i="58" s="1"/>
  <c r="M113" i="58"/>
  <c r="M39" i="58"/>
  <c r="M40" i="58" s="1"/>
  <c r="J68" i="32" l="1"/>
  <c r="K65" i="32" s="1"/>
  <c r="J72" i="32"/>
  <c r="J73" i="32" s="1"/>
  <c r="K70" i="32" s="1"/>
  <c r="D69" i="28"/>
  <c r="D18" i="28"/>
  <c r="C161" i="31" s="1"/>
  <c r="C179" i="31" s="1"/>
  <c r="C181" i="31" s="1"/>
  <c r="C26" i="31"/>
  <c r="C36" i="31" s="1"/>
  <c r="D73" i="31"/>
  <c r="D78" i="31" s="1"/>
  <c r="D60" i="28"/>
  <c r="H99" i="32"/>
  <c r="H102" i="32" s="1"/>
  <c r="I75" i="48"/>
  <c r="I76" i="48" s="1"/>
  <c r="L62" i="58"/>
  <c r="K63" i="58"/>
  <c r="M41" i="58"/>
  <c r="M53" i="58"/>
  <c r="M54" i="58" s="1"/>
  <c r="L40" i="58"/>
  <c r="C39" i="58"/>
  <c r="C40" i="58" s="1"/>
  <c r="J66" i="58"/>
  <c r="L35" i="58"/>
  <c r="C34" i="58"/>
  <c r="C35" i="58" s="1"/>
  <c r="L53" i="58"/>
  <c r="M57" i="58"/>
  <c r="M62" i="58" s="1"/>
  <c r="M19" i="58"/>
  <c r="N60" i="32"/>
  <c r="N66" i="32"/>
  <c r="Q12" i="32"/>
  <c r="Q49" i="32" s="1"/>
  <c r="Q55" i="32"/>
  <c r="P12" i="32"/>
  <c r="P49" i="32" s="1"/>
  <c r="P55" i="32"/>
  <c r="K10" i="28"/>
  <c r="J154" i="31" s="1"/>
  <c r="J150" i="31"/>
  <c r="K150" i="31"/>
  <c r="L10" i="28"/>
  <c r="K154" i="31" s="1"/>
  <c r="J34" i="32"/>
  <c r="I16" i="32"/>
  <c r="I17" i="32" s="1"/>
  <c r="I19" i="32" s="1"/>
  <c r="I106" i="32" s="1"/>
  <c r="J27" i="32"/>
  <c r="J30" i="32"/>
  <c r="J29" i="32"/>
  <c r="I52" i="32"/>
  <c r="J48" i="32" s="1"/>
  <c r="J50" i="32" s="1"/>
  <c r="J33" i="32"/>
  <c r="J28" i="32"/>
  <c r="J26" i="32"/>
  <c r="O55" i="32"/>
  <c r="O12" i="32"/>
  <c r="O49" i="32" s="1"/>
  <c r="J61" i="32" l="1"/>
  <c r="J62" i="32" s="1"/>
  <c r="J63" i="32" s="1"/>
  <c r="K67" i="32"/>
  <c r="K68" i="32" s="1"/>
  <c r="L65" i="32" s="1"/>
  <c r="D73" i="28"/>
  <c r="D75" i="28" s="1"/>
  <c r="D71" i="28"/>
  <c r="D40" i="28"/>
  <c r="D42" i="28" s="1"/>
  <c r="F16" i="57" s="1"/>
  <c r="D79" i="31"/>
  <c r="D80" i="31" s="1"/>
  <c r="I337" i="48"/>
  <c r="I79" i="48"/>
  <c r="I328" i="48"/>
  <c r="I77" i="48"/>
  <c r="I429" i="48"/>
  <c r="I410" i="48"/>
  <c r="I411" i="48" s="1"/>
  <c r="I86" i="48"/>
  <c r="I384" i="48" s="1"/>
  <c r="D55" i="58"/>
  <c r="I182" i="48"/>
  <c r="I180" i="48" s="1"/>
  <c r="L63" i="58"/>
  <c r="L65" i="58"/>
  <c r="L54" i="58"/>
  <c r="C41" i="58"/>
  <c r="L41" i="58"/>
  <c r="D64" i="58"/>
  <c r="Q13" i="32"/>
  <c r="Q42" i="32" s="1"/>
  <c r="P13" i="32"/>
  <c r="P42" i="32" s="1"/>
  <c r="C40" i="32" s="1"/>
  <c r="D180" i="31"/>
  <c r="O71" i="32"/>
  <c r="O57" i="32"/>
  <c r="O13" i="32"/>
  <c r="Q57" i="32"/>
  <c r="Q71" i="32"/>
  <c r="J41" i="32"/>
  <c r="J43" i="32" s="1"/>
  <c r="P57" i="32"/>
  <c r="P71" i="32"/>
  <c r="I100" i="32"/>
  <c r="C89" i="32"/>
  <c r="R89" i="32" s="1"/>
  <c r="I101" i="32"/>
  <c r="I107" i="32" s="1"/>
  <c r="I108" i="32" s="1"/>
  <c r="M65" i="58"/>
  <c r="M66" i="58" s="1"/>
  <c r="M63" i="58"/>
  <c r="K72" i="32" l="1"/>
  <c r="K73" i="32" s="1"/>
  <c r="L70" i="32" s="1"/>
  <c r="L67" i="32"/>
  <c r="E74" i="28"/>
  <c r="D44" i="28"/>
  <c r="C182" i="31"/>
  <c r="C40" i="31"/>
  <c r="F17" i="57"/>
  <c r="I220" i="48"/>
  <c r="I80" i="48"/>
  <c r="D67" i="58"/>
  <c r="I186" i="48"/>
  <c r="I353" i="48"/>
  <c r="I359" i="48"/>
  <c r="I362" i="48" s="1"/>
  <c r="I368" i="48" s="1"/>
  <c r="I369" i="48" s="1"/>
  <c r="I154" i="48"/>
  <c r="I155" i="48" s="1"/>
  <c r="I412" i="48"/>
  <c r="I87" i="48"/>
  <c r="I385" i="48" s="1"/>
  <c r="I413" i="48" s="1"/>
  <c r="L66" i="58"/>
  <c r="E50" i="28"/>
  <c r="K43" i="26"/>
  <c r="E17" i="28"/>
  <c r="O42" i="32"/>
  <c r="C39" i="32" s="1"/>
  <c r="J44" i="32"/>
  <c r="K32" i="32" s="1"/>
  <c r="O60" i="32"/>
  <c r="O66" i="32"/>
  <c r="N89" i="32"/>
  <c r="I89" i="32"/>
  <c r="I97" i="32" s="1"/>
  <c r="H103" i="32" s="1"/>
  <c r="L89" i="32"/>
  <c r="O89" i="32"/>
  <c r="J89" i="32"/>
  <c r="K89" i="32"/>
  <c r="Q89" i="32"/>
  <c r="P89" i="32"/>
  <c r="M89" i="32"/>
  <c r="Q66" i="32"/>
  <c r="Q60" i="32"/>
  <c r="P60" i="32"/>
  <c r="P66" i="32"/>
  <c r="K61" i="32" l="1"/>
  <c r="K62" i="32" s="1"/>
  <c r="K63" i="32" s="1"/>
  <c r="L72" i="32"/>
  <c r="J14" i="32"/>
  <c r="J15" i="32" s="1"/>
  <c r="J51" i="32" s="1"/>
  <c r="K31" i="32"/>
  <c r="L68" i="32"/>
  <c r="L61" i="32"/>
  <c r="L62" i="32" s="1"/>
  <c r="E41" i="28"/>
  <c r="H24" i="27"/>
  <c r="J44" i="26"/>
  <c r="H104" i="32"/>
  <c r="J124" i="1" s="1"/>
  <c r="J126" i="1" s="1"/>
  <c r="H15" i="27" s="1"/>
  <c r="I300" i="48"/>
  <c r="I282" i="48"/>
  <c r="I211" i="48"/>
  <c r="I396" i="48"/>
  <c r="I426" i="48" s="1"/>
  <c r="I291" i="48"/>
  <c r="I293" i="48" s="1"/>
  <c r="I294" i="48" s="1"/>
  <c r="I306" i="48" s="1"/>
  <c r="I316" i="48" s="1"/>
  <c r="I214" i="48"/>
  <c r="I428" i="48" s="1"/>
  <c r="I156" i="48"/>
  <c r="I213" i="48"/>
  <c r="I244" i="48"/>
  <c r="I339" i="48"/>
  <c r="I345" i="48" s="1"/>
  <c r="I365" i="48" s="1"/>
  <c r="I331" i="48"/>
  <c r="I335" i="48" s="1"/>
  <c r="I221" i="48"/>
  <c r="I223" i="48" s="1"/>
  <c r="J219" i="48" s="1"/>
  <c r="M65" i="32"/>
  <c r="D160" i="31"/>
  <c r="E18" i="28"/>
  <c r="D107" i="31"/>
  <c r="J45" i="32"/>
  <c r="D26" i="31"/>
  <c r="D36" i="31" s="1"/>
  <c r="E60" i="28"/>
  <c r="E69" i="28"/>
  <c r="E73" i="31"/>
  <c r="E51" i="31" l="1"/>
  <c r="M67" i="32"/>
  <c r="M68" i="32" s="1"/>
  <c r="L73" i="32"/>
  <c r="M70" i="32" s="1"/>
  <c r="L63" i="32"/>
  <c r="C117" i="31"/>
  <c r="C118" i="31" s="1"/>
  <c r="J200" i="48"/>
  <c r="J203" i="48" s="1"/>
  <c r="E46" i="31"/>
  <c r="E47" i="31" s="1"/>
  <c r="H16" i="27"/>
  <c r="D45" i="28"/>
  <c r="D76" i="28"/>
  <c r="C122" i="31"/>
  <c r="J166" i="48"/>
  <c r="J352" i="48" s="1"/>
  <c r="I346" i="48"/>
  <c r="I364" i="48"/>
  <c r="I366" i="48" s="1"/>
  <c r="I371" i="48" s="1"/>
  <c r="I424" i="48"/>
  <c r="I394" i="48"/>
  <c r="I430" i="48"/>
  <c r="I229" i="48"/>
  <c r="I387" i="48"/>
  <c r="I423" i="48" s="1"/>
  <c r="I230" i="48"/>
  <c r="I398" i="48" s="1"/>
  <c r="I216" i="48"/>
  <c r="I287" i="48"/>
  <c r="I284" i="48"/>
  <c r="I286" i="48"/>
  <c r="I285" i="48"/>
  <c r="I228" i="48"/>
  <c r="I390" i="48"/>
  <c r="I386" i="48"/>
  <c r="I415" i="48"/>
  <c r="I416" i="48" s="1"/>
  <c r="I418" i="48" s="1"/>
  <c r="I391" i="48"/>
  <c r="I417" i="48" s="1"/>
  <c r="I227" i="48"/>
  <c r="I305" i="48"/>
  <c r="I304" i="48"/>
  <c r="I243" i="48"/>
  <c r="I99" i="32"/>
  <c r="I102" i="32" s="1"/>
  <c r="C108" i="31"/>
  <c r="C109" i="31" s="1"/>
  <c r="J45" i="26"/>
  <c r="J75" i="48"/>
  <c r="J76" i="48" s="1"/>
  <c r="I422" i="48"/>
  <c r="I421" i="48"/>
  <c r="E78" i="31"/>
  <c r="E79" i="31"/>
  <c r="E80" i="31" s="1"/>
  <c r="E73" i="28"/>
  <c r="E75" i="28" s="1"/>
  <c r="E71" i="28"/>
  <c r="D161" i="31"/>
  <c r="D179" i="31" s="1"/>
  <c r="D181" i="31" s="1"/>
  <c r="E40" i="28"/>
  <c r="E42" i="28" s="1"/>
  <c r="K35" i="32"/>
  <c r="J16" i="32"/>
  <c r="J17" i="32" s="1"/>
  <c r="J19" i="32" s="1"/>
  <c r="J106" i="32" s="1"/>
  <c r="K34" i="32"/>
  <c r="K28" i="32"/>
  <c r="K30" i="32"/>
  <c r="K27" i="32"/>
  <c r="J52" i="32"/>
  <c r="K48" i="32" s="1"/>
  <c r="K50" i="32" s="1"/>
  <c r="K29" i="32"/>
  <c r="K33" i="32"/>
  <c r="M72" i="32" l="1"/>
  <c r="M61" i="32" s="1"/>
  <c r="M62" i="32" s="1"/>
  <c r="J342" i="48"/>
  <c r="J334" i="48"/>
  <c r="J358" i="48"/>
  <c r="E55" i="31"/>
  <c r="E56" i="31" s="1"/>
  <c r="E57" i="31" s="1"/>
  <c r="C125" i="31"/>
  <c r="C126" i="31" s="1"/>
  <c r="C127" i="31" s="1"/>
  <c r="J182" i="48"/>
  <c r="J180" i="48" s="1"/>
  <c r="H32" i="27"/>
  <c r="J86" i="48"/>
  <c r="J384" i="48" s="1"/>
  <c r="J429" i="48"/>
  <c r="J410" i="48"/>
  <c r="J411" i="48" s="1"/>
  <c r="J79" i="48"/>
  <c r="J77" i="48"/>
  <c r="J337" i="48"/>
  <c r="J328" i="48"/>
  <c r="I308" i="48"/>
  <c r="I307" i="48"/>
  <c r="I314" i="48"/>
  <c r="C23" i="31"/>
  <c r="J47" i="26"/>
  <c r="J175" i="1"/>
  <c r="J177" i="1" s="1"/>
  <c r="I288" i="48"/>
  <c r="N65" i="32"/>
  <c r="K41" i="32"/>
  <c r="K43" i="32" s="1"/>
  <c r="D40" i="31"/>
  <c r="G17" i="57"/>
  <c r="E44" i="28"/>
  <c r="G16" i="57"/>
  <c r="F74" i="28"/>
  <c r="D182" i="31"/>
  <c r="E180" i="31"/>
  <c r="J100" i="32"/>
  <c r="J101" i="32"/>
  <c r="J107" i="32" s="1"/>
  <c r="J108" i="32" s="1"/>
  <c r="C90" i="32"/>
  <c r="R90" i="32" s="1"/>
  <c r="H33" i="27" l="1"/>
  <c r="N67" i="32"/>
  <c r="N68" i="32" s="1"/>
  <c r="M73" i="32"/>
  <c r="N70" i="32" s="1"/>
  <c r="M63" i="32"/>
  <c r="I309" i="48"/>
  <c r="I315" i="48"/>
  <c r="I317" i="48" s="1"/>
  <c r="I318" i="48"/>
  <c r="J353" i="48"/>
  <c r="J359" i="48"/>
  <c r="J362" i="48" s="1"/>
  <c r="J368" i="48" s="1"/>
  <c r="J369" i="48" s="1"/>
  <c r="J186" i="48"/>
  <c r="J412" i="48"/>
  <c r="J87" i="48"/>
  <c r="J385" i="48" s="1"/>
  <c r="J413" i="48" s="1"/>
  <c r="J154" i="48"/>
  <c r="J155" i="48" s="1"/>
  <c r="K174" i="1"/>
  <c r="J179" i="1"/>
  <c r="H39" i="27" s="1"/>
  <c r="J220" i="48"/>
  <c r="J80" i="48"/>
  <c r="I24" i="27"/>
  <c r="F41" i="28"/>
  <c r="K90" i="32"/>
  <c r="P90" i="32"/>
  <c r="J90" i="32"/>
  <c r="J97" i="32" s="1"/>
  <c r="I103" i="32" s="1"/>
  <c r="O90" i="32"/>
  <c r="Q90" i="32"/>
  <c r="M90" i="32"/>
  <c r="L90" i="32"/>
  <c r="N90" i="32"/>
  <c r="F50" i="28"/>
  <c r="L43" i="26"/>
  <c r="F17" i="28"/>
  <c r="K44" i="32"/>
  <c r="L32" i="32" s="1"/>
  <c r="K14" i="32" l="1"/>
  <c r="K15" i="32" s="1"/>
  <c r="K51" i="32" s="1"/>
  <c r="L31" i="32"/>
  <c r="N72" i="32"/>
  <c r="N73" i="32" s="1"/>
  <c r="O70" i="32" s="1"/>
  <c r="J211" i="48"/>
  <c r="J396" i="48"/>
  <c r="J426" i="48" s="1"/>
  <c r="J291" i="48"/>
  <c r="J293" i="48" s="1"/>
  <c r="J294" i="48" s="1"/>
  <c r="J306" i="48" s="1"/>
  <c r="J316" i="48" s="1"/>
  <c r="J282" i="48"/>
  <c r="J300" i="48"/>
  <c r="J214" i="48"/>
  <c r="J428" i="48" s="1"/>
  <c r="K44" i="26"/>
  <c r="I104" i="32"/>
  <c r="K124" i="1" s="1"/>
  <c r="K126" i="1" s="1"/>
  <c r="I15" i="27" s="1"/>
  <c r="J213" i="48"/>
  <c r="J244" i="48"/>
  <c r="J156" i="48"/>
  <c r="J331" i="48"/>
  <c r="J335" i="48" s="1"/>
  <c r="J221" i="48"/>
  <c r="J223" i="48" s="1"/>
  <c r="J339" i="48"/>
  <c r="J345" i="48" s="1"/>
  <c r="J365" i="48" s="1"/>
  <c r="C132" i="31"/>
  <c r="C133" i="31" s="1"/>
  <c r="C145" i="31" s="1"/>
  <c r="C146" i="31" s="1"/>
  <c r="H40" i="27"/>
  <c r="I319" i="48"/>
  <c r="O65" i="32"/>
  <c r="F51" i="31"/>
  <c r="D122" i="31"/>
  <c r="E76" i="28"/>
  <c r="E45" i="28"/>
  <c r="E107" i="31"/>
  <c r="E26" i="31"/>
  <c r="E36" i="31" s="1"/>
  <c r="F69" i="28"/>
  <c r="F60" i="28"/>
  <c r="F73" i="31"/>
  <c r="F18" i="28"/>
  <c r="E160" i="31"/>
  <c r="K45" i="32"/>
  <c r="N61" i="32" l="1"/>
  <c r="N62" i="32" s="1"/>
  <c r="N63" i="32" s="1"/>
  <c r="O67" i="32"/>
  <c r="D117" i="31"/>
  <c r="D118" i="31" s="1"/>
  <c r="F46" i="31"/>
  <c r="F47" i="31" s="1"/>
  <c r="I16" i="27"/>
  <c r="J243" i="48"/>
  <c r="J305" i="48"/>
  <c r="J304" i="48"/>
  <c r="J285" i="48"/>
  <c r="J284" i="48"/>
  <c r="J287" i="48"/>
  <c r="J286" i="48"/>
  <c r="J227" i="48"/>
  <c r="J415" i="48"/>
  <c r="J416" i="48" s="1"/>
  <c r="J418" i="48" s="1"/>
  <c r="J386" i="48"/>
  <c r="J391" i="48"/>
  <c r="J417" i="48" s="1"/>
  <c r="J228" i="48"/>
  <c r="J390" i="48"/>
  <c r="J99" i="32"/>
  <c r="J102" i="32" s="1"/>
  <c r="D108" i="31"/>
  <c r="D109" i="31" s="1"/>
  <c r="K45" i="26"/>
  <c r="J424" i="48"/>
  <c r="J229" i="48"/>
  <c r="J387" i="48"/>
  <c r="J423" i="48" s="1"/>
  <c r="J216" i="48"/>
  <c r="J230" i="48"/>
  <c r="J398" i="48" s="1"/>
  <c r="J394" i="48"/>
  <c r="J430" i="48"/>
  <c r="E59" i="31"/>
  <c r="E62" i="31" s="1"/>
  <c r="E69" i="31" s="1"/>
  <c r="G70" i="31" s="1"/>
  <c r="H65" i="27"/>
  <c r="J346" i="48"/>
  <c r="J364" i="48"/>
  <c r="J366" i="48" s="1"/>
  <c r="J371" i="48" s="1"/>
  <c r="J421" i="48"/>
  <c r="J422" i="48"/>
  <c r="L36" i="32"/>
  <c r="K16" i="32"/>
  <c r="K17" i="32" s="1"/>
  <c r="K19" i="32" s="1"/>
  <c r="K106" i="32" s="1"/>
  <c r="L30" i="32"/>
  <c r="K52" i="32"/>
  <c r="L48" i="32" s="1"/>
  <c r="L50" i="32" s="1"/>
  <c r="L33" i="32"/>
  <c r="L28" i="32"/>
  <c r="L29" i="32"/>
  <c r="L34" i="32"/>
  <c r="L35" i="32"/>
  <c r="F79" i="31"/>
  <c r="F80" i="31" s="1"/>
  <c r="F78" i="31"/>
  <c r="F73" i="28"/>
  <c r="F75" i="28" s="1"/>
  <c r="F71" i="28"/>
  <c r="E161" i="31"/>
  <c r="E179" i="31" s="1"/>
  <c r="E181" i="31" s="1"/>
  <c r="F40" i="28"/>
  <c r="F42" i="28" s="1"/>
  <c r="H67" i="27" l="1"/>
  <c r="O68" i="32"/>
  <c r="P65" i="32" s="1"/>
  <c r="O72" i="32"/>
  <c r="O73" i="32" s="1"/>
  <c r="P70" i="32" s="1"/>
  <c r="J288" i="48"/>
  <c r="D125" i="31"/>
  <c r="D126" i="31" s="1"/>
  <c r="D127" i="31" s="1"/>
  <c r="F55" i="31"/>
  <c r="F56" i="31" s="1"/>
  <c r="F57" i="31" s="1"/>
  <c r="I32" i="27"/>
  <c r="D23" i="31"/>
  <c r="K175" i="1"/>
  <c r="K177" i="1" s="1"/>
  <c r="K47" i="26"/>
  <c r="J307" i="48"/>
  <c r="J308" i="48"/>
  <c r="J314" i="48"/>
  <c r="G74" i="28"/>
  <c r="L41" i="32"/>
  <c r="L43" i="32" s="1"/>
  <c r="F180" i="31"/>
  <c r="E182" i="31"/>
  <c r="K100" i="32"/>
  <c r="K101" i="32"/>
  <c r="K107" i="32" s="1"/>
  <c r="K108" i="32" s="1"/>
  <c r="C91" i="32"/>
  <c r="R91" i="32" s="1"/>
  <c r="H16" i="57"/>
  <c r="F44" i="28"/>
  <c r="E40" i="31"/>
  <c r="H17" i="57"/>
  <c r="I33" i="27" l="1"/>
  <c r="O61" i="32"/>
  <c r="O62" i="32" s="1"/>
  <c r="O63" i="32" s="1"/>
  <c r="P67" i="32"/>
  <c r="J309" i="48"/>
  <c r="L174" i="1"/>
  <c r="K179" i="1"/>
  <c r="I39" i="27" s="1"/>
  <c r="J318" i="48"/>
  <c r="J315" i="48"/>
  <c r="J317" i="48" s="1"/>
  <c r="P91" i="32"/>
  <c r="M91" i="32"/>
  <c r="Q91" i="32"/>
  <c r="K91" i="32"/>
  <c r="K97" i="32" s="1"/>
  <c r="J103" i="32" s="1"/>
  <c r="N91" i="32"/>
  <c r="O91" i="32"/>
  <c r="L91" i="32"/>
  <c r="G41" i="28"/>
  <c r="J24" i="27"/>
  <c r="L44" i="32"/>
  <c r="M32" i="32" s="1"/>
  <c r="M43" i="26"/>
  <c r="G17" i="28"/>
  <c r="G50" i="28"/>
  <c r="L14" i="32" l="1"/>
  <c r="L15" i="32" s="1"/>
  <c r="L51" i="32" s="1"/>
  <c r="M31" i="32"/>
  <c r="P68" i="32"/>
  <c r="Q65" i="32" s="1"/>
  <c r="P72" i="32"/>
  <c r="P73" i="32" s="1"/>
  <c r="Q70" i="32" s="1"/>
  <c r="P61" i="32"/>
  <c r="P62" i="32" s="1"/>
  <c r="P63" i="32" s="1"/>
  <c r="J319" i="48"/>
  <c r="L44" i="26"/>
  <c r="J104" i="32"/>
  <c r="L124" i="1" s="1"/>
  <c r="L126" i="1" s="1"/>
  <c r="J15" i="27" s="1"/>
  <c r="I40" i="27"/>
  <c r="D132" i="31"/>
  <c r="D133" i="31" s="1"/>
  <c r="D145" i="31" s="1"/>
  <c r="D146" i="31" s="1"/>
  <c r="L45" i="32"/>
  <c r="G51" i="31"/>
  <c r="E122" i="31"/>
  <c r="F76" i="28"/>
  <c r="F45" i="28"/>
  <c r="F107" i="31"/>
  <c r="G18" i="28"/>
  <c r="F160" i="31"/>
  <c r="F26" i="31"/>
  <c r="F36" i="31" s="1"/>
  <c r="G73" i="31"/>
  <c r="G60" i="28"/>
  <c r="G69" i="28"/>
  <c r="Q67" i="32" l="1"/>
  <c r="Q72" i="32" s="1"/>
  <c r="Q73" i="32" s="1"/>
  <c r="E117" i="31"/>
  <c r="E118" i="31" s="1"/>
  <c r="G46" i="31"/>
  <c r="G47" i="31" s="1"/>
  <c r="J16" i="27"/>
  <c r="F59" i="31"/>
  <c r="F62" i="31" s="1"/>
  <c r="F69" i="31" s="1"/>
  <c r="H70" i="31" s="1"/>
  <c r="I65" i="27"/>
  <c r="K99" i="32"/>
  <c r="K102" i="32" s="1"/>
  <c r="E108" i="31"/>
  <c r="E109" i="31" s="1"/>
  <c r="L45" i="26"/>
  <c r="G78" i="31"/>
  <c r="G79" i="31"/>
  <c r="G80" i="31" s="1"/>
  <c r="G73" i="28"/>
  <c r="G75" i="28" s="1"/>
  <c r="G71" i="28"/>
  <c r="F161" i="31"/>
  <c r="F179" i="31" s="1"/>
  <c r="F181" i="31" s="1"/>
  <c r="G40" i="28"/>
  <c r="G42" i="28" s="1"/>
  <c r="M37" i="32"/>
  <c r="L16" i="32"/>
  <c r="L17" i="32" s="1"/>
  <c r="L19" i="32" s="1"/>
  <c r="L106" i="32" s="1"/>
  <c r="M33" i="32"/>
  <c r="M36" i="32"/>
  <c r="M30" i="32"/>
  <c r="M34" i="32"/>
  <c r="M35" i="32"/>
  <c r="L52" i="32"/>
  <c r="M48" i="32" s="1"/>
  <c r="M50" i="32" s="1"/>
  <c r="M29" i="32"/>
  <c r="I67" i="27" l="1"/>
  <c r="Q68" i="32"/>
  <c r="Q61" i="32"/>
  <c r="Q62" i="32" s="1"/>
  <c r="E125" i="31"/>
  <c r="E126" i="31" s="1"/>
  <c r="E127" i="31" s="1"/>
  <c r="G55" i="31"/>
  <c r="G56" i="31" s="1"/>
  <c r="G57" i="31" s="1"/>
  <c r="J32" i="27"/>
  <c r="Q63" i="32"/>
  <c r="L47" i="26"/>
  <c r="E23" i="31"/>
  <c r="L175" i="1"/>
  <c r="L177" i="1" s="1"/>
  <c r="G44" i="28"/>
  <c r="I16" i="57"/>
  <c r="F182" i="31"/>
  <c r="G180" i="31"/>
  <c r="F40" i="31"/>
  <c r="I17" i="57"/>
  <c r="M41" i="32"/>
  <c r="M43" i="32" s="1"/>
  <c r="L101" i="32"/>
  <c r="L107" i="32" s="1"/>
  <c r="L108" i="32" s="1"/>
  <c r="C92" i="32"/>
  <c r="R92" i="32" s="1"/>
  <c r="L100" i="32"/>
  <c r="H74" i="28"/>
  <c r="J33" i="27" l="1"/>
  <c r="M174" i="1"/>
  <c r="L179" i="1"/>
  <c r="J39" i="27" s="1"/>
  <c r="M44" i="32"/>
  <c r="N32" i="32" s="1"/>
  <c r="N43" i="26"/>
  <c r="H17" i="28"/>
  <c r="H50" i="28"/>
  <c r="H41" i="28"/>
  <c r="K24" i="27"/>
  <c r="Q92" i="32"/>
  <c r="P92" i="32"/>
  <c r="O92" i="32"/>
  <c r="L92" i="32"/>
  <c r="L97" i="32" s="1"/>
  <c r="K103" i="32" s="1"/>
  <c r="N92" i="32"/>
  <c r="M92" i="32"/>
  <c r="M14" i="32" l="1"/>
  <c r="M15" i="32" s="1"/>
  <c r="M51" i="32" s="1"/>
  <c r="N31" i="32"/>
  <c r="J40" i="27"/>
  <c r="E132" i="31"/>
  <c r="E133" i="31" s="1"/>
  <c r="E145" i="31" s="1"/>
  <c r="E146" i="31" s="1"/>
  <c r="M44" i="26"/>
  <c r="K104" i="32"/>
  <c r="M124" i="1" s="1"/>
  <c r="M126" i="1" s="1"/>
  <c r="K15" i="27" s="1"/>
  <c r="M45" i="32"/>
  <c r="F122" i="31"/>
  <c r="H51" i="31"/>
  <c r="G76" i="28"/>
  <c r="G45" i="28"/>
  <c r="G26" i="31"/>
  <c r="G36" i="31" s="1"/>
  <c r="H69" i="28"/>
  <c r="H73" i="31"/>
  <c r="H60" i="28"/>
  <c r="G107" i="31"/>
  <c r="H18" i="28"/>
  <c r="G160" i="31"/>
  <c r="F117" i="31" l="1"/>
  <c r="F118" i="31" s="1"/>
  <c r="H46" i="31"/>
  <c r="H47" i="31" s="1"/>
  <c r="K16" i="27"/>
  <c r="L99" i="32"/>
  <c r="L102" i="32" s="1"/>
  <c r="F108" i="31"/>
  <c r="F109" i="31" s="1"/>
  <c r="M45" i="26"/>
  <c r="G59" i="31"/>
  <c r="G62" i="31" s="1"/>
  <c r="G69" i="31" s="1"/>
  <c r="I70" i="31" s="1"/>
  <c r="J65" i="27"/>
  <c r="H73" i="28"/>
  <c r="H75" i="28" s="1"/>
  <c r="H71" i="28"/>
  <c r="G161" i="31"/>
  <c r="G179" i="31" s="1"/>
  <c r="G181" i="31" s="1"/>
  <c r="H40" i="28"/>
  <c r="H42" i="28" s="1"/>
  <c r="H79" i="31"/>
  <c r="H80" i="31" s="1"/>
  <c r="H78" i="31"/>
  <c r="N38" i="32"/>
  <c r="M16" i="32"/>
  <c r="M17" i="32" s="1"/>
  <c r="M19" i="32" s="1"/>
  <c r="M106" i="32" s="1"/>
  <c r="N36" i="32"/>
  <c r="N30" i="32"/>
  <c r="N35" i="32"/>
  <c r="M52" i="32"/>
  <c r="N48" i="32" s="1"/>
  <c r="N50" i="32" s="1"/>
  <c r="N37" i="32"/>
  <c r="N33" i="32"/>
  <c r="N34" i="32"/>
  <c r="J67" i="27" l="1"/>
  <c r="F23" i="31"/>
  <c r="M47" i="26"/>
  <c r="M175" i="1"/>
  <c r="M177" i="1" s="1"/>
  <c r="F125" i="31"/>
  <c r="F126" i="31" s="1"/>
  <c r="F127" i="31" s="1"/>
  <c r="H55" i="31"/>
  <c r="H56" i="31" s="1"/>
  <c r="H57" i="31" s="1"/>
  <c r="K32" i="27"/>
  <c r="H44" i="28"/>
  <c r="J16" i="57"/>
  <c r="G182" i="31"/>
  <c r="H180" i="31"/>
  <c r="N41" i="32"/>
  <c r="N43" i="32" s="1"/>
  <c r="C93" i="32"/>
  <c r="R93" i="32" s="1"/>
  <c r="M101" i="32"/>
  <c r="M107" i="32" s="1"/>
  <c r="M108" i="32" s="1"/>
  <c r="M100" i="32"/>
  <c r="G40" i="31"/>
  <c r="J17" i="57"/>
  <c r="I74" i="28"/>
  <c r="K33" i="27" l="1"/>
  <c r="N174" i="1"/>
  <c r="M179" i="1"/>
  <c r="K39" i="27" s="1"/>
  <c r="O43" i="26"/>
  <c r="I17" i="28"/>
  <c r="I50" i="28"/>
  <c r="N44" i="32"/>
  <c r="O32" i="32" s="1"/>
  <c r="L24" i="27"/>
  <c r="I41" i="28"/>
  <c r="O93" i="32"/>
  <c r="N93" i="32"/>
  <c r="M93" i="32"/>
  <c r="M97" i="32" s="1"/>
  <c r="L103" i="32" s="1"/>
  <c r="Q93" i="32"/>
  <c r="P93" i="32"/>
  <c r="N14" i="32" l="1"/>
  <c r="N15" i="32" s="1"/>
  <c r="O31" i="32"/>
  <c r="N44" i="26"/>
  <c r="L104" i="32"/>
  <c r="N124" i="1" s="1"/>
  <c r="N126" i="1" s="1"/>
  <c r="L15" i="27" s="1"/>
  <c r="K40" i="27"/>
  <c r="F132" i="31"/>
  <c r="F133" i="31" s="1"/>
  <c r="F145" i="31" s="1"/>
  <c r="F146" i="31" s="1"/>
  <c r="N45" i="32"/>
  <c r="H160" i="31"/>
  <c r="I18" i="28"/>
  <c r="G122" i="31"/>
  <c r="I51" i="31"/>
  <c r="H76" i="28"/>
  <c r="H45" i="28"/>
  <c r="N51" i="32"/>
  <c r="H26" i="31"/>
  <c r="H36" i="31" s="1"/>
  <c r="I73" i="31"/>
  <c r="I60" i="28"/>
  <c r="I69" i="28"/>
  <c r="H107" i="31"/>
  <c r="G117" i="31" l="1"/>
  <c r="G118" i="31" s="1"/>
  <c r="I46" i="31"/>
  <c r="I47" i="31" s="1"/>
  <c r="L16" i="27"/>
  <c r="H59" i="31"/>
  <c r="H62" i="31" s="1"/>
  <c r="H69" i="31" s="1"/>
  <c r="J70" i="31" s="1"/>
  <c r="K65" i="27"/>
  <c r="M99" i="32"/>
  <c r="M102" i="32" s="1"/>
  <c r="G108" i="31"/>
  <c r="G109" i="31" s="1"/>
  <c r="N45" i="26"/>
  <c r="I71" i="28"/>
  <c r="I73" i="28"/>
  <c r="I75" i="28" s="1"/>
  <c r="I78" i="31"/>
  <c r="I79" i="31"/>
  <c r="I80" i="31" s="1"/>
  <c r="H161" i="31"/>
  <c r="H179" i="31" s="1"/>
  <c r="H181" i="31" s="1"/>
  <c r="I40" i="28"/>
  <c r="I42" i="28" s="1"/>
  <c r="O39" i="32"/>
  <c r="N16" i="32"/>
  <c r="N17" i="32" s="1"/>
  <c r="N19" i="32" s="1"/>
  <c r="N106" i="32" s="1"/>
  <c r="O36" i="32"/>
  <c r="O34" i="32"/>
  <c r="O37" i="32"/>
  <c r="N52" i="32"/>
  <c r="O48" i="32" s="1"/>
  <c r="O50" i="32" s="1"/>
  <c r="O33" i="32"/>
  <c r="O38" i="32"/>
  <c r="O35" i="32"/>
  <c r="K67" i="27" l="1"/>
  <c r="G125" i="31"/>
  <c r="G126" i="31" s="1"/>
  <c r="G127" i="31" s="1"/>
  <c r="I55" i="31"/>
  <c r="I56" i="31" s="1"/>
  <c r="I57" i="31" s="1"/>
  <c r="L32" i="27"/>
  <c r="N47" i="26"/>
  <c r="N175" i="1"/>
  <c r="N177" i="1" s="1"/>
  <c r="G23" i="31"/>
  <c r="I180" i="31"/>
  <c r="H182" i="31"/>
  <c r="J74" i="28"/>
  <c r="K17" i="57"/>
  <c r="H40" i="31"/>
  <c r="O41" i="32"/>
  <c r="O43" i="32" s="1"/>
  <c r="C94" i="32"/>
  <c r="R94" i="32" s="1"/>
  <c r="N100" i="32"/>
  <c r="N101" i="32"/>
  <c r="N107" i="32" s="1"/>
  <c r="N108" i="32" s="1"/>
  <c r="K16" i="57"/>
  <c r="I44" i="28"/>
  <c r="L33" i="27" l="1"/>
  <c r="O174" i="1"/>
  <c r="N179" i="1"/>
  <c r="L39" i="27" s="1"/>
  <c r="O94" i="32"/>
  <c r="P94" i="32"/>
  <c r="N94" i="32"/>
  <c r="N97" i="32" s="1"/>
  <c r="M103" i="32" s="1"/>
  <c r="Q94" i="32"/>
  <c r="O44" i="32"/>
  <c r="M24" i="27"/>
  <c r="J41" i="28"/>
  <c r="J50" i="28"/>
  <c r="J17" i="28"/>
  <c r="P43" i="26"/>
  <c r="O14" i="32" l="1"/>
  <c r="O15" i="32" s="1"/>
  <c r="O51" i="32" s="1"/>
  <c r="P32" i="32"/>
  <c r="G132" i="31"/>
  <c r="G133" i="31" s="1"/>
  <c r="G145" i="31" s="1"/>
  <c r="G146" i="31" s="1"/>
  <c r="L40" i="27"/>
  <c r="O44" i="26"/>
  <c r="M104" i="32"/>
  <c r="O124" i="1" s="1"/>
  <c r="O126" i="1" s="1"/>
  <c r="M15" i="27" s="1"/>
  <c r="I26" i="31"/>
  <c r="I36" i="31" s="1"/>
  <c r="J69" i="28"/>
  <c r="J73" i="31"/>
  <c r="J60" i="28"/>
  <c r="O45" i="32"/>
  <c r="I107" i="31"/>
  <c r="J18" i="28"/>
  <c r="I160" i="31"/>
  <c r="J51" i="31"/>
  <c r="H122" i="31"/>
  <c r="I45" i="28"/>
  <c r="I76" i="28"/>
  <c r="H117" i="31" l="1"/>
  <c r="H118" i="31" s="1"/>
  <c r="J46" i="31"/>
  <c r="J47" i="31" s="1"/>
  <c r="M16" i="27"/>
  <c r="N99" i="32"/>
  <c r="N102" i="32" s="1"/>
  <c r="H108" i="31"/>
  <c r="H109" i="31" s="1"/>
  <c r="O45" i="26"/>
  <c r="I59" i="31"/>
  <c r="I62" i="31" s="1"/>
  <c r="I69" i="31" s="1"/>
  <c r="K70" i="31" s="1"/>
  <c r="L65" i="27"/>
  <c r="I161" i="31"/>
  <c r="I179" i="31" s="1"/>
  <c r="I181" i="31" s="1"/>
  <c r="J40" i="28"/>
  <c r="J42" i="28" s="1"/>
  <c r="J73" i="28"/>
  <c r="J75" i="28" s="1"/>
  <c r="J71" i="28"/>
  <c r="J78" i="31"/>
  <c r="J79" i="31"/>
  <c r="J80" i="31" s="1"/>
  <c r="P40" i="32"/>
  <c r="O16" i="32"/>
  <c r="O17" i="32" s="1"/>
  <c r="O19" i="32" s="1"/>
  <c r="O106" i="32" s="1"/>
  <c r="P34" i="32"/>
  <c r="O52" i="32"/>
  <c r="P48" i="32" s="1"/>
  <c r="P50" i="32" s="1"/>
  <c r="P39" i="32"/>
  <c r="P36" i="32"/>
  <c r="P35" i="32"/>
  <c r="P38" i="32"/>
  <c r="P37" i="32"/>
  <c r="P33" i="32"/>
  <c r="L67" i="27" l="1"/>
  <c r="O175" i="1"/>
  <c r="O177" i="1" s="1"/>
  <c r="H23" i="31"/>
  <c r="O47" i="26"/>
  <c r="H125" i="31"/>
  <c r="H126" i="31" s="1"/>
  <c r="H127" i="31" s="1"/>
  <c r="J55" i="31"/>
  <c r="J56" i="31" s="1"/>
  <c r="J57" i="31" s="1"/>
  <c r="M32" i="27"/>
  <c r="C95" i="32"/>
  <c r="R95" i="32" s="1"/>
  <c r="O100" i="32"/>
  <c r="O101" i="32"/>
  <c r="O107" i="32" s="1"/>
  <c r="O108" i="32" s="1"/>
  <c r="J44" i="28"/>
  <c r="L16" i="57"/>
  <c r="I40" i="31"/>
  <c r="L17" i="57"/>
  <c r="I182" i="31"/>
  <c r="J180" i="31"/>
  <c r="P41" i="32"/>
  <c r="P43" i="32" s="1"/>
  <c r="K74" i="28"/>
  <c r="M33" i="27" l="1"/>
  <c r="P174" i="1"/>
  <c r="O179" i="1"/>
  <c r="M39" i="27" s="1"/>
  <c r="K50" i="28"/>
  <c r="C70" i="28" s="1"/>
  <c r="Q43" i="26"/>
  <c r="K17" i="28"/>
  <c r="P44" i="32"/>
  <c r="P14" i="32" s="1"/>
  <c r="P15" i="32" s="1"/>
  <c r="O95" i="32"/>
  <c r="O97" i="32" s="1"/>
  <c r="N103" i="32" s="1"/>
  <c r="Q95" i="32"/>
  <c r="P95" i="32"/>
  <c r="N24" i="27"/>
  <c r="K41" i="28"/>
  <c r="M40" i="27" l="1"/>
  <c r="H132" i="31"/>
  <c r="H133" i="31" s="1"/>
  <c r="H145" i="31" s="1"/>
  <c r="H146" i="31" s="1"/>
  <c r="P44" i="26"/>
  <c r="N104" i="32"/>
  <c r="P124" i="1" s="1"/>
  <c r="P126" i="1" s="1"/>
  <c r="N15" i="27" s="1"/>
  <c r="P45" i="32"/>
  <c r="J107" i="31"/>
  <c r="P51" i="32"/>
  <c r="K51" i="31"/>
  <c r="I122" i="31"/>
  <c r="J76" i="28"/>
  <c r="J45" i="28"/>
  <c r="K18" i="28"/>
  <c r="J160" i="31"/>
  <c r="J26" i="31"/>
  <c r="J36" i="31" s="1"/>
  <c r="K73" i="31"/>
  <c r="K60" i="28"/>
  <c r="C72" i="28" s="1"/>
  <c r="K69" i="28"/>
  <c r="I117" i="31" l="1"/>
  <c r="I118" i="31" s="1"/>
  <c r="K46" i="31"/>
  <c r="K47" i="31" s="1"/>
  <c r="N16" i="27"/>
  <c r="O99" i="32"/>
  <c r="O102" i="32" s="1"/>
  <c r="C41" i="31"/>
  <c r="C199" i="4"/>
  <c r="I108" i="31"/>
  <c r="I109" i="31" s="1"/>
  <c r="P45" i="26"/>
  <c r="J59" i="31"/>
  <c r="J62" i="31" s="1"/>
  <c r="J69" i="31" s="1"/>
  <c r="L70" i="31" s="1"/>
  <c r="M65" i="27"/>
  <c r="P16" i="32"/>
  <c r="P17" i="32" s="1"/>
  <c r="P19" i="32" s="1"/>
  <c r="P106" i="32" s="1"/>
  <c r="Q34" i="32"/>
  <c r="Q39" i="32"/>
  <c r="Q40" i="32"/>
  <c r="Q37" i="32"/>
  <c r="P52" i="32"/>
  <c r="Q48" i="32" s="1"/>
  <c r="Q50" i="32" s="1"/>
  <c r="Q33" i="32"/>
  <c r="Q36" i="32"/>
  <c r="Q38" i="32"/>
  <c r="Q35" i="32"/>
  <c r="K79" i="31"/>
  <c r="K80" i="31" s="1"/>
  <c r="K78" i="31"/>
  <c r="J161" i="31"/>
  <c r="J179" i="31" s="1"/>
  <c r="J181" i="31" s="1"/>
  <c r="K40" i="28"/>
  <c r="K42" i="28" s="1"/>
  <c r="K73" i="28"/>
  <c r="K75" i="28" s="1"/>
  <c r="K71" i="28"/>
  <c r="M67" i="27" l="1"/>
  <c r="I125" i="31"/>
  <c r="I126" i="31" s="1"/>
  <c r="I127" i="31" s="1"/>
  <c r="K55" i="31"/>
  <c r="K56" i="31" s="1"/>
  <c r="K57" i="31" s="1"/>
  <c r="N32" i="27"/>
  <c r="P175" i="1"/>
  <c r="P177" i="1" s="1"/>
  <c r="P47" i="26"/>
  <c r="I23" i="31"/>
  <c r="K180" i="31"/>
  <c r="J182" i="31"/>
  <c r="Q41" i="32"/>
  <c r="Q43" i="32" s="1"/>
  <c r="M17" i="57"/>
  <c r="J40" i="31"/>
  <c r="L74" i="28"/>
  <c r="K44" i="28"/>
  <c r="M16" i="57"/>
  <c r="P100" i="32"/>
  <c r="C96" i="32"/>
  <c r="R96" i="32" s="1"/>
  <c r="R97" i="32" s="1"/>
  <c r="N33" i="27" l="1"/>
  <c r="Q174" i="1"/>
  <c r="P179" i="1"/>
  <c r="N39" i="27" s="1"/>
  <c r="O24" i="27"/>
  <c r="L41" i="28"/>
  <c r="P96" i="32"/>
  <c r="P97" i="32" s="1"/>
  <c r="O103" i="32" s="1"/>
  <c r="Q44" i="26" s="1"/>
  <c r="Q96" i="32"/>
  <c r="Q97" i="32" s="1"/>
  <c r="Q44" i="32"/>
  <c r="Q14" i="32" s="1"/>
  <c r="Q15" i="32" s="1"/>
  <c r="N40" i="27" l="1"/>
  <c r="I132" i="31"/>
  <c r="I133" i="31" s="1"/>
  <c r="I145" i="31" s="1"/>
  <c r="I146" i="31" s="1"/>
  <c r="O104" i="32"/>
  <c r="Q124" i="1" s="1"/>
  <c r="Q126" i="1" s="1"/>
  <c r="O15" i="27" s="1"/>
  <c r="Q51" i="32"/>
  <c r="Q45" i="32"/>
  <c r="L51" i="31"/>
  <c r="J122" i="31"/>
  <c r="K76" i="28"/>
  <c r="L71" i="28" l="1"/>
  <c r="J117" i="31"/>
  <c r="J118" i="31" s="1"/>
  <c r="L46" i="31"/>
  <c r="L47" i="31" s="1"/>
  <c r="O16" i="27"/>
  <c r="J108" i="31"/>
  <c r="J109" i="31" s="1"/>
  <c r="Q45" i="26"/>
  <c r="P99" i="32"/>
  <c r="K59" i="31"/>
  <c r="K62" i="31" s="1"/>
  <c r="K69" i="31" s="1"/>
  <c r="M70" i="31" s="1"/>
  <c r="N65" i="27"/>
  <c r="Q16" i="32"/>
  <c r="Q17" i="32" s="1"/>
  <c r="Q19" i="32" s="1"/>
  <c r="Q106" i="32" s="1"/>
  <c r="Q52" i="32"/>
  <c r="P101" i="32" l="1"/>
  <c r="P107" i="32" s="1"/>
  <c r="P108" i="32" s="1"/>
  <c r="N67" i="27"/>
  <c r="N17" i="57"/>
  <c r="K40" i="31"/>
  <c r="C200" i="4"/>
  <c r="L55" i="31"/>
  <c r="L56" i="31" s="1"/>
  <c r="L57" i="31" s="1"/>
  <c r="J125" i="31"/>
  <c r="J126" i="31" s="1"/>
  <c r="J127" i="31" s="1"/>
  <c r="O32" i="27"/>
  <c r="J23" i="31"/>
  <c r="Q47" i="26"/>
  <c r="Q175" i="1"/>
  <c r="Q177" i="1" s="1"/>
  <c r="Q100" i="32"/>
  <c r="R43" i="26" l="1"/>
  <c r="L17" i="28"/>
  <c r="L50" i="28"/>
  <c r="P102" i="32"/>
  <c r="O33" i="27"/>
  <c r="M55" i="31"/>
  <c r="Q179" i="1"/>
  <c r="O39" i="27" s="1"/>
  <c r="R174" i="1"/>
  <c r="L69" i="28" l="1"/>
  <c r="K26" i="31"/>
  <c r="K36" i="31" s="1"/>
  <c r="L60" i="28"/>
  <c r="L73" i="28" s="1"/>
  <c r="L75" i="28" s="1"/>
  <c r="M74" i="28" s="1"/>
  <c r="L73" i="31"/>
  <c r="K160" i="31"/>
  <c r="L18" i="28"/>
  <c r="P103" i="32"/>
  <c r="R44" i="26" s="1"/>
  <c r="K108" i="31" s="1"/>
  <c r="K107" i="31"/>
  <c r="K125" i="31"/>
  <c r="O40" i="27"/>
  <c r="J132" i="31"/>
  <c r="J133" i="31" s="1"/>
  <c r="J145" i="31" s="1"/>
  <c r="J146" i="31" s="1"/>
  <c r="K109" i="31" l="1"/>
  <c r="P104" i="32"/>
  <c r="R124" i="1" s="1"/>
  <c r="R126" i="1" s="1"/>
  <c r="P15" i="27" s="1"/>
  <c r="L79" i="31"/>
  <c r="L80" i="31" s="1"/>
  <c r="L78" i="31"/>
  <c r="R45" i="26"/>
  <c r="K161" i="31"/>
  <c r="K179" i="31" s="1"/>
  <c r="K181" i="31" s="1"/>
  <c r="L40" i="28"/>
  <c r="L42" i="28" s="1"/>
  <c r="L59" i="31"/>
  <c r="L62" i="31" s="1"/>
  <c r="L69" i="31" s="1"/>
  <c r="N70" i="31" s="1"/>
  <c r="O65" i="27"/>
  <c r="Q99" i="32" l="1"/>
  <c r="Q101" i="32" s="1"/>
  <c r="Q107" i="32" s="1"/>
  <c r="Q108" i="32" s="1"/>
  <c r="M17" i="28" s="1"/>
  <c r="M18" i="28" s="1"/>
  <c r="M40" i="28" s="1"/>
  <c r="K182" i="31"/>
  <c r="K23" i="31"/>
  <c r="R47" i="26"/>
  <c r="R175" i="1"/>
  <c r="R177" i="1" s="1"/>
  <c r="L44" i="28"/>
  <c r="N16" i="57"/>
  <c r="K117" i="31"/>
  <c r="K118" i="31" s="1"/>
  <c r="P16" i="27"/>
  <c r="M46" i="31"/>
  <c r="M47" i="31" s="1"/>
  <c r="O67" i="27"/>
  <c r="Q102" i="32" l="1"/>
  <c r="Q103" i="32" s="1"/>
  <c r="S44" i="26" s="1"/>
  <c r="M50" i="28"/>
  <c r="S43" i="26"/>
  <c r="R179" i="1"/>
  <c r="P39" i="27" s="1"/>
  <c r="S174" i="1"/>
  <c r="M41" i="28"/>
  <c r="M42" i="28" s="1"/>
  <c r="P24" i="27"/>
  <c r="M71" i="28"/>
  <c r="S45" i="26" l="1"/>
  <c r="S47" i="26" s="1"/>
  <c r="Q104" i="32"/>
  <c r="S124" i="1" s="1"/>
  <c r="S126" i="1" s="1"/>
  <c r="Q15" i="27" s="1"/>
  <c r="Q16" i="27" s="1"/>
  <c r="M69" i="28"/>
  <c r="M73" i="31"/>
  <c r="M60" i="28"/>
  <c r="M73" i="28" s="1"/>
  <c r="M75" i="28" s="1"/>
  <c r="O16" i="57"/>
  <c r="M44" i="28"/>
  <c r="Q24" i="27" s="1"/>
  <c r="K122" i="31"/>
  <c r="K126" i="31" s="1"/>
  <c r="K127" i="31" s="1"/>
  <c r="M51" i="31"/>
  <c r="M56" i="31" s="1"/>
  <c r="M57" i="31" s="1"/>
  <c r="P32" i="27"/>
  <c r="P33" i="27" s="1"/>
  <c r="L76" i="28"/>
  <c r="L45" i="28"/>
  <c r="P40" i="27"/>
  <c r="K132" i="31"/>
  <c r="K133" i="31" s="1"/>
  <c r="K145" i="31" s="1"/>
  <c r="O17" i="57"/>
  <c r="S175" i="1" l="1"/>
  <c r="S177" i="1" s="1"/>
  <c r="S179" i="1" s="1"/>
  <c r="Q39" i="27" s="1"/>
  <c r="Q40" i="27" s="1"/>
  <c r="Q65" i="27" s="1"/>
  <c r="N73" i="31"/>
  <c r="M79" i="31"/>
  <c r="M80" i="31" s="1"/>
  <c r="M78" i="31"/>
  <c r="K146" i="31"/>
  <c r="P65" i="27"/>
  <c r="P67" i="27" s="1"/>
  <c r="M59" i="31"/>
  <c r="M62" i="31" s="1"/>
  <c r="M69" i="31" s="1"/>
  <c r="O70" i="31" s="1"/>
  <c r="Q32" i="27"/>
  <c r="Q33" i="27" s="1"/>
  <c r="M45" i="28"/>
  <c r="M76" i="28"/>
  <c r="Q67" i="27" l="1"/>
  <c r="N79" i="31"/>
  <c r="N80" i="31" s="1"/>
  <c r="N78" i="31"/>
  <c r="O73" i="31"/>
  <c r="P73" i="31" l="1"/>
  <c r="O79" i="31"/>
  <c r="O80" i="31" s="1"/>
  <c r="O78" i="31"/>
  <c r="H132" i="1"/>
  <c r="H133" i="1"/>
  <c r="F31" i="27" s="1"/>
  <c r="P78" i="31" l="1"/>
  <c r="P79" i="31"/>
  <c r="P80" i="31" s="1"/>
  <c r="Q73" i="31"/>
  <c r="H181" i="48"/>
  <c r="H180" i="48" s="1"/>
  <c r="F32" i="27"/>
  <c r="C55" i="31"/>
  <c r="C56" i="31" s="1"/>
  <c r="C57" i="31" s="1"/>
  <c r="Q79" i="31" l="1"/>
  <c r="Q80" i="31" s="1"/>
  <c r="Q78" i="31"/>
  <c r="R73" i="31"/>
  <c r="F33" i="27"/>
  <c r="H353" i="48"/>
  <c r="H186" i="48"/>
  <c r="H359" i="48"/>
  <c r="H362" i="48" s="1"/>
  <c r="H368" i="48" s="1"/>
  <c r="H369" i="48" s="1"/>
  <c r="H371" i="48" s="1"/>
  <c r="R79" i="31" l="1"/>
  <c r="R80" i="31" s="1"/>
  <c r="R78" i="31"/>
  <c r="F67" i="27"/>
  <c r="H291" i="48"/>
  <c r="H293" i="48" s="1"/>
  <c r="H294" i="48" s="1"/>
  <c r="H306" i="48" s="1"/>
  <c r="H316" i="48" s="1"/>
  <c r="H300" i="48"/>
  <c r="H396" i="48"/>
  <c r="H426" i="48" s="1"/>
  <c r="H211" i="48"/>
  <c r="H214" i="48"/>
  <c r="H282" i="48"/>
  <c r="H421" i="48" l="1"/>
  <c r="H422" i="48"/>
  <c r="H284" i="48"/>
  <c r="H285" i="48"/>
  <c r="H287" i="48"/>
  <c r="H286" i="48"/>
  <c r="H428" i="48"/>
  <c r="H243" i="48"/>
  <c r="H394" i="48"/>
  <c r="H430" i="48"/>
  <c r="H230" i="48"/>
  <c r="H398" i="48" s="1"/>
  <c r="H387" i="48"/>
  <c r="H423" i="48" s="1"/>
  <c r="H216" i="48"/>
  <c r="H229" i="48"/>
  <c r="H305" i="48"/>
  <c r="H304" i="48"/>
  <c r="H288" i="48" l="1"/>
  <c r="H307" i="48"/>
  <c r="H314" i="48"/>
  <c r="H308" i="48"/>
  <c r="H309" i="48" l="1"/>
  <c r="H318" i="48"/>
  <c r="H315" i="48"/>
  <c r="H317" i="48" s="1"/>
  <c r="H319" i="4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Ankita A Poddar</author>
    <author>Nidhi Kedia</author>
  </authors>
  <commentList>
    <comment ref="J57" authorId="0" shapeId="0" xr:uid="{00000000-0006-0000-0400-000001000000}">
      <text>
        <r>
          <rPr>
            <b/>
            <sz val="9"/>
            <color indexed="81"/>
            <rFont val="Tahoma"/>
            <family val="2"/>
          </rPr>
          <t>Ankita A Poddar:</t>
        </r>
        <r>
          <rPr>
            <sz val="9"/>
            <color indexed="81"/>
            <rFont val="Tahoma"/>
            <family val="2"/>
          </rPr>
          <t xml:space="preserve">
Includes bagasse transportation cost etc</t>
        </r>
      </text>
    </comment>
    <comment ref="I120" authorId="0" shapeId="0" xr:uid="{00000000-0006-0000-0400-000002000000}">
      <text>
        <r>
          <rPr>
            <b/>
            <sz val="9"/>
            <color indexed="81"/>
            <rFont val="Tahoma"/>
            <family val="2"/>
          </rPr>
          <t>Ankita A Poddar:</t>
        </r>
        <r>
          <rPr>
            <sz val="9"/>
            <color indexed="81"/>
            <rFont val="Tahoma"/>
            <family val="2"/>
          </rPr>
          <t xml:space="preserve">
Price basis GOI notification - 42.02
Actual (incl. Levy + free) - 42.32</t>
        </r>
      </text>
    </comment>
    <comment ref="J120" authorId="1" shapeId="0" xr:uid="{00000000-0006-0000-0400-000003000000}">
      <text>
        <r>
          <rPr>
            <b/>
            <sz val="9"/>
            <color indexed="81"/>
            <rFont val="Tahoma"/>
            <family val="2"/>
          </rPr>
          <t>EY:</t>
        </r>
        <r>
          <rPr>
            <sz val="9"/>
            <color indexed="81"/>
            <rFont val="Tahoma"/>
            <family val="2"/>
          </rPr>
          <t xml:space="preserve"> GOI notification for alochol price at 46.66 INR/BL from Dec-21 to Nov-22 and the same is expected to increase from Dec-23 onwards. Hence price has been revised</t>
        </r>
      </text>
    </comment>
    <comment ref="J121" authorId="1" shapeId="0" xr:uid="{00000000-0006-0000-0400-000004000000}">
      <text>
        <r>
          <rPr>
            <b/>
            <sz val="9"/>
            <color indexed="81"/>
            <rFont val="Tahoma"/>
            <family val="2"/>
          </rPr>
          <t>EY:</t>
        </r>
        <r>
          <rPr>
            <sz val="9"/>
            <color indexed="81"/>
            <rFont val="Tahoma"/>
            <family val="2"/>
          </rPr>
          <t xml:space="preserve"> GOI notification for alochol price at 59.08 INR/BL from Dec-21 to Nov-22 and the same is expected to increase from Dec-23 onwards. Hence price has been revised</t>
        </r>
      </text>
    </comment>
    <comment ref="J124" authorId="0" shapeId="0" xr:uid="{00000000-0006-0000-0400-000005000000}">
      <text>
        <r>
          <rPr>
            <b/>
            <sz val="9"/>
            <color indexed="81"/>
            <rFont val="Tahoma"/>
            <family val="2"/>
          </rPr>
          <t>Ankita A Poddar:</t>
        </r>
        <r>
          <rPr>
            <sz val="9"/>
            <color indexed="81"/>
            <rFont val="Tahoma"/>
            <family val="2"/>
          </rPr>
          <t xml:space="preserve">
Basis document shared by Co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Nidhi Kedia</author>
  </authors>
  <commentList>
    <comment ref="E166" authorId="0" shapeId="0" xr:uid="{00000000-0006-0000-0A00-000001000000}">
      <text>
        <r>
          <rPr>
            <b/>
            <sz val="9"/>
            <color indexed="81"/>
            <rFont val="Tahoma"/>
            <family val="2"/>
          </rPr>
          <t xml:space="preserve">EY: </t>
        </r>
        <r>
          <rPr>
            <sz val="9"/>
            <color indexed="81"/>
            <rFont val="Tahoma"/>
            <family val="2"/>
          </rPr>
          <t xml:space="preserve">Write up required from Co
</t>
        </r>
      </text>
    </comment>
    <comment ref="B191" authorId="0" shapeId="0" xr:uid="{00000000-0006-0000-0A00-000002000000}">
      <text>
        <r>
          <rPr>
            <b/>
            <sz val="9"/>
            <color indexed="81"/>
            <rFont val="Tahoma"/>
            <family val="2"/>
          </rPr>
          <t>EY:</t>
        </r>
        <r>
          <rPr>
            <sz val="9"/>
            <color indexed="81"/>
            <rFont val="Tahoma"/>
            <family val="2"/>
          </rPr>
          <t xml:space="preserve">
Captive + Eco Tech + Loss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Ankita A Poddar</author>
  </authors>
  <commentList>
    <comment ref="I97" authorId="0" shapeId="0" xr:uid="{00000000-0006-0000-0C00-000001000000}">
      <text>
        <r>
          <rPr>
            <sz val="9"/>
            <color indexed="81"/>
            <rFont val="Tahoma"/>
            <family val="2"/>
          </rPr>
          <t xml:space="preserve">
Novation of loan given to Ojas to BPGPL</t>
        </r>
      </text>
    </comment>
    <comment ref="I226" authorId="0" shapeId="0" xr:uid="{00000000-0006-0000-0C00-000002000000}">
      <text>
        <r>
          <rPr>
            <sz val="9"/>
            <color indexed="81"/>
            <rFont val="Tahoma"/>
            <family val="2"/>
          </rPr>
          <t>Includes TDS payable on OCD coupon of Rs. 8.71 Cr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Nidhi Kedia</author>
  </authors>
  <commentList>
    <comment ref="I11" authorId="0" shapeId="0" xr:uid="{00000000-0006-0000-1000-000001000000}">
      <text>
        <r>
          <rPr>
            <b/>
            <sz val="9"/>
            <color indexed="81"/>
            <rFont val="Tahoma"/>
            <family val="2"/>
          </rPr>
          <t>EY:</t>
        </r>
        <r>
          <rPr>
            <sz val="9"/>
            <color indexed="81"/>
            <rFont val="Tahoma"/>
            <family val="2"/>
          </rPr>
          <t xml:space="preserve">
Payment for only 2 quarters</t>
        </r>
      </text>
    </comment>
    <comment ref="S11" authorId="0" shapeId="0" xr:uid="{00000000-0006-0000-1000-000002000000}">
      <text>
        <r>
          <rPr>
            <b/>
            <sz val="9"/>
            <color indexed="81"/>
            <rFont val="Tahoma"/>
            <family val="2"/>
          </rPr>
          <t>Nidhi Kedia:</t>
        </r>
        <r>
          <rPr>
            <sz val="9"/>
            <color indexed="81"/>
            <rFont val="Tahoma"/>
            <family val="2"/>
          </rPr>
          <t xml:space="preserve">
Payment for two quarters only</t>
        </r>
      </text>
    </comment>
    <comment ref="I12" authorId="0" shapeId="0" xr:uid="{00000000-0006-0000-1000-000003000000}">
      <text>
        <r>
          <rPr>
            <b/>
            <sz val="9"/>
            <color indexed="81"/>
            <rFont val="Tahoma"/>
            <family val="2"/>
          </rPr>
          <t>EY:</t>
        </r>
        <r>
          <rPr>
            <sz val="9"/>
            <color indexed="81"/>
            <rFont val="Tahoma"/>
            <family val="2"/>
          </rPr>
          <t xml:space="preserve">
Payment for only 2 quarters</t>
        </r>
      </text>
    </comment>
    <comment ref="S12" authorId="0" shapeId="0" xr:uid="{00000000-0006-0000-1000-000004000000}">
      <text>
        <r>
          <rPr>
            <b/>
            <sz val="9"/>
            <color indexed="81"/>
            <rFont val="Tahoma"/>
            <family val="2"/>
          </rPr>
          <t>Nidhi Kedia:</t>
        </r>
        <r>
          <rPr>
            <sz val="9"/>
            <color indexed="81"/>
            <rFont val="Tahoma"/>
            <family val="2"/>
          </rPr>
          <t xml:space="preserve">
Payment for two quarters only</t>
        </r>
      </text>
    </comment>
    <comment ref="I13" authorId="0" shapeId="0" xr:uid="{00000000-0006-0000-1000-000005000000}">
      <text>
        <r>
          <rPr>
            <b/>
            <sz val="9"/>
            <color indexed="81"/>
            <rFont val="Tahoma"/>
            <family val="2"/>
          </rPr>
          <t>EY:</t>
        </r>
        <r>
          <rPr>
            <sz val="9"/>
            <color indexed="81"/>
            <rFont val="Tahoma"/>
            <family val="2"/>
          </rPr>
          <t xml:space="preserve">
Payment for only 2 quarters</t>
        </r>
      </text>
    </comment>
    <comment ref="S13" authorId="0" shapeId="0" xr:uid="{00000000-0006-0000-1000-000006000000}">
      <text>
        <r>
          <rPr>
            <b/>
            <sz val="9"/>
            <color indexed="81"/>
            <rFont val="Tahoma"/>
            <family val="2"/>
          </rPr>
          <t>Nidhi Kedia:</t>
        </r>
        <r>
          <rPr>
            <sz val="9"/>
            <color indexed="81"/>
            <rFont val="Tahoma"/>
            <family val="2"/>
          </rPr>
          <t xml:space="preserve">
Payment for two quarters only</t>
        </r>
      </text>
    </comment>
    <comment ref="S14" authorId="0" shapeId="0" xr:uid="{00000000-0006-0000-1000-000007000000}">
      <text>
        <r>
          <rPr>
            <b/>
            <sz val="9"/>
            <color indexed="81"/>
            <rFont val="Tahoma"/>
            <family val="2"/>
          </rPr>
          <t>Nidhi Kedia:</t>
        </r>
        <r>
          <rPr>
            <sz val="9"/>
            <color indexed="81"/>
            <rFont val="Tahoma"/>
            <family val="2"/>
          </rPr>
          <t xml:space="preserve">
Payment for two quarters only</t>
        </r>
      </text>
    </comment>
    <comment ref="S15" authorId="0" shapeId="0" xr:uid="{00000000-0006-0000-1000-000008000000}">
      <text>
        <r>
          <rPr>
            <b/>
            <sz val="9"/>
            <color indexed="81"/>
            <rFont val="Tahoma"/>
            <family val="2"/>
          </rPr>
          <t>Nidhi Kedia:</t>
        </r>
        <r>
          <rPr>
            <sz val="9"/>
            <color indexed="81"/>
            <rFont val="Tahoma"/>
            <family val="2"/>
          </rPr>
          <t xml:space="preserve">
Payment for two quarters only</t>
        </r>
      </text>
    </comment>
    <comment ref="S16" authorId="0" shapeId="0" xr:uid="{00000000-0006-0000-1000-000009000000}">
      <text>
        <r>
          <rPr>
            <b/>
            <sz val="9"/>
            <color indexed="81"/>
            <rFont val="Tahoma"/>
            <family val="2"/>
          </rPr>
          <t>Nidhi Kedia:</t>
        </r>
        <r>
          <rPr>
            <sz val="9"/>
            <color indexed="81"/>
            <rFont val="Tahoma"/>
            <family val="2"/>
          </rPr>
          <t xml:space="preserve">
Payment for two quarters only</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Nidhi Kedia</author>
  </authors>
  <commentList>
    <comment ref="D62" authorId="0" shapeId="0" xr:uid="{00000000-0006-0000-1300-000001000000}">
      <text>
        <r>
          <rPr>
            <b/>
            <sz val="9"/>
            <color indexed="81"/>
            <rFont val="Tahoma"/>
            <family val="2"/>
          </rPr>
          <t xml:space="preserve">EY: </t>
        </r>
        <r>
          <rPr>
            <sz val="9"/>
            <color indexed="81"/>
            <rFont val="Tahoma"/>
            <family val="2"/>
          </rPr>
          <t xml:space="preserve">Post including conversion of loan from promoters to equity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Nidhi Kedia</author>
  </authors>
  <commentList>
    <comment ref="H33" authorId="0" shapeId="0" xr:uid="{00000000-0006-0000-1A00-000001000000}">
      <text>
        <r>
          <rPr>
            <b/>
            <sz val="9"/>
            <color indexed="81"/>
            <rFont val="Tahoma"/>
            <family val="2"/>
          </rPr>
          <t xml:space="preserve">EY: </t>
        </r>
        <r>
          <rPr>
            <sz val="9"/>
            <color indexed="81"/>
            <rFont val="Tahoma"/>
            <family val="2"/>
          </rPr>
          <t>6 months</t>
        </r>
      </text>
    </comment>
  </commentList>
</comments>
</file>

<file path=xl/sharedStrings.xml><?xml version="1.0" encoding="utf-8"?>
<sst xmlns="http://schemas.openxmlformats.org/spreadsheetml/2006/main" count="6514" uniqueCount="1677">
  <si>
    <t>Bajaj Hindusthan Sugar Limited</t>
  </si>
  <si>
    <t>UoM</t>
  </si>
  <si>
    <t>FY 20</t>
  </si>
  <si>
    <t>FY 21</t>
  </si>
  <si>
    <t>FY 22</t>
  </si>
  <si>
    <t>Lac Qtl</t>
  </si>
  <si>
    <t>Sugar recovery - C Mol</t>
  </si>
  <si>
    <t>Molasses recovery - C Mol</t>
  </si>
  <si>
    <t>Molasses recovery - B Mol</t>
  </si>
  <si>
    <t>Average molasses recovery</t>
  </si>
  <si>
    <t>Pressmud</t>
  </si>
  <si>
    <t>Bagasse</t>
  </si>
  <si>
    <t>Sugar Division</t>
  </si>
  <si>
    <t>Sugar</t>
  </si>
  <si>
    <t>Closing stock</t>
  </si>
  <si>
    <t>Opening stock</t>
  </si>
  <si>
    <t>BISS</t>
  </si>
  <si>
    <t>Closing stock of sugar paramenter</t>
  </si>
  <si>
    <t>Molasses C</t>
  </si>
  <si>
    <t>Molasses B</t>
  </si>
  <si>
    <t>From Molasses C</t>
  </si>
  <si>
    <t>From Molasses B</t>
  </si>
  <si>
    <t>Distillery division</t>
  </si>
  <si>
    <t>Prices</t>
  </si>
  <si>
    <t>Molasses - C</t>
  </si>
  <si>
    <t>Molasses - B</t>
  </si>
  <si>
    <t>Alcohol - C Mol</t>
  </si>
  <si>
    <t>Alcohol - B Mol</t>
  </si>
  <si>
    <t>Biomannure</t>
  </si>
  <si>
    <t>Alcohol from C Molasses</t>
  </si>
  <si>
    <t>Lac BL</t>
  </si>
  <si>
    <t>Alcohol from B Molasses</t>
  </si>
  <si>
    <t>Rs / Qtl</t>
  </si>
  <si>
    <t>Rs / BL</t>
  </si>
  <si>
    <t>Power</t>
  </si>
  <si>
    <t>Lac kWh</t>
  </si>
  <si>
    <t>Total</t>
  </si>
  <si>
    <t>Revenue</t>
  </si>
  <si>
    <t>Sale of Alcohol - C Mol</t>
  </si>
  <si>
    <t>Sale of Alcohol - B Mol</t>
  </si>
  <si>
    <t>Cost of raw material consumed</t>
  </si>
  <si>
    <t>Cost of molasses received from sugar division</t>
  </si>
  <si>
    <t>Molasses - B Purchased from outside</t>
  </si>
  <si>
    <t>Other expenses</t>
  </si>
  <si>
    <t>Molasses Transporation Rate</t>
  </si>
  <si>
    <t>Stores and Spares</t>
  </si>
  <si>
    <t>Repair and Maintenance</t>
  </si>
  <si>
    <t>Selling &amp; Distribution</t>
  </si>
  <si>
    <t>Rs/ Qtl</t>
  </si>
  <si>
    <t>Rs/BL</t>
  </si>
  <si>
    <t>Steam</t>
  </si>
  <si>
    <t>Expenses</t>
  </si>
  <si>
    <t>Manpower Cost</t>
  </si>
  <si>
    <t>Finance cost</t>
  </si>
  <si>
    <t>Depreciation</t>
  </si>
  <si>
    <t>Other Expenses</t>
  </si>
  <si>
    <t>Stores &amp; Spares</t>
  </si>
  <si>
    <t>Pesticides</t>
  </si>
  <si>
    <t>Packing Material</t>
  </si>
  <si>
    <t>Rent Rate and Taxes</t>
  </si>
  <si>
    <t>Payment to Auditors</t>
  </si>
  <si>
    <t>Insurance</t>
  </si>
  <si>
    <t>Donations</t>
  </si>
  <si>
    <t xml:space="preserve">Provision for doubtful debts </t>
  </si>
  <si>
    <t>Loss on assets sold / scrapped/ written off</t>
  </si>
  <si>
    <t>Selling Commission</t>
  </si>
  <si>
    <t>Repairs and maintenance</t>
  </si>
  <si>
    <t>Power &amp; Fuel</t>
  </si>
  <si>
    <t>From outside</t>
  </si>
  <si>
    <t>Other expense</t>
  </si>
  <si>
    <t>Total other expenses</t>
  </si>
  <si>
    <t>PBT</t>
  </si>
  <si>
    <t>EBITDA</t>
  </si>
  <si>
    <t>Other Income</t>
  </si>
  <si>
    <t>Building Maintenance</t>
  </si>
  <si>
    <t>Plant And Machinery</t>
  </si>
  <si>
    <t>Repair Others</t>
  </si>
  <si>
    <t>Other Non operating income</t>
  </si>
  <si>
    <t>Finance Cost</t>
  </si>
  <si>
    <t>Rent Rates &amp; taxes</t>
  </si>
  <si>
    <t>Inventory changes</t>
  </si>
  <si>
    <t>Rate</t>
  </si>
  <si>
    <t>Alcohol - C</t>
  </si>
  <si>
    <t>Alcohol - B</t>
  </si>
  <si>
    <t>Rs/Qtl</t>
  </si>
  <si>
    <t>Cost of production</t>
  </si>
  <si>
    <t>Alcohol produced</t>
  </si>
  <si>
    <t>Cost of raw material purchased</t>
  </si>
  <si>
    <t>Rs in cr</t>
  </si>
  <si>
    <t>Inventory changes molasses</t>
  </si>
  <si>
    <t>Manpower</t>
  </si>
  <si>
    <t>Total cost</t>
  </si>
  <si>
    <t>NRV</t>
  </si>
  <si>
    <t>Less inter unit transfers</t>
  </si>
  <si>
    <t>Minimum of COP vs NRV</t>
  </si>
  <si>
    <t>INCOME</t>
  </si>
  <si>
    <t>Revenue from operations</t>
  </si>
  <si>
    <t>Rs in crore</t>
  </si>
  <si>
    <t>Total income</t>
  </si>
  <si>
    <t>EXPENSES</t>
  </si>
  <si>
    <t>Employee benefits</t>
  </si>
  <si>
    <t>Profit / (Loss) before tax</t>
  </si>
  <si>
    <t>Other non operating revenue</t>
  </si>
  <si>
    <t>Cane cost</t>
  </si>
  <si>
    <t>Manpower cost</t>
  </si>
  <si>
    <t>Expenses Parameteres Distillery</t>
  </si>
  <si>
    <t>Repairs and maintenance P&amp;M</t>
  </si>
  <si>
    <t>Total cane cost</t>
  </si>
  <si>
    <t>Sugar Produced</t>
  </si>
  <si>
    <t>Cost elements</t>
  </si>
  <si>
    <t>Set off</t>
  </si>
  <si>
    <t>Add opening stock of molasses</t>
  </si>
  <si>
    <t>Less molasses sold</t>
  </si>
  <si>
    <t>Less molasses transferred to dist.</t>
  </si>
  <si>
    <t>Less closing stock of molasses</t>
  </si>
  <si>
    <t>Less bagasse sold</t>
  </si>
  <si>
    <t>Less bagasse transferred to dist</t>
  </si>
  <si>
    <t>Less closing stock of bagasse</t>
  </si>
  <si>
    <t>Less power export</t>
  </si>
  <si>
    <t>Add opening stock of bagasse</t>
  </si>
  <si>
    <t>Sugar -  finished</t>
  </si>
  <si>
    <t>Sugar - WIP</t>
  </si>
  <si>
    <t>Molasses - C WIP</t>
  </si>
  <si>
    <t>Molasses - B WIP</t>
  </si>
  <si>
    <t>Rs/kWh</t>
  </si>
  <si>
    <t>Valuation</t>
  </si>
  <si>
    <t>Molasses sent to Distillery</t>
  </si>
  <si>
    <t>Biogas and steam from distillery</t>
  </si>
  <si>
    <t>Bio Gas &amp; Steam sent to sugar</t>
  </si>
  <si>
    <t>Less Pressmud sold</t>
  </si>
  <si>
    <t>Less Pressmud transferred to distillery</t>
  </si>
  <si>
    <t>Total Cost</t>
  </si>
  <si>
    <t>Bank of Baroda</t>
  </si>
  <si>
    <t>Bank of India</t>
  </si>
  <si>
    <t>Bank of Maharashtra</t>
  </si>
  <si>
    <t>Canara Bank</t>
  </si>
  <si>
    <t>Central Bank of India</t>
  </si>
  <si>
    <t>IDBI Bank Ltd</t>
  </si>
  <si>
    <t>Indian Overseas Bank</t>
  </si>
  <si>
    <t>Punjab National Bank</t>
  </si>
  <si>
    <t>State Bank of India</t>
  </si>
  <si>
    <t>UCO Bank</t>
  </si>
  <si>
    <t>Balance Sheet</t>
  </si>
  <si>
    <t>Right of  use assets</t>
  </si>
  <si>
    <t>Capital work-in-progress</t>
  </si>
  <si>
    <t>Other intangible assets</t>
  </si>
  <si>
    <t>Financial assets</t>
  </si>
  <si>
    <t xml:space="preserve">    Investments</t>
  </si>
  <si>
    <t xml:space="preserve">    Other non-current financial assets</t>
  </si>
  <si>
    <t>Other non-current assets</t>
  </si>
  <si>
    <t>Non current assets</t>
  </si>
  <si>
    <t>Current Assets</t>
  </si>
  <si>
    <t>Inventories</t>
  </si>
  <si>
    <t xml:space="preserve">    Current investments</t>
  </si>
  <si>
    <t xml:space="preserve">    Trade receivables</t>
  </si>
  <si>
    <t xml:space="preserve">    Cash and cash equivalents</t>
  </si>
  <si>
    <t xml:space="preserve">    Bank balances</t>
  </si>
  <si>
    <t xml:space="preserve">    Loans and interest accrued</t>
  </si>
  <si>
    <t>Current tax assets (net)</t>
  </si>
  <si>
    <t>Other current assets</t>
  </si>
  <si>
    <t>Equity &amp; liabilities</t>
  </si>
  <si>
    <t>Equity</t>
  </si>
  <si>
    <t>Equity share capital</t>
  </si>
  <si>
    <t>Other equity</t>
  </si>
  <si>
    <t>Non current liabilities</t>
  </si>
  <si>
    <t>Financial liabilities</t>
  </si>
  <si>
    <t>Provisions</t>
  </si>
  <si>
    <t>Deferred tax liabilities (net)</t>
  </si>
  <si>
    <t>Other non-current liabilities</t>
  </si>
  <si>
    <t>Current liabilites</t>
  </si>
  <si>
    <t>Other current liabilities</t>
  </si>
  <si>
    <t>Balance sheet details</t>
  </si>
  <si>
    <t>Opening balance</t>
  </si>
  <si>
    <t>Addition</t>
  </si>
  <si>
    <t>Closing balance</t>
  </si>
  <si>
    <t>Investments</t>
  </si>
  <si>
    <t>Raw materials</t>
  </si>
  <si>
    <t>Stores, spares &amp; packing materials</t>
  </si>
  <si>
    <t>Finished goods</t>
  </si>
  <si>
    <t>By-products</t>
  </si>
  <si>
    <t>Work-in-process</t>
  </si>
  <si>
    <t>LPGCL</t>
  </si>
  <si>
    <t>Trade receivables</t>
  </si>
  <si>
    <t>No of days</t>
  </si>
  <si>
    <t>Loans &amp; advances</t>
  </si>
  <si>
    <t>BPGPL</t>
  </si>
  <si>
    <t>BH(S)PL</t>
  </si>
  <si>
    <t>BAPL</t>
  </si>
  <si>
    <t>Claims/ refund recoverable in cash or in kind or for value to be received</t>
  </si>
  <si>
    <t>Duty drawback receivable</t>
  </si>
  <si>
    <t>Receivable under SPP</t>
  </si>
  <si>
    <t>Other advances</t>
  </si>
  <si>
    <t>Other Equity</t>
  </si>
  <si>
    <t>Capital redemption reserve</t>
  </si>
  <si>
    <t>During the year</t>
  </si>
  <si>
    <t>Security premium</t>
  </si>
  <si>
    <t>Utilisation during the year</t>
  </si>
  <si>
    <t>Opneing balance</t>
  </si>
  <si>
    <t xml:space="preserve">Reserve for molasses storage tanks </t>
  </si>
  <si>
    <t>Gain / (loss) on Investment  through FVOCI</t>
  </si>
  <si>
    <t>Change in during the year</t>
  </si>
  <si>
    <t>Actuarial gain / (loss)on  employee benefit plans</t>
  </si>
  <si>
    <t>Statement of profit and loss (retained earnings)</t>
  </si>
  <si>
    <t>Profit/(loss) for the year</t>
  </si>
  <si>
    <t>Exceptional Items</t>
  </si>
  <si>
    <t>Profit / (loss) after tax</t>
  </si>
  <si>
    <t>Repayment</t>
  </si>
  <si>
    <t>Coupon Rate</t>
  </si>
  <si>
    <t>YTM</t>
  </si>
  <si>
    <t>On Term Loans</t>
  </si>
  <si>
    <t>Notional Interest (Lease Liability IndAS-116)</t>
  </si>
  <si>
    <t>Other Borrowing Cost</t>
  </si>
  <si>
    <t>Total finance cost</t>
  </si>
  <si>
    <t>Liabilities</t>
  </si>
  <si>
    <t>Trade Creditors</t>
  </si>
  <si>
    <t>Others</t>
  </si>
  <si>
    <t>Basic Cane Cost</t>
  </si>
  <si>
    <t>Other cane cost</t>
  </si>
  <si>
    <t>Other Financial Liaibilities (Current)</t>
  </si>
  <si>
    <t>Interest accrued but not due on borrowings</t>
  </si>
  <si>
    <t>Interest accrued and due on borrowings</t>
  </si>
  <si>
    <t>Lease Liability- Financial</t>
  </si>
  <si>
    <t>Current maturities of long term  borrowings</t>
  </si>
  <si>
    <t>Interest accrued and due on debentures</t>
  </si>
  <si>
    <t>Unclaimed dividends</t>
  </si>
  <si>
    <t>Days</t>
  </si>
  <si>
    <t>Sanctioned limit</t>
  </si>
  <si>
    <t>Indian Bank (er-Allahabad Bank)</t>
  </si>
  <si>
    <t>Union Bank (er-Corporation Bank)</t>
  </si>
  <si>
    <t>Punjab National Bank (er-OBC)</t>
  </si>
  <si>
    <t>Debtors</t>
  </si>
  <si>
    <t>Cash Flow</t>
  </si>
  <si>
    <t>Profit before tax (PBT)</t>
  </si>
  <si>
    <t>Add</t>
  </si>
  <si>
    <t>Working capital changes</t>
  </si>
  <si>
    <t>(Increase) / Decrease in Trade receivable</t>
  </si>
  <si>
    <t>Increase / (Decrease) in Trade payables</t>
  </si>
  <si>
    <t>Cash flow from investing activities</t>
  </si>
  <si>
    <t>Repayment of unstainable debt (OCD)</t>
  </si>
  <si>
    <t>Short term borrowings (CCL)</t>
  </si>
  <si>
    <t>Payment of interest</t>
  </si>
  <si>
    <t>On term loan for the financial year</t>
  </si>
  <si>
    <t>Accrued interest</t>
  </si>
  <si>
    <t>Interest of CCL</t>
  </si>
  <si>
    <t>Other borrowing cost</t>
  </si>
  <si>
    <t>Net increase/(decrease) in cash and cash equivalents</t>
  </si>
  <si>
    <t>Other income operating income</t>
  </si>
  <si>
    <t>Inventory Changes</t>
  </si>
  <si>
    <t>Total expenses</t>
  </si>
  <si>
    <t>Inventory changes - DISTILLERY</t>
  </si>
  <si>
    <t>PAT</t>
  </si>
  <si>
    <t>Particulars</t>
  </si>
  <si>
    <t>Bio mannure</t>
  </si>
  <si>
    <t>Sanitizer</t>
  </si>
  <si>
    <t>CO2</t>
  </si>
  <si>
    <t>Dry Ice</t>
  </si>
  <si>
    <t>Other Comprehensive income</t>
  </si>
  <si>
    <t>FY</t>
  </si>
  <si>
    <t>Principal</t>
  </si>
  <si>
    <t>FY 18</t>
  </si>
  <si>
    <t>FY 19</t>
  </si>
  <si>
    <t>Notes</t>
  </si>
  <si>
    <t>Conversion of Loan from promoters to Equity</t>
  </si>
  <si>
    <t>General Reserve</t>
  </si>
  <si>
    <t>Current maturities of Debentures</t>
  </si>
  <si>
    <t>Plant &amp; Machinery</t>
  </si>
  <si>
    <t>Vehicles</t>
  </si>
  <si>
    <t>MAT Credit</t>
  </si>
  <si>
    <t>Cash flow from financing activity</t>
  </si>
  <si>
    <t>Closing Balance</t>
  </si>
  <si>
    <t>Opening Balance</t>
  </si>
  <si>
    <t>TDS</t>
  </si>
  <si>
    <t>Weighted average rate  (as computed below)</t>
  </si>
  <si>
    <t>Weighted interest Rate</t>
  </si>
  <si>
    <t>YTM Rate</t>
  </si>
  <si>
    <t>prescribed in the model, as per sanction letter</t>
  </si>
  <si>
    <t>Interest</t>
  </si>
  <si>
    <t>Notes:</t>
  </si>
  <si>
    <t>a)</t>
  </si>
  <si>
    <r>
      <t xml:space="preserve">On FITL and WCTL applicable interest is </t>
    </r>
    <r>
      <rPr>
        <b/>
        <sz val="11"/>
        <color theme="1"/>
        <rFont val="Calibri"/>
        <family val="2"/>
        <scheme val="minor"/>
      </rPr>
      <t>Base rate + spread</t>
    </r>
  </si>
  <si>
    <t>b)</t>
  </si>
  <si>
    <r>
      <t xml:space="preserve">On TLs interest rate is applicable interest is </t>
    </r>
    <r>
      <rPr>
        <b/>
        <sz val="11"/>
        <color theme="1"/>
        <rFont val="Calibri"/>
        <family val="2"/>
        <scheme val="minor"/>
      </rPr>
      <t>MCLR + spread</t>
    </r>
  </si>
  <si>
    <t>c)</t>
  </si>
  <si>
    <t>Split of OCD (unsustainable debt) has been derived on the basis of ratios worked out basing the S4A model</t>
  </si>
  <si>
    <t>d)</t>
  </si>
  <si>
    <t>e)</t>
  </si>
  <si>
    <t>FY 18, interest and YTM has been calcuated from the days of allotment; in subsequent years for full years</t>
  </si>
  <si>
    <t>Computation of YTM up to YTM</t>
  </si>
  <si>
    <t>Quarter</t>
  </si>
  <si>
    <t>Allotment</t>
  </si>
  <si>
    <t>OCD</t>
  </si>
  <si>
    <t>RoI for principal</t>
  </si>
  <si>
    <t>RoI for YTM</t>
  </si>
  <si>
    <t>Q1</t>
  </si>
  <si>
    <t>Net Amount</t>
  </si>
  <si>
    <t>Gross Amount</t>
  </si>
  <si>
    <t>Rs/Share</t>
  </si>
  <si>
    <t>No of Shares</t>
  </si>
  <si>
    <t>Conversion to Equity</t>
  </si>
  <si>
    <t>Less TDS</t>
  </si>
  <si>
    <t>Total amount to be converted to Equity</t>
  </si>
  <si>
    <t>Conversion Rate</t>
  </si>
  <si>
    <t>Months</t>
  </si>
  <si>
    <t>Month</t>
  </si>
  <si>
    <t>Purchase of property, plant and equipment (CAPEX)</t>
  </si>
  <si>
    <t>Current tax payable</t>
  </si>
  <si>
    <t>Tax paid</t>
  </si>
  <si>
    <t>EBITDA - cash generation before working capital changes</t>
  </si>
  <si>
    <t>Total Comprehensive income</t>
  </si>
  <si>
    <t>Stock holding</t>
  </si>
  <si>
    <t>Alcohol C</t>
  </si>
  <si>
    <t>Alcohol B</t>
  </si>
  <si>
    <t>Molasses - C - Levy</t>
  </si>
  <si>
    <t>Valuation net of margin</t>
  </si>
  <si>
    <t>Creditors</t>
  </si>
  <si>
    <t>Closing Stock</t>
  </si>
  <si>
    <t>Molasses C (Sugar + Distillery)</t>
  </si>
  <si>
    <t>Molasses B (Sugar + Distillery)</t>
  </si>
  <si>
    <t>Inventory - Stores &amp; Spares</t>
  </si>
  <si>
    <t>Margin</t>
  </si>
  <si>
    <t>Total valuation</t>
  </si>
  <si>
    <t>Total Margin</t>
  </si>
  <si>
    <t>Sugar Net of creditors</t>
  </si>
  <si>
    <t>Sugar stock net of creditors</t>
  </si>
  <si>
    <t>Total DP</t>
  </si>
  <si>
    <t>Interest Rate</t>
  </si>
  <si>
    <t xml:space="preserve"> </t>
  </si>
  <si>
    <t>Sugar Season</t>
  </si>
  <si>
    <t>Basic Recovery Level</t>
  </si>
  <si>
    <t>2009-10</t>
  </si>
  <si>
    <t>2010-11</t>
  </si>
  <si>
    <t>2011-12</t>
  </si>
  <si>
    <t>2012-13</t>
  </si>
  <si>
    <t>2013-14</t>
  </si>
  <si>
    <t>2014-15</t>
  </si>
  <si>
    <t>2015-16</t>
  </si>
  <si>
    <t>2016-17</t>
  </si>
  <si>
    <t>2017-18</t>
  </si>
  <si>
    <t>2018-19</t>
  </si>
  <si>
    <t>2019-20</t>
  </si>
  <si>
    <t>2020-21</t>
  </si>
  <si>
    <t>Sugar cane price trend (FRP)</t>
  </si>
  <si>
    <t>Ethanol season</t>
  </si>
  <si>
    <t>18-19</t>
  </si>
  <si>
    <t>19-20</t>
  </si>
  <si>
    <t>20-21</t>
  </si>
  <si>
    <t>Price per ltr for C heavy Molasses</t>
  </si>
  <si>
    <t>Price per ltr for B heavy Molasses</t>
  </si>
  <si>
    <t>% increase</t>
  </si>
  <si>
    <t>Term loan repayment</t>
  </si>
  <si>
    <t>FY22</t>
  </si>
  <si>
    <t>Cash DSCR</t>
  </si>
  <si>
    <t>Date</t>
  </si>
  <si>
    <t>Calculation of Cash DSCR</t>
  </si>
  <si>
    <t>Capacity utilization</t>
  </si>
  <si>
    <t>WCTL-1</t>
  </si>
  <si>
    <t>WCTL-2</t>
  </si>
  <si>
    <t>TL-1</t>
  </si>
  <si>
    <t>TL-3</t>
  </si>
  <si>
    <t>FITL</t>
  </si>
  <si>
    <t>Number of operational days</t>
  </si>
  <si>
    <t>Average basic cane price (State Advised Price)</t>
  </si>
  <si>
    <t>Other associated cane cost (Transportation of cane from buying centres to factories + loading / unloading)</t>
  </si>
  <si>
    <t>Credit Days (cane creditors)</t>
  </si>
  <si>
    <t>Credit Days (Others)</t>
  </si>
  <si>
    <t>Payment of accrued interest</t>
  </si>
  <si>
    <t>Year ended</t>
  </si>
  <si>
    <t>Audited</t>
  </si>
  <si>
    <t>Projected</t>
  </si>
  <si>
    <t>Units</t>
  </si>
  <si>
    <t>GOI levy</t>
  </si>
  <si>
    <t>GOI average recovery rate</t>
  </si>
  <si>
    <t>Operational efficiency</t>
  </si>
  <si>
    <t>%</t>
  </si>
  <si>
    <t>Average sugar recovery</t>
  </si>
  <si>
    <t>Input prices</t>
  </si>
  <si>
    <t>Output prices</t>
  </si>
  <si>
    <t>Statement of profit and Loss</t>
  </si>
  <si>
    <t>Growth in income (%)</t>
  </si>
  <si>
    <t>Profit &amp; Loss Statement - Corporate</t>
  </si>
  <si>
    <t>EBITDA margin (%)</t>
  </si>
  <si>
    <t>Other operating income</t>
  </si>
  <si>
    <t>Other Income (income from SPP claim received)</t>
  </si>
  <si>
    <t>(+) Additions</t>
  </si>
  <si>
    <t>(-) Converted to equity</t>
  </si>
  <si>
    <t>(+) Interest accrued</t>
  </si>
  <si>
    <t>(-) Repayment</t>
  </si>
  <si>
    <t>Interest paid</t>
  </si>
  <si>
    <t>Loan from Promoters - 1</t>
  </si>
  <si>
    <t>Loan from Promoters - 2</t>
  </si>
  <si>
    <t>Total Closing balance</t>
  </si>
  <si>
    <t>Total Interest</t>
  </si>
  <si>
    <t>Debentures</t>
  </si>
  <si>
    <t>Power &amp; Fuel (from outside)</t>
  </si>
  <si>
    <t>Total Direct expenses</t>
  </si>
  <si>
    <t>Profit &amp; Loss Statement - Distillery</t>
  </si>
  <si>
    <t>Total Revenue</t>
  </si>
  <si>
    <t>&lt;&lt;to check&gt;&gt;</t>
  </si>
  <si>
    <t>(+) Production</t>
  </si>
  <si>
    <t>(-) Sales</t>
  </si>
  <si>
    <t>(-) Inter segment transfers</t>
  </si>
  <si>
    <t>(+) Received from sugar</t>
  </si>
  <si>
    <t>(-) Purchased from outside</t>
  </si>
  <si>
    <t>(-) Consumed in Alcohol production</t>
  </si>
  <si>
    <t>Closing stock %</t>
  </si>
  <si>
    <t>(-) Sold outside</t>
  </si>
  <si>
    <t>(-) Transferred to Distillery to be converted to Bio mannaured</t>
  </si>
  <si>
    <t>To check</t>
  </si>
  <si>
    <t>ASSETS</t>
  </si>
  <si>
    <t>Total Non-Current Assets</t>
  </si>
  <si>
    <t>Total Current Assets</t>
  </si>
  <si>
    <t>Total Assets</t>
  </si>
  <si>
    <t>Networth</t>
  </si>
  <si>
    <t>Total Non current liabilities</t>
  </si>
  <si>
    <t>Total Current liabilites</t>
  </si>
  <si>
    <t>Total Equity &amp; liabilities</t>
  </si>
  <si>
    <t>NRV / COP</t>
  </si>
  <si>
    <t>Changes in Inventory</t>
  </si>
  <si>
    <t>Profit &amp; Loss Statement - Sugar + Cogen</t>
  </si>
  <si>
    <t>Other operating Revenue</t>
  </si>
  <si>
    <t>Total cost of raw material consumed</t>
  </si>
  <si>
    <t>Total Revenue from Operations</t>
  </si>
  <si>
    <t>Total value of inventory</t>
  </si>
  <si>
    <t>Total Creditors</t>
  </si>
  <si>
    <t>Equity Component of Compound Financial Instrument</t>
  </si>
  <si>
    <t>Total Investments</t>
  </si>
  <si>
    <t>Total Provision for diminution on Investments</t>
  </si>
  <si>
    <t>Provision for diminution on Investments</t>
  </si>
  <si>
    <t>Net Investments</t>
  </si>
  <si>
    <t>Total Inventories</t>
  </si>
  <si>
    <t>Total inventory at Distillery</t>
  </si>
  <si>
    <t>Dimunition on Loans &amp; Advances</t>
  </si>
  <si>
    <t>Total Loans &amp; Advances</t>
  </si>
  <si>
    <t>Total Dimunition on Loans &amp; Advances</t>
  </si>
  <si>
    <t>Net Loans and Advances</t>
  </si>
  <si>
    <t>Total Other current assets</t>
  </si>
  <si>
    <t>Year End</t>
  </si>
  <si>
    <t>Book Depreciation</t>
  </si>
  <si>
    <t>Tax Depreciation</t>
  </si>
  <si>
    <t>Add: Book Depreciation</t>
  </si>
  <si>
    <t>PBDT</t>
  </si>
  <si>
    <t>Less: Tax Depreciation</t>
  </si>
  <si>
    <t>Profit for tax calculation</t>
  </si>
  <si>
    <t>Less: Set-off of business loss</t>
  </si>
  <si>
    <t>Less: Unabsorbed Depreciation</t>
  </si>
  <si>
    <t>Gross Taxable Income</t>
  </si>
  <si>
    <t>Tax payable as per normal provisions</t>
  </si>
  <si>
    <t>Business Loss</t>
  </si>
  <si>
    <t>Add: Losses during the year</t>
  </si>
  <si>
    <t>Less: Set-off during the year</t>
  </si>
  <si>
    <t>Balance</t>
  </si>
  <si>
    <t>Unabsorbed depreciation</t>
  </si>
  <si>
    <t>Add: Depreciation during the year</t>
  </si>
  <si>
    <t>MAT</t>
  </si>
  <si>
    <t>Less: Book depreciation</t>
  </si>
  <si>
    <t>Profit Before Tax</t>
  </si>
  <si>
    <t>Adjustment for brought forward depreciation/loss</t>
  </si>
  <si>
    <t>Book profits</t>
  </si>
  <si>
    <t>Less: Brought forward depreciation/business loss whichever is less</t>
  </si>
  <si>
    <t>Opening unabsorbed depreciation</t>
  </si>
  <si>
    <t>Add: During the year</t>
  </si>
  <si>
    <t>Less: Set off of profits during the year</t>
  </si>
  <si>
    <t>Closing unabsorbed depreciation</t>
  </si>
  <si>
    <t>Opening accumulated business loss</t>
  </si>
  <si>
    <t>Closing accumulated business loss</t>
  </si>
  <si>
    <t>MAT credit and maximum carry forward</t>
  </si>
  <si>
    <t>Opening balance of MAT Credit</t>
  </si>
  <si>
    <t>Add: Added during the year</t>
  </si>
  <si>
    <t>Less: Set off during the year</t>
  </si>
  <si>
    <t xml:space="preserve">Amount after set off </t>
  </si>
  <si>
    <t>Less: Lapsed during the year</t>
  </si>
  <si>
    <t>Closing balance of MAT Credit</t>
  </si>
  <si>
    <t>Actual tax liability (Higher of A and B)</t>
  </si>
  <si>
    <t>Less: MAT Credit</t>
  </si>
  <si>
    <t>Actual Tax payment</t>
  </si>
  <si>
    <t>Deferred Tax</t>
  </si>
  <si>
    <t>Depreciation as per books</t>
  </si>
  <si>
    <t>Depreciation as per Income Tax</t>
  </si>
  <si>
    <t>Difference</t>
  </si>
  <si>
    <t>Deferred Tax (Liability) / Assets</t>
  </si>
  <si>
    <t>Opening Balance of DTL / (DTA)</t>
  </si>
  <si>
    <t>Add: Deferred Tax Liability / (Assets)</t>
  </si>
  <si>
    <t>Closing Balance of DTL / (DTA)</t>
  </si>
  <si>
    <t>INR Cr</t>
  </si>
  <si>
    <t>Effective tax rate as per sec 115BAA</t>
  </si>
  <si>
    <t>% as per normal prov.</t>
  </si>
  <si>
    <t>% as per MAT prov.</t>
  </si>
  <si>
    <t>Basic Rate</t>
  </si>
  <si>
    <t>Surcharge @12%</t>
  </si>
  <si>
    <t>Cess @ 4%</t>
  </si>
  <si>
    <t xml:space="preserve">Effective rate </t>
  </si>
  <si>
    <t>Depreciation as per Companies Act</t>
  </si>
  <si>
    <t>Land Freehold</t>
  </si>
  <si>
    <t>Beginning Gross Block</t>
  </si>
  <si>
    <t>Additions during the year</t>
  </si>
  <si>
    <t>Gross Block</t>
  </si>
  <si>
    <t>Accumulated Depreciation</t>
  </si>
  <si>
    <t>Net Block</t>
  </si>
  <si>
    <t>Land Leasehold</t>
  </si>
  <si>
    <t>Building</t>
  </si>
  <si>
    <t>Furniture &amp; Fixtures</t>
  </si>
  <si>
    <t>Summary</t>
  </si>
  <si>
    <t>Loan from Promoters</t>
  </si>
  <si>
    <t>WCTL -1</t>
  </si>
  <si>
    <t>WCTL - 2</t>
  </si>
  <si>
    <t xml:space="preserve">TL -1 </t>
  </si>
  <si>
    <t>TL -3</t>
  </si>
  <si>
    <t xml:space="preserve">Year </t>
  </si>
  <si>
    <t>Op Balance</t>
  </si>
  <si>
    <t>Cl Balance</t>
  </si>
  <si>
    <t>Payment</t>
  </si>
  <si>
    <t>Existing Repayment Schedule</t>
  </si>
  <si>
    <t>ROI</t>
  </si>
  <si>
    <t xml:space="preserve">    Borrowings</t>
  </si>
  <si>
    <t>- Debentures (OCD)</t>
  </si>
  <si>
    <t>- Bank borrowings</t>
  </si>
  <si>
    <t>- Loan from promoters</t>
  </si>
  <si>
    <t>Total Current Other Financial Liabilities</t>
  </si>
  <si>
    <t>Repayment schedule</t>
  </si>
  <si>
    <t>Ethanol prices</t>
  </si>
  <si>
    <t>Basis</t>
  </si>
  <si>
    <t>80% of Sugar price</t>
  </si>
  <si>
    <t>DP Calculation</t>
  </si>
  <si>
    <t>Note: WIP and RM stock ignored as DP is not admissible on that</t>
  </si>
  <si>
    <t>Margin Calculation</t>
  </si>
  <si>
    <t>DP to be utilised</t>
  </si>
  <si>
    <t>Working Capital Assumptions</t>
  </si>
  <si>
    <t>Receivables</t>
  </si>
  <si>
    <t>- Cane Creditors</t>
  </si>
  <si>
    <t>- Other Creditors</t>
  </si>
  <si>
    <t>No of days of Operating Revenue</t>
  </si>
  <si>
    <t>Other income</t>
  </si>
  <si>
    <t>Capex</t>
  </si>
  <si>
    <t>- Maintenance capex</t>
  </si>
  <si>
    <t>Capital Work in Progress</t>
  </si>
  <si>
    <t>Right of Use asset</t>
  </si>
  <si>
    <t>Intangible Assets</t>
  </si>
  <si>
    <t>Depreciation under IT Act</t>
  </si>
  <si>
    <t>No of days of cane cost</t>
  </si>
  <si>
    <t>No of days of other expenses</t>
  </si>
  <si>
    <t>Proposed Repayment Schedule</t>
  </si>
  <si>
    <t>Existing</t>
  </si>
  <si>
    <t>Proposed</t>
  </si>
  <si>
    <t>Less: Tax payments</t>
  </si>
  <si>
    <t>Opening</t>
  </si>
  <si>
    <t>(-) Repayments</t>
  </si>
  <si>
    <t>Closing</t>
  </si>
  <si>
    <t>Total Principal</t>
  </si>
  <si>
    <t>Interest on Promoter Loan</t>
  </si>
  <si>
    <t>On Working Capital Facility</t>
  </si>
  <si>
    <t>Repayment of Term loan</t>
  </si>
  <si>
    <t>Cash flow from operating activity</t>
  </si>
  <si>
    <t>Cashflow from operations</t>
  </si>
  <si>
    <t>Working Capital Changes</t>
  </si>
  <si>
    <t>Capital infusion through LPGCL</t>
  </si>
  <si>
    <t>Repayment of loans</t>
  </si>
  <si>
    <t>Total Payment of Interest</t>
  </si>
  <si>
    <t>Opening balance of cash</t>
  </si>
  <si>
    <t>Closing balance of cash</t>
  </si>
  <si>
    <t>Fund infusion by preferential allotment</t>
  </si>
  <si>
    <t>Preferential allotment of shares</t>
  </si>
  <si>
    <t>Preferential allotment of shares of BHSL</t>
  </si>
  <si>
    <t>Shares to be issued to lenders</t>
  </si>
  <si>
    <t>BHSPL Revised Shareholding pattern</t>
  </si>
  <si>
    <t>Promoter &amp; Promoter Group</t>
  </si>
  <si>
    <t>Financial Institutions / Banks</t>
  </si>
  <si>
    <t>Public - Others</t>
  </si>
  <si>
    <t>Shares to be issued to Promoters</t>
  </si>
  <si>
    <t>- Equity Share Capital</t>
  </si>
  <si>
    <t>- Security Premium</t>
  </si>
  <si>
    <t>Property, plant and equipment</t>
  </si>
  <si>
    <t>Working Capital</t>
  </si>
  <si>
    <t>Trade payables</t>
  </si>
  <si>
    <t>Other financial liabilities</t>
  </si>
  <si>
    <t>Promoter infusion</t>
  </si>
  <si>
    <t>Total cane crushing capacity per day</t>
  </si>
  <si>
    <t>Factory Building (10%)</t>
  </si>
  <si>
    <t>Non-Factory Building (5%)</t>
  </si>
  <si>
    <t>Plant &amp; Machinery (40%)</t>
  </si>
  <si>
    <t>Plant &amp; Machinery (15%)</t>
  </si>
  <si>
    <t>Furniture &amp; Fixtures (10%)</t>
  </si>
  <si>
    <t>Vehicles (15%)</t>
  </si>
  <si>
    <t>Vehicles (40%)</t>
  </si>
  <si>
    <t>Computer (40%)</t>
  </si>
  <si>
    <t>Office Equipment (15%)</t>
  </si>
  <si>
    <t>Deferred tax (Mat credit lapsed + MAT credit created)</t>
  </si>
  <si>
    <t>- Term Loan</t>
  </si>
  <si>
    <t>- WC</t>
  </si>
  <si>
    <t>Add: Promoter infusion</t>
  </si>
  <si>
    <t>Less: Capex</t>
  </si>
  <si>
    <t>Less: WC Changes</t>
  </si>
  <si>
    <t>Total operating income</t>
  </si>
  <si>
    <t>Add: Infusion from LPGCL</t>
  </si>
  <si>
    <t>Net Cash</t>
  </si>
  <si>
    <t>Opening cash balance</t>
  </si>
  <si>
    <t>Closing cash balance</t>
  </si>
  <si>
    <t>to check</t>
  </si>
  <si>
    <t>Less: TDS on YTM</t>
  </si>
  <si>
    <t>Less: Other borrowing costs</t>
  </si>
  <si>
    <t>Less: Coupon on OCD</t>
  </si>
  <si>
    <t>Cane crushed - C Mol</t>
  </si>
  <si>
    <t>Total cane crushed</t>
  </si>
  <si>
    <t>Recovery sacrified due to B Molasses (from FY21)</t>
  </si>
  <si>
    <t>Sugar recovery - B Mol (starting from FY21)</t>
  </si>
  <si>
    <t>Cane crushed  - B Mol (starting from FY21)</t>
  </si>
  <si>
    <t>Inter segment transfer prices</t>
  </si>
  <si>
    <t>Cane Creditors (including cane commission)</t>
  </si>
  <si>
    <t>Sugar cane price trend (SAP)</t>
  </si>
  <si>
    <t>SAP (Rs. / quintal)</t>
  </si>
  <si>
    <t>FRP (Rs./ quintal)</t>
  </si>
  <si>
    <t>Bajaj Hindusthan Singapore P Ltd</t>
  </si>
  <si>
    <t>Bajaj Power Generation Co Ltd</t>
  </si>
  <si>
    <t>Bajaj Aviation Ltd</t>
  </si>
  <si>
    <t>Subsidiaries</t>
  </si>
  <si>
    <t>Current investments (Group Company)</t>
  </si>
  <si>
    <t>Associates</t>
  </si>
  <si>
    <t>Esugar India Ltd</t>
  </si>
  <si>
    <t>Bajaj Ebiz Pvt Ltd</t>
  </si>
  <si>
    <t>Preference shares in Phenil Sugars</t>
  </si>
  <si>
    <t>Debentures in Phenil Sugars</t>
  </si>
  <si>
    <t>Ojas Industries P Limited</t>
  </si>
  <si>
    <t>Particulars (as on 31-Mar-21)</t>
  </si>
  <si>
    <t>Interest overdues</t>
  </si>
  <si>
    <t>Add: Drawdown of WC</t>
  </si>
  <si>
    <t>Disclaimer</t>
  </si>
  <si>
    <t>Others (Sanitizer)</t>
  </si>
  <si>
    <t>Early</t>
  </si>
  <si>
    <t>General</t>
  </si>
  <si>
    <t>Unapproved</t>
  </si>
  <si>
    <t>Crushing capacity</t>
  </si>
  <si>
    <t>West</t>
  </si>
  <si>
    <t>Kinauni</t>
  </si>
  <si>
    <t>Thanbhawan</t>
  </si>
  <si>
    <t>Budana</t>
  </si>
  <si>
    <t>Bilai</t>
  </si>
  <si>
    <t>Gagnauli</t>
  </si>
  <si>
    <t>Sub-total (A)</t>
  </si>
  <si>
    <t>Central</t>
  </si>
  <si>
    <t>Gola</t>
  </si>
  <si>
    <t>Palia</t>
  </si>
  <si>
    <t>Khmbarkhera</t>
  </si>
  <si>
    <t>Barkhera</t>
  </si>
  <si>
    <t>Maqsoodpur</t>
  </si>
  <si>
    <t>Sub-total (B)</t>
  </si>
  <si>
    <t>East</t>
  </si>
  <si>
    <t>Pratappur</t>
  </si>
  <si>
    <t>Rudoli</t>
  </si>
  <si>
    <t>Utrola</t>
  </si>
  <si>
    <t>Kundarki</t>
  </si>
  <si>
    <t>Sub-total (C)</t>
  </si>
  <si>
    <t>Cane actually crushed</t>
  </si>
  <si>
    <t>Qtl</t>
  </si>
  <si>
    <t>Sugar recovery rate (%)</t>
  </si>
  <si>
    <t>Free stock of sugar (% of Closing stock)</t>
  </si>
  <si>
    <t>Qty of C-Molasses produced</t>
  </si>
  <si>
    <t>Molasses - C recovery from cane (% of cane crushed)</t>
  </si>
  <si>
    <t>Molasses - C closing stock (% of Molasses-C produced)</t>
  </si>
  <si>
    <t>Molasses - C Sold outside (% of Molasses-C produced)</t>
  </si>
  <si>
    <t>Qty of Molasses - C Sold Outside</t>
  </si>
  <si>
    <t>Bagasse - Opening stock  (Sugar Div Only)</t>
  </si>
  <si>
    <t>Fixed Assets Schedule</t>
  </si>
  <si>
    <t>Sugar + Cogen</t>
  </si>
  <si>
    <t>Distillery</t>
  </si>
  <si>
    <t>Corporate</t>
  </si>
  <si>
    <t>Mill Name</t>
  </si>
  <si>
    <t>Transfer to FA</t>
  </si>
  <si>
    <t>Total Expenses</t>
  </si>
  <si>
    <t>Computation of COP for Alcohol</t>
  </si>
  <si>
    <t>Details of Cost incurred</t>
  </si>
  <si>
    <t>Other expenses (excluding S&amp;D)</t>
  </si>
  <si>
    <t>Particulars (INR Cr)</t>
  </si>
  <si>
    <t>lakh Qtl</t>
  </si>
  <si>
    <t>Gate Cane Early</t>
  </si>
  <si>
    <t>Gate Cane Unapproved</t>
  </si>
  <si>
    <t>Gate Cane Burnt</t>
  </si>
  <si>
    <t>Lakh Qtl</t>
  </si>
  <si>
    <t>Opening Stock</t>
  </si>
  <si>
    <t>Grand Total Centre (B)</t>
  </si>
  <si>
    <t>TOTAL CANE (A+B)</t>
  </si>
  <si>
    <t>Grand Total Gate (A)</t>
  </si>
  <si>
    <t>At gate</t>
  </si>
  <si>
    <t>At buying centre</t>
  </si>
  <si>
    <t>Distillery capacity utilisation</t>
  </si>
  <si>
    <t>Capacity</t>
  </si>
  <si>
    <t>KLPD</t>
  </si>
  <si>
    <t>Khambarkhera</t>
  </si>
  <si>
    <t>Rudauli</t>
  </si>
  <si>
    <t>UOM</t>
  </si>
  <si>
    <t>Cane Purchase Gate</t>
  </si>
  <si>
    <t>Cane Purchase Centre</t>
  </si>
  <si>
    <t>Burnt Cane Adj</t>
  </si>
  <si>
    <t>Cane Price Variance gate</t>
  </si>
  <si>
    <t>Cane Price Variance Centre</t>
  </si>
  <si>
    <t>Sub Total A</t>
  </si>
  <si>
    <t>Commision Gate</t>
  </si>
  <si>
    <t>Commission Centre</t>
  </si>
  <si>
    <t>SPP Claim - Commission</t>
  </si>
  <si>
    <t>Cane Purchase Tax Gate</t>
  </si>
  <si>
    <t>Cane Purchase Tax Center</t>
  </si>
  <si>
    <t>Railway Freight</t>
  </si>
  <si>
    <t>Truck Freight</t>
  </si>
  <si>
    <t>SPP Claim - Freight</t>
  </si>
  <si>
    <t>Cane TPT Toll Tax</t>
  </si>
  <si>
    <t>Cane Loading</t>
  </si>
  <si>
    <t>Cane Parking Yard</t>
  </si>
  <si>
    <t>Cane Centre Exp.</t>
  </si>
  <si>
    <t>Cane Marketing &amp; Devlopment</t>
  </si>
  <si>
    <t>Cane Subsidy State GoV</t>
  </si>
  <si>
    <t>Sub Total B</t>
  </si>
  <si>
    <t>Grand Total  A+B</t>
  </si>
  <si>
    <t>Cane Qty Gate</t>
  </si>
  <si>
    <t>Cane Qty Centre</t>
  </si>
  <si>
    <t>Procurement Exp</t>
  </si>
  <si>
    <t>Landed Cost</t>
  </si>
  <si>
    <t>Opening Stock Value</t>
  </si>
  <si>
    <t>Closing Stock Value</t>
  </si>
  <si>
    <t>Raw Material Rate</t>
  </si>
  <si>
    <t>- Loan from others</t>
  </si>
  <si>
    <t>Other borrowing costs</t>
  </si>
  <si>
    <t>Interest on delay deposit of GST etc,</t>
  </si>
  <si>
    <t>Interest on security deposit &amp; others</t>
  </si>
  <si>
    <t>Bank Charges</t>
  </si>
  <si>
    <t>Processing fee / Review charges / TRA fee etc</t>
  </si>
  <si>
    <t>Other advances under other current assets</t>
  </si>
  <si>
    <t>Advances to Vendors</t>
  </si>
  <si>
    <t>Advances to farmers (cane seed / fertilizers etc)</t>
  </si>
  <si>
    <t>Deposit under protest with Excise and other Govt Departments</t>
  </si>
  <si>
    <t>Advance for land purchase</t>
  </si>
  <si>
    <t>Prepaid expenses</t>
  </si>
  <si>
    <t>Misc deposits, fees etc (refundable)</t>
  </si>
  <si>
    <t xml:space="preserve">Other current Liabilities </t>
  </si>
  <si>
    <t>Provision For Admn Charges Paid Under Protest</t>
  </si>
  <si>
    <t>Provision For Water Cess</t>
  </si>
  <si>
    <t>Deposit Received From High Court Mumbai</t>
  </si>
  <si>
    <t>Stale Cheques</t>
  </si>
  <si>
    <t>Sugar Selling Commission</t>
  </si>
  <si>
    <t>Old Outstanding Liabilities</t>
  </si>
  <si>
    <t>Provision For Bonus</t>
  </si>
  <si>
    <t>Provision For  Salary , Exgratia Bonus ,Sup Ann Etc</t>
  </si>
  <si>
    <t>Unclaimed Salary A/C (New)</t>
  </si>
  <si>
    <t>Salary Payable A/C</t>
  </si>
  <si>
    <t>Advances From Customers</t>
  </si>
  <si>
    <t>Employees Related Dues (Pf Etc)</t>
  </si>
  <si>
    <t>TDS Payable</t>
  </si>
  <si>
    <t>GST Liability</t>
  </si>
  <si>
    <t>Other Misc Liabilities</t>
  </si>
  <si>
    <t>Cane purchases data</t>
  </si>
  <si>
    <t>Total Qty of Cane purchased</t>
  </si>
  <si>
    <t>Details of quantity of cane</t>
  </si>
  <si>
    <t>Total Gate Cane Early</t>
  </si>
  <si>
    <t>Gate Cane General</t>
  </si>
  <si>
    <t>Total Gate Cane General</t>
  </si>
  <si>
    <t>Total Gate Cane unapproved</t>
  </si>
  <si>
    <t>Total Gate Cane Burnt</t>
  </si>
  <si>
    <t>Total opening stock of cane</t>
  </si>
  <si>
    <t>Total Cane Purchase</t>
  </si>
  <si>
    <t>Total Closing stock of cane</t>
  </si>
  <si>
    <t>Consumption (balancing figure)</t>
  </si>
  <si>
    <t>Total Consumption of cane</t>
  </si>
  <si>
    <t>Total Cane Purchase (Gate + Centre)</t>
  </si>
  <si>
    <t>Burnt</t>
  </si>
  <si>
    <t>Total Purchase</t>
  </si>
  <si>
    <t>Excise Duty on goods sold</t>
  </si>
  <si>
    <t>Capacity Utilization %</t>
  </si>
  <si>
    <t>BG Commission (Ethanol bidding)</t>
  </si>
  <si>
    <t>Sugar Produced From Cane - Finished Goods</t>
  </si>
  <si>
    <t>Sugar Biss Reprocess - Loss</t>
  </si>
  <si>
    <t>Sugar WIP Opening Stock</t>
  </si>
  <si>
    <t>Sugar WIP Closing Stock</t>
  </si>
  <si>
    <t>Excess / (Shortage) if any</t>
  </si>
  <si>
    <t>Qty of Molasses - Tr to Inter Segment</t>
  </si>
  <si>
    <t>Molasses C in Sugar Div - (loss) / Gain</t>
  </si>
  <si>
    <t>B Molasses Transfer Inter Segment</t>
  </si>
  <si>
    <t>B Molasses Closing Stock in Sugar Div</t>
  </si>
  <si>
    <t>B Molasses in Sugar - Closing WIP</t>
  </si>
  <si>
    <t>Op Stock of C Molasses in Distt</t>
  </si>
  <si>
    <t>GNL</t>
  </si>
  <si>
    <t>Recd / Purchased from Sugar Div</t>
  </si>
  <si>
    <t>C Molasses - Consumed</t>
  </si>
  <si>
    <t>C Molasses - Gain /( Loss)</t>
  </si>
  <si>
    <t>C Molasses - Closing Stock</t>
  </si>
  <si>
    <t>B Molasses Recd / Purchased from Sugar Div</t>
  </si>
  <si>
    <t>B Molasses - Consumed</t>
  </si>
  <si>
    <t>B Molasses - Gain /( Loss)</t>
  </si>
  <si>
    <t>B Molasses - Closing Stock</t>
  </si>
  <si>
    <t>Ltr</t>
  </si>
  <si>
    <t>Bagasse - Sold Outside</t>
  </si>
  <si>
    <t>Bagasse - Closing Stock Sugar</t>
  </si>
  <si>
    <t xml:space="preserve">Power Division : </t>
  </si>
  <si>
    <t>Op stock of Bagasse</t>
  </si>
  <si>
    <t>Bagasse Recd Inter Segment</t>
  </si>
  <si>
    <t>Bagasse Purchase Outside</t>
  </si>
  <si>
    <t>Bagasse Closing Stock in Power Division</t>
  </si>
  <si>
    <t>Lease Rent Recevied</t>
  </si>
  <si>
    <t>Scrap Sale</t>
  </si>
  <si>
    <t>Interest Recd</t>
  </si>
  <si>
    <t>Unrealised Forex Gain</t>
  </si>
  <si>
    <t>Insurance Claim</t>
  </si>
  <si>
    <t>Misc Receipt</t>
  </si>
  <si>
    <t>Penalty &amp; Other</t>
  </si>
  <si>
    <t>Employee Recovery</t>
  </si>
  <si>
    <t>Total Other Non Operating Income</t>
  </si>
  <si>
    <t>Other Non Operating Income</t>
  </si>
  <si>
    <t>Scrap Sales</t>
  </si>
  <si>
    <t>Duty Draw Back Recd</t>
  </si>
  <si>
    <t>Sale of Export Licence</t>
  </si>
  <si>
    <t>Store Sales</t>
  </si>
  <si>
    <t>Prov No Longer Required</t>
  </si>
  <si>
    <t>Lease Rent Recd</t>
  </si>
  <si>
    <t>Total Other Operating Income</t>
  </si>
  <si>
    <t>Other Operating Income</t>
  </si>
  <si>
    <t>Total Other expenses</t>
  </si>
  <si>
    <t>Sugar + Cogen division</t>
  </si>
  <si>
    <t>No of operational Days</t>
  </si>
  <si>
    <t>No of Run Days</t>
  </si>
  <si>
    <t>Unrealised Forex gain</t>
  </si>
  <si>
    <t>Insurance Claim Recd</t>
  </si>
  <si>
    <t>Credit Balance Appropriate</t>
  </si>
  <si>
    <t>Gain on Sale of Asset</t>
  </si>
  <si>
    <t>Total Other Income</t>
  </si>
  <si>
    <t>Opening Stock on sugar cane</t>
  </si>
  <si>
    <t>Closing Stock of sugar cane</t>
  </si>
  <si>
    <t>Sugarcane data</t>
  </si>
  <si>
    <t>(+) Purchase</t>
  </si>
  <si>
    <t>(-) Consumed</t>
  </si>
  <si>
    <t>Quantity</t>
  </si>
  <si>
    <t>Value of Raw Material Consumed</t>
  </si>
  <si>
    <t>Raw Material Purchased</t>
  </si>
  <si>
    <t>Weighted average cost</t>
  </si>
  <si>
    <t>Cane crushing capacity p.a</t>
  </si>
  <si>
    <t>Sugar Cane actually crushed</t>
  </si>
  <si>
    <t>Recovery Rates from total cane crushed</t>
  </si>
  <si>
    <t>A. Sugar</t>
  </si>
  <si>
    <t>B. Molasses</t>
  </si>
  <si>
    <t>C. Pressmud</t>
  </si>
  <si>
    <t>D. Bagasse</t>
  </si>
  <si>
    <t>I</t>
  </si>
  <si>
    <t>II</t>
  </si>
  <si>
    <t>Molasses to Alcohol conversion ratio</t>
  </si>
  <si>
    <t>Factor of Molasses consumed in production</t>
  </si>
  <si>
    <t>III</t>
  </si>
  <si>
    <t>Other Assumptions</t>
  </si>
  <si>
    <t>Total Capacity Per Annum</t>
  </si>
  <si>
    <t>Litres (in Lakhs)</t>
  </si>
  <si>
    <t xml:space="preserve">Scrap sales </t>
  </si>
  <si>
    <t>Pesticide Sale</t>
  </si>
  <si>
    <t>Insurance Charge Recovered</t>
  </si>
  <si>
    <t>Govt Subsidy</t>
  </si>
  <si>
    <t>Penalty</t>
  </si>
  <si>
    <t>Credit Balance Appropriation</t>
  </si>
  <si>
    <t>Gain on Sale of Assets</t>
  </si>
  <si>
    <t>Interest Received</t>
  </si>
  <si>
    <t>Sugar Sold</t>
  </si>
  <si>
    <t>Opening stock of Sugar - Finished Stock</t>
  </si>
  <si>
    <t>Closing Stock of Sugar  - Finished</t>
  </si>
  <si>
    <t>(-) Loss</t>
  </si>
  <si>
    <t>Molasses C in Sugar Div - WIP (Opening Stock)</t>
  </si>
  <si>
    <t>Sugar WIP</t>
  </si>
  <si>
    <t>Molasses C WIP</t>
  </si>
  <si>
    <t>Opening stock of Molasses  C (Sugar Division)</t>
  </si>
  <si>
    <t>Closing stock of Molasses C (Sugar Division)</t>
  </si>
  <si>
    <t>Molasses C in Sugar Div - WIP (Closing Stock)</t>
  </si>
  <si>
    <t>B Molasses Produced in Sugar Div</t>
  </si>
  <si>
    <t>Molasses B WIP</t>
  </si>
  <si>
    <t>(+) Purchased from outside</t>
  </si>
  <si>
    <t>(+) Gain/loss</t>
  </si>
  <si>
    <t>Alcohol from Molasses C (Opening Stock)</t>
  </si>
  <si>
    <t>Alcohol from Molasses C (Production)</t>
  </si>
  <si>
    <t>Alcohol from Molasses C (Sold)</t>
  </si>
  <si>
    <t>Alcohol from Molasses C Gain / (Loss)</t>
  </si>
  <si>
    <t>Alcohol from Molasses C Closing Stock</t>
  </si>
  <si>
    <t>% of production</t>
  </si>
  <si>
    <t>Alcohol from Molasses B (Production)</t>
  </si>
  <si>
    <t>Alcohol from Molasses B (Sold)</t>
  </si>
  <si>
    <t>Alcohol from Molasses B Gain / (Loss)</t>
  </si>
  <si>
    <t>Alcohol from Molasses B Closing Stock</t>
  </si>
  <si>
    <t>Qty of Bagasse produced (Sugar division)</t>
  </si>
  <si>
    <t>(+) Gain/ Loss</t>
  </si>
  <si>
    <t>(+) Gain/ (Loss)</t>
  </si>
  <si>
    <t>Bagasse - (Shortage) / Excess</t>
  </si>
  <si>
    <t>Baggase (Sugar division)</t>
  </si>
  <si>
    <t>Baggase (Cogen division)</t>
  </si>
  <si>
    <t>(+) Recvd inter segment</t>
  </si>
  <si>
    <t>(-) Consumed for steam production</t>
  </si>
  <si>
    <t>Bagasse Consumed for Steam Production</t>
  </si>
  <si>
    <t>% of cane crushed</t>
  </si>
  <si>
    <t>% of C-Mol cane crushed</t>
  </si>
  <si>
    <t>% of B-Mol cane crushed</t>
  </si>
  <si>
    <t>Average operational days</t>
  </si>
  <si>
    <t>Total crushing capacity</t>
  </si>
  <si>
    <t>QCD</t>
  </si>
  <si>
    <t>Corporate division</t>
  </si>
  <si>
    <t>Lease Rent</t>
  </si>
  <si>
    <t>Y-o-Y increase</t>
  </si>
  <si>
    <t>Employee benefit</t>
  </si>
  <si>
    <t>Income</t>
  </si>
  <si>
    <t>Expense</t>
  </si>
  <si>
    <t>Bio gas and steam sent to sugar division</t>
  </si>
  <si>
    <t>Total Operating income</t>
  </si>
  <si>
    <t>Pressmud (Sold Outside)</t>
  </si>
  <si>
    <t>Molasses - C (Levy)</t>
  </si>
  <si>
    <t>Pressmud (Sent to Distillery)</t>
  </si>
  <si>
    <t>Pressmud (Received from Sugar + Cogen)</t>
  </si>
  <si>
    <t>Closing stock of Molasses B paramenter</t>
  </si>
  <si>
    <t>At 85% of sugar finished stock</t>
  </si>
  <si>
    <t>At 95% of sugar finished stock</t>
  </si>
  <si>
    <t>At 80% of Mol C finished stock</t>
  </si>
  <si>
    <t>At 80% of Mol B finished stock</t>
  </si>
  <si>
    <t>Computation of COP for Sugar</t>
  </si>
  <si>
    <t>Expenses Parameteres Sugar</t>
  </si>
  <si>
    <t>(Excluding pesticides, S&amp;D, Selling Commission)</t>
  </si>
  <si>
    <t>Sugar division</t>
  </si>
  <si>
    <t>Repairs &amp; Maintenance</t>
  </si>
  <si>
    <t>Power &amp; fuel (from outside)</t>
  </si>
  <si>
    <t>Steam (Received from sugar + cogen)</t>
  </si>
  <si>
    <t xml:space="preserve">Power </t>
  </si>
  <si>
    <t>- Received from sugar + cogen</t>
  </si>
  <si>
    <t>- Purchased from outside</t>
  </si>
  <si>
    <t>IV</t>
  </si>
  <si>
    <t>Restructuring Assumptions</t>
  </si>
  <si>
    <t>Actuals</t>
  </si>
  <si>
    <t>Equity share</t>
  </si>
  <si>
    <t>CCPS</t>
  </si>
  <si>
    <t>Transaction fees</t>
  </si>
  <si>
    <t>SAP Notification for cane prices (At Gate)</t>
  </si>
  <si>
    <t>Deduction for buying centre</t>
  </si>
  <si>
    <t>Op Stock Rate</t>
  </si>
  <si>
    <t>Closing Stock rate</t>
  </si>
  <si>
    <t>Inventory changes - Sugar + Cogen</t>
  </si>
  <si>
    <t>Cane purchase at centre price</t>
  </si>
  <si>
    <t>Pressmud (Transferred to Distillery)</t>
  </si>
  <si>
    <t>Alcohol Produced</t>
  </si>
  <si>
    <t>Rs Cr</t>
  </si>
  <si>
    <t>Total Quanity of Alcohol produced</t>
  </si>
  <si>
    <t>Factor for conversion</t>
  </si>
  <si>
    <t>Total (A + B + C)</t>
  </si>
  <si>
    <t>Conversion factors</t>
  </si>
  <si>
    <t>Live Steam</t>
  </si>
  <si>
    <t>Exhaust Steam</t>
  </si>
  <si>
    <t>Power sold to grid</t>
  </si>
  <si>
    <t>Steam ratio</t>
  </si>
  <si>
    <t>Total Steam generated</t>
  </si>
  <si>
    <t>Units of power generated</t>
  </si>
  <si>
    <t>Unit/ MT</t>
  </si>
  <si>
    <t>Rate of power available for sale</t>
  </si>
  <si>
    <t>Excise Duty Reversal + Denaturent</t>
  </si>
  <si>
    <t xml:space="preserve">Molasses Transportation costs </t>
  </si>
  <si>
    <t>Other handling expenses</t>
  </si>
  <si>
    <t>Pressmud (Received from outside)</t>
  </si>
  <si>
    <t>Molasses Transportation costs</t>
  </si>
  <si>
    <t>Qty of molasses transferred</t>
  </si>
  <si>
    <t>Total molasses transportation costs</t>
  </si>
  <si>
    <t>Bio Composting</t>
  </si>
  <si>
    <t>Fertiirrigation</t>
  </si>
  <si>
    <t>CO2 Processing</t>
  </si>
  <si>
    <t>Press Mud handling</t>
  </si>
  <si>
    <t>Total Other handling expenses</t>
  </si>
  <si>
    <t>Transportation cost</t>
  </si>
  <si>
    <t>(-) Inter segment transfers/ Consumed in Cogen</t>
  </si>
  <si>
    <t>Power Tr Inter Segment Distt</t>
  </si>
  <si>
    <t>Steam Tr Inter Segment Distt</t>
  </si>
  <si>
    <t>(Increase) / Decrease in Stock</t>
  </si>
  <si>
    <t>Sale of  REC</t>
  </si>
  <si>
    <t>Cost of cane purchased</t>
  </si>
  <si>
    <t>Alcohol production capacity</t>
  </si>
  <si>
    <t>Produced</t>
  </si>
  <si>
    <t>Consumed</t>
  </si>
  <si>
    <t>Purchase from outside</t>
  </si>
  <si>
    <t>In-transit</t>
  </si>
  <si>
    <t>Lease rent received</t>
  </si>
  <si>
    <t>Lease Rent Received</t>
  </si>
  <si>
    <t>FY18</t>
  </si>
  <si>
    <t>FY19</t>
  </si>
  <si>
    <t>FY20</t>
  </si>
  <si>
    <t>FY21</t>
  </si>
  <si>
    <t>The banks might have credited the OCDs in different facilities, with different amounts.</t>
  </si>
  <si>
    <t>Closing balances</t>
  </si>
  <si>
    <t>Appropriations: Transferred to reserve for molasses storage tanks</t>
  </si>
  <si>
    <t>Less power utilities transferred</t>
  </si>
  <si>
    <t>Total Quantity required</t>
  </si>
  <si>
    <t>Total molasses quantity transferred</t>
  </si>
  <si>
    <t>Other cost of RM consumed</t>
  </si>
  <si>
    <t>Utilization of power generated</t>
  </si>
  <si>
    <t>Power consumed captively</t>
  </si>
  <si>
    <t>Power required for process of Sugar</t>
  </si>
  <si>
    <t>Power sent to Distillery</t>
  </si>
  <si>
    <t>Power available for sale</t>
  </si>
  <si>
    <t>Amount of power available for sale</t>
  </si>
  <si>
    <t>Total Steam sent to Distillery</t>
  </si>
  <si>
    <t>- Exhaust Steam to Distillery</t>
  </si>
  <si>
    <t>- Live Steam to Distillery</t>
  </si>
  <si>
    <t>Rate of Live Steam sent to distillery</t>
  </si>
  <si>
    <t>Rate of Exhaust Steam sent to distillery</t>
  </si>
  <si>
    <t>Cogen division</t>
  </si>
  <si>
    <t>Power required in Sugar division</t>
  </si>
  <si>
    <t>Power required in Distillery division</t>
  </si>
  <si>
    <t>Total Steam requirement in Sugar</t>
  </si>
  <si>
    <t>Total Power workings</t>
  </si>
  <si>
    <t>Rate of Power sent to Distillery</t>
  </si>
  <si>
    <t>Conversion factor</t>
  </si>
  <si>
    <t>Lakh Kwh</t>
  </si>
  <si>
    <t>Rs / Kwh</t>
  </si>
  <si>
    <t>Bagasse - Transfer from Sugar to Inter Segment / Consumed in Cogen</t>
  </si>
  <si>
    <t>Total Consumption of Bagasse (including loss in transit)</t>
  </si>
  <si>
    <t>Loss of steam generated</t>
  </si>
  <si>
    <t>Details of Unit wise power sold to grid</t>
  </si>
  <si>
    <t>Units exported from turbine</t>
  </si>
  <si>
    <t>Units of Banking power sold</t>
  </si>
  <si>
    <t>Value of Power sold to grid</t>
  </si>
  <si>
    <t>Collection 
Rs in Lac</t>
  </si>
  <si>
    <t>Sugar price trend</t>
  </si>
  <si>
    <t>Sugar division conversion factors</t>
  </si>
  <si>
    <t>Distillery division conversion factors</t>
  </si>
  <si>
    <t>% of alcohol produced</t>
  </si>
  <si>
    <t>% of bagasse consumed</t>
  </si>
  <si>
    <t>Live Steam to Power conversion factor</t>
  </si>
  <si>
    <t>Steam to turbine for power generation</t>
  </si>
  <si>
    <t>Steam to power conversion factor</t>
  </si>
  <si>
    <t>% of power generated</t>
  </si>
  <si>
    <t>Power transferred to Distillery</t>
  </si>
  <si>
    <t>Power Sold Outside</t>
  </si>
  <si>
    <t>Live steam sent to Distillery Unit</t>
  </si>
  <si>
    <t>Exhaust steam sent to Distillery Unit</t>
  </si>
  <si>
    <t>Rs/KWh</t>
  </si>
  <si>
    <t>Details of Brought Forward losses and unabsorbed depreciation for MAT</t>
  </si>
  <si>
    <t>Details of Brought Forward losses and unabsorbed depreciation for income Tax</t>
  </si>
  <si>
    <t>- Existing BHSL Promoter &amp; Promoter Group</t>
  </si>
  <si>
    <t>- LPGCL</t>
  </si>
  <si>
    <t>Operational DSCR</t>
  </si>
  <si>
    <t>Total debt servicing</t>
  </si>
  <si>
    <t>Net cashflow available for debt servicing</t>
  </si>
  <si>
    <t>Average Cash DSCR</t>
  </si>
  <si>
    <t>Basis alcohol produced</t>
  </si>
  <si>
    <t>Basis cane crushed</t>
  </si>
  <si>
    <t>Cane crushed</t>
  </si>
  <si>
    <t>V</t>
  </si>
  <si>
    <t>Sensitivity Analysis</t>
  </si>
  <si>
    <t>Input</t>
  </si>
  <si>
    <t>Increase in Average basic cane price</t>
  </si>
  <si>
    <t>Decrease in Sugar price</t>
  </si>
  <si>
    <t>Output</t>
  </si>
  <si>
    <t>Min Cash DSCR</t>
  </si>
  <si>
    <t>1- Base Case</t>
  </si>
  <si>
    <t>2- Sensitivity</t>
  </si>
  <si>
    <t>Total EBITDA</t>
  </si>
  <si>
    <t>EBITDA - Unit wise</t>
  </si>
  <si>
    <t>Average Operational DSCR</t>
  </si>
  <si>
    <t>Less Steam Tr Inter Segment Distt</t>
  </si>
  <si>
    <t>Q2</t>
  </si>
  <si>
    <t>Q3</t>
  </si>
  <si>
    <t>Q4</t>
  </si>
  <si>
    <t>Closing stock of Baggase paramenter</t>
  </si>
  <si>
    <t>Movement of TNW</t>
  </si>
  <si>
    <t>Opening TNW</t>
  </si>
  <si>
    <t>Plough back of profit</t>
  </si>
  <si>
    <t>Increase in capital/reserves</t>
  </si>
  <si>
    <t>Intangibles written off</t>
  </si>
  <si>
    <t>Closing TNW</t>
  </si>
  <si>
    <t>Current Ratio</t>
  </si>
  <si>
    <t>Debt/Equity</t>
  </si>
  <si>
    <t>Current Assets/Tangible Assets</t>
  </si>
  <si>
    <t>ROCE(PBDIT incl.Other income/TTA)</t>
  </si>
  <si>
    <t>TOL/TNW</t>
  </si>
  <si>
    <t>DSCR</t>
  </si>
  <si>
    <t>Net Cash Accruals / Total Debt (%)</t>
  </si>
  <si>
    <t>Retained profit / Total Assets (%)</t>
  </si>
  <si>
    <t>PAT / Operating Income (%)</t>
  </si>
  <si>
    <t>NWC / CA (%)</t>
  </si>
  <si>
    <t>Inv + Rec. /N.S. (DAYS)</t>
  </si>
  <si>
    <t>Bank Finance / Current Assets (%)</t>
  </si>
  <si>
    <t>Operating costs/sales(%)</t>
  </si>
  <si>
    <t>PBT/TTA (%)</t>
  </si>
  <si>
    <t>Net Sales/TTA (Times)</t>
  </si>
  <si>
    <t>NWC including T/L installments due in 1 yr</t>
  </si>
  <si>
    <t>NWC</t>
  </si>
  <si>
    <t>C/R excluding T/L instalments due in 1 yr</t>
  </si>
  <si>
    <t>C/R</t>
  </si>
  <si>
    <t>TOL/Adjusted TNW</t>
  </si>
  <si>
    <t>Adjusted TNW (TNW-Investment in associates)</t>
  </si>
  <si>
    <t xml:space="preserve">TNW </t>
  </si>
  <si>
    <t>Paid up Capital (PUC)</t>
  </si>
  <si>
    <t>Cash Accruals/Sales</t>
  </si>
  <si>
    <t>Cash Accruals</t>
  </si>
  <si>
    <t>PAT/Net Sales</t>
  </si>
  <si>
    <t xml:space="preserve">PBT/Sales </t>
  </si>
  <si>
    <t>PBDIT/Sales</t>
  </si>
  <si>
    <t xml:space="preserve">(Net) Other income </t>
  </si>
  <si>
    <t>Operating Profit</t>
  </si>
  <si>
    <t xml:space="preserve">Net Sales </t>
  </si>
  <si>
    <t>Key Indicators</t>
  </si>
  <si>
    <t xml:space="preserve">RM content in sales </t>
  </si>
  <si>
    <t>Bank Borrowings/Current Assets</t>
  </si>
  <si>
    <t>Inentory+Receivables as days of Net Sales</t>
  </si>
  <si>
    <t>CA / TTA (%)</t>
  </si>
  <si>
    <t>Current Ratio excluding TL Instalments</t>
  </si>
  <si>
    <t>Current Ratio (CA / CL)</t>
  </si>
  <si>
    <t>TOL/Equity</t>
  </si>
  <si>
    <t>Deferred Debt/ Equity</t>
  </si>
  <si>
    <t>PBDIT / Interest (Times)</t>
  </si>
  <si>
    <t>Interest Coverage (Interest/PBDIT)</t>
  </si>
  <si>
    <t>Sales / TTA</t>
  </si>
  <si>
    <t>Sales/Equity</t>
  </si>
  <si>
    <t>Cash Accruals/ Sales</t>
  </si>
  <si>
    <t>PAT/Sales</t>
  </si>
  <si>
    <t>PBT/Sales</t>
  </si>
  <si>
    <t>Operating Profits/Sales</t>
  </si>
  <si>
    <t>PBDIT/sales</t>
  </si>
  <si>
    <t>PBDIT</t>
  </si>
  <si>
    <t>Gross profit Ratio</t>
  </si>
  <si>
    <t>Growth in Sales</t>
  </si>
  <si>
    <t>RATIOS</t>
  </si>
  <si>
    <t>Surplus /Deficit (iii-iv)</t>
  </si>
  <si>
    <t>Short term uses</t>
  </si>
  <si>
    <t xml:space="preserve">Short term sources </t>
  </si>
  <si>
    <t>Surplus /Deficit (i-ii)</t>
  </si>
  <si>
    <t>Long Term Uses</t>
  </si>
  <si>
    <t>Long Term Sources</t>
  </si>
  <si>
    <t>Summary of fund Flow Analysis</t>
  </si>
  <si>
    <t>Decrease in Bank Borrowings</t>
  </si>
  <si>
    <t>Decrease in Other Current Liab.</t>
  </si>
  <si>
    <t>Increase  in Other Current Assets</t>
  </si>
  <si>
    <t>Increase in Cash/Deposits/Govt Sec.</t>
  </si>
  <si>
    <t>Increase in Receivables</t>
  </si>
  <si>
    <t>Increase in Inventory</t>
  </si>
  <si>
    <t>Short Term Uses</t>
  </si>
  <si>
    <t>Decrease in Other Current Assets</t>
  </si>
  <si>
    <t>Decrease in Cash/Deposits/Govt Sec.</t>
  </si>
  <si>
    <t>Decrease in Receivables</t>
  </si>
  <si>
    <t>Decrease in Inventory</t>
  </si>
  <si>
    <t>Increase in other Current Liab.</t>
  </si>
  <si>
    <t>Increase in  Bank Borrowings</t>
  </si>
  <si>
    <t>Short Term Sources</t>
  </si>
  <si>
    <t>Surplus/ Deficit</t>
  </si>
  <si>
    <t>Dividend paid</t>
  </si>
  <si>
    <t>iii. Increase in Intangibles</t>
  </si>
  <si>
    <t>Increase in non-Current Assets</t>
  </si>
  <si>
    <t>i.  Increase in Fixed Assets</t>
  </si>
  <si>
    <t>Decrease in Term Liabilities</t>
  </si>
  <si>
    <t>Decrease in Capi.and Reserves</t>
  </si>
  <si>
    <t>Increase in Intangibles</t>
  </si>
  <si>
    <t>Net Loss</t>
  </si>
  <si>
    <t>LONG TERM USES</t>
  </si>
  <si>
    <t>ii. Decrease in Other non current assets</t>
  </si>
  <si>
    <t>i.  Decrease in Fixed Assets</t>
  </si>
  <si>
    <t>Increase in Term Liability</t>
  </si>
  <si>
    <t>Increase in capital and reserves</t>
  </si>
  <si>
    <t>Profit after Tax</t>
  </si>
  <si>
    <t>LONG TERM SOURCES</t>
  </si>
  <si>
    <t>FUND FLOW ANALYSIS</t>
  </si>
  <si>
    <t>(Item 12 or item 13 whichever is lower)</t>
  </si>
  <si>
    <t>Maximum permissible bank finance</t>
  </si>
  <si>
    <t>Item 9 minus item 11</t>
  </si>
  <si>
    <t>Item 9 minus item 10</t>
  </si>
  <si>
    <t>Actual projected net working capital</t>
  </si>
  <si>
    <t>Minimum stipulated net working capital  (25% of WCG)</t>
  </si>
  <si>
    <t>Working capital gap (item C of Comparitive   Statement of Current Assets &amp; Liabilities)</t>
  </si>
  <si>
    <t>2nd Method of Lending</t>
  </si>
  <si>
    <t>Working Capital Loan</t>
  </si>
  <si>
    <t>Max Cash Credit Limit</t>
  </si>
  <si>
    <t>Maximum permissible bank finance (item 6 or item 7 whichever lower)</t>
  </si>
  <si>
    <t>Item 3 minus item 5</t>
  </si>
  <si>
    <t>Item 3 minus item 4</t>
  </si>
  <si>
    <t>Actual/Projected net working capital (item 45 of Analysis of Balance Sheet)</t>
  </si>
  <si>
    <t>Minimum stipulated net working capital (25% of CA excluding export receivables)</t>
  </si>
  <si>
    <t>Working Capital Gap (WCG) (1-2)</t>
  </si>
  <si>
    <t>(Item 11 in Analysis of Balance Sheet)</t>
  </si>
  <si>
    <t>Other Current Liabilities (Other than bank borrowings)</t>
  </si>
  <si>
    <t>(Item 16 in Analysis of Balance Sheet)</t>
  </si>
  <si>
    <t>1st Method of Lending</t>
  </si>
  <si>
    <t>COMPUTATION OF MAXIMUM PERMISSIBLE BANK FINANCE</t>
  </si>
  <si>
    <t>Bank Finance</t>
  </si>
  <si>
    <t>Net Working capital</t>
  </si>
  <si>
    <t>Working Capital gap</t>
  </si>
  <si>
    <t>Other Current Liabilities</t>
  </si>
  <si>
    <t>Total Current assets</t>
  </si>
  <si>
    <t>By PBS Method</t>
  </si>
  <si>
    <t>NWC % to Current Assets</t>
  </si>
  <si>
    <t>Bank Finance % of Current Assets</t>
  </si>
  <si>
    <t>Other Curr. Liab.% of Current Assets</t>
  </si>
  <si>
    <t>Sundry Cr. % of Current Assets</t>
  </si>
  <si>
    <t>Financed by</t>
  </si>
  <si>
    <t>Creditors - (days Consumption)</t>
  </si>
  <si>
    <t>Total Receivables/Gross Sales (days)</t>
  </si>
  <si>
    <t>Total Receivables</t>
  </si>
  <si>
    <t>Export Receivables - (Days Exports)</t>
  </si>
  <si>
    <t>Domestic receivables (Days Gross dom.Sales)</t>
  </si>
  <si>
    <t>Total Inventory/Sales (days)</t>
  </si>
  <si>
    <t>Total Inventory</t>
  </si>
  <si>
    <t>Finished Goods - (Days Cost of Sales)</t>
  </si>
  <si>
    <t>Stock in process- (Days of  Cost of Production)</t>
  </si>
  <si>
    <t>Indiginous Consumables - (Days Consumption)</t>
  </si>
  <si>
    <t>Imported Consumables - (Days Consumption)</t>
  </si>
  <si>
    <t>Stock of Indiginous RM &amp; Stores- Days Consumption</t>
  </si>
  <si>
    <t>Stock of Imported RM -Days Consumption</t>
  </si>
  <si>
    <t>WORKING CAPITAL ASSESSMENT</t>
  </si>
  <si>
    <t>A.</t>
  </si>
  <si>
    <t>WORKING CAPITAL / BANK BORROWING ASSESSMENTS</t>
  </si>
  <si>
    <t xml:space="preserve">COMPARATIVE STATEMENT OF CURRENT ASSETS &amp; CURRENT LIABILITIES </t>
  </si>
  <si>
    <t>Collateral security available for TL</t>
  </si>
  <si>
    <t>By default the programme considers the entire net block as security &amp; entire Term Loan Liability for calculation of Security Cover. But if a additional security is available for TL, it is to be considered for calculation of security coverage. Please insert the additional collateral value below.</t>
  </si>
  <si>
    <t>Term Loan Repayment</t>
  </si>
  <si>
    <t>Repayment Schedule</t>
  </si>
  <si>
    <t>Reductin in TL is less than TL instalments plus overdues</t>
  </si>
  <si>
    <t>Difference in intangibles written off in balance Sheet and shown in P&amp;L account</t>
  </si>
  <si>
    <t>Increase in cap.&amp; reserves beyond retained profit</t>
  </si>
  <si>
    <t>Difference in Assets &amp; Liabilities</t>
  </si>
  <si>
    <t>Check Points</t>
  </si>
  <si>
    <t>f. Other Liabilities not provided for</t>
  </si>
  <si>
    <t>e.Dispute Custom/Excise/ Tax Liabilities</t>
  </si>
  <si>
    <t>d. Gratuity Liability not  Provided for</t>
  </si>
  <si>
    <t>c. Arrears of Cumulative Dividends</t>
  </si>
  <si>
    <t>b. Contingent Liabilities</t>
  </si>
  <si>
    <t>a. Arrears of Depreciation</t>
  </si>
  <si>
    <t>ADDITIONAL INFORMATION</t>
  </si>
  <si>
    <t>IMPORTANT RATIOS:</t>
  </si>
  <si>
    <t>NET WORKING CAPITAL (NWC)</t>
  </si>
  <si>
    <t>TANGIBLE NET WORTH (TNW)</t>
  </si>
  <si>
    <t>TOTAL ASSETS</t>
  </si>
  <si>
    <t>Total Intangible Assets</t>
  </si>
  <si>
    <t>e</t>
  </si>
  <si>
    <t>d</t>
  </si>
  <si>
    <t>Other Intangibles (patents, goodwill, etc.)</t>
  </si>
  <si>
    <t>c</t>
  </si>
  <si>
    <t>Deffered Revenue expenditures</t>
  </si>
  <si>
    <t>b</t>
  </si>
  <si>
    <t>Preliminary Expenses</t>
  </si>
  <si>
    <t>a</t>
  </si>
  <si>
    <t xml:space="preserve">Intangible Assets </t>
  </si>
  <si>
    <t>TOTAL OTHER NON CURRENT ASSETS</t>
  </si>
  <si>
    <t>Deposits</t>
  </si>
  <si>
    <t>i</t>
  </si>
  <si>
    <t>h</t>
  </si>
  <si>
    <t>Long oustanding dues &amp;Other non Current Assets /dues from Directors</t>
  </si>
  <si>
    <t>g</t>
  </si>
  <si>
    <t>Non Consumable Stores &amp; Spares</t>
  </si>
  <si>
    <t>f</t>
  </si>
  <si>
    <t>Other Non-current investments</t>
  </si>
  <si>
    <t>Deferred Receivables(Maturng after a year)</t>
  </si>
  <si>
    <t>Advance to suppliers of Capital goods &amp; Contractors</t>
  </si>
  <si>
    <t>Investment in Others</t>
  </si>
  <si>
    <t>Investments in Sub. cos./ affiliates</t>
  </si>
  <si>
    <t>OTHER NON CURRENT ASSETS</t>
  </si>
  <si>
    <t>Depreciation to Date</t>
  </si>
  <si>
    <t>Add Capital expenditure in work-in-process</t>
  </si>
  <si>
    <t>Gross Block (Land &amp; Building, Machinery)</t>
  </si>
  <si>
    <t>FIXED ASSETS</t>
  </si>
  <si>
    <t>TOTAL CURRENT ASSETS</t>
  </si>
  <si>
    <t>Loans &amp; advances with accrued interest</t>
  </si>
  <si>
    <t>Interest accrued for Loans &amp; Advances</t>
  </si>
  <si>
    <t>Bal with Customs, Central Excise, Income tax etc</t>
  </si>
  <si>
    <t>Other Current Assets</t>
  </si>
  <si>
    <t>Other Current Assets (specify major items)</t>
  </si>
  <si>
    <t>Net Advance Payment of Taxes (if positive)</t>
  </si>
  <si>
    <t>Advances to Suppliers</t>
  </si>
  <si>
    <t>Indigenous consumables</t>
  </si>
  <si>
    <t>By Products</t>
  </si>
  <si>
    <t>Finished Goods</t>
  </si>
  <si>
    <t>Stock in Process</t>
  </si>
  <si>
    <t>Indigenous Rawmaterial</t>
  </si>
  <si>
    <t>Imported Raw Material</t>
  </si>
  <si>
    <t>Deferred receivables(due within one year)</t>
  </si>
  <si>
    <t>Export Receivables including BP/BD)</t>
  </si>
  <si>
    <t>Domestic Receivables including BP/BD</t>
  </si>
  <si>
    <t>Fixed Deposits with Banks</t>
  </si>
  <si>
    <t>Govt. &amp; other Trustee securities</t>
  </si>
  <si>
    <t>Cash &amp; Bank Balances</t>
  </si>
  <si>
    <t>ANALYSIS OF BALANCE SHEET Continued  -  ASSETS</t>
  </si>
  <si>
    <t>TOTAL LIABILITIES (18+24)</t>
  </si>
  <si>
    <t>NET WORTH</t>
  </si>
  <si>
    <t>Surplus (+) or deficit (-) in Profit &amp; Loss a/c</t>
  </si>
  <si>
    <t>Equity component of compound financial instrument/ Unsecured Loan from Promoter</t>
  </si>
  <si>
    <t>Share Premium</t>
  </si>
  <si>
    <t>Revaluation Surplus</t>
  </si>
  <si>
    <t>Other reserves (excluding Provisions)</t>
  </si>
  <si>
    <t>Adjustments for previous Year costs</t>
  </si>
  <si>
    <t>Revaluation Reserve</t>
  </si>
  <si>
    <t>Share Capital</t>
  </si>
  <si>
    <t xml:space="preserve">TOTAL OF OUTSIDE LIABILITIES </t>
  </si>
  <si>
    <t>TOTAL TERM LIABILITIES</t>
  </si>
  <si>
    <t>FITL to be converted to equity</t>
  </si>
  <si>
    <t>Share Warrants</t>
  </si>
  <si>
    <t>Other non current provisions</t>
  </si>
  <si>
    <t>DTL</t>
  </si>
  <si>
    <t>Unsecured Loans from Banks and Others</t>
  </si>
  <si>
    <t>Unsecured Loan from Directors</t>
  </si>
  <si>
    <t>Other term Liabilities</t>
  </si>
  <si>
    <t>Term deposits/Term Liabilities.(Excl. Insta.due next Yr.)</t>
  </si>
  <si>
    <t>Deferred Payment Guarantee/s (Excl. Instal.due next   Year)</t>
  </si>
  <si>
    <t>15 b)</t>
  </si>
  <si>
    <t>Term Loan from Other Banks / FIs.(Excl. Instal.due next Yr.)</t>
  </si>
  <si>
    <t>15 a)</t>
  </si>
  <si>
    <t>Term Loan from our Bank(Less next Year Instalments)</t>
  </si>
  <si>
    <t>Preference Shares (redeemable after 1 year)</t>
  </si>
  <si>
    <t>Debentures (not maturing within one Year)</t>
  </si>
  <si>
    <t>TERM LIABILITIES</t>
  </si>
  <si>
    <t>TOTAL CURRENT LIABILITIES</t>
  </si>
  <si>
    <t>Sub Total (B)</t>
  </si>
  <si>
    <t>Other CL</t>
  </si>
  <si>
    <t>Provision for employee benfits</t>
  </si>
  <si>
    <t>Unclaimed Dividend/ SAM</t>
  </si>
  <si>
    <t>Outstanding Expenses</t>
  </si>
  <si>
    <t>Other Current Liabilities &amp; Provisions (due with in one year)</t>
  </si>
  <si>
    <t>Installments of term Loans/ DPGs due within next year</t>
  </si>
  <si>
    <t>Overdue Term Liabilities</t>
  </si>
  <si>
    <t>Other Statutory Liab. (Due within one Year)</t>
  </si>
  <si>
    <t>Dividend Payable</t>
  </si>
  <si>
    <t>Net Provision for Taxation (if positive)</t>
  </si>
  <si>
    <t>Advance Payment from Customers</t>
  </si>
  <si>
    <t>Sundry Creditors (Trade)</t>
  </si>
  <si>
    <t>Short Term Borrowings from Others</t>
  </si>
  <si>
    <t>Sub Total (A)</t>
  </si>
  <si>
    <t>Short Term loans From Other banks including BP &amp;BD</t>
  </si>
  <si>
    <t>Short Term loans from Applicant Bank  including BP &amp;BD</t>
  </si>
  <si>
    <t>Current Liabilities</t>
  </si>
  <si>
    <t>LIABILITIES</t>
  </si>
  <si>
    <t>ANALYSIS OF BALANCE SHEET  -  LIABILITIES</t>
  </si>
  <si>
    <t>Depriciation adjustments</t>
  </si>
  <si>
    <t>Adjustment in Surplus or Deficit (If any)</t>
  </si>
  <si>
    <t xml:space="preserve">Other interests </t>
  </si>
  <si>
    <t xml:space="preserve">Interest on TL </t>
  </si>
  <si>
    <t>Interest on CC.</t>
  </si>
  <si>
    <t xml:space="preserve">PBDIT </t>
  </si>
  <si>
    <t>RM Content in sales</t>
  </si>
  <si>
    <t>Retained Cash Accruals</t>
  </si>
  <si>
    <t xml:space="preserve">Retained Profit </t>
  </si>
  <si>
    <t>Dividend paid + IT on Dividend</t>
  </si>
  <si>
    <t>Net Profit/Loss (PAT)</t>
  </si>
  <si>
    <t>Provision for Taxes</t>
  </si>
  <si>
    <t>Profit before Tax /Loss (PBT)</t>
  </si>
  <si>
    <t>Net of other non operating Income/Expenses</t>
  </si>
  <si>
    <t>Sub Total</t>
  </si>
  <si>
    <t>Other comprehensive Income (As per IND-AS it comes after Tax)</t>
  </si>
  <si>
    <t>Inventory Write-Off</t>
  </si>
  <si>
    <t>Provision for doubtful advances</t>
  </si>
  <si>
    <t>Interest/Dividend/Royalties etc..</t>
  </si>
  <si>
    <t>Deduct other non operating expenses</t>
  </si>
  <si>
    <t>Profit on sale of assets</t>
  </si>
  <si>
    <t>REC Income</t>
  </si>
  <si>
    <t>Add: Other non operating Income</t>
  </si>
  <si>
    <t>Operating Profit after Interest</t>
  </si>
  <si>
    <t xml:space="preserve">c.Other interests </t>
  </si>
  <si>
    <t>b.Interest on TL / DPG</t>
  </si>
  <si>
    <t>a. Interest on CC.</t>
  </si>
  <si>
    <t xml:space="preserve">Operating Profit before interest </t>
  </si>
  <si>
    <t xml:space="preserve">Sub Total </t>
  </si>
  <si>
    <t>Administrative Expenses</t>
  </si>
  <si>
    <t>Selling Expenses</t>
  </si>
  <si>
    <t>Gross Profit/ Sales</t>
  </si>
  <si>
    <t>Gross profit</t>
  </si>
  <si>
    <t>Sub Total ( Total Cost of Sales)</t>
  </si>
  <si>
    <t>Deduct : Closing Stock OF Finished Goods</t>
  </si>
  <si>
    <t>Add: Opening Stock of Finished Goods</t>
  </si>
  <si>
    <t xml:space="preserve">Cost of Production </t>
  </si>
  <si>
    <t>Deduct : Closing Stock in Process</t>
  </si>
  <si>
    <t>Add: Opening Stock in Process</t>
  </si>
  <si>
    <t>Excise duty on closing stock</t>
  </si>
  <si>
    <t>Rent rate &amp; taxes</t>
  </si>
  <si>
    <t>Insurance cost</t>
  </si>
  <si>
    <t>Stores consumed</t>
  </si>
  <si>
    <t>Packing cost</t>
  </si>
  <si>
    <t>Others expenses</t>
  </si>
  <si>
    <t xml:space="preserve">Depreciation </t>
  </si>
  <si>
    <t>Other Mfg. Expenses</t>
  </si>
  <si>
    <t>Repairs and maintainance</t>
  </si>
  <si>
    <t>Direct Labour</t>
  </si>
  <si>
    <t>Power &amp; Fuel &amp; Steam consumed</t>
  </si>
  <si>
    <t>d. Stores &amp; Spares (Indigenous)</t>
  </si>
  <si>
    <t>c. Stores &amp; Spares (Imported)</t>
  </si>
  <si>
    <t>b. Raw material (Indigenous)</t>
  </si>
  <si>
    <t>a. Raw Material (Imported )</t>
  </si>
  <si>
    <t>Cost of Sales</t>
  </si>
  <si>
    <t>Growth in sales</t>
  </si>
  <si>
    <t>Net Sales (1-2)</t>
  </si>
  <si>
    <t>Less : Excise Duty / GST</t>
  </si>
  <si>
    <t>Total Gross Sales</t>
  </si>
  <si>
    <t>iii. Other Operating Income</t>
  </si>
  <si>
    <t>ii.Export Sale</t>
  </si>
  <si>
    <t>i. Domestic Sale</t>
  </si>
  <si>
    <t>Operating Statement</t>
  </si>
  <si>
    <t>Closing Stock of Sugar (Lac Qtl)</t>
  </si>
  <si>
    <t>Opening Stock of Sugar (Lac Qtl)</t>
  </si>
  <si>
    <t>Cane Price</t>
  </si>
  <si>
    <t>Sugar Price</t>
  </si>
  <si>
    <t>Sugar Recovery</t>
  </si>
  <si>
    <t>Cane Crushed</t>
  </si>
  <si>
    <t>Operating months</t>
  </si>
  <si>
    <t>2022-23</t>
  </si>
  <si>
    <t>2021-22</t>
  </si>
  <si>
    <t>Years</t>
  </si>
  <si>
    <t>Protected</t>
  </si>
  <si>
    <t>PARTICULARS</t>
  </si>
  <si>
    <t>BAJAJ HINDUSTHAN SUGAR LIMITED</t>
  </si>
  <si>
    <t xml:space="preserve">Investment </t>
  </si>
  <si>
    <t>Loans &amp; Advances to Subsidiaries/others</t>
  </si>
  <si>
    <t>FY 23</t>
  </si>
  <si>
    <t>Alcohol</t>
  </si>
  <si>
    <t>All figures in INR Crores</t>
  </si>
  <si>
    <t>EBITDA margin %</t>
  </si>
  <si>
    <t>Finance cost (RTL Interest)</t>
  </si>
  <si>
    <t>Other borrowing cost*</t>
  </si>
  <si>
    <t>Key financials</t>
  </si>
  <si>
    <t>FY23</t>
  </si>
  <si>
    <t>FY24</t>
  </si>
  <si>
    <t>FY25</t>
  </si>
  <si>
    <t>FY26</t>
  </si>
  <si>
    <t>FY27</t>
  </si>
  <si>
    <t>FY28</t>
  </si>
  <si>
    <t>FY29</t>
  </si>
  <si>
    <t>FY30</t>
  </si>
  <si>
    <t>FY31</t>
  </si>
  <si>
    <t>Net cash for debt servicing (A)</t>
  </si>
  <si>
    <t>Finance cost on Term Loan</t>
  </si>
  <si>
    <t>Total debt servicing (B)</t>
  </si>
  <si>
    <t>Average DSCR</t>
  </si>
  <si>
    <t xml:space="preserve"> Non-current assets </t>
  </si>
  <si>
    <t xml:space="preserve"> Investments </t>
  </si>
  <si>
    <t xml:space="preserve"> Other non-current financial assets </t>
  </si>
  <si>
    <t>Current investments</t>
  </si>
  <si>
    <t>Cash and cash equivalents</t>
  </si>
  <si>
    <t>Bank balances</t>
  </si>
  <si>
    <t>Loans and interest accrued</t>
  </si>
  <si>
    <t>Net Worth</t>
  </si>
  <si>
    <t>Borrowings</t>
  </si>
  <si>
    <t>Total Trade payables</t>
  </si>
  <si>
    <t>Total Current liabilities</t>
  </si>
  <si>
    <t>Total Equity and liabilities</t>
  </si>
  <si>
    <t>Computation of Cash DSCR</t>
  </si>
  <si>
    <t>- Sugar</t>
  </si>
  <si>
    <t>- Alcohol</t>
  </si>
  <si>
    <t>- By products</t>
  </si>
  <si>
    <t xml:space="preserve">Deferred tax </t>
  </si>
  <si>
    <t>- Power</t>
  </si>
  <si>
    <t>Assets</t>
  </si>
  <si>
    <t xml:space="preserve">Non-current assets </t>
  </si>
  <si>
    <t xml:space="preserve">Investments </t>
  </si>
  <si>
    <t xml:space="preserve">Other non-current financial assets </t>
  </si>
  <si>
    <t>Equity and Liabilities</t>
  </si>
  <si>
    <t>Total Non-current liabilities</t>
  </si>
  <si>
    <t>Working Capital Facility</t>
  </si>
  <si>
    <t>DO NOT DELETE</t>
  </si>
  <si>
    <t>For proposal Note</t>
  </si>
  <si>
    <t>Add:</t>
  </si>
  <si>
    <t>Profit before tax ('PBT')</t>
  </si>
  <si>
    <t>- Accrued interest</t>
  </si>
  <si>
    <t>- Other borrowing cost</t>
  </si>
  <si>
    <t>- On term loan</t>
  </si>
  <si>
    <t>- On cash credit facility</t>
  </si>
  <si>
    <t>- Coupon on OCDs</t>
  </si>
  <si>
    <t>- TDS on YTM and Coupon of OCDs</t>
  </si>
  <si>
    <t>Deferred tax asset (net)</t>
  </si>
  <si>
    <t>Period</t>
  </si>
  <si>
    <t>Premium on redemption</t>
  </si>
  <si>
    <t>Coupon</t>
  </si>
  <si>
    <t>Total cashflow</t>
  </si>
  <si>
    <t>IRR</t>
  </si>
  <si>
    <t>Opening for balance sheet</t>
  </si>
  <si>
    <t>Less: Repayment</t>
  </si>
  <si>
    <t>Closing for balance sheet</t>
  </si>
  <si>
    <t>OCD Coupon calculation</t>
  </si>
  <si>
    <t>OCD 1</t>
  </si>
  <si>
    <t>OCD 2</t>
  </si>
  <si>
    <t>OCD 3</t>
  </si>
  <si>
    <t>OCD 4</t>
  </si>
  <si>
    <t>OCD 5</t>
  </si>
  <si>
    <t>OCD 6</t>
  </si>
  <si>
    <t>OCD 7</t>
  </si>
  <si>
    <t>OCD 8</t>
  </si>
  <si>
    <t>OCD 9</t>
  </si>
  <si>
    <t>OCD 10</t>
  </si>
  <si>
    <t>OCD 11</t>
  </si>
  <si>
    <t>OCD 12</t>
  </si>
  <si>
    <t>OCD 13</t>
  </si>
  <si>
    <t>OCD Summary</t>
  </si>
  <si>
    <t>OCD repayment (with premium)</t>
  </si>
  <si>
    <t>Quantity required in Sugar division</t>
  </si>
  <si>
    <t>Quantity required in Distillery division</t>
  </si>
  <si>
    <t>Add: Opening cash</t>
  </si>
  <si>
    <t>Molasses - C (Free)</t>
  </si>
  <si>
    <t>FY 24</t>
  </si>
  <si>
    <t>FY 25</t>
  </si>
  <si>
    <t>FY 26</t>
  </si>
  <si>
    <t>FY 27</t>
  </si>
  <si>
    <t>FY 28</t>
  </si>
  <si>
    <t>FY 29</t>
  </si>
  <si>
    <t>FY 30</t>
  </si>
  <si>
    <t>FY 31</t>
  </si>
  <si>
    <t>Molasses Free - Rate</t>
  </si>
  <si>
    <t>(-) Free Sales</t>
  </si>
  <si>
    <t>(-) Sales Levy</t>
  </si>
  <si>
    <t>Particulars (1/2)</t>
  </si>
  <si>
    <t>Cash available for debt servicing (EBITDA less Tax) ('A')</t>
  </si>
  <si>
    <t>Finance Cost (WC + TL + OCD coupon)</t>
  </si>
  <si>
    <t>Existing term loan repayment**</t>
  </si>
  <si>
    <t>OCD Repayment with premium</t>
  </si>
  <si>
    <t>Total Debt Servicing ('B')</t>
  </si>
  <si>
    <t>DSCR (A/B)</t>
  </si>
  <si>
    <t>Cash Deficit</t>
  </si>
  <si>
    <t>Cumulative Cash Deficit</t>
  </si>
  <si>
    <t>FY32</t>
  </si>
  <si>
    <t>FY33</t>
  </si>
  <si>
    <t>FY34</t>
  </si>
  <si>
    <t>FY35</t>
  </si>
  <si>
    <t>FY36</t>
  </si>
  <si>
    <t>FY37</t>
  </si>
  <si>
    <t>&lt;&lt;Basis Ref date of 31 Dec 2021&gt;&gt;</t>
  </si>
  <si>
    <t>Weighted average rate has been calcuated only on the facilities converted to OCDs (unsustainable part) as per S4A model</t>
  </si>
  <si>
    <t>Start date</t>
  </si>
  <si>
    <t>End date</t>
  </si>
  <si>
    <t>Number of days</t>
  </si>
  <si>
    <t>OCD Principal</t>
  </si>
  <si>
    <t>Coupon amount</t>
  </si>
  <si>
    <t>TDS on coupon</t>
  </si>
  <si>
    <t>Coupon (net of TDS)</t>
  </si>
  <si>
    <t>Coupon on OCDs</t>
  </si>
  <si>
    <t>As on 31-Dec-21</t>
  </si>
  <si>
    <t>Repayment till Dec-21</t>
  </si>
  <si>
    <t>Opening Creditors</t>
  </si>
  <si>
    <t>Add: Purchase of Cane</t>
  </si>
  <si>
    <t>Closing Creditors</t>
  </si>
  <si>
    <t>Less: Payment to cane farmers (from operations)</t>
  </si>
  <si>
    <t>Less: Payment to cane farmers (from infusion)</t>
  </si>
  <si>
    <t>Inventory of finished goods</t>
  </si>
  <si>
    <t>Net Cane dues</t>
  </si>
  <si>
    <t>Payment thru operations same as previous model at:</t>
  </si>
  <si>
    <t>Net cane dues 0 at:</t>
  </si>
  <si>
    <t>Previous</t>
  </si>
  <si>
    <t>New</t>
  </si>
  <si>
    <t>Closing creditors</t>
  </si>
  <si>
    <t>Infusion</t>
  </si>
  <si>
    <t>Payment thru infusion</t>
  </si>
  <si>
    <t>Payment thru operations</t>
  </si>
  <si>
    <t>Cash</t>
  </si>
  <si>
    <t>Cane Creditors</t>
  </si>
  <si>
    <t>Creditor days (New)</t>
  </si>
  <si>
    <t>Creditor days (Old)</t>
  </si>
  <si>
    <t xml:space="preserve">Optional Repayment schedule </t>
  </si>
  <si>
    <t>Avg DSCR</t>
  </si>
  <si>
    <t>Cane days</t>
  </si>
  <si>
    <t>Debt Allocation between sugar and distillery</t>
  </si>
  <si>
    <t>Key Financials</t>
  </si>
  <si>
    <t>Cash Profit (Cash Profit = PAT+Depreciation)</t>
  </si>
  <si>
    <t>Term loan allocation between Sugar+Cogen and Distillery</t>
  </si>
  <si>
    <t>Sugar &amp; Cogen</t>
  </si>
  <si>
    <r>
      <t>3</t>
    </r>
    <r>
      <rPr>
        <vertAlign val="superscript"/>
        <sz val="11"/>
        <color theme="1"/>
        <rFont val="Calibri"/>
        <family val="2"/>
        <scheme val="minor"/>
      </rPr>
      <t>x</t>
    </r>
  </si>
  <si>
    <t>Debt Allocation</t>
  </si>
  <si>
    <t>Sensivity</t>
  </si>
  <si>
    <t>Final Debt Allocation</t>
  </si>
  <si>
    <t>Sugar+Cogen</t>
  </si>
  <si>
    <t>Payment of Debt Obligation</t>
  </si>
  <si>
    <t>Repayment of Debt</t>
  </si>
  <si>
    <t>Payment of Interest on TL</t>
  </si>
  <si>
    <t>Payment of Interest on WC</t>
  </si>
  <si>
    <t>CASH DSCR</t>
  </si>
  <si>
    <t>Cash flow (working capital changes)</t>
  </si>
  <si>
    <t>Adjustment of other cash flows</t>
  </si>
  <si>
    <t>EBITDA Breakup - Segment wise</t>
  </si>
  <si>
    <t>FINANCE COST</t>
  </si>
  <si>
    <t>Less YTM</t>
  </si>
  <si>
    <t>Finance Cost Net of YTM</t>
  </si>
  <si>
    <t>Standard debt repayment + interest cost = debt obligations</t>
  </si>
  <si>
    <t>Particular</t>
  </si>
  <si>
    <t>TLs repayment</t>
  </si>
  <si>
    <t>Interest on TLs</t>
  </si>
  <si>
    <t>Interest on WC</t>
  </si>
  <si>
    <t>Other finance cost</t>
  </si>
  <si>
    <t>Total debt obligations</t>
  </si>
  <si>
    <t>Allocation of EBITDA - Between - Sugar+Cogen and Distillery</t>
  </si>
  <si>
    <t>YTM till March 2022</t>
  </si>
  <si>
    <t>Unpaid coupon Rate for FY22</t>
  </si>
  <si>
    <t>DSRA</t>
  </si>
  <si>
    <t>Less: WC Interest</t>
  </si>
  <si>
    <t>Revised 
(31 Mar 2022)</t>
  </si>
  <si>
    <t>Int till Mar-22</t>
  </si>
  <si>
    <t>Inventory days</t>
  </si>
  <si>
    <t>TDS payable</t>
  </si>
  <si>
    <t>- Interest payable on OCD (coupon rate)</t>
  </si>
  <si>
    <t xml:space="preserve">    DSRA</t>
  </si>
  <si>
    <t>Total repayment (Quarterly)</t>
  </si>
  <si>
    <t>DSRA allocation</t>
  </si>
  <si>
    <t>Closing cash after DSRA</t>
  </si>
  <si>
    <t>Closing balance of cash (Before DSRA)</t>
  </si>
  <si>
    <t>As on 4 Feb 2022</t>
  </si>
  <si>
    <t>YTM till March  2022</t>
  </si>
  <si>
    <t>Less: WC interest</t>
  </si>
  <si>
    <t>Convertible instrument</t>
  </si>
  <si>
    <t>Principal + Interest</t>
  </si>
  <si>
    <t>Syrup</t>
  </si>
  <si>
    <t>From Syrup</t>
  </si>
  <si>
    <t>Alcohol from Syrup</t>
  </si>
  <si>
    <t>Alcohol Production +</t>
  </si>
  <si>
    <t>Alcohol Sales +</t>
  </si>
  <si>
    <t>Sale of Alcohol - Syrup</t>
  </si>
  <si>
    <t>Alcohol - Syrup</t>
  </si>
  <si>
    <t>Less Inter segment - Syrup</t>
  </si>
  <si>
    <t>Cane Payable days</t>
  </si>
  <si>
    <t>Gross cane dues (INR Cr)</t>
  </si>
  <si>
    <t>Finishehd goods Inventory (INR Cr)</t>
  </si>
  <si>
    <t>Finished goods Inventory days</t>
  </si>
  <si>
    <t>Net cane dues</t>
  </si>
  <si>
    <t xml:space="preserve">Revised 
</t>
  </si>
  <si>
    <t>Acutal</t>
  </si>
  <si>
    <t>Actual</t>
  </si>
  <si>
    <t>Centre Cane Early</t>
  </si>
  <si>
    <t>Centre Cane General</t>
  </si>
  <si>
    <t>Centre Cane Unapproved</t>
  </si>
  <si>
    <t>Centre Cane Burnt</t>
  </si>
  <si>
    <t>B Molasses Opening Stock in Sugar Div</t>
  </si>
  <si>
    <t>B Molasses in Sugar - Opening WIP</t>
  </si>
  <si>
    <t>B Molasses - Opening Stock</t>
  </si>
  <si>
    <t>Alcohol from Molasses B Opening Stock</t>
  </si>
  <si>
    <t>Op Stock of Syrup in Sugar</t>
  </si>
  <si>
    <t>Production of Syrup in Sugar</t>
  </si>
  <si>
    <t>Syrup transfer Inter segment</t>
  </si>
  <si>
    <t>Closing Stock of Syrup in Sugar</t>
  </si>
  <si>
    <t xml:space="preserve">Syrup received Inter segment </t>
  </si>
  <si>
    <t>Syrup Consumption</t>
  </si>
  <si>
    <t>Syrup in distillery</t>
  </si>
  <si>
    <t>(+) Inter segment transfers received</t>
  </si>
  <si>
    <t>(-) Consumption</t>
  </si>
  <si>
    <t>Closing stock of Syrup</t>
  </si>
  <si>
    <t>Op Stock of Syrup in Distillery</t>
  </si>
  <si>
    <t>Closing Stock of Syrup in Distillery</t>
  </si>
  <si>
    <t>Alcohol from Syrup (Production)</t>
  </si>
  <si>
    <t>Alcohol from Syrup (Sold)</t>
  </si>
  <si>
    <t>Alcohol from Syrup Gain / (Loss)</t>
  </si>
  <si>
    <t>Alcohol from Syrup Opening Stock</t>
  </si>
  <si>
    <t>Alcohol from Syrup Closing Stock</t>
  </si>
  <si>
    <t>Closing stock of Owned MFG Bagasse</t>
  </si>
  <si>
    <t>Disposal during the year</t>
  </si>
  <si>
    <t>Dep. On Disposal</t>
  </si>
  <si>
    <t>By products</t>
  </si>
  <si>
    <t>Sale of Products</t>
  </si>
  <si>
    <t>Bajaj Aviation Pvt Ltd</t>
  </si>
  <si>
    <t>Bajaj Power Generation Company Ltd</t>
  </si>
  <si>
    <t>Bajaj Hindusthan Singapore Pvt Ltd</t>
  </si>
  <si>
    <t>Cane crushed - Syrup (FY22)</t>
  </si>
  <si>
    <t>Finished sugar (incl. BISS)</t>
  </si>
  <si>
    <t>Breakup of above: Closing Stock Out of Purchased and Dist</t>
  </si>
  <si>
    <t>Excess</t>
  </si>
  <si>
    <t>Pressmud production</t>
  </si>
  <si>
    <t>Other Non-current assets</t>
  </si>
  <si>
    <t>Taxes paid under protest</t>
  </si>
  <si>
    <t>MAT credit entitlement</t>
  </si>
  <si>
    <t>Increase / (Decrease) in other assets / liabilities</t>
  </si>
  <si>
    <t>Total Non current assets</t>
  </si>
  <si>
    <t>Received from UPPCL through Cane commissioner</t>
  </si>
  <si>
    <t>TDS on YTM</t>
  </si>
  <si>
    <t>LQ</t>
  </si>
  <si>
    <t>Cane Crushing</t>
  </si>
  <si>
    <t>Alcohol Production - C Molasses</t>
  </si>
  <si>
    <t>Alcohol Production - B Molasses</t>
  </si>
  <si>
    <t>Alcohol Production - Total</t>
  </si>
  <si>
    <t>Sugar Realization Price</t>
  </si>
  <si>
    <t>Alcohol Price - B Molasses</t>
  </si>
  <si>
    <t>Cane Price (landed price)</t>
  </si>
  <si>
    <t>BHSL Financial Model - Key Assumptions Considered</t>
  </si>
  <si>
    <t>Alcohol Price - C Molasses</t>
  </si>
  <si>
    <t>Rs/Qtl of cane cane crushed</t>
  </si>
  <si>
    <t>Rs/Qtl of sugar produced</t>
  </si>
  <si>
    <t>Rs/Qtl of sugar sold</t>
  </si>
  <si>
    <t>Bank Borrowings (Closing balance)</t>
  </si>
  <si>
    <t xml:space="preserve">Coupon on OCDs </t>
  </si>
  <si>
    <t>No. of Shares</t>
  </si>
  <si>
    <r>
      <t>FY25</t>
    </r>
    <r>
      <rPr>
        <b/>
        <vertAlign val="superscript"/>
        <sz val="10"/>
        <color rgb="FF000000"/>
        <rFont val="EYInterstate Light"/>
      </rPr>
      <t>&amp;</t>
    </r>
  </si>
  <si>
    <t>Debt repayment and deficit as per existing schedule (Option 1 in Debt repayment Schedule sheet)</t>
  </si>
  <si>
    <t>Projected Profit and Loss statement</t>
  </si>
  <si>
    <t xml:space="preserve">Projected Balance sheet </t>
  </si>
  <si>
    <t>Projected cash flow statement</t>
  </si>
  <si>
    <t>Term Loan from Lenders</t>
  </si>
  <si>
    <t>Cl. Balance</t>
  </si>
  <si>
    <t>Op. Balance</t>
  </si>
  <si>
    <t>Revenue from key products</t>
  </si>
  <si>
    <t>Other operating income &amp; other income</t>
  </si>
  <si>
    <t>Repair and maintenance expenses</t>
  </si>
  <si>
    <t>Cane Commission</t>
  </si>
  <si>
    <t>Cane liability and other liability mutually swapped</t>
  </si>
  <si>
    <t>(now cane liability includes cane commssion as well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</si>
</sst>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3" formatCode="_ * #,##0.00_ ;_ * \-#,##0.00_ ;_ * &quot;-&quot;??_ ;_ @_ "/>
    <numFmt numFmtId="164" formatCode="_(* #,##0.00_);_(* \(#,##0.00\);_(* &quot;-&quot;??_);_(@_)"/>
    <numFmt numFmtId="165" formatCode="_ * #,##0_ ;_ * \-#,##0_ ;_ * &quot;-&quot;??_ ;_ @_ "/>
    <numFmt numFmtId="166" formatCode="0.00_)"/>
    <numFmt numFmtId="167" formatCode="_ * #,##0_ ;_ * \(#,##0\)_ ;_ * &quot;-&quot;??_ ;_ @_ "/>
    <numFmt numFmtId="168" formatCode="0.0%"/>
    <numFmt numFmtId="169" formatCode="_ * #,##0.0_ ;_ * \-#,##0.0_ ;_ * &quot;-&quot;??_ ;_ @_ "/>
    <numFmt numFmtId="170" formatCode="_-* #,##0.00_-;\-* #,##0.00_-;_-* &quot;-&quot;??_-;_-@_-"/>
    <numFmt numFmtId="171" formatCode="0.0"/>
    <numFmt numFmtId="172" formatCode="[$-409]dd/mmm/yy;@"/>
    <numFmt numFmtId="173" formatCode="_ * #,##0.0000_ ;_ * \-#,##0.0000_ ;_ * &quot;-&quot;??_ ;_ @_ "/>
    <numFmt numFmtId="174" formatCode="0_);\(0\)"/>
    <numFmt numFmtId="175" formatCode="0.00_);\(0.00\)"/>
    <numFmt numFmtId="176" formatCode="0_)"/>
    <numFmt numFmtId="177" formatCode="_(* #,##0_);_(* \(#,##0\);_(* &quot;-&quot;??_);_(@_)"/>
    <numFmt numFmtId="178" formatCode="_ * #,##0.000_ ;_ * \-#,##0.000_ ;_ * &quot;-&quot;??_ ;_ @_ "/>
    <numFmt numFmtId="179" formatCode="_ * #,##0.00000_ ;_ * \-#,##0.00000_ ;_ * &quot;-&quot;??_ ;_ @_ "/>
    <numFmt numFmtId="180" formatCode="_ * #,##0_ ;_ * \(#,##0\)_ ;_ * &quot;-&quot;_ ;_ @_ "/>
    <numFmt numFmtId="181" formatCode="_ * #,##0.00_ ;_ * \(#,##0.00\)_ ;_ * &quot;-&quot;??_ ;_ @_ "/>
    <numFmt numFmtId="182" formatCode="#,##0_ ;\-#,##0\ "/>
    <numFmt numFmtId="183" formatCode="_ * #,##0.000000000_ ;_ * \-#,##0.000000000_ ;_ * &quot;-&quot;??_ ;_ @_ "/>
  </numFmts>
  <fonts count="81"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sz val="11"/>
      <color rgb="FFFFFF00"/>
      <name val="Calibri"/>
      <family val="2"/>
      <scheme val="minor"/>
    </font>
    <font>
      <sz val="11"/>
      <color theme="4" tint="-0.249977111117893"/>
      <name val="Calibri"/>
      <family val="2"/>
      <scheme val="minor"/>
    </font>
    <font>
      <sz val="11"/>
      <name val="Calibri"/>
      <family val="2"/>
      <scheme val="minor"/>
    </font>
    <font>
      <i/>
      <sz val="11"/>
      <color theme="1"/>
      <name val="Calibri"/>
      <family val="2"/>
      <scheme val="minor"/>
    </font>
    <font>
      <b/>
      <sz val="11"/>
      <name val="Calibri"/>
      <family val="2"/>
      <scheme val="minor"/>
    </font>
    <font>
      <u/>
      <sz val="11"/>
      <color theme="1"/>
      <name val="Calibri"/>
      <family val="2"/>
      <scheme val="minor"/>
    </font>
    <font>
      <sz val="11"/>
      <color rgb="FFC00000"/>
      <name val="Calibri"/>
      <family val="2"/>
      <scheme val="minor"/>
    </font>
    <font>
      <sz val="11"/>
      <color rgb="FFFF0000"/>
      <name val="Calibri"/>
      <family val="2"/>
      <scheme val="minor"/>
    </font>
    <font>
      <sz val="12"/>
      <color theme="1"/>
      <name val="Calibri"/>
      <family val="2"/>
      <scheme val="minor"/>
    </font>
    <font>
      <i/>
      <sz val="11"/>
      <color rgb="FFFF0000"/>
      <name val="Calibri"/>
      <family val="2"/>
      <scheme val="minor"/>
    </font>
    <font>
      <b/>
      <i/>
      <sz val="11"/>
      <color theme="1"/>
      <name val="Calibri"/>
      <family val="2"/>
      <scheme val="minor"/>
    </font>
    <font>
      <sz val="11"/>
      <color rgb="FF000000"/>
      <name val="Calibri"/>
      <family val="2"/>
      <scheme val="minor"/>
    </font>
    <font>
      <sz val="11"/>
      <color theme="4"/>
      <name val="Calibri"/>
      <family val="2"/>
      <scheme val="minor"/>
    </font>
    <font>
      <i/>
      <sz val="11"/>
      <name val="Calibri"/>
      <family val="2"/>
      <scheme val="minor"/>
    </font>
    <font>
      <sz val="11"/>
      <color theme="8"/>
      <name val="Calibri"/>
      <family val="2"/>
      <scheme val="minor"/>
    </font>
    <font>
      <b/>
      <i/>
      <u/>
      <sz val="11"/>
      <color theme="1"/>
      <name val="Calibri"/>
      <family val="2"/>
      <scheme val="minor"/>
    </font>
    <font>
      <i/>
      <sz val="11"/>
      <color theme="8"/>
      <name val="Calibri"/>
      <family val="2"/>
      <scheme val="minor"/>
    </font>
    <font>
      <b/>
      <sz val="11"/>
      <color theme="8"/>
      <name val="Calibri"/>
      <family val="2"/>
      <scheme val="minor"/>
    </font>
    <font>
      <b/>
      <u/>
      <sz val="11"/>
      <color theme="4"/>
      <name val="Calibri"/>
      <family val="2"/>
      <scheme val="minor"/>
    </font>
    <font>
      <b/>
      <i/>
      <sz val="16"/>
      <name val="Helv"/>
    </font>
    <font>
      <sz val="10"/>
      <name val="Arial"/>
      <family val="2"/>
    </font>
    <font>
      <u/>
      <sz val="11"/>
      <name val="Calibri"/>
      <family val="2"/>
      <scheme val="minor"/>
    </font>
    <font>
      <b/>
      <u/>
      <sz val="11"/>
      <name val="Calibri"/>
      <family val="2"/>
      <scheme val="minor"/>
    </font>
    <font>
      <sz val="10"/>
      <color indexed="8"/>
      <name val="Arial"/>
      <family val="2"/>
    </font>
    <font>
      <b/>
      <sz val="11"/>
      <color theme="4" tint="-0.249977111117893"/>
      <name val="Calibri"/>
      <family val="2"/>
      <scheme val="minor"/>
    </font>
    <font>
      <b/>
      <sz val="11"/>
      <color theme="0"/>
      <name val="Calibri"/>
      <family val="2"/>
      <scheme val="minor"/>
    </font>
    <font>
      <b/>
      <i/>
      <sz val="11"/>
      <name val="Calibri"/>
      <family val="2"/>
      <scheme val="minor"/>
    </font>
    <font>
      <i/>
      <sz val="11"/>
      <color rgb="FFFFFF00"/>
      <name val="Calibri"/>
      <family val="2"/>
      <scheme val="minor"/>
    </font>
    <font>
      <sz val="9"/>
      <color indexed="81"/>
      <name val="Tahoma"/>
      <family val="2"/>
    </font>
    <font>
      <b/>
      <sz val="9"/>
      <color indexed="81"/>
      <name val="Tahoma"/>
      <family val="2"/>
    </font>
    <font>
      <sz val="10"/>
      <color theme="8"/>
      <name val="Arial"/>
      <family val="2"/>
    </font>
    <font>
      <b/>
      <sz val="11"/>
      <color rgb="FFFF0000"/>
      <name val="Calibri"/>
      <family val="2"/>
      <scheme val="minor"/>
    </font>
    <font>
      <i/>
      <sz val="11"/>
      <color theme="4"/>
      <name val="Calibri"/>
      <family val="2"/>
      <scheme val="minor"/>
    </font>
    <font>
      <sz val="8"/>
      <name val="Calibri"/>
      <family val="2"/>
      <scheme val="minor"/>
    </font>
    <font>
      <sz val="11"/>
      <color theme="1"/>
      <name val="Calibri Light"/>
      <family val="1"/>
      <scheme val="major"/>
    </font>
    <font>
      <sz val="11"/>
      <name val="Calibri Light"/>
      <family val="1"/>
      <scheme val="major"/>
    </font>
    <font>
      <b/>
      <sz val="11"/>
      <name val="Calibri Light"/>
      <family val="1"/>
      <scheme val="major"/>
    </font>
    <font>
      <sz val="10"/>
      <name val="Book Antiqua"/>
      <family val="1"/>
    </font>
    <font>
      <b/>
      <sz val="10"/>
      <name val="Book Antiqua"/>
      <family val="1"/>
    </font>
    <font>
      <b/>
      <u/>
      <sz val="10"/>
      <name val="Book Antiqua"/>
      <family val="1"/>
    </font>
    <font>
      <b/>
      <sz val="11"/>
      <color theme="0"/>
      <name val="Calibri Light"/>
      <family val="1"/>
      <scheme val="major"/>
    </font>
    <font>
      <sz val="11"/>
      <color rgb="FFFF0000"/>
      <name val="Calibri Light"/>
      <family val="1"/>
      <scheme val="major"/>
    </font>
    <font>
      <sz val="11"/>
      <color theme="0"/>
      <name val="Calibri Light"/>
      <family val="1"/>
      <scheme val="major"/>
    </font>
    <font>
      <b/>
      <sz val="11"/>
      <color indexed="10"/>
      <name val="Calibri Light"/>
      <family val="1"/>
      <scheme val="major"/>
    </font>
    <font>
      <sz val="11"/>
      <color indexed="20"/>
      <name val="Calibri Light"/>
      <family val="1"/>
      <scheme val="major"/>
    </font>
    <font>
      <sz val="11"/>
      <color indexed="39"/>
      <name val="Calibri Light"/>
      <family val="1"/>
      <scheme val="major"/>
    </font>
    <font>
      <b/>
      <sz val="11"/>
      <name val="Calibri Light"/>
      <family val="2"/>
      <scheme val="major"/>
    </font>
    <font>
      <b/>
      <sz val="11"/>
      <color indexed="20"/>
      <name val="Calibri Light"/>
      <family val="1"/>
      <scheme val="major"/>
    </font>
    <font>
      <b/>
      <sz val="11"/>
      <color indexed="39"/>
      <name val="Calibri Light"/>
      <family val="1"/>
      <scheme val="major"/>
    </font>
    <font>
      <b/>
      <u/>
      <sz val="11"/>
      <name val="Calibri Light"/>
      <family val="1"/>
      <scheme val="major"/>
    </font>
    <font>
      <sz val="11"/>
      <color theme="1"/>
      <name val="Calibri"/>
      <family val="2"/>
      <charset val="1"/>
      <scheme val="minor"/>
    </font>
    <font>
      <u/>
      <sz val="11"/>
      <color theme="10"/>
      <name val="Calibri"/>
      <family val="2"/>
      <charset val="1"/>
      <scheme val="minor"/>
    </font>
    <font>
      <b/>
      <sz val="11"/>
      <color theme="1"/>
      <name val="Calibri Light"/>
      <family val="2"/>
      <scheme val="major"/>
    </font>
    <font>
      <sz val="10"/>
      <color theme="1"/>
      <name val="EYInterstate Light"/>
    </font>
    <font>
      <b/>
      <sz val="10"/>
      <color rgb="FF000000"/>
      <name val="EYInterstate Light"/>
    </font>
    <font>
      <sz val="10"/>
      <color rgb="FF000000"/>
      <name val="EYInterstate Light"/>
    </font>
    <font>
      <i/>
      <sz val="10"/>
      <color rgb="FF000000"/>
      <name val="EYInterstate Light"/>
    </font>
    <font>
      <sz val="10"/>
      <name val="EYInterstate Light"/>
    </font>
    <font>
      <sz val="9"/>
      <color rgb="FF000000"/>
      <name val="EYInterstate Light"/>
    </font>
    <font>
      <sz val="9"/>
      <color theme="1"/>
      <name val="EYInterstate Light"/>
    </font>
    <font>
      <b/>
      <sz val="9"/>
      <color theme="1"/>
      <name val="EYInterstate Light"/>
    </font>
    <font>
      <b/>
      <sz val="9"/>
      <color rgb="FF000000"/>
      <name val="EYInterstate Light"/>
    </font>
    <font>
      <b/>
      <i/>
      <sz val="10"/>
      <color rgb="FF000000"/>
      <name val="EYInterstate Light"/>
    </font>
    <font>
      <i/>
      <sz val="9"/>
      <color theme="1"/>
      <name val="EYInterstate Light"/>
    </font>
    <font>
      <i/>
      <sz val="9"/>
      <color rgb="FF000000"/>
      <name val="EYInterstate Light"/>
    </font>
    <font>
      <b/>
      <sz val="10"/>
      <color theme="1"/>
      <name val="EYInterstate Light"/>
    </font>
    <font>
      <sz val="11"/>
      <color rgb="FF000000"/>
      <name val="EYInterstate Light"/>
    </font>
    <font>
      <b/>
      <sz val="11"/>
      <color theme="4" tint="0.59999389629810485"/>
      <name val="Calibri"/>
      <family val="2"/>
      <scheme val="minor"/>
    </font>
    <font>
      <vertAlign val="superscript"/>
      <sz val="11"/>
      <color theme="1"/>
      <name val="Calibri"/>
      <family val="2"/>
      <scheme val="minor"/>
    </font>
    <font>
      <b/>
      <u/>
      <sz val="11"/>
      <color rgb="FFFFFF00"/>
      <name val="Calibri"/>
      <family val="2"/>
      <scheme val="minor"/>
    </font>
    <font>
      <sz val="13"/>
      <color rgb="FF000000"/>
      <name val="Calibri"/>
      <family val="2"/>
    </font>
    <font>
      <sz val="13"/>
      <color rgb="FFFF0000"/>
      <name val="Calibri"/>
      <family val="2"/>
    </font>
    <font>
      <b/>
      <sz val="13"/>
      <color rgb="FF000000"/>
      <name val="Calibri"/>
      <family val="2"/>
    </font>
    <font>
      <sz val="13"/>
      <color rgb="FF000000"/>
      <name val="Calibri"/>
      <family val="2"/>
      <scheme val="minor"/>
    </font>
    <font>
      <sz val="12"/>
      <color rgb="FF000000"/>
      <name val="Calibri"/>
      <family val="2"/>
    </font>
    <font>
      <b/>
      <vertAlign val="superscript"/>
      <sz val="10"/>
      <color rgb="FF000000"/>
      <name val="EYInterstate Light"/>
    </font>
    <font>
      <i/>
      <sz val="10"/>
      <color theme="1"/>
      <name val="EYInterstate Light"/>
    </font>
  </fonts>
  <fills count="2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FF"/>
        <bgColor indexed="64"/>
      </patternFill>
    </fill>
    <fill>
      <patternFill patternType="solid">
        <fgColor rgb="FFFFC000"/>
        <bgColor indexed="64"/>
      </patternFill>
    </fill>
    <fill>
      <patternFill patternType="solid">
        <fgColor theme="7"/>
        <bgColor indexed="64"/>
      </patternFill>
    </fill>
    <fill>
      <patternFill patternType="solid">
        <fgColor theme="7" tint="0.79998168889431442"/>
        <bgColor indexed="64"/>
      </patternFill>
    </fill>
    <fill>
      <patternFill patternType="solid">
        <fgColor theme="2"/>
        <bgColor indexed="64"/>
      </patternFill>
    </fill>
    <fill>
      <patternFill patternType="solid">
        <fgColor theme="1"/>
        <bgColor indexed="64"/>
      </patternFill>
    </fill>
    <fill>
      <patternFill patternType="solid">
        <fgColor theme="0"/>
        <bgColor indexed="64"/>
      </patternFill>
    </fill>
    <fill>
      <patternFill patternType="solid">
        <fgColor theme="6" tint="0.79998168889431442"/>
        <bgColor indexed="64"/>
      </patternFill>
    </fill>
    <fill>
      <patternFill patternType="solid">
        <fgColor theme="6"/>
        <bgColor indexed="64"/>
      </patternFill>
    </fill>
    <fill>
      <patternFill patternType="solid">
        <fgColor rgb="FFFFE600"/>
        <bgColor indexed="64"/>
      </patternFill>
    </fill>
    <fill>
      <patternFill patternType="solid">
        <fgColor rgb="FFE0E0E0"/>
        <bgColor indexed="64"/>
      </patternFill>
    </fill>
    <fill>
      <patternFill patternType="solid">
        <fgColor rgb="FFBFBFBF"/>
        <bgColor indexed="64"/>
      </patternFill>
    </fill>
    <fill>
      <patternFill patternType="solid">
        <fgColor rgb="FFDBDBDB"/>
        <bgColor indexed="64"/>
      </patternFill>
    </fill>
    <fill>
      <patternFill patternType="solid">
        <fgColor rgb="FFC4C4CD"/>
        <bgColor indexed="64"/>
      </patternFill>
    </fill>
    <fill>
      <patternFill patternType="solid">
        <fgColor rgb="FFF2F2F2"/>
        <bgColor indexed="64"/>
      </patternFill>
    </fill>
    <fill>
      <patternFill patternType="solid">
        <fgColor rgb="FFD9D9D9"/>
        <bgColor indexed="64"/>
      </patternFill>
    </fill>
    <fill>
      <patternFill patternType="solid">
        <fgColor theme="1" tint="4.9989318521683403E-2"/>
        <bgColor indexed="64"/>
      </patternFill>
    </fill>
    <fill>
      <patternFill patternType="solid">
        <fgColor theme="5" tint="-0.249977111117893"/>
        <bgColor indexed="64"/>
      </patternFill>
    </fill>
    <fill>
      <patternFill patternType="solid">
        <fgColor rgb="FFE7E6E6"/>
        <bgColor indexed="64"/>
      </patternFill>
    </fill>
  </fills>
  <borders count="1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right style="thin">
        <color theme="0" tint="-0.14999847407452621"/>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diagonal/>
    </border>
    <border>
      <left style="hair">
        <color auto="1"/>
      </left>
      <right style="hair">
        <color auto="1"/>
      </right>
      <top style="hair">
        <color auto="1"/>
      </top>
      <bottom style="hair">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0.14999847407452621"/>
      </left>
      <right style="thin">
        <color theme="0" tint="-0.14999847407452621"/>
      </right>
      <top/>
      <bottom style="thin">
        <color theme="0" tint="-0.14999847407452621"/>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thin">
        <color auto="1"/>
      </left>
      <right style="medium">
        <color indexed="64"/>
      </right>
      <top style="thin">
        <color indexed="64"/>
      </top>
      <bottom style="thin">
        <color indexed="64"/>
      </bottom>
      <diagonal/>
    </border>
    <border>
      <left/>
      <right style="thin">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medium">
        <color indexed="64"/>
      </left>
      <right style="thin">
        <color auto="1"/>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theme="0" tint="-0.249977111117893"/>
      </left>
      <right style="medium">
        <color indexed="64"/>
      </right>
      <top style="thin">
        <color theme="0" tint="-0.249977111117893"/>
      </top>
      <bottom style="thin">
        <color theme="0" tint="-0.249977111117893"/>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rgb="FF646464"/>
      </left>
      <right style="thin">
        <color rgb="FF646464"/>
      </right>
      <top style="thin">
        <color rgb="FF646464"/>
      </top>
      <bottom style="thin">
        <color rgb="FF646464"/>
      </bottom>
      <diagonal/>
    </border>
    <border>
      <left style="thin">
        <color rgb="FF646464"/>
      </left>
      <right/>
      <top style="thin">
        <color rgb="FF646464"/>
      </top>
      <bottom style="thin">
        <color rgb="FF646464"/>
      </bottom>
      <diagonal/>
    </border>
    <border>
      <left/>
      <right/>
      <top style="thin">
        <color rgb="FF646464"/>
      </top>
      <bottom style="thin">
        <color rgb="FF646464"/>
      </bottom>
      <diagonal/>
    </border>
    <border>
      <left/>
      <right style="thin">
        <color rgb="FF646464"/>
      </right>
      <top style="thin">
        <color rgb="FF646464"/>
      </top>
      <bottom style="thin">
        <color rgb="FF646464"/>
      </bottom>
      <diagonal/>
    </border>
    <border>
      <left style="thin">
        <color rgb="FF7F7F7F"/>
      </left>
      <right style="thin">
        <color rgb="FF7F7F7F"/>
      </right>
      <top style="thin">
        <color rgb="FF7F7F7F"/>
      </top>
      <bottom style="thin">
        <color rgb="FF7F7F7F"/>
      </bottom>
      <diagonal/>
    </border>
    <border>
      <left style="medium">
        <color rgb="FF747480"/>
      </left>
      <right style="medium">
        <color rgb="FF747480"/>
      </right>
      <top style="medium">
        <color rgb="FF747480"/>
      </top>
      <bottom style="medium">
        <color rgb="FF747480"/>
      </bottom>
      <diagonal/>
    </border>
    <border>
      <left/>
      <right style="medium">
        <color rgb="FF747480"/>
      </right>
      <top style="medium">
        <color rgb="FF747480"/>
      </top>
      <bottom style="medium">
        <color rgb="FF747480"/>
      </bottom>
      <diagonal/>
    </border>
    <border>
      <left style="medium">
        <color rgb="FF747480"/>
      </left>
      <right style="medium">
        <color rgb="FF747480"/>
      </right>
      <top/>
      <bottom style="medium">
        <color rgb="FF747480"/>
      </bottom>
      <diagonal/>
    </border>
    <border>
      <left/>
      <right style="medium">
        <color rgb="FF747480"/>
      </right>
      <top/>
      <bottom style="medium">
        <color rgb="FF747480"/>
      </bottom>
      <diagonal/>
    </border>
    <border>
      <left style="thin">
        <color auto="1"/>
      </left>
      <right style="medium">
        <color indexed="64"/>
      </right>
      <top style="hair">
        <color indexed="64"/>
      </top>
      <bottom style="hair">
        <color indexed="64"/>
      </bottom>
      <diagonal/>
    </border>
    <border>
      <left style="medium">
        <color indexed="64"/>
      </left>
      <right style="thin">
        <color auto="1"/>
      </right>
      <top style="hair">
        <color indexed="64"/>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auto="1"/>
      </left>
      <right style="medium">
        <color indexed="64"/>
      </right>
      <top style="thin">
        <color indexed="64"/>
      </top>
      <bottom style="hair">
        <color indexed="64"/>
      </bottom>
      <diagonal/>
    </border>
    <border>
      <left style="medium">
        <color indexed="64"/>
      </left>
      <right style="thin">
        <color auto="1"/>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tint="-0.34998626667073579"/>
      </left>
      <right style="thin">
        <color theme="0" tint="-0.34998626667073579"/>
      </right>
      <top style="thin">
        <color theme="0" tint="-0.34998626667073579"/>
      </top>
      <bottom style="hair">
        <color theme="0" tint="-0.34998626667073579"/>
      </bottom>
      <diagonal/>
    </border>
    <border>
      <left style="thin">
        <color theme="0" tint="-0.34998626667073579"/>
      </left>
      <right style="thin">
        <color theme="0" tint="-0.34998626667073579"/>
      </right>
      <top style="hair">
        <color theme="0" tint="-0.34998626667073579"/>
      </top>
      <bottom style="hair">
        <color theme="0" tint="-0.34998626667073579"/>
      </bottom>
      <diagonal/>
    </border>
    <border>
      <left style="thin">
        <color rgb="FF7F7F7F"/>
      </left>
      <right/>
      <top style="thin">
        <color rgb="FF7F7F7F"/>
      </top>
      <bottom style="thin">
        <color rgb="FF7F7F7F"/>
      </bottom>
      <diagonal/>
    </border>
    <border>
      <left/>
      <right/>
      <top style="thin">
        <color rgb="FFE7E6E6"/>
      </top>
      <bottom style="thin">
        <color rgb="FFE7E6E6"/>
      </bottom>
      <diagonal/>
    </border>
    <border>
      <left/>
      <right style="thin">
        <color rgb="FFE7E6E6"/>
      </right>
      <top style="thin">
        <color rgb="FFE7E6E6"/>
      </top>
      <bottom style="thin">
        <color rgb="FFE7E6E6"/>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s>
  <cellStyleXfs count="29">
    <xf numFmtId="0" fontId="0" fillId="0" borderId="0"/>
    <xf numFmtId="43" fontId="1" fillId="0" borderId="0" applyFont="0" applyFill="0" applyBorder="0" applyAlignment="0" applyProtection="0"/>
    <xf numFmtId="9" fontId="1" fillId="0" borderId="0" applyFont="0" applyFill="0" applyBorder="0" applyAlignment="0" applyProtection="0"/>
    <xf numFmtId="166" fontId="1" fillId="0" borderId="0"/>
    <xf numFmtId="164" fontId="1" fillId="0" borderId="0" applyFont="0" applyFill="0" applyBorder="0" applyAlignment="0" applyProtection="0"/>
    <xf numFmtId="164" fontId="1" fillId="0" borderId="0" applyFont="0" applyFill="0" applyBorder="0" applyAlignment="0" applyProtection="0"/>
    <xf numFmtId="0" fontId="12" fillId="0" borderId="0"/>
    <xf numFmtId="166" fontId="23" fillId="0" borderId="0"/>
    <xf numFmtId="0" fontId="24" fillId="0" borderId="0"/>
    <xf numFmtId="170" fontId="24" fillId="0" borderId="0" applyFont="0" applyFill="0" applyBorder="0" applyAlignment="0" applyProtection="0"/>
    <xf numFmtId="164" fontId="24" fillId="0" borderId="0" applyFont="0" applyFill="0" applyBorder="0" applyAlignment="0" applyProtection="0"/>
    <xf numFmtId="0" fontId="24" fillId="0" borderId="0"/>
    <xf numFmtId="164" fontId="24" fillId="0" borderId="0" applyFont="0" applyFill="0" applyBorder="0" applyAlignment="0" applyProtection="0"/>
    <xf numFmtId="0" fontId="27" fillId="0" borderId="0">
      <alignment vertical="top"/>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0" fontId="24" fillId="0" borderId="0" applyNumberFormat="0" applyFill="0" applyBorder="0" applyAlignment="0" applyProtection="0"/>
    <xf numFmtId="43" fontId="1" fillId="0" borderId="0" applyFont="0" applyFill="0" applyBorder="0" applyAlignment="0" applyProtection="0"/>
    <xf numFmtId="0" fontId="24" fillId="0" borderId="0"/>
    <xf numFmtId="170" fontId="24" fillId="0" borderId="0" applyFont="0" applyFill="0" applyBorder="0" applyAlignment="0" applyProtection="0"/>
    <xf numFmtId="43" fontId="54" fillId="0" borderId="0" applyFont="0" applyFill="0" applyBorder="0" applyAlignment="0" applyProtection="0"/>
    <xf numFmtId="164" fontId="1" fillId="0" borderId="0" applyFont="0" applyFill="0" applyBorder="0" applyAlignment="0" applyProtection="0"/>
    <xf numFmtId="164" fontId="24" fillId="0" borderId="0" applyFont="0" applyFill="0" applyBorder="0" applyAlignment="0" applyProtection="0"/>
    <xf numFmtId="0" fontId="55" fillId="0" borderId="0" applyNumberFormat="0" applyFill="0" applyBorder="0" applyAlignment="0" applyProtection="0"/>
  </cellStyleXfs>
  <cellXfs count="1876">
    <xf numFmtId="0" fontId="0" fillId="0" borderId="0" xfId="0"/>
    <xf numFmtId="0" fontId="2" fillId="0" borderId="0" xfId="0" applyFont="1"/>
    <xf numFmtId="0" fontId="3" fillId="0" borderId="0" xfId="0" applyFont="1"/>
    <xf numFmtId="0" fontId="0" fillId="2" borderId="1" xfId="0" applyFill="1" applyBorder="1"/>
    <xf numFmtId="0" fontId="0" fillId="3" borderId="1" xfId="0" applyFill="1" applyBorder="1"/>
    <xf numFmtId="43" fontId="0" fillId="0" borderId="0" xfId="1" applyFont="1"/>
    <xf numFmtId="43" fontId="0" fillId="3" borderId="1" xfId="1" applyFont="1" applyFill="1" applyBorder="1"/>
    <xf numFmtId="0" fontId="0" fillId="0" borderId="2" xfId="0" applyBorder="1"/>
    <xf numFmtId="43" fontId="0" fillId="0" borderId="0" xfId="0" applyNumberFormat="1"/>
    <xf numFmtId="0" fontId="0" fillId="0" borderId="4" xfId="0" applyBorder="1"/>
    <xf numFmtId="43" fontId="0" fillId="0" borderId="4" xfId="1" applyFont="1" applyBorder="1"/>
    <xf numFmtId="0" fontId="0" fillId="0" borderId="5" xfId="0" applyBorder="1"/>
    <xf numFmtId="43" fontId="0" fillId="0" borderId="5" xfId="1" applyFont="1" applyBorder="1"/>
    <xf numFmtId="43" fontId="0" fillId="0" borderId="6" xfId="1" applyFont="1" applyBorder="1"/>
    <xf numFmtId="43" fontId="0" fillId="3" borderId="5" xfId="1" applyFont="1" applyFill="1" applyBorder="1"/>
    <xf numFmtId="43" fontId="0" fillId="0" borderId="8" xfId="1" applyFont="1" applyBorder="1"/>
    <xf numFmtId="0" fontId="0" fillId="0" borderId="0" xfId="0" applyBorder="1"/>
    <xf numFmtId="10" fontId="0" fillId="0" borderId="4" xfId="0" applyNumberFormat="1" applyBorder="1"/>
    <xf numFmtId="43" fontId="0" fillId="3" borderId="4" xfId="1" applyFont="1" applyFill="1" applyBorder="1"/>
    <xf numFmtId="10" fontId="0" fillId="0" borderId="5" xfId="0" applyNumberFormat="1" applyBorder="1"/>
    <xf numFmtId="43" fontId="0" fillId="0" borderId="0" xfId="1" applyFont="1" applyBorder="1"/>
    <xf numFmtId="43" fontId="0" fillId="3" borderId="2" xfId="0" applyNumberFormat="1" applyFill="1" applyBorder="1"/>
    <xf numFmtId="0" fontId="0" fillId="0" borderId="9" xfId="0" applyBorder="1"/>
    <xf numFmtId="0" fontId="0" fillId="0" borderId="8" xfId="0" applyBorder="1"/>
    <xf numFmtId="165" fontId="0" fillId="0" borderId="5" xfId="1" applyNumberFormat="1" applyFont="1" applyBorder="1"/>
    <xf numFmtId="165" fontId="0" fillId="0" borderId="8" xfId="1" applyNumberFormat="1" applyFont="1" applyBorder="1"/>
    <xf numFmtId="0" fontId="0" fillId="0" borderId="7" xfId="0" applyBorder="1"/>
    <xf numFmtId="165" fontId="0" fillId="0" borderId="4" xfId="1" applyNumberFormat="1" applyFont="1" applyBorder="1"/>
    <xf numFmtId="0" fontId="0" fillId="3" borderId="1" xfId="0" applyFill="1" applyBorder="1" applyAlignment="1">
      <alignment wrapText="1"/>
    </xf>
    <xf numFmtId="165" fontId="0" fillId="0" borderId="6" xfId="1" applyNumberFormat="1" applyFont="1" applyBorder="1"/>
    <xf numFmtId="43" fontId="0" fillId="3" borderId="2" xfId="1" applyFont="1" applyFill="1" applyBorder="1"/>
    <xf numFmtId="0" fontId="9" fillId="0" borderId="0" xfId="0" applyFont="1"/>
    <xf numFmtId="0" fontId="3" fillId="2" borderId="1" xfId="0" applyFont="1" applyFill="1" applyBorder="1"/>
    <xf numFmtId="0" fontId="0" fillId="0" borderId="0" xfId="0" applyFont="1"/>
    <xf numFmtId="10" fontId="0" fillId="0" borderId="6" xfId="0" applyNumberFormat="1" applyBorder="1"/>
    <xf numFmtId="0" fontId="0" fillId="3" borderId="1" xfId="0" applyFont="1" applyFill="1" applyBorder="1" applyAlignment="1">
      <alignment horizontal="center"/>
    </xf>
    <xf numFmtId="14" fontId="0" fillId="0" borderId="2" xfId="0" applyNumberFormat="1" applyBorder="1"/>
    <xf numFmtId="43" fontId="0" fillId="3" borderId="6" xfId="1" applyFont="1" applyFill="1" applyBorder="1"/>
    <xf numFmtId="10" fontId="0" fillId="0" borderId="4" xfId="1" applyNumberFormat="1" applyFont="1" applyBorder="1"/>
    <xf numFmtId="10" fontId="0" fillId="0" borderId="5" xfId="1" applyNumberFormat="1" applyFont="1" applyBorder="1"/>
    <xf numFmtId="43" fontId="0" fillId="0" borderId="8" xfId="0" applyNumberFormat="1" applyBorder="1"/>
    <xf numFmtId="10" fontId="0" fillId="0" borderId="8" xfId="0" applyNumberFormat="1" applyBorder="1"/>
    <xf numFmtId="165" fontId="0" fillId="2" borderId="1" xfId="0" applyNumberFormat="1" applyFill="1" applyBorder="1"/>
    <xf numFmtId="0" fontId="0" fillId="2" borderId="1" xfId="0" applyFont="1" applyFill="1" applyBorder="1"/>
    <xf numFmtId="165" fontId="0" fillId="2" borderId="1" xfId="0" applyNumberFormat="1" applyFont="1" applyFill="1" applyBorder="1"/>
    <xf numFmtId="14" fontId="2" fillId="0" borderId="11" xfId="0" applyNumberFormat="1" applyFont="1" applyBorder="1"/>
    <xf numFmtId="0" fontId="2" fillId="0" borderId="11" xfId="0" applyFont="1" applyBorder="1"/>
    <xf numFmtId="43" fontId="2" fillId="0" borderId="11" xfId="1" applyFont="1" applyBorder="1"/>
    <xf numFmtId="0" fontId="0" fillId="0" borderId="4" xfId="0" applyFont="1" applyBorder="1"/>
    <xf numFmtId="0" fontId="0" fillId="0" borderId="8" xfId="0" applyFont="1" applyBorder="1"/>
    <xf numFmtId="0" fontId="14" fillId="0" borderId="0" xfId="0" applyFont="1"/>
    <xf numFmtId="0" fontId="0" fillId="0" borderId="0" xfId="0" applyBorder="1" applyAlignment="1">
      <alignment vertical="center"/>
    </xf>
    <xf numFmtId="0" fontId="14" fillId="0" borderId="0" xfId="0" applyFont="1" applyBorder="1" applyAlignment="1">
      <alignment vertical="center"/>
    </xf>
    <xf numFmtId="0" fontId="3" fillId="0" borderId="0" xfId="0" applyFont="1" applyBorder="1" applyAlignment="1">
      <alignment vertical="center"/>
    </xf>
    <xf numFmtId="0" fontId="2" fillId="7" borderId="12" xfId="0" applyFont="1" applyFill="1" applyBorder="1" applyAlignment="1">
      <alignment vertical="center"/>
    </xf>
    <xf numFmtId="0" fontId="3" fillId="7" borderId="12" xfId="0" applyFont="1" applyFill="1" applyBorder="1" applyAlignment="1">
      <alignment vertical="center"/>
    </xf>
    <xf numFmtId="15" fontId="2" fillId="7" borderId="12" xfId="0" applyNumberFormat="1" applyFont="1" applyFill="1" applyBorder="1" applyAlignment="1">
      <alignment horizontal="center" vertical="center"/>
    </xf>
    <xf numFmtId="0" fontId="2" fillId="0" borderId="12" xfId="0" applyFont="1" applyFill="1" applyBorder="1" applyAlignment="1">
      <alignment vertical="center"/>
    </xf>
    <xf numFmtId="0" fontId="0" fillId="0" borderId="0" xfId="0" applyFill="1" applyBorder="1" applyAlignment="1">
      <alignment vertical="center"/>
    </xf>
    <xf numFmtId="43" fontId="18" fillId="0" borderId="12" xfId="1" applyFont="1" applyFill="1" applyBorder="1" applyAlignment="1">
      <alignment horizontal="center" vertical="center"/>
    </xf>
    <xf numFmtId="43" fontId="0" fillId="0" borderId="12" xfId="1" applyFont="1" applyFill="1" applyBorder="1" applyAlignment="1">
      <alignment horizontal="center" vertical="center"/>
    </xf>
    <xf numFmtId="0" fontId="0" fillId="0" borderId="12" xfId="0" applyFill="1" applyBorder="1" applyAlignment="1">
      <alignment vertical="center"/>
    </xf>
    <xf numFmtId="43" fontId="0" fillId="0" borderId="12" xfId="1" applyFont="1" applyFill="1" applyBorder="1" applyAlignment="1">
      <alignment vertical="center"/>
    </xf>
    <xf numFmtId="43" fontId="6" fillId="0" borderId="12" xfId="1" applyFont="1" applyFill="1" applyBorder="1" applyAlignment="1">
      <alignment vertical="center"/>
    </xf>
    <xf numFmtId="0" fontId="13" fillId="0" borderId="0" xfId="0" applyFont="1" applyFill="1" applyBorder="1" applyAlignment="1">
      <alignment vertical="center"/>
    </xf>
    <xf numFmtId="10" fontId="0" fillId="0" borderId="12" xfId="0" applyNumberFormat="1" applyFill="1" applyBorder="1" applyAlignment="1">
      <alignment vertical="center"/>
    </xf>
    <xf numFmtId="10" fontId="6" fillId="0" borderId="12" xfId="0" applyNumberFormat="1" applyFont="1" applyFill="1" applyBorder="1" applyAlignment="1">
      <alignment vertical="center"/>
    </xf>
    <xf numFmtId="10" fontId="0" fillId="0" borderId="12" xfId="2" applyNumberFormat="1" applyFont="1" applyFill="1" applyBorder="1" applyAlignment="1">
      <alignment vertical="center"/>
    </xf>
    <xf numFmtId="0" fontId="0" fillId="0" borderId="12" xfId="0" applyFont="1" applyFill="1" applyBorder="1" applyAlignment="1">
      <alignment vertical="center"/>
    </xf>
    <xf numFmtId="165" fontId="6" fillId="0" borderId="12" xfId="1" applyNumberFormat="1" applyFont="1" applyFill="1" applyBorder="1" applyAlignment="1">
      <alignment vertical="center"/>
    </xf>
    <xf numFmtId="0" fontId="7" fillId="0" borderId="12" xfId="0" applyFont="1" applyFill="1" applyBorder="1" applyAlignment="1">
      <alignment vertical="center"/>
    </xf>
    <xf numFmtId="43" fontId="7" fillId="0" borderId="12" xfId="1" applyFont="1" applyFill="1" applyBorder="1" applyAlignment="1">
      <alignment vertical="center"/>
    </xf>
    <xf numFmtId="0" fontId="7" fillId="0" borderId="0" xfId="0" applyFont="1" applyFill="1" applyBorder="1" applyAlignment="1">
      <alignment vertical="center"/>
    </xf>
    <xf numFmtId="0" fontId="0" fillId="0" borderId="12" xfId="0" applyFill="1" applyBorder="1" applyAlignment="1">
      <alignment vertical="center" wrapText="1"/>
    </xf>
    <xf numFmtId="43" fontId="2" fillId="0" borderId="12" xfId="1" applyFont="1" applyFill="1" applyBorder="1" applyAlignment="1">
      <alignment vertical="center"/>
    </xf>
    <xf numFmtId="165" fontId="0" fillId="0" borderId="12" xfId="1" applyNumberFormat="1" applyFont="1" applyFill="1" applyBorder="1" applyAlignment="1">
      <alignment vertical="center"/>
    </xf>
    <xf numFmtId="0" fontId="0" fillId="0" borderId="12" xfId="0" applyFill="1" applyBorder="1" applyAlignment="1">
      <alignment horizontal="left" vertical="center"/>
    </xf>
    <xf numFmtId="43" fontId="18" fillId="0" borderId="12" xfId="1" applyFont="1" applyFill="1" applyBorder="1" applyAlignment="1">
      <alignment vertical="center"/>
    </xf>
    <xf numFmtId="0" fontId="17" fillId="0" borderId="12" xfId="0" applyFont="1" applyFill="1" applyBorder="1" applyAlignment="1">
      <alignment vertical="center"/>
    </xf>
    <xf numFmtId="0" fontId="2" fillId="8" borderId="12" xfId="0" applyFont="1" applyFill="1" applyBorder="1" applyAlignment="1">
      <alignment vertical="center"/>
    </xf>
    <xf numFmtId="0" fontId="0" fillId="8" borderId="12" xfId="0" applyFill="1" applyBorder="1" applyAlignment="1">
      <alignment vertical="center"/>
    </xf>
    <xf numFmtId="43" fontId="0" fillId="8" borderId="12" xfId="1" applyFont="1" applyFill="1" applyBorder="1" applyAlignment="1">
      <alignment vertical="center"/>
    </xf>
    <xf numFmtId="15" fontId="2" fillId="8" borderId="12" xfId="0" applyNumberFormat="1" applyFont="1" applyFill="1" applyBorder="1" applyAlignment="1">
      <alignment horizontal="center" vertical="center"/>
    </xf>
    <xf numFmtId="0" fontId="17" fillId="8" borderId="12" xfId="0" applyFont="1" applyFill="1" applyBorder="1" applyAlignment="1">
      <alignment vertical="center"/>
    </xf>
    <xf numFmtId="9" fontId="17" fillId="8" borderId="12" xfId="2" applyNumberFormat="1" applyFont="1" applyFill="1" applyBorder="1" applyAlignment="1">
      <alignment vertical="center"/>
    </xf>
    <xf numFmtId="0" fontId="8" fillId="8" borderId="12" xfId="0" applyFont="1" applyFill="1" applyBorder="1" applyAlignment="1">
      <alignment vertical="center"/>
    </xf>
    <xf numFmtId="0" fontId="7" fillId="0" borderId="0" xfId="0" applyFont="1" applyBorder="1" applyAlignment="1">
      <alignment vertical="center"/>
    </xf>
    <xf numFmtId="0" fontId="19" fillId="7" borderId="12" xfId="0" applyFont="1" applyFill="1" applyBorder="1" applyAlignment="1">
      <alignment vertical="center"/>
    </xf>
    <xf numFmtId="0" fontId="14" fillId="7" borderId="12" xfId="0" applyFont="1" applyFill="1" applyBorder="1" applyAlignment="1">
      <alignment vertical="center"/>
    </xf>
    <xf numFmtId="0" fontId="14" fillId="8" borderId="12" xfId="0" applyFont="1" applyFill="1" applyBorder="1" applyAlignment="1">
      <alignment vertical="center"/>
    </xf>
    <xf numFmtId="0" fontId="14" fillId="0" borderId="12" xfId="0" applyFont="1" applyFill="1" applyBorder="1" applyAlignment="1">
      <alignment vertical="center"/>
    </xf>
    <xf numFmtId="0" fontId="7" fillId="8" borderId="12" xfId="0" applyFont="1" applyFill="1" applyBorder="1" applyAlignment="1">
      <alignment vertical="center"/>
    </xf>
    <xf numFmtId="10" fontId="18" fillId="0" borderId="12" xfId="0" applyNumberFormat="1" applyFont="1" applyFill="1" applyBorder="1" applyAlignment="1">
      <alignment vertical="center"/>
    </xf>
    <xf numFmtId="165" fontId="18" fillId="0" borderId="12" xfId="1" applyNumberFormat="1" applyFont="1" applyFill="1" applyBorder="1" applyAlignment="1">
      <alignment vertical="center"/>
    </xf>
    <xf numFmtId="0" fontId="18" fillId="0" borderId="12" xfId="0" applyFont="1" applyFill="1" applyBorder="1" applyAlignment="1">
      <alignment vertical="center"/>
    </xf>
    <xf numFmtId="10" fontId="18" fillId="0" borderId="12" xfId="2" applyNumberFormat="1" applyFont="1" applyFill="1" applyBorder="1" applyAlignment="1">
      <alignment vertical="center"/>
    </xf>
    <xf numFmtId="10" fontId="20" fillId="0" borderId="12" xfId="2" applyNumberFormat="1" applyFont="1" applyFill="1" applyBorder="1" applyAlignment="1">
      <alignment vertical="center"/>
    </xf>
    <xf numFmtId="0" fontId="7" fillId="3" borderId="12" xfId="0" applyFont="1" applyFill="1" applyBorder="1" applyAlignment="1">
      <alignment vertical="center"/>
    </xf>
    <xf numFmtId="0" fontId="14" fillId="3" borderId="12" xfId="0" applyFont="1" applyFill="1" applyBorder="1" applyAlignment="1">
      <alignment vertical="center"/>
    </xf>
    <xf numFmtId="10" fontId="14" fillId="3" borderId="12" xfId="2" applyNumberFormat="1" applyFont="1" applyFill="1" applyBorder="1" applyAlignment="1">
      <alignment vertical="center"/>
    </xf>
    <xf numFmtId="43" fontId="16" fillId="0" borderId="12" xfId="1" applyFont="1" applyFill="1" applyBorder="1" applyAlignment="1">
      <alignment vertical="center"/>
    </xf>
    <xf numFmtId="10" fontId="17" fillId="0" borderId="12" xfId="2" applyNumberFormat="1" applyFont="1" applyFill="1" applyBorder="1" applyAlignment="1">
      <alignment vertical="center"/>
    </xf>
    <xf numFmtId="43" fontId="17" fillId="0" borderId="12" xfId="1" applyFont="1" applyFill="1" applyBorder="1" applyAlignment="1">
      <alignment vertical="center"/>
    </xf>
    <xf numFmtId="0" fontId="2" fillId="3" borderId="12" xfId="0" applyFont="1" applyFill="1" applyBorder="1" applyAlignment="1">
      <alignment vertical="center"/>
    </xf>
    <xf numFmtId="0" fontId="0" fillId="3" borderId="12" xfId="0" applyFill="1" applyBorder="1" applyAlignment="1">
      <alignment vertical="center"/>
    </xf>
    <xf numFmtId="43" fontId="0" fillId="3" borderId="12" xfId="1" applyFont="1" applyFill="1" applyBorder="1" applyAlignment="1">
      <alignment vertical="center"/>
    </xf>
    <xf numFmtId="0" fontId="8" fillId="0" borderId="12" xfId="0" applyFont="1" applyFill="1" applyBorder="1" applyAlignment="1">
      <alignment vertical="center"/>
    </xf>
    <xf numFmtId="43" fontId="8" fillId="0" borderId="12" xfId="1" applyFont="1" applyFill="1" applyBorder="1" applyAlignment="1">
      <alignment vertical="center"/>
    </xf>
    <xf numFmtId="15" fontId="7" fillId="0" borderId="0" xfId="0" applyNumberFormat="1" applyFont="1" applyBorder="1" applyAlignment="1">
      <alignment vertical="center"/>
    </xf>
    <xf numFmtId="168" fontId="7" fillId="0" borderId="0" xfId="2" applyNumberFormat="1" applyFont="1" applyFill="1" applyBorder="1" applyAlignment="1">
      <alignment vertical="center"/>
    </xf>
    <xf numFmtId="0" fontId="3" fillId="0" borderId="0" xfId="0" applyFont="1" applyAlignment="1">
      <alignment vertical="center"/>
    </xf>
    <xf numFmtId="43" fontId="0" fillId="0" borderId="0" xfId="1" applyFont="1" applyAlignment="1">
      <alignment vertical="center"/>
    </xf>
    <xf numFmtId="0" fontId="14" fillId="0" borderId="0" xfId="0" applyFont="1" applyAlignment="1">
      <alignment vertical="center"/>
    </xf>
    <xf numFmtId="0" fontId="6" fillId="0" borderId="0" xfId="0" applyFont="1" applyFill="1" applyAlignment="1">
      <alignment vertical="center"/>
    </xf>
    <xf numFmtId="0" fontId="0" fillId="0" borderId="0" xfId="0" applyFont="1" applyBorder="1" applyAlignment="1">
      <alignment vertical="center"/>
    </xf>
    <xf numFmtId="0" fontId="11" fillId="0" borderId="0" xfId="0" applyFont="1" applyBorder="1" applyAlignment="1">
      <alignment vertical="center"/>
    </xf>
    <xf numFmtId="165" fontId="0" fillId="0" borderId="0" xfId="1" applyNumberFormat="1" applyFont="1" applyBorder="1" applyAlignment="1">
      <alignment vertical="center"/>
    </xf>
    <xf numFmtId="0" fontId="0" fillId="0" borderId="0" xfId="0" applyFont="1" applyFill="1" applyBorder="1" applyAlignment="1">
      <alignment vertical="center"/>
    </xf>
    <xf numFmtId="0" fontId="8" fillId="7" borderId="12" xfId="0" applyFont="1" applyFill="1" applyBorder="1" applyAlignment="1">
      <alignment vertical="center"/>
    </xf>
    <xf numFmtId="0" fontId="6" fillId="7" borderId="12" xfId="0" applyFont="1" applyFill="1" applyBorder="1" applyAlignment="1">
      <alignment vertical="center"/>
    </xf>
    <xf numFmtId="0" fontId="2" fillId="0" borderId="12" xfId="0" applyFont="1" applyBorder="1" applyAlignment="1">
      <alignment vertical="center"/>
    </xf>
    <xf numFmtId="43" fontId="18" fillId="0" borderId="12" xfId="1" applyFont="1" applyBorder="1" applyAlignment="1">
      <alignment vertical="center"/>
    </xf>
    <xf numFmtId="43" fontId="0" fillId="0" borderId="12" xfId="1" applyFont="1" applyBorder="1" applyAlignment="1">
      <alignment vertical="center"/>
    </xf>
    <xf numFmtId="43" fontId="2" fillId="3" borderId="12" xfId="1" applyFont="1" applyFill="1" applyBorder="1" applyAlignment="1">
      <alignment vertical="center"/>
    </xf>
    <xf numFmtId="0" fontId="0" fillId="0" borderId="12" xfId="0" applyFont="1" applyBorder="1" applyAlignment="1">
      <alignment horizontal="left" vertical="center" indent="1"/>
    </xf>
    <xf numFmtId="43" fontId="11" fillId="0" borderId="12" xfId="1" applyFont="1" applyFill="1" applyBorder="1" applyAlignment="1">
      <alignment vertical="center"/>
    </xf>
    <xf numFmtId="0" fontId="6" fillId="0" borderId="12" xfId="0" applyFont="1" applyFill="1" applyBorder="1" applyAlignment="1">
      <alignment vertical="center"/>
    </xf>
    <xf numFmtId="15" fontId="8" fillId="8" borderId="12" xfId="0" applyNumberFormat="1" applyFont="1" applyFill="1" applyBorder="1" applyAlignment="1">
      <alignment vertical="center"/>
    </xf>
    <xf numFmtId="0" fontId="0" fillId="0" borderId="12" xfId="0" applyFont="1" applyBorder="1" applyAlignment="1">
      <alignment vertical="center"/>
    </xf>
    <xf numFmtId="0" fontId="2" fillId="9" borderId="12" xfId="0" applyFont="1" applyFill="1" applyBorder="1" applyAlignment="1">
      <alignment vertical="center"/>
    </xf>
    <xf numFmtId="0" fontId="8" fillId="9" borderId="12" xfId="0" applyFont="1" applyFill="1" applyBorder="1" applyAlignment="1">
      <alignment vertical="center"/>
    </xf>
    <xf numFmtId="0" fontId="4" fillId="9" borderId="12" xfId="0" applyFont="1" applyFill="1" applyBorder="1" applyAlignment="1">
      <alignment vertical="center"/>
    </xf>
    <xf numFmtId="165" fontId="4" fillId="9" borderId="12" xfId="1" applyNumberFormat="1" applyFont="1" applyFill="1" applyBorder="1" applyAlignment="1">
      <alignment vertical="center"/>
    </xf>
    <xf numFmtId="0" fontId="0" fillId="0" borderId="0" xfId="0" applyFont="1" applyAlignment="1">
      <alignment vertical="center"/>
    </xf>
    <xf numFmtId="0" fontId="2" fillId="0" borderId="0" xfId="0" applyFont="1" applyAlignment="1">
      <alignment vertical="center"/>
    </xf>
    <xf numFmtId="0" fontId="6" fillId="0" borderId="0" xfId="0" applyFont="1" applyFill="1" applyBorder="1" applyAlignment="1">
      <alignment vertical="center"/>
    </xf>
    <xf numFmtId="15" fontId="8" fillId="7" borderId="12" xfId="0" applyNumberFormat="1" applyFont="1" applyFill="1" applyBorder="1" applyAlignment="1">
      <alignment horizontal="center" vertical="center"/>
    </xf>
    <xf numFmtId="0" fontId="8" fillId="0" borderId="0" xfId="0" applyFont="1" applyFill="1" applyBorder="1" applyAlignment="1">
      <alignment vertical="center"/>
    </xf>
    <xf numFmtId="0" fontId="8" fillId="3" borderId="12" xfId="0" applyFont="1" applyFill="1" applyBorder="1" applyAlignment="1">
      <alignment vertical="center"/>
    </xf>
    <xf numFmtId="0" fontId="6" fillId="3" borderId="12" xfId="0" applyFont="1" applyFill="1" applyBorder="1" applyAlignment="1">
      <alignment vertical="center"/>
    </xf>
    <xf numFmtId="9" fontId="6" fillId="0" borderId="12" xfId="2" applyFont="1" applyFill="1" applyBorder="1" applyAlignment="1">
      <alignment vertical="center"/>
    </xf>
    <xf numFmtId="9" fontId="6" fillId="0" borderId="12" xfId="0" applyNumberFormat="1" applyFont="1" applyFill="1" applyBorder="1" applyAlignment="1">
      <alignment vertical="center"/>
    </xf>
    <xf numFmtId="43" fontId="11" fillId="0" borderId="12" xfId="0" applyNumberFormat="1" applyFont="1" applyFill="1" applyBorder="1" applyAlignment="1">
      <alignment vertical="center"/>
    </xf>
    <xf numFmtId="43" fontId="6" fillId="0" borderId="12" xfId="0" applyNumberFormat="1" applyFont="1" applyFill="1" applyBorder="1" applyAlignment="1">
      <alignment vertical="center"/>
    </xf>
    <xf numFmtId="0" fontId="8" fillId="3" borderId="12" xfId="0" applyFont="1" applyFill="1" applyBorder="1" applyAlignment="1">
      <alignment horizontal="left" vertical="center"/>
    </xf>
    <xf numFmtId="0" fontId="6" fillId="0" borderId="12" xfId="0" applyFont="1" applyFill="1" applyBorder="1" applyAlignment="1">
      <alignment horizontal="left" vertical="center"/>
    </xf>
    <xf numFmtId="43" fontId="6" fillId="3" borderId="12" xfId="1" applyFont="1" applyFill="1" applyBorder="1" applyAlignment="1">
      <alignment vertical="center"/>
    </xf>
    <xf numFmtId="10" fontId="21" fillId="0" borderId="0" xfId="2" applyNumberFormat="1" applyFont="1" applyFill="1" applyBorder="1" applyAlignment="1">
      <alignment vertical="center"/>
    </xf>
    <xf numFmtId="43" fontId="6" fillId="3" borderId="12" xfId="0" applyNumberFormat="1" applyFont="1" applyFill="1" applyBorder="1" applyAlignment="1">
      <alignment vertical="center"/>
    </xf>
    <xf numFmtId="9" fontId="21" fillId="0" borderId="0" xfId="0" applyNumberFormat="1" applyFont="1" applyFill="1" applyBorder="1" applyAlignment="1">
      <alignment vertical="center"/>
    </xf>
    <xf numFmtId="9" fontId="18" fillId="0" borderId="12" xfId="0" applyNumberFormat="1" applyFont="1" applyFill="1" applyBorder="1" applyAlignment="1">
      <alignment vertical="center"/>
    </xf>
    <xf numFmtId="0" fontId="11" fillId="0" borderId="0" xfId="0" applyFont="1" applyFill="1" applyBorder="1" applyAlignment="1">
      <alignment vertical="center"/>
    </xf>
    <xf numFmtId="0" fontId="6" fillId="0" borderId="12" xfId="0" applyFont="1" applyFill="1" applyBorder="1" applyAlignment="1">
      <alignment vertical="center" wrapText="1"/>
    </xf>
    <xf numFmtId="43" fontId="6" fillId="0" borderId="0" xfId="0" applyNumberFormat="1" applyFont="1" applyFill="1" applyBorder="1" applyAlignment="1">
      <alignment vertical="center"/>
    </xf>
    <xf numFmtId="43" fontId="11" fillId="0" borderId="0" xfId="0" applyNumberFormat="1" applyFont="1" applyFill="1" applyBorder="1" applyAlignment="1">
      <alignment vertical="center"/>
    </xf>
    <xf numFmtId="0" fontId="0" fillId="3" borderId="12" xfId="0" applyFont="1" applyFill="1" applyBorder="1" applyAlignment="1">
      <alignment vertical="center"/>
    </xf>
    <xf numFmtId="0" fontId="2" fillId="0" borderId="12" xfId="0" applyFont="1" applyFill="1" applyBorder="1" applyAlignment="1">
      <alignment horizontal="center" vertical="center"/>
    </xf>
    <xf numFmtId="165" fontId="2" fillId="0" borderId="12" xfId="0" applyNumberFormat="1" applyFont="1" applyFill="1" applyBorder="1" applyAlignment="1">
      <alignment horizontal="center" vertical="center"/>
    </xf>
    <xf numFmtId="165" fontId="2" fillId="0" borderId="0" xfId="1" applyNumberFormat="1" applyFont="1" applyFill="1" applyBorder="1" applyAlignment="1">
      <alignment vertical="center"/>
    </xf>
    <xf numFmtId="0" fontId="2" fillId="7" borderId="12" xfId="0" applyFont="1" applyFill="1" applyBorder="1" applyAlignment="1">
      <alignment horizontal="left" vertical="center"/>
    </xf>
    <xf numFmtId="0" fontId="0" fillId="8" borderId="12" xfId="0" applyFont="1" applyFill="1" applyBorder="1" applyAlignment="1">
      <alignment vertical="center"/>
    </xf>
    <xf numFmtId="0" fontId="2" fillId="8" borderId="12" xfId="0" applyFont="1" applyFill="1" applyBorder="1" applyAlignment="1">
      <alignment horizontal="center" vertical="center"/>
    </xf>
    <xf numFmtId="0" fontId="0" fillId="0" borderId="0" xfId="0" applyFont="1" applyFill="1" applyAlignment="1">
      <alignment vertical="center"/>
    </xf>
    <xf numFmtId="43" fontId="13" fillId="0" borderId="0" xfId="1" applyFont="1" applyFill="1" applyBorder="1" applyAlignment="1">
      <alignment vertical="center"/>
    </xf>
    <xf numFmtId="0" fontId="7" fillId="0" borderId="12" xfId="0" applyFont="1" applyBorder="1" applyAlignment="1">
      <alignment vertical="center"/>
    </xf>
    <xf numFmtId="9" fontId="7" fillId="0" borderId="12" xfId="2" applyFont="1" applyBorder="1" applyAlignment="1">
      <alignment vertical="center"/>
    </xf>
    <xf numFmtId="0" fontId="22" fillId="0" borderId="0" xfId="0" applyFont="1" applyFill="1" applyBorder="1" applyAlignment="1">
      <alignment vertical="center"/>
    </xf>
    <xf numFmtId="9" fontId="16" fillId="0" borderId="0" xfId="0" applyNumberFormat="1" applyFont="1" applyFill="1" applyBorder="1" applyAlignment="1">
      <alignment vertical="center"/>
    </xf>
    <xf numFmtId="0" fontId="16" fillId="0" borderId="0" xfId="0" applyFont="1" applyFill="1" applyBorder="1" applyAlignment="1">
      <alignment vertical="center"/>
    </xf>
    <xf numFmtId="43" fontId="8" fillId="0" borderId="12" xfId="0" applyNumberFormat="1" applyFont="1" applyFill="1" applyBorder="1" applyAlignment="1">
      <alignment vertical="center"/>
    </xf>
    <xf numFmtId="43" fontId="18" fillId="0" borderId="12" xfId="0" applyNumberFormat="1" applyFont="1" applyFill="1" applyBorder="1" applyAlignment="1">
      <alignment vertical="center"/>
    </xf>
    <xf numFmtId="0" fontId="6" fillId="0" borderId="12" xfId="0" applyFont="1" applyFill="1" applyBorder="1" applyAlignment="1">
      <alignment horizontal="left" vertical="center" indent="1"/>
    </xf>
    <xf numFmtId="43" fontId="0" fillId="0" borderId="0" xfId="0" applyNumberFormat="1" applyFont="1" applyAlignment="1">
      <alignment vertical="center"/>
    </xf>
    <xf numFmtId="165" fontId="8" fillId="0" borderId="12" xfId="1" applyNumberFormat="1" applyFont="1" applyFill="1" applyBorder="1" applyAlignment="1">
      <alignment vertical="center"/>
    </xf>
    <xf numFmtId="0" fontId="6" fillId="0" borderId="12" xfId="0" quotePrefix="1" applyFont="1" applyFill="1" applyBorder="1" applyAlignment="1">
      <alignment vertical="center"/>
    </xf>
    <xf numFmtId="15" fontId="8" fillId="7" borderId="12" xfId="1" applyNumberFormat="1" applyFont="1" applyFill="1" applyBorder="1" applyAlignment="1">
      <alignment vertical="center"/>
    </xf>
    <xf numFmtId="165" fontId="6" fillId="3" borderId="12" xfId="1" applyNumberFormat="1" applyFont="1" applyFill="1" applyBorder="1" applyAlignment="1">
      <alignment vertical="center"/>
    </xf>
    <xf numFmtId="43" fontId="8" fillId="3" borderId="12" xfId="1" applyFont="1" applyFill="1" applyBorder="1" applyAlignment="1">
      <alignment vertical="center"/>
    </xf>
    <xf numFmtId="43" fontId="2" fillId="8" borderId="12" xfId="1" applyFont="1" applyFill="1" applyBorder="1" applyAlignment="1">
      <alignment vertical="center"/>
    </xf>
    <xf numFmtId="0" fontId="5" fillId="0" borderId="0" xfId="0" applyFont="1"/>
    <xf numFmtId="0" fontId="6" fillId="0" borderId="0" xfId="0" applyFont="1"/>
    <xf numFmtId="0" fontId="2" fillId="7" borderId="13" xfId="0" applyFont="1" applyFill="1" applyBorder="1" applyAlignment="1">
      <alignment horizontal="left" vertical="center"/>
    </xf>
    <xf numFmtId="0" fontId="0" fillId="7" borderId="13" xfId="0" applyFont="1" applyFill="1" applyBorder="1" applyAlignment="1">
      <alignment vertical="center"/>
    </xf>
    <xf numFmtId="15" fontId="2" fillId="7" borderId="13" xfId="0" applyNumberFormat="1" applyFont="1" applyFill="1" applyBorder="1" applyAlignment="1">
      <alignment horizontal="center" vertical="center"/>
    </xf>
    <xf numFmtId="0" fontId="2" fillId="0" borderId="13" xfId="0" applyFont="1" applyBorder="1"/>
    <xf numFmtId="0" fontId="0" fillId="0" borderId="13" xfId="0" applyBorder="1"/>
    <xf numFmtId="0" fontId="5" fillId="0" borderId="13" xfId="0" applyFont="1" applyBorder="1"/>
    <xf numFmtId="172" fontId="6" fillId="0" borderId="13" xfId="0" applyNumberFormat="1" applyFont="1" applyBorder="1" applyAlignment="1">
      <alignment vertical="center"/>
    </xf>
    <xf numFmtId="43" fontId="5" fillId="0" borderId="13" xfId="1" applyFont="1" applyBorder="1"/>
    <xf numFmtId="43" fontId="0" fillId="0" borderId="13" xfId="1" applyFont="1" applyBorder="1"/>
    <xf numFmtId="9" fontId="0" fillId="0" borderId="13" xfId="0" applyNumberFormat="1" applyBorder="1"/>
    <xf numFmtId="172" fontId="8" fillId="0" borderId="13" xfId="0" applyNumberFormat="1" applyFont="1" applyBorder="1" applyAlignment="1">
      <alignment vertical="center"/>
    </xf>
    <xf numFmtId="0" fontId="6" fillId="0" borderId="13" xfId="0" applyFont="1" applyBorder="1"/>
    <xf numFmtId="43" fontId="6" fillId="0" borderId="13" xfId="1" applyFont="1" applyBorder="1"/>
    <xf numFmtId="9" fontId="18" fillId="0" borderId="13" xfId="0" applyNumberFormat="1" applyFont="1" applyBorder="1"/>
    <xf numFmtId="0" fontId="18" fillId="0" borderId="13" xfId="0" applyFont="1" applyBorder="1"/>
    <xf numFmtId="43" fontId="1" fillId="0" borderId="13" xfId="1" applyBorder="1" applyAlignment="1">
      <alignment vertical="center"/>
    </xf>
    <xf numFmtId="10" fontId="0" fillId="0" borderId="0" xfId="0" applyNumberFormat="1" applyBorder="1" applyAlignment="1">
      <alignment vertical="center"/>
    </xf>
    <xf numFmtId="0" fontId="0" fillId="0" borderId="13" xfId="0" applyBorder="1" applyAlignment="1">
      <alignment vertical="center"/>
    </xf>
    <xf numFmtId="0" fontId="2" fillId="0" borderId="13" xfId="0" applyFont="1" applyBorder="1" applyAlignment="1">
      <alignment vertical="center"/>
    </xf>
    <xf numFmtId="0" fontId="3" fillId="0" borderId="13" xfId="0" applyFont="1" applyBorder="1" applyAlignment="1">
      <alignment vertical="center"/>
    </xf>
    <xf numFmtId="0" fontId="9" fillId="0" borderId="13" xfId="0" applyFont="1" applyBorder="1" applyAlignment="1">
      <alignment vertical="center"/>
    </xf>
    <xf numFmtId="0" fontId="6" fillId="0" borderId="13" xfId="8" applyFont="1" applyBorder="1" applyAlignment="1">
      <alignment vertical="center"/>
    </xf>
    <xf numFmtId="0" fontId="8" fillId="0" borderId="13" xfId="8" applyFont="1" applyBorder="1" applyAlignment="1">
      <alignment vertical="center"/>
    </xf>
    <xf numFmtId="0" fontId="25" fillId="0" borderId="13" xfId="8" applyFont="1" applyBorder="1" applyAlignment="1">
      <alignment vertical="center"/>
    </xf>
    <xf numFmtId="164" fontId="6" fillId="0" borderId="13" xfId="10" applyFont="1" applyFill="1" applyBorder="1" applyAlignment="1">
      <alignment vertical="center"/>
    </xf>
    <xf numFmtId="10" fontId="0" fillId="0" borderId="13" xfId="0" applyNumberFormat="1" applyBorder="1" applyAlignment="1">
      <alignment vertical="center"/>
    </xf>
    <xf numFmtId="10" fontId="2" fillId="0" borderId="13" xfId="0" applyNumberFormat="1" applyFont="1" applyBorder="1" applyAlignment="1">
      <alignment vertical="center"/>
    </xf>
    <xf numFmtId="15" fontId="8" fillId="7" borderId="13" xfId="0" applyNumberFormat="1" applyFont="1" applyFill="1" applyBorder="1" applyAlignment="1">
      <alignment horizontal="left" vertical="center"/>
    </xf>
    <xf numFmtId="0" fontId="2" fillId="7" borderId="13" xfId="0" applyFont="1" applyFill="1" applyBorder="1" applyAlignment="1">
      <alignment vertical="center"/>
    </xf>
    <xf numFmtId="15" fontId="0" fillId="0" borderId="13" xfId="0" applyNumberFormat="1" applyBorder="1" applyAlignment="1">
      <alignment vertical="center"/>
    </xf>
    <xf numFmtId="0" fontId="0" fillId="0" borderId="0" xfId="0" applyAlignment="1">
      <alignment horizontal="center" vertical="center"/>
    </xf>
    <xf numFmtId="10" fontId="0" fillId="0" borderId="0" xfId="0" applyNumberFormat="1" applyAlignment="1">
      <alignment horizontal="center" vertical="center"/>
    </xf>
    <xf numFmtId="0" fontId="0" fillId="0" borderId="0" xfId="0" applyAlignment="1">
      <alignment vertical="center"/>
    </xf>
    <xf numFmtId="43" fontId="0" fillId="0" borderId="0" xfId="1" applyFont="1" applyBorder="1" applyAlignment="1">
      <alignment vertical="center"/>
    </xf>
    <xf numFmtId="43" fontId="0" fillId="0" borderId="0" xfId="0" applyNumberFormat="1" applyAlignment="1">
      <alignment vertical="center"/>
    </xf>
    <xf numFmtId="43" fontId="2" fillId="0" borderId="0" xfId="1" applyFont="1" applyBorder="1" applyAlignment="1">
      <alignment vertical="center"/>
    </xf>
    <xf numFmtId="0" fontId="0" fillId="4" borderId="0" xfId="0" applyFill="1" applyAlignment="1">
      <alignment vertical="center"/>
    </xf>
    <xf numFmtId="0" fontId="2" fillId="4" borderId="0" xfId="0" applyFont="1" applyFill="1" applyAlignment="1">
      <alignment vertical="center"/>
    </xf>
    <xf numFmtId="43" fontId="2" fillId="4" borderId="0" xfId="1" applyFont="1" applyFill="1" applyBorder="1" applyAlignment="1">
      <alignment vertical="center"/>
    </xf>
    <xf numFmtId="43" fontId="0" fillId="4" borderId="0" xfId="0" applyNumberFormat="1" applyFill="1" applyAlignment="1">
      <alignment vertical="center"/>
    </xf>
    <xf numFmtId="0" fontId="0" fillId="7" borderId="12" xfId="0" applyFill="1" applyBorder="1" applyAlignment="1">
      <alignment vertical="center"/>
    </xf>
    <xf numFmtId="15" fontId="2" fillId="7" borderId="12" xfId="1" applyNumberFormat="1" applyFont="1" applyFill="1" applyBorder="1" applyAlignment="1">
      <alignment vertical="center"/>
    </xf>
    <xf numFmtId="43" fontId="0" fillId="3" borderId="12" xfId="0" applyNumberFormat="1" applyFill="1" applyBorder="1" applyAlignment="1">
      <alignment vertical="center"/>
    </xf>
    <xf numFmtId="0" fontId="0" fillId="0" borderId="12" xfId="0" applyBorder="1" applyAlignment="1">
      <alignment vertical="center"/>
    </xf>
    <xf numFmtId="43" fontId="2" fillId="0" borderId="12" xfId="1" applyFont="1" applyBorder="1" applyAlignment="1">
      <alignment vertical="center"/>
    </xf>
    <xf numFmtId="43" fontId="0" fillId="0" borderId="12" xfId="0" applyNumberFormat="1" applyBorder="1" applyAlignment="1">
      <alignment vertical="center"/>
    </xf>
    <xf numFmtId="43" fontId="18" fillId="0" borderId="12" xfId="0" applyNumberFormat="1" applyFont="1" applyBorder="1" applyAlignment="1">
      <alignment vertical="center"/>
    </xf>
    <xf numFmtId="9" fontId="21" fillId="0" borderId="0" xfId="0" applyNumberFormat="1" applyFont="1" applyAlignment="1">
      <alignment vertical="center"/>
    </xf>
    <xf numFmtId="43" fontId="0" fillId="0" borderId="12" xfId="0" applyNumberFormat="1" applyFill="1" applyBorder="1" applyAlignment="1">
      <alignment vertical="center"/>
    </xf>
    <xf numFmtId="43" fontId="2" fillId="3" borderId="12" xfId="0" applyNumberFormat="1" applyFont="1" applyFill="1" applyBorder="1" applyAlignment="1">
      <alignment vertical="center"/>
    </xf>
    <xf numFmtId="15" fontId="2" fillId="7" borderId="13" xfId="0" applyNumberFormat="1" applyFont="1" applyFill="1" applyBorder="1" applyAlignment="1">
      <alignment vertical="center"/>
    </xf>
    <xf numFmtId="0" fontId="2" fillId="7" borderId="13" xfId="0" applyFont="1" applyFill="1" applyBorder="1" applyAlignment="1">
      <alignment horizontal="center" vertical="center"/>
    </xf>
    <xf numFmtId="0" fontId="0" fillId="7" borderId="13" xfId="0" applyFill="1" applyBorder="1" applyAlignment="1">
      <alignment vertical="center"/>
    </xf>
    <xf numFmtId="15" fontId="2" fillId="7" borderId="13" xfId="1" applyNumberFormat="1" applyFont="1" applyFill="1" applyBorder="1" applyAlignment="1">
      <alignment vertical="center"/>
    </xf>
    <xf numFmtId="43" fontId="2" fillId="9" borderId="13" xfId="0" applyNumberFormat="1" applyFont="1" applyFill="1" applyBorder="1" applyAlignment="1">
      <alignment horizontal="center" vertical="center"/>
    </xf>
    <xf numFmtId="0" fontId="0" fillId="0" borderId="13" xfId="0" applyFont="1" applyBorder="1" applyAlignment="1">
      <alignment vertical="center"/>
    </xf>
    <xf numFmtId="43" fontId="0" fillId="0" borderId="13" xfId="1" applyFont="1" applyBorder="1" applyAlignment="1">
      <alignment vertical="center"/>
    </xf>
    <xf numFmtId="10" fontId="18" fillId="0" borderId="13" xfId="2" applyNumberFormat="1" applyFont="1" applyBorder="1" applyAlignment="1">
      <alignment vertical="center"/>
    </xf>
    <xf numFmtId="43" fontId="2" fillId="0" borderId="13" xfId="1" applyFont="1" applyBorder="1" applyAlignment="1">
      <alignment vertical="center"/>
    </xf>
    <xf numFmtId="43" fontId="0" fillId="0" borderId="13" xfId="0" applyNumberFormat="1" applyBorder="1" applyAlignment="1">
      <alignment vertical="center"/>
    </xf>
    <xf numFmtId="43" fontId="11" fillId="0" borderId="0" xfId="0" applyNumberFormat="1" applyFont="1" applyAlignment="1">
      <alignment vertical="center"/>
    </xf>
    <xf numFmtId="0" fontId="6" fillId="0" borderId="12" xfId="0" quotePrefix="1" applyFont="1" applyFill="1" applyBorder="1" applyAlignment="1">
      <alignment horizontal="left" vertical="center" indent="2"/>
    </xf>
    <xf numFmtId="0" fontId="0" fillId="0" borderId="14" xfId="0" applyFont="1" applyBorder="1" applyAlignment="1">
      <alignment vertical="center"/>
    </xf>
    <xf numFmtId="0" fontId="0" fillId="0" borderId="14" xfId="0" applyBorder="1" applyAlignment="1">
      <alignment vertical="center"/>
    </xf>
    <xf numFmtId="43" fontId="2" fillId="0" borderId="14" xfId="1" applyFont="1" applyBorder="1" applyAlignment="1">
      <alignment vertical="center"/>
    </xf>
    <xf numFmtId="43" fontId="0" fillId="0" borderId="14" xfId="0" applyNumberFormat="1" applyBorder="1" applyAlignment="1">
      <alignment vertical="center"/>
    </xf>
    <xf numFmtId="10" fontId="0" fillId="0" borderId="14" xfId="0" applyNumberFormat="1" applyBorder="1" applyAlignment="1">
      <alignment vertical="center"/>
    </xf>
    <xf numFmtId="0" fontId="2" fillId="3" borderId="13" xfId="0" applyFont="1" applyFill="1" applyBorder="1" applyAlignment="1">
      <alignment vertical="center"/>
    </xf>
    <xf numFmtId="43" fontId="2" fillId="3" borderId="13" xfId="0" applyNumberFormat="1" applyFont="1" applyFill="1" applyBorder="1" applyAlignment="1">
      <alignment vertical="center"/>
    </xf>
    <xf numFmtId="0" fontId="0" fillId="3" borderId="13" xfId="0" applyFill="1" applyBorder="1" applyAlignment="1">
      <alignment vertical="center"/>
    </xf>
    <xf numFmtId="43" fontId="0" fillId="3" borderId="13" xfId="1" applyFont="1" applyFill="1" applyBorder="1" applyAlignment="1">
      <alignment vertical="center"/>
    </xf>
    <xf numFmtId="43" fontId="2" fillId="3" borderId="13" xfId="1" applyFont="1" applyFill="1" applyBorder="1" applyAlignment="1">
      <alignment vertical="center"/>
    </xf>
    <xf numFmtId="43" fontId="0" fillId="3" borderId="13" xfId="0" applyNumberFormat="1" applyFill="1" applyBorder="1" applyAlignment="1">
      <alignment vertical="center"/>
    </xf>
    <xf numFmtId="0" fontId="0" fillId="0" borderId="0" xfId="0" applyFill="1" applyAlignment="1">
      <alignment vertical="center"/>
    </xf>
    <xf numFmtId="0" fontId="0" fillId="7" borderId="0" xfId="0" applyFill="1" applyBorder="1" applyAlignment="1">
      <alignment vertical="center"/>
    </xf>
    <xf numFmtId="10" fontId="0" fillId="0" borderId="0" xfId="0" applyNumberFormat="1" applyAlignment="1">
      <alignment vertical="center"/>
    </xf>
    <xf numFmtId="0" fontId="2" fillId="0" borderId="0" xfId="0" applyFont="1" applyFill="1" applyBorder="1" applyAlignment="1">
      <alignment horizontal="center" vertical="center"/>
    </xf>
    <xf numFmtId="0" fontId="29" fillId="0" borderId="0" xfId="0" applyFont="1" applyFill="1" applyBorder="1" applyAlignment="1">
      <alignment vertical="center"/>
    </xf>
    <xf numFmtId="43" fontId="0" fillId="0" borderId="0" xfId="1" applyFont="1" applyFill="1" applyBorder="1" applyAlignment="1">
      <alignment vertical="center"/>
    </xf>
    <xf numFmtId="43" fontId="0" fillId="0" borderId="0" xfId="1" applyFont="1" applyFill="1" applyBorder="1" applyAlignment="1">
      <alignment horizontal="right" vertical="center"/>
    </xf>
    <xf numFmtId="0" fontId="6" fillId="0" borderId="0" xfId="0" applyFont="1" applyAlignment="1">
      <alignment vertical="center"/>
    </xf>
    <xf numFmtId="0" fontId="8" fillId="0" borderId="0" xfId="0" applyFont="1" applyAlignment="1">
      <alignment vertical="center"/>
    </xf>
    <xf numFmtId="0" fontId="6" fillId="0" borderId="13" xfId="0" applyFont="1" applyBorder="1" applyAlignment="1">
      <alignment vertical="center"/>
    </xf>
    <xf numFmtId="0" fontId="6" fillId="5" borderId="13" xfId="0" applyFont="1" applyFill="1" applyBorder="1" applyAlignment="1">
      <alignment horizontal="justify" vertical="center"/>
    </xf>
    <xf numFmtId="10" fontId="6" fillId="5" borderId="13" xfId="0" applyNumberFormat="1" applyFont="1" applyFill="1" applyBorder="1" applyAlignment="1">
      <alignment horizontal="justify" vertical="center"/>
    </xf>
    <xf numFmtId="10" fontId="6" fillId="0" borderId="13" xfId="2" applyNumberFormat="1" applyFont="1" applyBorder="1" applyAlignment="1">
      <alignment vertical="center"/>
    </xf>
    <xf numFmtId="9" fontId="6" fillId="5" borderId="13" xfId="0" applyNumberFormat="1" applyFont="1" applyFill="1" applyBorder="1" applyAlignment="1">
      <alignment horizontal="justify" vertical="center"/>
    </xf>
    <xf numFmtId="0" fontId="8" fillId="7" borderId="13" xfId="0" applyFont="1" applyFill="1" applyBorder="1" applyAlignment="1">
      <alignment vertical="center"/>
    </xf>
    <xf numFmtId="0" fontId="8" fillId="7" borderId="13" xfId="0" applyFont="1" applyFill="1" applyBorder="1" applyAlignment="1">
      <alignment horizontal="justify" vertical="center"/>
    </xf>
    <xf numFmtId="0" fontId="0" fillId="0" borderId="13" xfId="0" applyFont="1" applyBorder="1"/>
    <xf numFmtId="0" fontId="14" fillId="7" borderId="13" xfId="0" applyFont="1" applyFill="1" applyBorder="1" applyAlignment="1">
      <alignment vertical="center"/>
    </xf>
    <xf numFmtId="0" fontId="7" fillId="0" borderId="13" xfId="0" applyFont="1" applyBorder="1" applyAlignment="1">
      <alignment vertical="center"/>
    </xf>
    <xf numFmtId="43" fontId="6" fillId="0" borderId="13" xfId="1" applyFont="1" applyBorder="1" applyAlignment="1">
      <alignment vertical="center"/>
    </xf>
    <xf numFmtId="165" fontId="0" fillId="0" borderId="13" xfId="1" applyNumberFormat="1" applyFont="1" applyBorder="1" applyAlignment="1">
      <alignment vertical="center"/>
    </xf>
    <xf numFmtId="165" fontId="0" fillId="0" borderId="13" xfId="0" applyNumberFormat="1" applyBorder="1" applyAlignment="1">
      <alignment vertical="center"/>
    </xf>
    <xf numFmtId="9" fontId="18" fillId="0" borderId="13" xfId="0" applyNumberFormat="1" applyFont="1" applyBorder="1" applyAlignment="1">
      <alignment vertical="center"/>
    </xf>
    <xf numFmtId="0" fontId="14" fillId="3" borderId="13" xfId="0" applyFont="1" applyFill="1" applyBorder="1" applyAlignment="1">
      <alignment vertical="center"/>
    </xf>
    <xf numFmtId="9" fontId="0" fillId="0" borderId="0" xfId="0" applyNumberFormat="1" applyBorder="1" applyAlignment="1">
      <alignment vertical="center"/>
    </xf>
    <xf numFmtId="0" fontId="0" fillId="0" borderId="13" xfId="0" applyFill="1" applyBorder="1" applyAlignment="1">
      <alignment vertical="center"/>
    </xf>
    <xf numFmtId="0" fontId="7" fillId="0" borderId="13" xfId="0" applyFont="1" applyFill="1" applyBorder="1" applyAlignment="1">
      <alignment vertical="center"/>
    </xf>
    <xf numFmtId="167" fontId="0" fillId="0" borderId="13" xfId="1" applyNumberFormat="1" applyFont="1" applyFill="1" applyBorder="1" applyAlignment="1">
      <alignment vertical="center"/>
    </xf>
    <xf numFmtId="0" fontId="7" fillId="7" borderId="13" xfId="0" applyFont="1" applyFill="1" applyBorder="1" applyAlignment="1">
      <alignment vertical="center"/>
    </xf>
    <xf numFmtId="0" fontId="2" fillId="8" borderId="13" xfId="0" applyFont="1" applyFill="1" applyBorder="1" applyAlignment="1">
      <alignment vertical="center"/>
    </xf>
    <xf numFmtId="0" fontId="7" fillId="8" borderId="13" xfId="0" applyFont="1" applyFill="1" applyBorder="1" applyAlignment="1">
      <alignment vertical="center"/>
    </xf>
    <xf numFmtId="0" fontId="2" fillId="8" borderId="13" xfId="0" applyFont="1" applyFill="1" applyBorder="1" applyAlignment="1">
      <alignment horizontal="center" vertical="center"/>
    </xf>
    <xf numFmtId="0" fontId="0" fillId="8" borderId="13" xfId="0" applyFill="1" applyBorder="1" applyAlignment="1">
      <alignment vertical="center"/>
    </xf>
    <xf numFmtId="167" fontId="2" fillId="0" borderId="13" xfId="1" applyNumberFormat="1" applyFont="1" applyFill="1" applyBorder="1" applyAlignment="1">
      <alignment vertical="center"/>
    </xf>
    <xf numFmtId="43" fontId="18" fillId="0" borderId="13" xfId="1" applyFont="1" applyFill="1" applyBorder="1" applyAlignment="1">
      <alignment vertical="center"/>
    </xf>
    <xf numFmtId="0" fontId="2" fillId="0" borderId="13" xfId="0" applyFont="1" applyFill="1" applyBorder="1" applyAlignment="1">
      <alignment vertical="center"/>
    </xf>
    <xf numFmtId="9" fontId="0" fillId="0" borderId="13" xfId="2" applyFont="1" applyFill="1" applyBorder="1" applyAlignment="1">
      <alignment vertical="center"/>
    </xf>
    <xf numFmtId="10" fontId="18" fillId="0" borderId="13" xfId="0" applyNumberFormat="1" applyFont="1" applyBorder="1" applyAlignment="1">
      <alignment vertical="center"/>
    </xf>
    <xf numFmtId="9" fontId="21" fillId="0" borderId="0" xfId="0" applyNumberFormat="1" applyFont="1" applyBorder="1" applyAlignment="1">
      <alignment vertical="center"/>
    </xf>
    <xf numFmtId="0" fontId="0" fillId="0" borderId="12" xfId="0" quotePrefix="1" applyFill="1" applyBorder="1" applyAlignment="1">
      <alignment horizontal="left" vertical="center"/>
    </xf>
    <xf numFmtId="43" fontId="20" fillId="0" borderId="12" xfId="1" applyFont="1" applyBorder="1" applyAlignment="1">
      <alignment vertical="center"/>
    </xf>
    <xf numFmtId="0" fontId="7" fillId="0" borderId="0" xfId="0" applyFont="1" applyAlignment="1">
      <alignment vertical="center"/>
    </xf>
    <xf numFmtId="0" fontId="30" fillId="8" borderId="12" xfId="0" applyFont="1" applyFill="1" applyBorder="1" applyAlignment="1">
      <alignment vertical="center"/>
    </xf>
    <xf numFmtId="0" fontId="31" fillId="9" borderId="12" xfId="0" applyFont="1" applyFill="1" applyBorder="1" applyAlignment="1">
      <alignment vertical="center"/>
    </xf>
    <xf numFmtId="0" fontId="17" fillId="3" borderId="12" xfId="0" applyFont="1" applyFill="1" applyBorder="1" applyAlignment="1">
      <alignment vertical="center"/>
    </xf>
    <xf numFmtId="0" fontId="30" fillId="0" borderId="12" xfId="0" applyFont="1" applyFill="1" applyBorder="1" applyAlignment="1">
      <alignment vertical="center"/>
    </xf>
    <xf numFmtId="0" fontId="17" fillId="0" borderId="0" xfId="0" applyFont="1" applyFill="1" applyBorder="1" applyAlignment="1">
      <alignment vertical="center"/>
    </xf>
    <xf numFmtId="0" fontId="17" fillId="7" borderId="12" xfId="0" applyFont="1" applyFill="1" applyBorder="1" applyAlignment="1">
      <alignment vertical="center"/>
    </xf>
    <xf numFmtId="43" fontId="17" fillId="3" borderId="12" xfId="0" applyNumberFormat="1" applyFont="1" applyFill="1" applyBorder="1" applyAlignment="1">
      <alignment vertical="center"/>
    </xf>
    <xf numFmtId="0" fontId="30" fillId="3" borderId="12" xfId="0" applyFont="1" applyFill="1" applyBorder="1" applyAlignment="1">
      <alignment vertical="center"/>
    </xf>
    <xf numFmtId="15" fontId="8" fillId="0" borderId="12" xfId="0" applyNumberFormat="1" applyFont="1" applyFill="1" applyBorder="1" applyAlignment="1">
      <alignment vertical="center"/>
    </xf>
    <xf numFmtId="0" fontId="2" fillId="4" borderId="13" xfId="0" applyFont="1" applyFill="1" applyBorder="1"/>
    <xf numFmtId="0" fontId="0" fillId="4" borderId="13" xfId="0" applyFill="1" applyBorder="1"/>
    <xf numFmtId="0" fontId="5" fillId="4" borderId="13" xfId="0" applyFont="1" applyFill="1" applyBorder="1"/>
    <xf numFmtId="0" fontId="0" fillId="4" borderId="0" xfId="0" applyFill="1"/>
    <xf numFmtId="0" fontId="5" fillId="4" borderId="0" xfId="0" applyFont="1" applyFill="1"/>
    <xf numFmtId="0" fontId="2" fillId="4" borderId="0" xfId="0" applyFont="1" applyFill="1"/>
    <xf numFmtId="43" fontId="6" fillId="0" borderId="12" xfId="1" applyFont="1" applyBorder="1" applyAlignment="1">
      <alignment vertical="center"/>
    </xf>
    <xf numFmtId="43" fontId="7" fillId="0" borderId="12" xfId="1" applyFont="1" applyBorder="1" applyAlignment="1">
      <alignment vertical="center"/>
    </xf>
    <xf numFmtId="0" fontId="0" fillId="0" borderId="12" xfId="0" applyBorder="1" applyAlignment="1">
      <alignment horizontal="left" vertical="center"/>
    </xf>
    <xf numFmtId="10" fontId="7" fillId="0" borderId="12" xfId="2" applyNumberFormat="1" applyFont="1" applyBorder="1" applyAlignment="1">
      <alignment vertical="center"/>
    </xf>
    <xf numFmtId="43" fontId="1" fillId="0" borderId="12" xfId="1" applyFont="1" applyFill="1" applyBorder="1" applyAlignment="1">
      <alignment vertical="center"/>
    </xf>
    <xf numFmtId="9" fontId="7" fillId="0" borderId="0" xfId="2" applyFont="1" applyBorder="1" applyAlignment="1">
      <alignment vertical="center"/>
    </xf>
    <xf numFmtId="0" fontId="9" fillId="0" borderId="0" xfId="0" applyFont="1" applyFill="1" applyAlignment="1">
      <alignment vertical="center"/>
    </xf>
    <xf numFmtId="0" fontId="2" fillId="0" borderId="0" xfId="0" applyFont="1" applyFill="1" applyAlignment="1">
      <alignment vertical="center"/>
    </xf>
    <xf numFmtId="43" fontId="2" fillId="0" borderId="13" xfId="0" applyNumberFormat="1" applyFont="1" applyBorder="1" applyAlignment="1">
      <alignment vertical="center"/>
    </xf>
    <xf numFmtId="43" fontId="0" fillId="0" borderId="13" xfId="1" applyFont="1" applyFill="1" applyBorder="1" applyAlignment="1">
      <alignment vertical="center"/>
    </xf>
    <xf numFmtId="43" fontId="2" fillId="0" borderId="13" xfId="1" applyFont="1" applyFill="1" applyBorder="1" applyAlignment="1">
      <alignment vertical="center"/>
    </xf>
    <xf numFmtId="166" fontId="8" fillId="3" borderId="13" xfId="7" applyFont="1" applyFill="1" applyBorder="1" applyAlignment="1">
      <alignment horizontal="justify" vertical="center" wrapText="1"/>
    </xf>
    <xf numFmtId="166" fontId="8" fillId="3" borderId="13" xfId="7" applyFont="1" applyFill="1" applyBorder="1" applyAlignment="1">
      <alignment horizontal="center" vertical="center" wrapText="1"/>
    </xf>
    <xf numFmtId="0" fontId="6" fillId="0" borderId="13" xfId="13" applyFont="1" applyBorder="1" applyAlignment="1">
      <alignment horizontal="justify" vertical="center" wrapText="1"/>
    </xf>
    <xf numFmtId="166" fontId="6" fillId="0" borderId="13" xfId="7" applyFont="1" applyBorder="1" applyAlignment="1">
      <alignment horizontal="justify" vertical="center" wrapText="1"/>
    </xf>
    <xf numFmtId="166" fontId="6" fillId="0" borderId="13" xfId="7" applyFont="1" applyBorder="1" applyAlignment="1">
      <alignment horizontal="center" vertical="center" wrapText="1"/>
    </xf>
    <xf numFmtId="10" fontId="0" fillId="0" borderId="13" xfId="2" applyNumberFormat="1" applyFont="1" applyFill="1" applyBorder="1" applyAlignment="1">
      <alignment vertical="center"/>
    </xf>
    <xf numFmtId="0" fontId="14" fillId="4" borderId="0" xfId="0" applyFont="1" applyFill="1" applyAlignment="1">
      <alignment vertical="center"/>
    </xf>
    <xf numFmtId="0" fontId="0" fillId="0" borderId="13" xfId="0" applyBorder="1" applyAlignment="1">
      <alignment horizontal="center" vertical="center"/>
    </xf>
    <xf numFmtId="43" fontId="1" fillId="0" borderId="13" xfId="1" applyFont="1" applyBorder="1" applyAlignment="1">
      <alignment vertical="center"/>
    </xf>
    <xf numFmtId="0" fontId="2" fillId="4" borderId="13" xfId="0" applyFont="1" applyFill="1" applyBorder="1" applyAlignment="1">
      <alignment vertical="center"/>
    </xf>
    <xf numFmtId="0" fontId="29" fillId="10" borderId="13" xfId="0" applyFont="1" applyFill="1" applyBorder="1" applyAlignment="1">
      <alignment horizontal="center" vertical="center" wrapText="1"/>
    </xf>
    <xf numFmtId="15" fontId="16" fillId="0" borderId="13" xfId="0" applyNumberFormat="1" applyFont="1" applyBorder="1" applyAlignment="1">
      <alignment vertical="center"/>
    </xf>
    <xf numFmtId="165" fontId="0" fillId="0" borderId="13" xfId="1" applyNumberFormat="1" applyFont="1" applyBorder="1" applyAlignment="1">
      <alignment horizontal="center" vertical="center"/>
    </xf>
    <xf numFmtId="165" fontId="0" fillId="0" borderId="13" xfId="1" applyNumberFormat="1" applyFont="1" applyBorder="1" applyAlignment="1">
      <alignment horizontal="right" vertical="center"/>
    </xf>
    <xf numFmtId="43" fontId="0" fillId="0" borderId="13" xfId="1" applyFont="1" applyBorder="1" applyAlignment="1">
      <alignment horizontal="right" vertical="center"/>
    </xf>
    <xf numFmtId="10" fontId="6" fillId="0" borderId="13" xfId="0" applyNumberFormat="1" applyFont="1" applyBorder="1" applyAlignment="1">
      <alignment horizontal="right" vertical="center"/>
    </xf>
    <xf numFmtId="15" fontId="6" fillId="0" borderId="13" xfId="0" applyNumberFormat="1" applyFont="1" applyBorder="1" applyAlignment="1">
      <alignment vertical="center"/>
    </xf>
    <xf numFmtId="10" fontId="0" fillId="0" borderId="13" xfId="0" applyNumberFormat="1" applyBorder="1" applyAlignment="1">
      <alignment horizontal="right" vertical="center"/>
    </xf>
    <xf numFmtId="43" fontId="2" fillId="0" borderId="13" xfId="1" applyFont="1" applyBorder="1" applyAlignment="1">
      <alignment horizontal="right" vertical="center"/>
    </xf>
    <xf numFmtId="165" fontId="2" fillId="0" borderId="13" xfId="1" applyNumberFormat="1" applyFont="1" applyBorder="1" applyAlignment="1">
      <alignment horizontal="right" vertical="center"/>
    </xf>
    <xf numFmtId="10" fontId="2" fillId="0" borderId="13" xfId="0" applyNumberFormat="1" applyFont="1" applyBorder="1" applyAlignment="1">
      <alignment horizontal="right" vertical="center"/>
    </xf>
    <xf numFmtId="9" fontId="2" fillId="0" borderId="13" xfId="2" applyFont="1" applyBorder="1" applyAlignment="1">
      <alignment horizontal="right" vertical="center"/>
    </xf>
    <xf numFmtId="15" fontId="8" fillId="0" borderId="13" xfId="0" applyNumberFormat="1" applyFont="1" applyBorder="1" applyAlignment="1">
      <alignment vertical="center"/>
    </xf>
    <xf numFmtId="15" fontId="2" fillId="0" borderId="13" xfId="0" applyNumberFormat="1" applyFont="1" applyBorder="1" applyAlignment="1">
      <alignment vertical="center"/>
    </xf>
    <xf numFmtId="43" fontId="2" fillId="9" borderId="15" xfId="0" applyNumberFormat="1" applyFont="1" applyFill="1" applyBorder="1" applyAlignment="1">
      <alignment horizontal="center" vertical="center"/>
    </xf>
    <xf numFmtId="43" fontId="16" fillId="0" borderId="12" xfId="0" applyNumberFormat="1" applyFont="1" applyBorder="1" applyAlignment="1">
      <alignment vertical="center"/>
    </xf>
    <xf numFmtId="0" fontId="0" fillId="3" borderId="13" xfId="0" applyFont="1" applyFill="1" applyBorder="1" applyAlignment="1">
      <alignment vertical="center"/>
    </xf>
    <xf numFmtId="43" fontId="18" fillId="0" borderId="13" xfId="1" applyFont="1" applyBorder="1" applyAlignment="1">
      <alignment vertical="center"/>
    </xf>
    <xf numFmtId="165" fontId="6" fillId="0" borderId="13" xfId="1" applyNumberFormat="1" applyFont="1" applyBorder="1" applyAlignment="1">
      <alignment vertical="center"/>
    </xf>
    <xf numFmtId="0" fontId="0" fillId="0" borderId="13" xfId="0" quotePrefix="1" applyFont="1" applyBorder="1" applyAlignment="1">
      <alignment vertical="center"/>
    </xf>
    <xf numFmtId="10" fontId="0" fillId="0" borderId="13" xfId="2" applyNumberFormat="1" applyFont="1" applyBorder="1" applyAlignment="1">
      <alignment vertical="center"/>
    </xf>
    <xf numFmtId="168" fontId="0" fillId="0" borderId="13" xfId="2" applyNumberFormat="1" applyFont="1" applyBorder="1" applyAlignment="1">
      <alignment vertical="center"/>
    </xf>
    <xf numFmtId="43" fontId="0" fillId="7" borderId="13" xfId="1" applyFont="1" applyFill="1" applyBorder="1" applyAlignment="1">
      <alignment vertical="center"/>
    </xf>
    <xf numFmtId="43" fontId="21" fillId="0" borderId="12" xfId="1" applyFont="1" applyFill="1" applyBorder="1" applyAlignment="1">
      <alignment vertical="center"/>
    </xf>
    <xf numFmtId="43" fontId="21" fillId="0" borderId="13" xfId="1" applyFont="1" applyBorder="1" applyAlignment="1">
      <alignment vertical="center"/>
    </xf>
    <xf numFmtId="0" fontId="0" fillId="0" borderId="12" xfId="0" applyFont="1" applyBorder="1" applyAlignment="1">
      <alignment horizontal="left" vertical="center" indent="2"/>
    </xf>
    <xf numFmtId="15" fontId="2" fillId="8" borderId="12" xfId="1" applyNumberFormat="1" applyFont="1" applyFill="1" applyBorder="1" applyAlignment="1">
      <alignment vertical="center"/>
    </xf>
    <xf numFmtId="43" fontId="8" fillId="8" borderId="12" xfId="1" applyFont="1" applyFill="1" applyBorder="1" applyAlignment="1">
      <alignment vertical="center"/>
    </xf>
    <xf numFmtId="43" fontId="8" fillId="0" borderId="12" xfId="1" applyFont="1" applyBorder="1" applyAlignment="1">
      <alignment vertical="center"/>
    </xf>
    <xf numFmtId="43" fontId="7" fillId="0" borderId="0" xfId="1" applyFont="1" applyFill="1" applyBorder="1" applyAlignment="1">
      <alignment vertical="center"/>
    </xf>
    <xf numFmtId="43" fontId="0" fillId="8" borderId="13" xfId="1" applyFont="1" applyFill="1" applyBorder="1" applyAlignment="1">
      <alignment vertical="center"/>
    </xf>
    <xf numFmtId="168" fontId="14" fillId="3" borderId="12" xfId="2" applyNumberFormat="1" applyFont="1" applyFill="1" applyBorder="1" applyAlignment="1">
      <alignment vertical="center"/>
    </xf>
    <xf numFmtId="168" fontId="18" fillId="0" borderId="13" xfId="0" applyNumberFormat="1" applyFont="1" applyBorder="1"/>
    <xf numFmtId="168" fontId="0" fillId="0" borderId="13" xfId="0" applyNumberFormat="1" applyBorder="1"/>
    <xf numFmtId="0" fontId="30" fillId="7" borderId="12" xfId="0" applyFont="1" applyFill="1" applyBorder="1" applyAlignment="1">
      <alignment vertical="center"/>
    </xf>
    <xf numFmtId="0" fontId="2" fillId="3" borderId="16" xfId="0" applyFont="1" applyFill="1" applyBorder="1" applyAlignment="1">
      <alignment vertical="center"/>
    </xf>
    <xf numFmtId="0" fontId="7" fillId="3" borderId="16" xfId="0" applyFont="1" applyFill="1" applyBorder="1" applyAlignment="1">
      <alignment vertical="center"/>
    </xf>
    <xf numFmtId="0" fontId="0" fillId="3" borderId="16" xfId="0" applyFont="1" applyFill="1" applyBorder="1" applyAlignment="1">
      <alignment vertical="center"/>
    </xf>
    <xf numFmtId="0" fontId="2" fillId="0" borderId="0" xfId="0" applyFont="1" applyFill="1" applyBorder="1" applyAlignment="1">
      <alignment vertical="center"/>
    </xf>
    <xf numFmtId="9" fontId="14" fillId="0" borderId="0" xfId="2" applyFont="1" applyFill="1" applyBorder="1" applyAlignment="1">
      <alignment vertical="center"/>
    </xf>
    <xf numFmtId="43" fontId="2" fillId="3" borderId="16" xfId="1" applyFont="1" applyFill="1" applyBorder="1" applyAlignment="1">
      <alignment vertical="center"/>
    </xf>
    <xf numFmtId="0" fontId="7" fillId="3" borderId="13" xfId="0" applyFont="1" applyFill="1" applyBorder="1" applyAlignment="1">
      <alignment vertical="center"/>
    </xf>
    <xf numFmtId="0" fontId="0" fillId="0" borderId="13" xfId="0" applyFont="1" applyBorder="1" applyAlignment="1">
      <alignment horizontal="left" vertical="center"/>
    </xf>
    <xf numFmtId="0" fontId="13" fillId="0" borderId="13" xfId="0" applyFont="1" applyBorder="1" applyAlignment="1">
      <alignment vertical="center"/>
    </xf>
    <xf numFmtId="0" fontId="11" fillId="0" borderId="13" xfId="0" applyFont="1" applyBorder="1" applyAlignment="1">
      <alignment vertical="center"/>
    </xf>
    <xf numFmtId="43" fontId="16" fillId="0" borderId="13" xfId="1" applyFont="1" applyBorder="1" applyAlignment="1">
      <alignment vertical="center"/>
    </xf>
    <xf numFmtId="43" fontId="2" fillId="9" borderId="12" xfId="1" applyFont="1" applyFill="1" applyBorder="1" applyAlignment="1">
      <alignment vertical="center"/>
    </xf>
    <xf numFmtId="9" fontId="0" fillId="0" borderId="0" xfId="0" applyNumberFormat="1"/>
    <xf numFmtId="9" fontId="11" fillId="0" borderId="0" xfId="0" applyNumberFormat="1" applyFont="1"/>
    <xf numFmtId="0" fontId="11" fillId="0" borderId="13" xfId="0" applyFont="1" applyBorder="1"/>
    <xf numFmtId="173" fontId="5" fillId="0" borderId="13" xfId="1" applyNumberFormat="1" applyFont="1" applyBorder="1"/>
    <xf numFmtId="0" fontId="11" fillId="0" borderId="0" xfId="0" applyFont="1"/>
    <xf numFmtId="43" fontId="6" fillId="0" borderId="13" xfId="1" applyFont="1" applyFill="1" applyBorder="1" applyAlignment="1">
      <alignment vertical="center"/>
    </xf>
    <xf numFmtId="172" fontId="8" fillId="3" borderId="13" xfId="0" applyNumberFormat="1" applyFont="1" applyFill="1" applyBorder="1" applyAlignment="1">
      <alignment vertical="center"/>
    </xf>
    <xf numFmtId="168" fontId="0" fillId="3" borderId="13" xfId="0" applyNumberFormat="1" applyFill="1" applyBorder="1"/>
    <xf numFmtId="0" fontId="0" fillId="3" borderId="13" xfId="0" applyFill="1" applyBorder="1"/>
    <xf numFmtId="43" fontId="5" fillId="3" borderId="13" xfId="1" applyFont="1" applyFill="1" applyBorder="1"/>
    <xf numFmtId="43" fontId="0" fillId="3" borderId="13" xfId="1" applyFont="1" applyFill="1" applyBorder="1"/>
    <xf numFmtId="172" fontId="6" fillId="3" borderId="13" xfId="0" applyNumberFormat="1" applyFont="1" applyFill="1" applyBorder="1" applyAlignment="1">
      <alignment vertical="center"/>
    </xf>
    <xf numFmtId="168" fontId="2" fillId="3" borderId="13" xfId="0" applyNumberFormat="1" applyFont="1" applyFill="1" applyBorder="1"/>
    <xf numFmtId="0" fontId="2" fillId="3" borderId="13" xfId="0" applyFont="1" applyFill="1" applyBorder="1"/>
    <xf numFmtId="43" fontId="28" fillId="3" borderId="13" xfId="1" applyFont="1" applyFill="1" applyBorder="1"/>
    <xf numFmtId="43" fontId="2" fillId="3" borderId="13" xfId="1" applyFont="1" applyFill="1" applyBorder="1"/>
    <xf numFmtId="43" fontId="8" fillId="3" borderId="13" xfId="1" applyFont="1" applyFill="1" applyBorder="1"/>
    <xf numFmtId="0" fontId="7" fillId="0" borderId="12" xfId="0" applyFont="1" applyBorder="1" applyAlignment="1">
      <alignment horizontal="left" vertical="center" indent="1"/>
    </xf>
    <xf numFmtId="43" fontId="21" fillId="3" borderId="12" xfId="1" applyFont="1" applyFill="1" applyBorder="1" applyAlignment="1">
      <alignment vertical="center"/>
    </xf>
    <xf numFmtId="43" fontId="0" fillId="0" borderId="0" xfId="0" applyNumberFormat="1" applyBorder="1" applyAlignment="1">
      <alignment vertical="center"/>
    </xf>
    <xf numFmtId="9" fontId="18" fillId="0" borderId="12" xfId="2" applyFont="1" applyFill="1" applyBorder="1" applyAlignment="1">
      <alignment vertical="center"/>
    </xf>
    <xf numFmtId="0" fontId="0" fillId="0" borderId="12" xfId="0" applyFill="1" applyBorder="1" applyAlignment="1">
      <alignment horizontal="left" vertical="center" indent="1"/>
    </xf>
    <xf numFmtId="0" fontId="8" fillId="0" borderId="12" xfId="0" applyFont="1" applyFill="1" applyBorder="1" applyAlignment="1">
      <alignment horizontal="left" vertical="center"/>
    </xf>
    <xf numFmtId="43" fontId="17" fillId="0" borderId="12" xfId="0" applyNumberFormat="1" applyFont="1" applyFill="1" applyBorder="1" applyAlignment="1">
      <alignment vertical="center"/>
    </xf>
    <xf numFmtId="43" fontId="15" fillId="0" borderId="13" xfId="1" applyFont="1" applyBorder="1" applyAlignment="1">
      <alignment vertical="center" wrapText="1"/>
    </xf>
    <xf numFmtId="43" fontId="18" fillId="0" borderId="13" xfId="1" applyFont="1" applyBorder="1" applyAlignment="1">
      <alignment vertical="center" wrapText="1"/>
    </xf>
    <xf numFmtId="43" fontId="6" fillId="0" borderId="13" xfId="1" applyFont="1" applyBorder="1" applyAlignment="1">
      <alignment vertical="center" wrapText="1"/>
    </xf>
    <xf numFmtId="43" fontId="8" fillId="3" borderId="13" xfId="0" applyNumberFormat="1" applyFont="1" applyFill="1" applyBorder="1" applyAlignment="1">
      <alignment vertical="center"/>
    </xf>
    <xf numFmtId="0" fontId="6" fillId="0" borderId="13" xfId="0" applyFont="1" applyBorder="1" applyAlignment="1">
      <alignment horizontal="left" vertical="center"/>
    </xf>
    <xf numFmtId="0" fontId="17" fillId="0" borderId="13" xfId="0" applyFont="1" applyBorder="1" applyAlignment="1">
      <alignment vertical="center"/>
    </xf>
    <xf numFmtId="0" fontId="2" fillId="0" borderId="12" xfId="0" applyFont="1" applyBorder="1" applyAlignment="1">
      <alignment horizontal="left" vertical="center" indent="1"/>
    </xf>
    <xf numFmtId="15" fontId="8" fillId="7" borderId="13" xfId="0" applyNumberFormat="1" applyFont="1" applyFill="1" applyBorder="1" applyAlignment="1">
      <alignment horizontal="center" vertical="center"/>
    </xf>
    <xf numFmtId="0" fontId="2" fillId="2" borderId="13" xfId="0" applyFont="1" applyFill="1" applyBorder="1" applyAlignment="1">
      <alignment vertical="center"/>
    </xf>
    <xf numFmtId="0" fontId="0" fillId="2" borderId="13" xfId="0" applyFill="1" applyBorder="1" applyAlignment="1">
      <alignment vertical="center"/>
    </xf>
    <xf numFmtId="0" fontId="14" fillId="0" borderId="13" xfId="0" applyFont="1" applyBorder="1" applyAlignment="1">
      <alignment vertical="center"/>
    </xf>
    <xf numFmtId="165" fontId="0" fillId="2" borderId="13" xfId="1" applyNumberFormat="1" applyFont="1" applyFill="1" applyBorder="1" applyAlignment="1">
      <alignment vertical="center"/>
    </xf>
    <xf numFmtId="165" fontId="0" fillId="8" borderId="13" xfId="1" applyNumberFormat="1" applyFont="1" applyFill="1" applyBorder="1" applyAlignment="1">
      <alignment vertical="center"/>
    </xf>
    <xf numFmtId="165" fontId="7" fillId="0" borderId="13" xfId="1" applyNumberFormat="1" applyFont="1" applyBorder="1" applyAlignment="1">
      <alignment vertical="center"/>
    </xf>
    <xf numFmtId="15" fontId="2" fillId="2" borderId="13" xfId="0" applyNumberFormat="1" applyFont="1" applyFill="1" applyBorder="1" applyAlignment="1">
      <alignment vertical="center"/>
    </xf>
    <xf numFmtId="0" fontId="0" fillId="0" borderId="13" xfId="0" applyBorder="1" applyAlignment="1">
      <alignment horizontal="left" vertical="center" indent="1"/>
    </xf>
    <xf numFmtId="165" fontId="18" fillId="0" borderId="13" xfId="1" applyNumberFormat="1" applyFont="1" applyBorder="1" applyAlignment="1">
      <alignment vertical="center"/>
    </xf>
    <xf numFmtId="0" fontId="18" fillId="0" borderId="13" xfId="0" applyFont="1" applyBorder="1" applyAlignment="1">
      <alignment vertical="center"/>
    </xf>
    <xf numFmtId="165" fontId="8" fillId="0" borderId="13" xfId="1" applyNumberFormat="1" applyFont="1" applyBorder="1" applyAlignment="1">
      <alignment vertical="center"/>
    </xf>
    <xf numFmtId="165" fontId="18" fillId="0" borderId="13" xfId="1" applyNumberFormat="1" applyFont="1" applyFill="1" applyBorder="1" applyAlignment="1">
      <alignment vertical="center"/>
    </xf>
    <xf numFmtId="165" fontId="8" fillId="0" borderId="13" xfId="1" applyNumberFormat="1" applyFont="1" applyFill="1" applyBorder="1" applyAlignment="1">
      <alignment vertical="center"/>
    </xf>
    <xf numFmtId="165" fontId="0" fillId="0" borderId="13" xfId="1" applyNumberFormat="1" applyFont="1" applyFill="1" applyBorder="1" applyAlignment="1">
      <alignment vertical="center"/>
    </xf>
    <xf numFmtId="165" fontId="2" fillId="0" borderId="13" xfId="1" applyNumberFormat="1" applyFont="1" applyFill="1" applyBorder="1" applyAlignment="1">
      <alignment vertical="center"/>
    </xf>
    <xf numFmtId="9" fontId="6" fillId="0" borderId="13" xfId="2" applyFont="1" applyBorder="1" applyAlignment="1">
      <alignment vertical="center"/>
    </xf>
    <xf numFmtId="165" fontId="0" fillId="0" borderId="13" xfId="0" applyNumberFormat="1" applyBorder="1"/>
    <xf numFmtId="43" fontId="20" fillId="0" borderId="12" xfId="1" applyFont="1" applyFill="1" applyBorder="1" applyAlignment="1">
      <alignment vertical="center"/>
    </xf>
    <xf numFmtId="15" fontId="2" fillId="7" borderId="12" xfId="0" applyNumberFormat="1" applyFont="1" applyFill="1" applyBorder="1" applyAlignment="1">
      <alignment horizontal="left" vertical="center"/>
    </xf>
    <xf numFmtId="0" fontId="0" fillId="4" borderId="0" xfId="0" applyFill="1" applyBorder="1" applyAlignment="1">
      <alignment vertical="center"/>
    </xf>
    <xf numFmtId="0" fontId="2" fillId="6" borderId="18" xfId="0" applyFont="1" applyFill="1" applyBorder="1" applyAlignment="1">
      <alignment vertical="center"/>
    </xf>
    <xf numFmtId="15" fontId="2" fillId="6" borderId="18" xfId="0" applyNumberFormat="1" applyFont="1" applyFill="1" applyBorder="1" applyAlignment="1">
      <alignment vertical="center"/>
    </xf>
    <xf numFmtId="0" fontId="2" fillId="8" borderId="18" xfId="0" applyFont="1" applyFill="1" applyBorder="1" applyAlignment="1">
      <alignment vertical="center"/>
    </xf>
    <xf numFmtId="15" fontId="2" fillId="8" borderId="18" xfId="0" applyNumberFormat="1" applyFont="1" applyFill="1" applyBorder="1" applyAlignment="1">
      <alignment vertical="center"/>
    </xf>
    <xf numFmtId="0" fontId="0" fillId="8" borderId="0" xfId="0" applyFill="1" applyAlignment="1">
      <alignment vertical="center"/>
    </xf>
    <xf numFmtId="0" fontId="0" fillId="11" borderId="18" xfId="0" applyFill="1" applyBorder="1" applyAlignment="1">
      <alignment vertical="center"/>
    </xf>
    <xf numFmtId="0" fontId="7" fillId="11" borderId="18" xfId="0" applyFont="1" applyFill="1" applyBorder="1" applyAlignment="1">
      <alignment vertical="center"/>
    </xf>
    <xf numFmtId="43" fontId="0" fillId="0" borderId="18" xfId="1" applyFont="1" applyBorder="1" applyAlignment="1">
      <alignment vertical="center"/>
    </xf>
    <xf numFmtId="43" fontId="0" fillId="11" borderId="18" xfId="1" applyFont="1" applyFill="1" applyBorder="1" applyAlignment="1">
      <alignment vertical="center"/>
    </xf>
    <xf numFmtId="0" fontId="2" fillId="3" borderId="18" xfId="0" applyFont="1" applyFill="1" applyBorder="1" applyAlignment="1">
      <alignment vertical="center"/>
    </xf>
    <xf numFmtId="0" fontId="14" fillId="3" borderId="18" xfId="0" applyFont="1" applyFill="1" applyBorder="1" applyAlignment="1">
      <alignment vertical="center"/>
    </xf>
    <xf numFmtId="43" fontId="2" fillId="3" borderId="18" xfId="1" applyFont="1" applyFill="1" applyBorder="1" applyAlignment="1">
      <alignment vertical="center"/>
    </xf>
    <xf numFmtId="0" fontId="0" fillId="11" borderId="19" xfId="0" applyFill="1" applyBorder="1" applyAlignment="1">
      <alignment vertical="center"/>
    </xf>
    <xf numFmtId="0" fontId="7" fillId="11" borderId="19" xfId="0" applyFont="1" applyFill="1" applyBorder="1" applyAlignment="1">
      <alignment vertical="center"/>
    </xf>
    <xf numFmtId="0" fontId="14" fillId="8" borderId="18" xfId="0" applyFont="1" applyFill="1" applyBorder="1" applyAlignment="1">
      <alignment vertical="center"/>
    </xf>
    <xf numFmtId="43" fontId="2" fillId="8" borderId="18" xfId="1" applyFont="1" applyFill="1" applyBorder="1" applyAlignment="1">
      <alignment vertical="center"/>
    </xf>
    <xf numFmtId="0" fontId="0" fillId="11" borderId="0" xfId="0" applyFill="1" applyAlignment="1">
      <alignment vertical="center"/>
    </xf>
    <xf numFmtId="165" fontId="0" fillId="11" borderId="0" xfId="1" applyNumberFormat="1" applyFont="1" applyFill="1" applyAlignment="1">
      <alignment vertical="center"/>
    </xf>
    <xf numFmtId="0" fontId="0" fillId="3" borderId="18" xfId="0" applyFill="1" applyBorder="1" applyAlignment="1">
      <alignment vertical="center"/>
    </xf>
    <xf numFmtId="165" fontId="0" fillId="3" borderId="18" xfId="1" applyNumberFormat="1" applyFont="1" applyFill="1" applyBorder="1" applyAlignment="1">
      <alignment vertical="center"/>
    </xf>
    <xf numFmtId="0" fontId="2" fillId="11" borderId="18" xfId="0" applyFont="1" applyFill="1" applyBorder="1" applyAlignment="1">
      <alignment vertical="center"/>
    </xf>
    <xf numFmtId="43" fontId="2" fillId="11" borderId="18" xfId="1" applyFont="1" applyFill="1" applyBorder="1" applyAlignment="1">
      <alignment vertical="center"/>
    </xf>
    <xf numFmtId="43" fontId="18" fillId="11" borderId="18" xfId="1" applyFont="1" applyFill="1" applyBorder="1" applyAlignment="1">
      <alignment vertical="center"/>
    </xf>
    <xf numFmtId="43" fontId="18" fillId="0" borderId="18" xfId="1" applyFont="1" applyBorder="1" applyAlignment="1">
      <alignment vertical="center"/>
    </xf>
    <xf numFmtId="0" fontId="0" fillId="0" borderId="18" xfId="0" applyBorder="1" applyAlignment="1">
      <alignment vertical="center"/>
    </xf>
    <xf numFmtId="0" fontId="0" fillId="6" borderId="18" xfId="0" applyFill="1" applyBorder="1" applyAlignment="1">
      <alignment vertical="center"/>
    </xf>
    <xf numFmtId="0" fontId="2" fillId="0" borderId="18" xfId="0" applyFont="1" applyBorder="1" applyAlignment="1">
      <alignment vertical="center"/>
    </xf>
    <xf numFmtId="43" fontId="2" fillId="0" borderId="18" xfId="1" applyFont="1" applyFill="1" applyBorder="1" applyAlignment="1">
      <alignment vertical="center"/>
    </xf>
    <xf numFmtId="43" fontId="2" fillId="6" borderId="18" xfId="1" applyFont="1" applyFill="1" applyBorder="1" applyAlignment="1">
      <alignment vertical="center"/>
    </xf>
    <xf numFmtId="43" fontId="0" fillId="0" borderId="18" xfId="1" applyFont="1" applyFill="1" applyBorder="1" applyAlignment="1">
      <alignment vertical="center"/>
    </xf>
    <xf numFmtId="43" fontId="0" fillId="6" borderId="18" xfId="1" applyFont="1" applyFill="1" applyBorder="1" applyAlignment="1">
      <alignment vertical="center"/>
    </xf>
    <xf numFmtId="0" fontId="0" fillId="7" borderId="18" xfId="0" applyFill="1" applyBorder="1" applyAlignment="1">
      <alignment vertical="center"/>
    </xf>
    <xf numFmtId="15" fontId="2" fillId="7" borderId="18" xfId="0" applyNumberFormat="1" applyFont="1" applyFill="1" applyBorder="1" applyAlignment="1">
      <alignment horizontal="center" vertical="center"/>
    </xf>
    <xf numFmtId="0" fontId="7" fillId="0" borderId="18" xfId="0" applyFont="1" applyBorder="1" applyAlignment="1">
      <alignment vertical="center"/>
    </xf>
    <xf numFmtId="43" fontId="0" fillId="0" borderId="18" xfId="0" applyNumberFormat="1" applyBorder="1" applyAlignment="1">
      <alignment vertical="center"/>
    </xf>
    <xf numFmtId="43" fontId="2" fillId="0" borderId="18" xfId="0" applyNumberFormat="1" applyFont="1" applyBorder="1" applyAlignment="1">
      <alignment vertical="center"/>
    </xf>
    <xf numFmtId="0" fontId="7" fillId="3" borderId="18" xfId="0" applyFont="1" applyFill="1" applyBorder="1" applyAlignment="1">
      <alignment vertical="center"/>
    </xf>
    <xf numFmtId="43" fontId="2" fillId="3" borderId="18" xfId="0" applyNumberFormat="1" applyFont="1" applyFill="1" applyBorder="1" applyAlignment="1">
      <alignment vertical="center"/>
    </xf>
    <xf numFmtId="43" fontId="18" fillId="0" borderId="18" xfId="1" applyFont="1" applyFill="1" applyBorder="1" applyAlignment="1">
      <alignment vertical="center"/>
    </xf>
    <xf numFmtId="0" fontId="18" fillId="0" borderId="18" xfId="0" applyFont="1" applyFill="1" applyBorder="1" applyAlignment="1">
      <alignment vertical="center"/>
    </xf>
    <xf numFmtId="43" fontId="8" fillId="0" borderId="18" xfId="0" applyNumberFormat="1" applyFont="1" applyFill="1" applyBorder="1" applyAlignment="1">
      <alignment vertical="center"/>
    </xf>
    <xf numFmtId="43" fontId="8" fillId="3" borderId="18" xfId="0" applyNumberFormat="1" applyFont="1" applyFill="1" applyBorder="1" applyAlignment="1">
      <alignment vertical="center"/>
    </xf>
    <xf numFmtId="43" fontId="6" fillId="0" borderId="18" xfId="1" applyFont="1" applyFill="1" applyBorder="1" applyAlignment="1">
      <alignment vertical="center"/>
    </xf>
    <xf numFmtId="0" fontId="2" fillId="7" borderId="18" xfId="0" applyFont="1" applyFill="1" applyBorder="1" applyAlignment="1">
      <alignment vertical="center"/>
    </xf>
    <xf numFmtId="43" fontId="2" fillId="7" borderId="18" xfId="1" applyFont="1" applyFill="1" applyBorder="1" applyAlignment="1">
      <alignment vertical="center"/>
    </xf>
    <xf numFmtId="43" fontId="0" fillId="7" borderId="18" xfId="1" applyFont="1" applyFill="1" applyBorder="1" applyAlignment="1">
      <alignment vertical="center"/>
    </xf>
    <xf numFmtId="0" fontId="2" fillId="3" borderId="0" xfId="0" applyFont="1" applyFill="1" applyBorder="1" applyAlignment="1">
      <alignment vertical="center"/>
    </xf>
    <xf numFmtId="0" fontId="7" fillId="0" borderId="18" xfId="0" applyFont="1" applyFill="1" applyBorder="1" applyAlignment="1">
      <alignment vertical="center"/>
    </xf>
    <xf numFmtId="43" fontId="2" fillId="0" borderId="18" xfId="0" applyNumberFormat="1" applyFont="1" applyFill="1" applyBorder="1" applyAlignment="1">
      <alignment vertical="center"/>
    </xf>
    <xf numFmtId="43" fontId="6" fillId="0" borderId="18" xfId="1" applyFont="1" applyBorder="1" applyAlignment="1">
      <alignment vertical="center"/>
    </xf>
    <xf numFmtId="0" fontId="2" fillId="0" borderId="18" xfId="0" applyFont="1" applyFill="1" applyBorder="1" applyAlignment="1">
      <alignment vertical="center"/>
    </xf>
    <xf numFmtId="43" fontId="8" fillId="0" borderId="18" xfId="1" applyFont="1" applyBorder="1" applyAlignment="1">
      <alignment vertical="center"/>
    </xf>
    <xf numFmtId="43" fontId="34" fillId="11" borderId="18" xfId="1" applyFont="1" applyFill="1" applyBorder="1" applyAlignment="1">
      <alignment vertical="center"/>
    </xf>
    <xf numFmtId="43" fontId="8" fillId="0" borderId="18" xfId="1" applyFont="1" applyFill="1" applyBorder="1" applyAlignment="1">
      <alignment vertical="center"/>
    </xf>
    <xf numFmtId="43" fontId="18" fillId="0" borderId="19" xfId="1" applyFont="1" applyBorder="1" applyAlignment="1">
      <alignment vertical="center"/>
    </xf>
    <xf numFmtId="43" fontId="7" fillId="11" borderId="18" xfId="1" applyFont="1" applyFill="1" applyBorder="1" applyAlignment="1">
      <alignment vertical="center"/>
    </xf>
    <xf numFmtId="0" fontId="6" fillId="0" borderId="18" xfId="0" applyFont="1" applyBorder="1" applyAlignment="1">
      <alignment vertical="center"/>
    </xf>
    <xf numFmtId="0" fontId="0" fillId="0" borderId="18" xfId="0" applyFont="1" applyBorder="1" applyAlignment="1">
      <alignment vertical="center"/>
    </xf>
    <xf numFmtId="0" fontId="14" fillId="11" borderId="18" xfId="0" applyFont="1" applyFill="1" applyBorder="1" applyAlignment="1">
      <alignment vertical="center"/>
    </xf>
    <xf numFmtId="0" fontId="18" fillId="0" borderId="12" xfId="0" applyFont="1" applyBorder="1" applyAlignment="1">
      <alignment vertical="center"/>
    </xf>
    <xf numFmtId="9" fontId="7" fillId="0" borderId="0" xfId="2" applyFont="1" applyAlignment="1">
      <alignment vertical="center"/>
    </xf>
    <xf numFmtId="43" fontId="0" fillId="0" borderId="0" xfId="0" applyNumberFormat="1" applyFill="1" applyAlignment="1">
      <alignment vertical="center"/>
    </xf>
    <xf numFmtId="0" fontId="7" fillId="0" borderId="12" xfId="0" applyFont="1" applyFill="1" applyBorder="1" applyAlignment="1">
      <alignment horizontal="left" vertical="center"/>
    </xf>
    <xf numFmtId="0" fontId="0" fillId="4" borderId="13" xfId="0" applyFill="1" applyBorder="1" applyAlignment="1">
      <alignment vertical="center"/>
    </xf>
    <xf numFmtId="165" fontId="8" fillId="4" borderId="13" xfId="1" applyNumberFormat="1" applyFont="1" applyFill="1" applyBorder="1" applyAlignment="1">
      <alignment vertical="center"/>
    </xf>
    <xf numFmtId="0" fontId="18" fillId="0" borderId="14" xfId="0" applyFont="1" applyFill="1" applyBorder="1" applyAlignment="1">
      <alignment vertical="center"/>
    </xf>
    <xf numFmtId="165" fontId="6" fillId="0" borderId="13" xfId="1" applyNumberFormat="1" applyFont="1" applyFill="1" applyBorder="1" applyAlignment="1">
      <alignment vertical="center"/>
    </xf>
    <xf numFmtId="0" fontId="14" fillId="0" borderId="13" xfId="0" applyFont="1" applyFill="1" applyBorder="1" applyAlignment="1">
      <alignment vertical="center"/>
    </xf>
    <xf numFmtId="10" fontId="7" fillId="0" borderId="13" xfId="2" applyNumberFormat="1" applyFont="1" applyFill="1" applyBorder="1" applyAlignment="1">
      <alignment vertical="center"/>
    </xf>
    <xf numFmtId="15" fontId="2" fillId="0" borderId="18" xfId="0" applyNumberFormat="1" applyFont="1" applyFill="1" applyBorder="1" applyAlignment="1">
      <alignment horizontal="left" vertical="center"/>
    </xf>
    <xf numFmtId="15" fontId="2" fillId="0" borderId="18" xfId="0" applyNumberFormat="1" applyFont="1" applyFill="1" applyBorder="1" applyAlignment="1">
      <alignment horizontal="center" vertical="center"/>
    </xf>
    <xf numFmtId="0" fontId="0" fillId="0" borderId="12" xfId="0" applyFont="1" applyBorder="1" applyAlignment="1">
      <alignment horizontal="left" vertical="center"/>
    </xf>
    <xf numFmtId="43" fontId="2" fillId="0" borderId="18" xfId="0" applyNumberFormat="1" applyFont="1" applyFill="1" applyBorder="1" applyAlignment="1">
      <alignment horizontal="center" vertical="center"/>
    </xf>
    <xf numFmtId="0" fontId="2" fillId="4" borderId="12" xfId="0" applyFont="1" applyFill="1" applyBorder="1" applyAlignment="1">
      <alignment vertical="center"/>
    </xf>
    <xf numFmtId="0" fontId="14" fillId="4" borderId="12" xfId="0" applyFont="1" applyFill="1" applyBorder="1" applyAlignment="1">
      <alignment vertical="center"/>
    </xf>
    <xf numFmtId="15" fontId="2" fillId="4" borderId="12" xfId="0" applyNumberFormat="1" applyFont="1" applyFill="1" applyBorder="1" applyAlignment="1">
      <alignment horizontal="center" vertical="center"/>
    </xf>
    <xf numFmtId="0" fontId="7" fillId="4" borderId="0" xfId="0" applyFont="1" applyFill="1" applyBorder="1" applyAlignment="1">
      <alignment vertical="center"/>
    </xf>
    <xf numFmtId="0" fontId="2" fillId="0" borderId="13" xfId="0" applyFont="1" applyBorder="1" applyAlignment="1">
      <alignment horizontal="left" vertical="center"/>
    </xf>
    <xf numFmtId="43" fontId="0" fillId="0" borderId="13" xfId="1" applyFont="1" applyBorder="1" applyAlignment="1">
      <alignment horizontal="left" vertical="center"/>
    </xf>
    <xf numFmtId="43" fontId="2" fillId="0" borderId="13" xfId="1" applyFont="1" applyBorder="1" applyAlignment="1">
      <alignment horizontal="left" vertical="center"/>
    </xf>
    <xf numFmtId="43" fontId="18" fillId="0" borderId="13" xfId="1" applyFont="1" applyBorder="1" applyAlignment="1">
      <alignment horizontal="left" vertical="center"/>
    </xf>
    <xf numFmtId="43" fontId="21" fillId="0" borderId="13" xfId="1" applyFont="1" applyBorder="1" applyAlignment="1">
      <alignment horizontal="left" vertical="center"/>
    </xf>
    <xf numFmtId="43" fontId="0" fillId="0" borderId="12" xfId="0" applyNumberFormat="1" applyFont="1" applyFill="1" applyBorder="1" applyAlignment="1">
      <alignment vertical="center"/>
    </xf>
    <xf numFmtId="0" fontId="7" fillId="0" borderId="12" xfId="0" applyFont="1" applyBorder="1" applyAlignment="1">
      <alignment horizontal="left" vertical="center"/>
    </xf>
    <xf numFmtId="168" fontId="7" fillId="0" borderId="18" xfId="2" applyNumberFormat="1" applyFont="1" applyBorder="1" applyAlignment="1">
      <alignment vertical="center"/>
    </xf>
    <xf numFmtId="168" fontId="14" fillId="0" borderId="18" xfId="2" applyNumberFormat="1" applyFont="1" applyBorder="1" applyAlignment="1">
      <alignment vertical="center"/>
    </xf>
    <xf numFmtId="0" fontId="17" fillId="0" borderId="18" xfId="0" applyFont="1" applyBorder="1" applyAlignment="1">
      <alignment vertical="center"/>
    </xf>
    <xf numFmtId="0" fontId="14" fillId="0" borderId="18" xfId="0" applyFont="1" applyBorder="1" applyAlignment="1">
      <alignment vertical="center"/>
    </xf>
    <xf numFmtId="43" fontId="0" fillId="11" borderId="18" xfId="0" applyNumberFormat="1" applyFill="1" applyBorder="1" applyAlignment="1">
      <alignment vertical="center"/>
    </xf>
    <xf numFmtId="0" fontId="18" fillId="11" borderId="18" xfId="0" applyFont="1" applyFill="1" applyBorder="1" applyAlignment="1">
      <alignment vertical="center"/>
    </xf>
    <xf numFmtId="43" fontId="6" fillId="0" borderId="12" xfId="1" applyFont="1" applyFill="1" applyBorder="1" applyAlignment="1">
      <alignment horizontal="center" vertical="center"/>
    </xf>
    <xf numFmtId="10" fontId="14" fillId="0" borderId="12" xfId="2" applyNumberFormat="1" applyFont="1" applyFill="1" applyBorder="1" applyAlignment="1">
      <alignment vertical="center"/>
    </xf>
    <xf numFmtId="9" fontId="17" fillId="0" borderId="12" xfId="2" applyNumberFormat="1" applyFont="1" applyFill="1" applyBorder="1" applyAlignment="1">
      <alignment vertical="center"/>
    </xf>
    <xf numFmtId="0" fontId="0" fillId="0" borderId="12" xfId="0" applyFill="1" applyBorder="1" applyAlignment="1">
      <alignment horizontal="left" vertical="center" indent="3"/>
    </xf>
    <xf numFmtId="0" fontId="14" fillId="3" borderId="12" xfId="0" applyFont="1" applyFill="1" applyBorder="1" applyAlignment="1">
      <alignment horizontal="left" vertical="center" indent="3"/>
    </xf>
    <xf numFmtId="0" fontId="0" fillId="0" borderId="12" xfId="0" applyFont="1" applyFill="1" applyBorder="1" applyAlignment="1">
      <alignment horizontal="left" vertical="center" indent="2"/>
    </xf>
    <xf numFmtId="0" fontId="0" fillId="0" borderId="12" xfId="0" applyFont="1" applyFill="1" applyBorder="1" applyAlignment="1">
      <alignment horizontal="left" vertical="center" indent="3"/>
    </xf>
    <xf numFmtId="0" fontId="2" fillId="4" borderId="0" xfId="0" applyFont="1" applyFill="1" applyBorder="1" applyAlignment="1">
      <alignment horizontal="center" vertical="center"/>
    </xf>
    <xf numFmtId="10" fontId="20" fillId="0" borderId="12" xfId="1" applyNumberFormat="1" applyFont="1" applyFill="1" applyBorder="1" applyAlignment="1">
      <alignment horizontal="right" vertical="center"/>
    </xf>
    <xf numFmtId="10" fontId="7" fillId="0" borderId="12" xfId="1" applyNumberFormat="1" applyFont="1" applyFill="1" applyBorder="1" applyAlignment="1">
      <alignment horizontal="right" vertical="center"/>
    </xf>
    <xf numFmtId="0" fontId="7" fillId="0" borderId="12" xfId="0" applyFont="1" applyFill="1" applyBorder="1" applyAlignment="1">
      <alignment horizontal="left" vertical="center" indent="4"/>
    </xf>
    <xf numFmtId="0" fontId="2" fillId="4" borderId="0" xfId="0" applyFont="1" applyFill="1" applyBorder="1" applyAlignment="1">
      <alignment vertical="center"/>
    </xf>
    <xf numFmtId="168" fontId="7" fillId="0" borderId="12" xfId="2" applyNumberFormat="1" applyFont="1" applyFill="1" applyBorder="1" applyAlignment="1">
      <alignment vertical="center"/>
    </xf>
    <xf numFmtId="165" fontId="7" fillId="0" borderId="12" xfId="1" applyNumberFormat="1" applyFont="1" applyFill="1" applyBorder="1" applyAlignment="1">
      <alignment vertical="center"/>
    </xf>
    <xf numFmtId="165" fontId="0" fillId="3" borderId="13" xfId="1" applyNumberFormat="1" applyFont="1" applyFill="1" applyBorder="1" applyAlignment="1">
      <alignment vertical="center"/>
    </xf>
    <xf numFmtId="168" fontId="17" fillId="0" borderId="12" xfId="2" applyNumberFormat="1" applyFont="1" applyFill="1" applyBorder="1" applyAlignment="1">
      <alignment vertical="center"/>
    </xf>
    <xf numFmtId="168" fontId="17" fillId="0" borderId="12" xfId="0" applyNumberFormat="1" applyFont="1" applyFill="1" applyBorder="1" applyAlignment="1">
      <alignment vertical="center"/>
    </xf>
    <xf numFmtId="10" fontId="17" fillId="0" borderId="13" xfId="2" applyNumberFormat="1" applyFont="1" applyFill="1" applyBorder="1" applyAlignment="1">
      <alignment vertical="center"/>
    </xf>
    <xf numFmtId="165" fontId="21" fillId="0" borderId="13" xfId="1" applyNumberFormat="1" applyFont="1" applyFill="1" applyBorder="1" applyAlignment="1">
      <alignment vertical="center"/>
    </xf>
    <xf numFmtId="165" fontId="18" fillId="0" borderId="0" xfId="1" applyNumberFormat="1" applyFont="1" applyFill="1" applyAlignment="1">
      <alignment vertical="center"/>
    </xf>
    <xf numFmtId="15" fontId="8" fillId="4" borderId="13" xfId="0" applyNumberFormat="1" applyFont="1" applyFill="1" applyBorder="1" applyAlignment="1">
      <alignment horizontal="left" vertical="center"/>
    </xf>
    <xf numFmtId="15" fontId="8" fillId="4" borderId="13" xfId="0" applyNumberFormat="1" applyFont="1" applyFill="1" applyBorder="1" applyAlignment="1">
      <alignment horizontal="center" vertical="center"/>
    </xf>
    <xf numFmtId="0" fontId="0" fillId="0" borderId="13" xfId="0" applyFont="1" applyFill="1" applyBorder="1" applyAlignment="1">
      <alignment vertical="center"/>
    </xf>
    <xf numFmtId="0" fontId="2" fillId="4" borderId="0" xfId="0" applyFont="1" applyFill="1" applyAlignment="1">
      <alignment horizontal="center" vertical="center"/>
    </xf>
    <xf numFmtId="165" fontId="16" fillId="0" borderId="13" xfId="1" applyNumberFormat="1" applyFont="1" applyFill="1" applyBorder="1" applyAlignment="1">
      <alignment vertical="center"/>
    </xf>
    <xf numFmtId="165" fontId="8" fillId="0" borderId="14" xfId="1" applyNumberFormat="1" applyFont="1" applyFill="1" applyBorder="1" applyAlignment="1">
      <alignment vertical="center"/>
    </xf>
    <xf numFmtId="165" fontId="6" fillId="0" borderId="12" xfId="1" applyNumberFormat="1" applyFont="1" applyFill="1" applyBorder="1" applyAlignment="1">
      <alignment horizontal="center" vertical="center"/>
    </xf>
    <xf numFmtId="0" fontId="0" fillId="0" borderId="12" xfId="0" applyFont="1" applyFill="1" applyBorder="1" applyAlignment="1">
      <alignment horizontal="left" vertical="center"/>
    </xf>
    <xf numFmtId="10" fontId="20" fillId="0" borderId="16" xfId="2" applyNumberFormat="1" applyFont="1" applyFill="1" applyBorder="1" applyAlignment="1">
      <alignment vertical="center"/>
    </xf>
    <xf numFmtId="43" fontId="18" fillId="0" borderId="16" xfId="1" applyFont="1" applyFill="1" applyBorder="1" applyAlignment="1">
      <alignment vertical="center"/>
    </xf>
    <xf numFmtId="43" fontId="6" fillId="0" borderId="16" xfId="1" applyFont="1" applyFill="1" applyBorder="1" applyAlignment="1">
      <alignment vertical="center"/>
    </xf>
    <xf numFmtId="10" fontId="20" fillId="0" borderId="0" xfId="2" applyNumberFormat="1" applyFont="1" applyFill="1" applyBorder="1" applyAlignment="1">
      <alignment vertical="center"/>
    </xf>
    <xf numFmtId="43" fontId="18" fillId="0" borderId="0" xfId="1" applyFont="1" applyFill="1" applyBorder="1" applyAlignment="1">
      <alignment vertical="center"/>
    </xf>
    <xf numFmtId="43" fontId="6" fillId="0" borderId="0" xfId="1" applyFont="1" applyFill="1" applyBorder="1" applyAlignment="1">
      <alignment vertical="center"/>
    </xf>
    <xf numFmtId="43" fontId="16" fillId="0" borderId="0" xfId="1" applyFont="1" applyFill="1" applyBorder="1" applyAlignment="1">
      <alignment vertical="center"/>
    </xf>
    <xf numFmtId="10" fontId="18" fillId="4" borderId="0" xfId="0" applyNumberFormat="1" applyFont="1" applyFill="1" applyBorder="1" applyAlignment="1">
      <alignment vertical="center"/>
    </xf>
    <xf numFmtId="10" fontId="0" fillId="4" borderId="0" xfId="0" applyNumberFormat="1" applyFill="1" applyBorder="1" applyAlignment="1">
      <alignment vertical="center"/>
    </xf>
    <xf numFmtId="0" fontId="0" fillId="0" borderId="18" xfId="0" applyFill="1" applyBorder="1" applyAlignment="1">
      <alignment vertical="center"/>
    </xf>
    <xf numFmtId="10" fontId="20" fillId="0" borderId="18" xfId="2" applyNumberFormat="1" applyFont="1" applyFill="1" applyBorder="1" applyAlignment="1">
      <alignment vertical="center"/>
    </xf>
    <xf numFmtId="0" fontId="0" fillId="0" borderId="16" xfId="0" applyFont="1" applyBorder="1" applyAlignment="1">
      <alignment vertical="center"/>
    </xf>
    <xf numFmtId="0" fontId="17" fillId="0" borderId="16" xfId="0" applyFont="1" applyFill="1" applyBorder="1" applyAlignment="1">
      <alignment vertical="center"/>
    </xf>
    <xf numFmtId="0" fontId="6" fillId="0" borderId="16" xfId="0" applyFont="1" applyFill="1" applyBorder="1" applyAlignment="1">
      <alignment vertical="center"/>
    </xf>
    <xf numFmtId="168" fontId="0" fillId="0" borderId="0" xfId="2" applyNumberFormat="1" applyFont="1" applyBorder="1" applyAlignment="1">
      <alignment vertical="center"/>
    </xf>
    <xf numFmtId="168" fontId="6" fillId="0" borderId="12" xfId="2" applyNumberFormat="1" applyFont="1" applyFill="1" applyBorder="1" applyAlignment="1">
      <alignment horizontal="center" vertical="center"/>
    </xf>
    <xf numFmtId="43" fontId="0" fillId="0" borderId="0" xfId="0" applyNumberFormat="1" applyFill="1" applyBorder="1" applyAlignment="1">
      <alignment vertical="center"/>
    </xf>
    <xf numFmtId="9" fontId="0" fillId="0" borderId="12" xfId="0" applyNumberFormat="1" applyFill="1" applyBorder="1" applyAlignment="1">
      <alignment vertical="center"/>
    </xf>
    <xf numFmtId="168" fontId="0" fillId="0" borderId="12" xfId="2" applyNumberFormat="1" applyFont="1" applyBorder="1" applyAlignment="1">
      <alignment vertical="center"/>
    </xf>
    <xf numFmtId="9" fontId="0" fillId="0" borderId="0" xfId="2" applyFont="1" applyFill="1" applyAlignment="1">
      <alignment vertical="center"/>
    </xf>
    <xf numFmtId="165" fontId="0" fillId="0" borderId="0" xfId="0" applyNumberFormat="1" applyFill="1" applyAlignment="1">
      <alignment vertical="center"/>
    </xf>
    <xf numFmtId="168" fontId="0" fillId="11" borderId="18" xfId="2" applyNumberFormat="1" applyFont="1" applyFill="1" applyBorder="1" applyAlignment="1">
      <alignment vertical="center"/>
    </xf>
    <xf numFmtId="168" fontId="0" fillId="0" borderId="0" xfId="2" applyNumberFormat="1" applyFont="1" applyAlignment="1">
      <alignment vertical="center"/>
    </xf>
    <xf numFmtId="43" fontId="7" fillId="0" borderId="0" xfId="0" applyNumberFormat="1" applyFont="1" applyAlignment="1">
      <alignment vertical="center"/>
    </xf>
    <xf numFmtId="9" fontId="18" fillId="0" borderId="0" xfId="2" applyFont="1" applyFill="1" applyBorder="1" applyAlignment="1">
      <alignment vertical="center"/>
    </xf>
    <xf numFmtId="43" fontId="2" fillId="11" borderId="0" xfId="1" applyFont="1" applyFill="1" applyBorder="1" applyAlignment="1">
      <alignment vertical="center"/>
    </xf>
    <xf numFmtId="10" fontId="0" fillId="0" borderId="0" xfId="2" applyNumberFormat="1" applyFont="1" applyFill="1" applyBorder="1" applyAlignment="1">
      <alignment vertical="center"/>
    </xf>
    <xf numFmtId="0" fontId="18" fillId="0" borderId="13" xfId="0" applyFont="1" applyFill="1" applyBorder="1" applyAlignment="1">
      <alignment vertical="center"/>
    </xf>
    <xf numFmtId="0" fontId="0" fillId="0" borderId="12" xfId="0" applyFont="1" applyFill="1" applyBorder="1" applyAlignment="1">
      <alignment vertical="center"/>
    </xf>
    <xf numFmtId="0" fontId="7" fillId="0" borderId="12" xfId="0" applyFont="1" applyFill="1" applyBorder="1" applyAlignment="1">
      <alignment vertical="center"/>
    </xf>
    <xf numFmtId="0" fontId="17" fillId="0" borderId="12" xfId="0" applyFont="1" applyFill="1" applyBorder="1" applyAlignment="1">
      <alignment vertical="center"/>
    </xf>
    <xf numFmtId="0" fontId="18" fillId="0" borderId="12" xfId="0" applyFont="1" applyFill="1" applyBorder="1" applyAlignment="1">
      <alignment vertical="center"/>
    </xf>
    <xf numFmtId="0" fontId="6" fillId="0" borderId="12" xfId="0" applyFont="1" applyFill="1" applyBorder="1" applyAlignment="1">
      <alignment vertical="center"/>
    </xf>
    <xf numFmtId="0" fontId="0" fillId="0" borderId="0" xfId="0" applyFont="1" applyAlignment="1">
      <alignment vertical="center"/>
    </xf>
    <xf numFmtId="0" fontId="6" fillId="0" borderId="0" xfId="0" applyFont="1" applyFill="1" applyBorder="1" applyAlignment="1">
      <alignment vertical="center"/>
    </xf>
    <xf numFmtId="0" fontId="0" fillId="0" borderId="0" xfId="0" applyFont="1" applyFill="1" applyAlignment="1">
      <alignment vertical="center"/>
    </xf>
    <xf numFmtId="9" fontId="7" fillId="0" borderId="12" xfId="2" applyFont="1" applyBorder="1" applyAlignment="1">
      <alignment vertical="center"/>
    </xf>
    <xf numFmtId="0" fontId="16" fillId="0" borderId="0" xfId="0" applyFont="1" applyFill="1" applyBorder="1" applyAlignment="1">
      <alignment vertical="center"/>
    </xf>
    <xf numFmtId="168" fontId="14" fillId="3" borderId="12" xfId="2" applyNumberFormat="1" applyFont="1" applyFill="1" applyBorder="1" applyAlignment="1">
      <alignment vertical="center"/>
    </xf>
    <xf numFmtId="9" fontId="14" fillId="3" borderId="13" xfId="2" applyFont="1" applyFill="1" applyBorder="1" applyAlignment="1">
      <alignment vertical="center"/>
    </xf>
    <xf numFmtId="9" fontId="18" fillId="0" borderId="12" xfId="2" applyFont="1" applyFill="1" applyBorder="1" applyAlignment="1">
      <alignment vertical="center"/>
    </xf>
    <xf numFmtId="0" fontId="18" fillId="0" borderId="12" xfId="0" applyFont="1" applyBorder="1" applyAlignment="1">
      <alignment vertical="center"/>
    </xf>
    <xf numFmtId="0" fontId="0" fillId="0" borderId="13" xfId="0" applyFont="1" applyFill="1" applyBorder="1" applyAlignment="1">
      <alignment vertical="center"/>
    </xf>
    <xf numFmtId="0" fontId="6" fillId="0" borderId="13" xfId="0" applyFont="1" applyFill="1" applyBorder="1" applyAlignment="1">
      <alignment vertical="center"/>
    </xf>
    <xf numFmtId="165" fontId="1" fillId="11" borderId="18" xfId="1" applyNumberFormat="1" applyFont="1" applyFill="1" applyBorder="1" applyAlignment="1">
      <alignment vertical="center"/>
    </xf>
    <xf numFmtId="17" fontId="2" fillId="11" borderId="18" xfId="0" applyNumberFormat="1" applyFont="1" applyFill="1" applyBorder="1" applyAlignment="1">
      <alignment vertical="center"/>
    </xf>
    <xf numFmtId="0" fontId="6" fillId="11" borderId="18" xfId="0" applyFont="1" applyFill="1" applyBorder="1" applyAlignment="1">
      <alignment vertical="center"/>
    </xf>
    <xf numFmtId="165" fontId="6" fillId="0" borderId="14" xfId="1" applyNumberFormat="1" applyFont="1" applyFill="1" applyBorder="1" applyAlignment="1">
      <alignment vertical="center"/>
    </xf>
    <xf numFmtId="165" fontId="6" fillId="0" borderId="14" xfId="0" applyNumberFormat="1" applyFont="1" applyFill="1" applyBorder="1" applyAlignment="1">
      <alignment vertical="center"/>
    </xf>
    <xf numFmtId="168" fontId="2" fillId="0" borderId="13" xfId="2" applyNumberFormat="1" applyFont="1" applyBorder="1" applyAlignment="1">
      <alignment vertical="center"/>
    </xf>
    <xf numFmtId="10" fontId="14" fillId="0" borderId="13" xfId="2" applyNumberFormat="1" applyFont="1" applyFill="1" applyBorder="1" applyAlignment="1">
      <alignment vertical="center"/>
    </xf>
    <xf numFmtId="9" fontId="0" fillId="0" borderId="12" xfId="2" applyFont="1" applyFill="1" applyBorder="1" applyAlignment="1">
      <alignment vertical="center"/>
    </xf>
    <xf numFmtId="15" fontId="0" fillId="0" borderId="18" xfId="0" applyNumberFormat="1" applyFont="1" applyFill="1" applyBorder="1" applyAlignment="1">
      <alignment horizontal="left" vertical="center"/>
    </xf>
    <xf numFmtId="165" fontId="20" fillId="0" borderId="12" xfId="1" applyNumberFormat="1" applyFont="1" applyFill="1" applyBorder="1" applyAlignment="1">
      <alignment horizontal="left" vertical="center" indent="1"/>
    </xf>
    <xf numFmtId="43" fontId="0" fillId="0" borderId="18" xfId="0" applyNumberFormat="1" applyFont="1" applyFill="1" applyBorder="1" applyAlignment="1">
      <alignment horizontal="center" vertical="center"/>
    </xf>
    <xf numFmtId="15" fontId="7" fillId="0" borderId="18" xfId="0" applyNumberFormat="1" applyFont="1" applyFill="1" applyBorder="1" applyAlignment="1">
      <alignment horizontal="left" vertical="center"/>
    </xf>
    <xf numFmtId="43" fontId="8" fillId="0" borderId="18" xfId="0" applyNumberFormat="1" applyFont="1" applyFill="1" applyBorder="1" applyAlignment="1">
      <alignment horizontal="center" vertical="center"/>
    </xf>
    <xf numFmtId="0" fontId="0" fillId="0" borderId="0" xfId="0" applyFill="1"/>
    <xf numFmtId="0" fontId="0" fillId="9" borderId="0" xfId="0" applyFill="1"/>
    <xf numFmtId="43" fontId="8" fillId="0" borderId="16" xfId="1" applyFont="1" applyFill="1" applyBorder="1" applyAlignment="1">
      <alignment vertical="center"/>
    </xf>
    <xf numFmtId="43" fontId="8" fillId="0" borderId="20" xfId="1" applyFont="1" applyFill="1" applyBorder="1" applyAlignment="1">
      <alignment vertical="center"/>
    </xf>
    <xf numFmtId="43" fontId="8" fillId="0" borderId="21" xfId="1" applyFont="1" applyFill="1" applyBorder="1" applyAlignment="1">
      <alignment vertical="center"/>
    </xf>
    <xf numFmtId="43" fontId="0" fillId="4" borderId="0" xfId="0" applyNumberFormat="1" applyFill="1" applyBorder="1" applyAlignment="1">
      <alignment vertical="center"/>
    </xf>
    <xf numFmtId="43" fontId="6" fillId="0" borderId="0" xfId="1" applyFont="1" applyFill="1" applyBorder="1" applyAlignment="1">
      <alignment horizontal="right" vertical="center"/>
    </xf>
    <xf numFmtId="43" fontId="7" fillId="3" borderId="12" xfId="1" applyFont="1" applyFill="1" applyBorder="1" applyAlignment="1">
      <alignment vertical="center"/>
    </xf>
    <xf numFmtId="43" fontId="7" fillId="3" borderId="12" xfId="0" applyNumberFormat="1" applyFont="1" applyFill="1" applyBorder="1" applyAlignment="1">
      <alignment vertical="center"/>
    </xf>
    <xf numFmtId="43" fontId="0" fillId="0" borderId="0" xfId="0" applyNumberFormat="1" applyAlignment="1">
      <alignment horizontal="center" vertical="center"/>
    </xf>
    <xf numFmtId="165" fontId="0" fillId="0" borderId="13" xfId="1" applyNumberFormat="1" applyFont="1" applyFill="1" applyBorder="1" applyAlignment="1">
      <alignment horizontal="right" vertical="center"/>
    </xf>
    <xf numFmtId="14" fontId="0" fillId="0" borderId="13" xfId="0" applyNumberFormat="1" applyBorder="1" applyAlignment="1">
      <alignment horizontal="center" vertical="center"/>
    </xf>
    <xf numFmtId="165" fontId="0" fillId="4" borderId="13" xfId="1" applyNumberFormat="1" applyFont="1" applyFill="1" applyBorder="1" applyAlignment="1">
      <alignment horizontal="center" vertical="center"/>
    </xf>
    <xf numFmtId="15" fontId="0" fillId="0" borderId="0" xfId="0" applyNumberFormat="1" applyAlignment="1">
      <alignment vertical="center"/>
    </xf>
    <xf numFmtId="43" fontId="6" fillId="11" borderId="18" xfId="1" applyFont="1" applyFill="1" applyBorder="1" applyAlignment="1">
      <alignment vertical="center"/>
    </xf>
    <xf numFmtId="165" fontId="0" fillId="0" borderId="0" xfId="1" applyNumberFormat="1" applyFont="1" applyFill="1" applyAlignment="1">
      <alignment vertical="center"/>
    </xf>
    <xf numFmtId="165" fontId="18" fillId="4" borderId="13" xfId="1" applyNumberFormat="1" applyFont="1" applyFill="1" applyBorder="1" applyAlignment="1">
      <alignment vertical="center"/>
    </xf>
    <xf numFmtId="165" fontId="35" fillId="0" borderId="13" xfId="1" applyNumberFormat="1" applyFont="1" applyFill="1" applyBorder="1" applyAlignment="1">
      <alignment vertical="center"/>
    </xf>
    <xf numFmtId="0" fontId="2" fillId="0" borderId="0" xfId="0" applyFont="1" applyFill="1" applyAlignment="1">
      <alignment horizontal="center" vertical="center"/>
    </xf>
    <xf numFmtId="43" fontId="18" fillId="0" borderId="0" xfId="2" applyNumberFormat="1" applyFont="1" applyFill="1" applyBorder="1" applyAlignment="1">
      <alignment vertical="center"/>
    </xf>
    <xf numFmtId="15" fontId="0" fillId="0" borderId="18" xfId="0" applyNumberFormat="1" applyFill="1" applyBorder="1" applyAlignment="1">
      <alignment horizontal="left" vertical="center"/>
    </xf>
    <xf numFmtId="165" fontId="18" fillId="0" borderId="18" xfId="0" applyNumberFormat="1" applyFont="1" applyFill="1" applyBorder="1" applyAlignment="1">
      <alignment horizontal="center" vertical="center"/>
    </xf>
    <xf numFmtId="9" fontId="18" fillId="0" borderId="0" xfId="0" applyNumberFormat="1" applyFont="1" applyFill="1"/>
    <xf numFmtId="166" fontId="8" fillId="3" borderId="13" xfId="7" applyFont="1" applyFill="1" applyBorder="1" applyAlignment="1">
      <alignment horizontal="center" vertical="center"/>
    </xf>
    <xf numFmtId="165" fontId="0" fillId="0" borderId="13" xfId="1" applyNumberFormat="1" applyFont="1" applyFill="1" applyBorder="1" applyAlignment="1">
      <alignment horizontal="center" vertical="center"/>
    </xf>
    <xf numFmtId="10" fontId="6" fillId="4" borderId="13" xfId="0" applyNumberFormat="1" applyFont="1" applyFill="1" applyBorder="1" applyAlignment="1">
      <alignment horizontal="right" vertical="center"/>
    </xf>
    <xf numFmtId="0" fontId="8" fillId="0" borderId="13" xfId="13" applyFont="1" applyBorder="1" applyAlignment="1">
      <alignment horizontal="justify" vertical="center" wrapText="1"/>
    </xf>
    <xf numFmtId="43" fontId="8" fillId="0" borderId="13" xfId="1" applyFont="1" applyBorder="1" applyAlignment="1">
      <alignment horizontal="center" vertical="center" wrapText="1"/>
    </xf>
    <xf numFmtId="0" fontId="11" fillId="0" borderId="12" xfId="0" applyFont="1" applyFill="1" applyBorder="1" applyAlignment="1">
      <alignment vertical="center"/>
    </xf>
    <xf numFmtId="168" fontId="13" fillId="0" borderId="0" xfId="2" applyNumberFormat="1" applyFont="1" applyFill="1" applyBorder="1" applyAlignment="1">
      <alignment vertical="center"/>
    </xf>
    <xf numFmtId="0" fontId="11" fillId="0" borderId="0" xfId="0" applyFont="1" applyFill="1" applyAlignment="1">
      <alignment vertical="center"/>
    </xf>
    <xf numFmtId="0" fontId="8" fillId="0" borderId="13" xfId="8" applyFont="1" applyFill="1" applyBorder="1" applyAlignment="1">
      <alignment vertical="center"/>
    </xf>
    <xf numFmtId="0" fontId="11" fillId="0" borderId="13" xfId="0" applyFont="1" applyFill="1" applyBorder="1" applyAlignment="1">
      <alignment vertical="center"/>
    </xf>
    <xf numFmtId="0" fontId="6" fillId="0" borderId="13" xfId="8" applyFont="1" applyFill="1" applyBorder="1" applyAlignment="1">
      <alignment vertical="center"/>
    </xf>
    <xf numFmtId="43" fontId="8" fillId="0" borderId="13" xfId="1" applyFont="1" applyFill="1" applyBorder="1" applyAlignment="1">
      <alignment vertical="center"/>
    </xf>
    <xf numFmtId="0" fontId="0" fillId="0" borderId="0" xfId="0" applyFont="1" applyFill="1"/>
    <xf numFmtId="43" fontId="11" fillId="0" borderId="0" xfId="0" applyNumberFormat="1" applyFont="1" applyFill="1" applyAlignment="1">
      <alignment vertical="center"/>
    </xf>
    <xf numFmtId="43" fontId="30" fillId="0" borderId="12" xfId="1" applyFont="1" applyFill="1" applyBorder="1" applyAlignment="1">
      <alignment vertical="center"/>
    </xf>
    <xf numFmtId="43" fontId="35" fillId="0" borderId="12" xfId="1" applyFont="1" applyFill="1" applyBorder="1" applyAlignment="1">
      <alignment vertical="center"/>
    </xf>
    <xf numFmtId="168" fontId="0" fillId="0" borderId="12" xfId="2" applyNumberFormat="1" applyFont="1" applyFill="1" applyBorder="1" applyAlignment="1">
      <alignment vertical="center"/>
    </xf>
    <xf numFmtId="168" fontId="6" fillId="0" borderId="12" xfId="2" applyNumberFormat="1" applyFont="1" applyFill="1" applyBorder="1" applyAlignment="1">
      <alignment vertical="center"/>
    </xf>
    <xf numFmtId="9" fontId="18" fillId="0" borderId="18" xfId="2" applyFont="1" applyFill="1" applyBorder="1" applyAlignment="1">
      <alignment horizontal="right" vertical="center"/>
    </xf>
    <xf numFmtId="168" fontId="6" fillId="0" borderId="18" xfId="2" applyNumberFormat="1" applyFont="1" applyFill="1" applyBorder="1" applyAlignment="1">
      <alignment horizontal="right" vertical="center"/>
    </xf>
    <xf numFmtId="165" fontId="6" fillId="0" borderId="18" xfId="1" applyNumberFormat="1" applyFont="1" applyFill="1" applyBorder="1" applyAlignment="1">
      <alignment horizontal="right" vertical="center"/>
    </xf>
    <xf numFmtId="43" fontId="21" fillId="0" borderId="12" xfId="0" applyNumberFormat="1" applyFont="1" applyFill="1" applyBorder="1" applyAlignment="1">
      <alignment vertical="center"/>
    </xf>
    <xf numFmtId="43" fontId="18" fillId="0" borderId="18" xfId="0" applyNumberFormat="1" applyFont="1" applyFill="1" applyBorder="1" applyAlignment="1">
      <alignment horizontal="center" vertical="center"/>
    </xf>
    <xf numFmtId="15" fontId="7" fillId="0" borderId="0" xfId="0" applyNumberFormat="1" applyFont="1" applyFill="1" applyBorder="1" applyAlignment="1">
      <alignment horizontal="left" vertical="center"/>
    </xf>
    <xf numFmtId="0" fontId="6" fillId="0" borderId="12" xfId="0" quotePrefix="1" applyFont="1" applyFill="1" applyBorder="1" applyAlignment="1">
      <alignment horizontal="left" vertical="center" indent="1"/>
    </xf>
    <xf numFmtId="0" fontId="8" fillId="9" borderId="0" xfId="0" applyFont="1" applyFill="1" applyBorder="1" applyAlignment="1">
      <alignment vertical="center"/>
    </xf>
    <xf numFmtId="0" fontId="8" fillId="12" borderId="12" xfId="0" applyFont="1" applyFill="1" applyBorder="1" applyAlignment="1">
      <alignment vertical="center"/>
    </xf>
    <xf numFmtId="43" fontId="18" fillId="3" borderId="12" xfId="0" applyNumberFormat="1" applyFont="1" applyFill="1" applyBorder="1" applyAlignment="1">
      <alignment vertical="center"/>
    </xf>
    <xf numFmtId="43" fontId="35" fillId="0" borderId="12" xfId="0" applyNumberFormat="1" applyFont="1" applyFill="1" applyBorder="1" applyAlignment="1">
      <alignment vertical="center"/>
    </xf>
    <xf numFmtId="0" fontId="0" fillId="0" borderId="0" xfId="0"/>
    <xf numFmtId="0" fontId="8" fillId="7" borderId="22" xfId="0" applyFont="1" applyFill="1" applyBorder="1" applyAlignment="1">
      <alignment vertical="center"/>
    </xf>
    <xf numFmtId="0" fontId="8" fillId="7" borderId="22" xfId="0" applyFont="1" applyFill="1" applyBorder="1" applyAlignment="1">
      <alignment horizontal="center" vertical="center"/>
    </xf>
    <xf numFmtId="15" fontId="0" fillId="0" borderId="22" xfId="0" applyNumberFormat="1" applyFont="1" applyBorder="1" applyAlignment="1">
      <alignment vertical="center"/>
    </xf>
    <xf numFmtId="17" fontId="0" fillId="0" borderId="22" xfId="0" applyNumberFormat="1" applyFont="1" applyBorder="1" applyAlignment="1">
      <alignment vertical="center"/>
    </xf>
    <xf numFmtId="43" fontId="0" fillId="0" borderId="22" xfId="22" applyFont="1" applyBorder="1" applyAlignment="1">
      <alignment vertical="center"/>
    </xf>
    <xf numFmtId="165" fontId="0" fillId="0" borderId="22" xfId="22" applyNumberFormat="1" applyFont="1" applyBorder="1" applyAlignment="1">
      <alignment vertical="center"/>
    </xf>
    <xf numFmtId="165" fontId="0" fillId="0" borderId="22" xfId="0" applyNumberFormat="1" applyFont="1" applyBorder="1" applyAlignment="1">
      <alignment vertical="center"/>
    </xf>
    <xf numFmtId="43" fontId="0" fillId="0" borderId="22" xfId="1" applyFont="1" applyBorder="1" applyAlignment="1">
      <alignment vertical="center"/>
    </xf>
    <xf numFmtId="9" fontId="7" fillId="0" borderId="22" xfId="2" applyFont="1" applyBorder="1" applyAlignment="1">
      <alignment vertical="center"/>
    </xf>
    <xf numFmtId="165" fontId="6" fillId="0" borderId="18" xfId="0" applyNumberFormat="1" applyFont="1" applyFill="1" applyBorder="1" applyAlignment="1">
      <alignment horizontal="center" vertical="center"/>
    </xf>
    <xf numFmtId="15" fontId="0" fillId="0" borderId="0" xfId="0" applyNumberFormat="1" applyFont="1" applyFill="1" applyBorder="1" applyAlignment="1">
      <alignment horizontal="left" vertical="center"/>
    </xf>
    <xf numFmtId="10" fontId="6" fillId="0" borderId="12" xfId="1" applyNumberFormat="1" applyFont="1" applyFill="1" applyBorder="1" applyAlignment="1">
      <alignment vertical="center"/>
    </xf>
    <xf numFmtId="43" fontId="18" fillId="4" borderId="13" xfId="1" applyFont="1" applyFill="1" applyBorder="1" applyAlignment="1">
      <alignment vertical="center"/>
    </xf>
    <xf numFmtId="169" fontId="6" fillId="0" borderId="13" xfId="0" applyNumberFormat="1" applyFont="1" applyBorder="1" applyAlignment="1">
      <alignment vertical="center"/>
    </xf>
    <xf numFmtId="166" fontId="8" fillId="0" borderId="13" xfId="7" applyFont="1" applyFill="1" applyBorder="1" applyAlignment="1">
      <alignment horizontal="justify" vertical="center" wrapText="1"/>
    </xf>
    <xf numFmtId="166" fontId="8" fillId="0" borderId="13" xfId="7" applyFont="1" applyFill="1" applyBorder="1" applyAlignment="1">
      <alignment horizontal="center" vertical="center" wrapText="1"/>
    </xf>
    <xf numFmtId="166" fontId="8" fillId="0" borderId="13" xfId="7" applyFont="1" applyFill="1" applyBorder="1" applyAlignment="1">
      <alignment horizontal="center" vertical="center"/>
    </xf>
    <xf numFmtId="43" fontId="18" fillId="0" borderId="13" xfId="1" applyFont="1" applyBorder="1" applyAlignment="1">
      <alignment horizontal="center" vertical="center" wrapText="1"/>
    </xf>
    <xf numFmtId="43" fontId="18" fillId="0" borderId="13" xfId="1" applyFont="1" applyFill="1" applyBorder="1" applyAlignment="1">
      <alignment horizontal="center" vertical="center"/>
    </xf>
    <xf numFmtId="166" fontId="21" fillId="0" borderId="13" xfId="7" applyFont="1" applyFill="1" applyBorder="1" applyAlignment="1">
      <alignment horizontal="center" vertical="center" wrapText="1"/>
    </xf>
    <xf numFmtId="43" fontId="2" fillId="0" borderId="0" xfId="1" applyFont="1" applyFill="1" applyBorder="1" applyAlignment="1">
      <alignment vertical="center"/>
    </xf>
    <xf numFmtId="15" fontId="2" fillId="7" borderId="13" xfId="0" applyNumberFormat="1" applyFont="1" applyFill="1" applyBorder="1" applyAlignment="1">
      <alignment horizontal="center" vertical="center" wrapText="1"/>
    </xf>
    <xf numFmtId="165" fontId="0" fillId="0" borderId="0" xfId="1" applyNumberFormat="1" applyFont="1" applyAlignment="1">
      <alignment vertical="center"/>
    </xf>
    <xf numFmtId="0" fontId="7" fillId="0" borderId="13" xfId="0" quotePrefix="1" applyFont="1" applyBorder="1" applyAlignment="1">
      <alignment vertical="center"/>
    </xf>
    <xf numFmtId="10" fontId="7" fillId="0" borderId="13" xfId="2" applyNumberFormat="1" applyFont="1" applyBorder="1" applyAlignment="1">
      <alignment vertical="center"/>
    </xf>
    <xf numFmtId="165" fontId="7" fillId="0" borderId="13" xfId="0" applyNumberFormat="1" applyFont="1" applyBorder="1" applyAlignment="1">
      <alignment vertical="center"/>
    </xf>
    <xf numFmtId="10" fontId="0" fillId="0" borderId="0" xfId="2" applyNumberFormat="1" applyFont="1" applyAlignment="1">
      <alignment vertical="center"/>
    </xf>
    <xf numFmtId="165" fontId="6" fillId="0" borderId="0" xfId="1" applyNumberFormat="1" applyFont="1" applyAlignment="1">
      <alignment vertical="center"/>
    </xf>
    <xf numFmtId="9" fontId="6" fillId="0" borderId="0" xfId="2" applyFont="1" applyAlignment="1">
      <alignment vertical="center"/>
    </xf>
    <xf numFmtId="0" fontId="7" fillId="4" borderId="0" xfId="0" applyFont="1" applyFill="1" applyAlignment="1">
      <alignment vertical="center"/>
    </xf>
    <xf numFmtId="0" fontId="2" fillId="13" borderId="13" xfId="0" applyFont="1" applyFill="1" applyBorder="1" applyAlignment="1">
      <alignment vertical="center"/>
    </xf>
    <xf numFmtId="15" fontId="2" fillId="13" borderId="13" xfId="0" applyNumberFormat="1" applyFont="1" applyFill="1" applyBorder="1" applyAlignment="1">
      <alignment horizontal="center" vertical="center"/>
    </xf>
    <xf numFmtId="9" fontId="18" fillId="0" borderId="13" xfId="1" applyNumberFormat="1" applyFont="1" applyBorder="1" applyAlignment="1">
      <alignment vertical="center"/>
    </xf>
    <xf numFmtId="9" fontId="0" fillId="0" borderId="0" xfId="0" applyNumberFormat="1" applyAlignment="1">
      <alignment vertical="center"/>
    </xf>
    <xf numFmtId="0" fontId="2" fillId="13" borderId="23" xfId="0" applyFont="1" applyFill="1" applyBorder="1" applyAlignment="1">
      <alignment vertical="center"/>
    </xf>
    <xf numFmtId="15" fontId="2" fillId="13" borderId="23" xfId="0" applyNumberFormat="1" applyFont="1" applyFill="1" applyBorder="1" applyAlignment="1">
      <alignment horizontal="center" vertical="center"/>
    </xf>
    <xf numFmtId="9" fontId="18" fillId="0" borderId="0" xfId="1" applyNumberFormat="1" applyFont="1" applyBorder="1" applyAlignment="1">
      <alignment vertical="center"/>
    </xf>
    <xf numFmtId="165" fontId="2" fillId="7" borderId="13" xfId="1" applyNumberFormat="1" applyFont="1" applyFill="1" applyBorder="1" applyAlignment="1">
      <alignment horizontal="center" vertical="center"/>
    </xf>
    <xf numFmtId="10" fontId="18" fillId="0" borderId="13" xfId="1" applyNumberFormat="1" applyFont="1" applyBorder="1" applyAlignment="1">
      <alignment vertical="center"/>
    </xf>
    <xf numFmtId="10" fontId="6" fillId="0" borderId="13" xfId="1" applyNumberFormat="1" applyFont="1" applyBorder="1" applyAlignment="1">
      <alignment vertical="center"/>
    </xf>
    <xf numFmtId="0" fontId="0" fillId="0" borderId="20" xfId="0" applyFill="1" applyBorder="1" applyAlignment="1">
      <alignment horizontal="left" vertical="center"/>
    </xf>
    <xf numFmtId="0" fontId="7" fillId="0" borderId="20" xfId="0" applyFont="1" applyFill="1" applyBorder="1" applyAlignment="1">
      <alignment horizontal="left" vertical="center"/>
    </xf>
    <xf numFmtId="0" fontId="18" fillId="0" borderId="20" xfId="0" applyFont="1" applyFill="1" applyBorder="1" applyAlignment="1">
      <alignment vertical="center"/>
    </xf>
    <xf numFmtId="0" fontId="0" fillId="0" borderId="20" xfId="0" applyFill="1" applyBorder="1" applyAlignment="1">
      <alignment vertical="center"/>
    </xf>
    <xf numFmtId="165" fontId="6" fillId="5" borderId="13" xfId="1" applyNumberFormat="1" applyFont="1" applyFill="1" applyBorder="1" applyAlignment="1">
      <alignment horizontal="justify" vertical="center"/>
    </xf>
    <xf numFmtId="4" fontId="0" fillId="0" borderId="12" xfId="2" applyNumberFormat="1" applyFont="1" applyBorder="1" applyAlignment="1">
      <alignment vertical="center"/>
    </xf>
    <xf numFmtId="9" fontId="0" fillId="0" borderId="0" xfId="2" applyFont="1"/>
    <xf numFmtId="168" fontId="0" fillId="0" borderId="0" xfId="2" applyNumberFormat="1" applyFont="1"/>
    <xf numFmtId="9" fontId="0" fillId="8" borderId="12" xfId="2" applyFont="1" applyFill="1" applyBorder="1" applyAlignment="1">
      <alignment vertical="center"/>
    </xf>
    <xf numFmtId="10" fontId="6" fillId="0" borderId="0" xfId="2" applyNumberFormat="1" applyFont="1" applyAlignment="1">
      <alignment vertical="center"/>
    </xf>
    <xf numFmtId="0" fontId="2" fillId="0" borderId="12" xfId="0" applyFont="1" applyBorder="1" applyAlignment="1">
      <alignment horizontal="left" vertical="center" indent="2"/>
    </xf>
    <xf numFmtId="43" fontId="1" fillId="0" borderId="12" xfId="1" applyFont="1" applyBorder="1" applyAlignment="1">
      <alignment vertical="center"/>
    </xf>
    <xf numFmtId="0" fontId="0" fillId="0" borderId="12" xfId="0" applyFont="1" applyBorder="1" applyAlignment="1">
      <alignment horizontal="left" vertical="center" indent="3"/>
    </xf>
    <xf numFmtId="10" fontId="6" fillId="0" borderId="12" xfId="2" applyNumberFormat="1" applyFont="1" applyFill="1" applyBorder="1" applyAlignment="1">
      <alignment vertical="center"/>
    </xf>
    <xf numFmtId="0" fontId="0" fillId="0" borderId="1" xfId="0" applyBorder="1"/>
    <xf numFmtId="43" fontId="0" fillId="0" borderId="13" xfId="0" applyNumberFormat="1" applyBorder="1"/>
    <xf numFmtId="166" fontId="38" fillId="0" borderId="0" xfId="3" applyFont="1" applyProtection="1">
      <protection hidden="1"/>
    </xf>
    <xf numFmtId="166" fontId="39" fillId="0" borderId="0" xfId="3" applyFont="1" applyProtection="1">
      <protection hidden="1"/>
    </xf>
    <xf numFmtId="166" fontId="38" fillId="0" borderId="0" xfId="3" applyFont="1" applyAlignment="1" applyProtection="1">
      <alignment horizontal="left"/>
      <protection hidden="1"/>
    </xf>
    <xf numFmtId="166" fontId="39" fillId="0" borderId="0" xfId="3" applyFont="1" applyAlignment="1" applyProtection="1">
      <alignment horizontal="left"/>
      <protection hidden="1"/>
    </xf>
    <xf numFmtId="166" fontId="38" fillId="0" borderId="0" xfId="3" applyFont="1" applyAlignment="1" applyProtection="1">
      <alignment horizontal="right"/>
      <protection hidden="1"/>
    </xf>
    <xf numFmtId="10" fontId="39" fillId="0" borderId="30" xfId="3" applyNumberFormat="1" applyFont="1" applyBorder="1" applyAlignment="1" applyProtection="1">
      <alignment horizontal="right"/>
      <protection hidden="1"/>
    </xf>
    <xf numFmtId="10" fontId="39" fillId="0" borderId="31" xfId="3" applyNumberFormat="1" applyFont="1" applyBorder="1" applyAlignment="1" applyProtection="1">
      <alignment horizontal="right"/>
      <protection hidden="1"/>
    </xf>
    <xf numFmtId="166" fontId="39" fillId="0" borderId="32" xfId="3" applyFont="1" applyBorder="1" applyAlignment="1" applyProtection="1">
      <alignment horizontal="left"/>
      <protection hidden="1"/>
    </xf>
    <xf numFmtId="166" fontId="39" fillId="0" borderId="33" xfId="3" applyFont="1" applyBorder="1" applyAlignment="1" applyProtection="1">
      <alignment horizontal="left"/>
      <protection hidden="1"/>
    </xf>
    <xf numFmtId="166" fontId="38" fillId="0" borderId="34" xfId="3" applyFont="1" applyBorder="1" applyAlignment="1" applyProtection="1">
      <alignment horizontal="right"/>
      <protection hidden="1"/>
    </xf>
    <xf numFmtId="10" fontId="39" fillId="0" borderId="35" xfId="3" applyNumberFormat="1" applyFont="1" applyBorder="1" applyAlignment="1" applyProtection="1">
      <alignment horizontal="right"/>
      <protection hidden="1"/>
    </xf>
    <xf numFmtId="10" fontId="39" fillId="0" borderId="1" xfId="3" applyNumberFormat="1" applyFont="1" applyBorder="1" applyAlignment="1" applyProtection="1">
      <alignment horizontal="right"/>
      <protection hidden="1"/>
    </xf>
    <xf numFmtId="166" fontId="39" fillId="0" borderId="36" xfId="3" applyFont="1" applyBorder="1" applyAlignment="1" applyProtection="1">
      <alignment horizontal="left"/>
      <protection hidden="1"/>
    </xf>
    <xf numFmtId="166" fontId="39" fillId="0" borderId="26" xfId="3" applyFont="1" applyBorder="1" applyAlignment="1" applyProtection="1">
      <alignment horizontal="left"/>
      <protection hidden="1"/>
    </xf>
    <xf numFmtId="166" fontId="38" fillId="0" borderId="37" xfId="3" applyFont="1" applyBorder="1" applyAlignment="1" applyProtection="1">
      <alignment horizontal="right"/>
      <protection hidden="1"/>
    </xf>
    <xf numFmtId="10" fontId="39" fillId="0" borderId="38" xfId="3" applyNumberFormat="1" applyFont="1" applyBorder="1" applyAlignment="1" applyProtection="1">
      <alignment horizontal="right"/>
      <protection hidden="1"/>
    </xf>
    <xf numFmtId="10" fontId="39" fillId="0" borderId="39" xfId="3" applyNumberFormat="1" applyFont="1" applyBorder="1" applyAlignment="1" applyProtection="1">
      <alignment horizontal="right"/>
      <protection hidden="1"/>
    </xf>
    <xf numFmtId="174" fontId="39" fillId="0" borderId="35" xfId="3" applyNumberFormat="1" applyFont="1" applyBorder="1" applyAlignment="1" applyProtection="1">
      <alignment horizontal="right"/>
      <protection hidden="1"/>
    </xf>
    <xf numFmtId="174" fontId="39" fillId="0" borderId="1" xfId="3" applyNumberFormat="1" applyFont="1" applyBorder="1" applyAlignment="1" applyProtection="1">
      <alignment horizontal="right"/>
      <protection hidden="1"/>
    </xf>
    <xf numFmtId="10" fontId="39" fillId="0" borderId="35" xfId="3" quotePrefix="1" applyNumberFormat="1" applyFont="1" applyBorder="1" applyAlignment="1" applyProtection="1">
      <alignment horizontal="right"/>
      <protection hidden="1"/>
    </xf>
    <xf numFmtId="10" fontId="39" fillId="0" borderId="1" xfId="3" quotePrefix="1" applyNumberFormat="1" applyFont="1" applyBorder="1" applyAlignment="1" applyProtection="1">
      <alignment horizontal="right"/>
      <protection hidden="1"/>
    </xf>
    <xf numFmtId="166" fontId="39" fillId="0" borderId="35" xfId="3" applyFont="1" applyBorder="1" applyAlignment="1" applyProtection="1">
      <alignment horizontal="right"/>
      <protection hidden="1"/>
    </xf>
    <xf numFmtId="166" fontId="39" fillId="0" borderId="1" xfId="3" applyFont="1" applyBorder="1" applyAlignment="1" applyProtection="1">
      <alignment horizontal="right"/>
      <protection hidden="1"/>
    </xf>
    <xf numFmtId="2" fontId="39" fillId="0" borderId="35" xfId="3" applyNumberFormat="1" applyFont="1" applyBorder="1" applyAlignment="1" applyProtection="1">
      <alignment horizontal="right"/>
      <protection hidden="1"/>
    </xf>
    <xf numFmtId="2" fontId="39" fillId="0" borderId="1" xfId="3" applyNumberFormat="1" applyFont="1" applyBorder="1" applyAlignment="1" applyProtection="1">
      <alignment horizontal="right"/>
      <protection hidden="1"/>
    </xf>
    <xf numFmtId="175" fontId="39" fillId="0" borderId="35" xfId="3" applyNumberFormat="1" applyFont="1" applyBorder="1" applyAlignment="1" applyProtection="1">
      <alignment horizontal="right"/>
      <protection hidden="1"/>
    </xf>
    <xf numFmtId="175" fontId="39" fillId="0" borderId="1" xfId="3" applyNumberFormat="1" applyFont="1" applyBorder="1" applyAlignment="1" applyProtection="1">
      <alignment horizontal="right"/>
      <protection hidden="1"/>
    </xf>
    <xf numFmtId="2" fontId="39" fillId="0" borderId="40" xfId="3" applyNumberFormat="1" applyFont="1" applyBorder="1" applyAlignment="1" applyProtection="1">
      <alignment horizontal="right"/>
      <protection hidden="1"/>
    </xf>
    <xf numFmtId="2" fontId="39" fillId="0" borderId="3" xfId="3" applyNumberFormat="1" applyFont="1" applyBorder="1" applyAlignment="1" applyProtection="1">
      <alignment horizontal="right"/>
      <protection hidden="1"/>
    </xf>
    <xf numFmtId="0" fontId="39" fillId="0" borderId="30" xfId="3" applyNumberFormat="1" applyFont="1" applyBorder="1" applyProtection="1">
      <protection hidden="1"/>
    </xf>
    <xf numFmtId="0" fontId="39" fillId="0" borderId="31" xfId="3" applyNumberFormat="1" applyFont="1" applyBorder="1" applyProtection="1">
      <protection hidden="1"/>
    </xf>
    <xf numFmtId="2" fontId="39" fillId="0" borderId="40" xfId="3" applyNumberFormat="1" applyFont="1" applyBorder="1" applyProtection="1">
      <protection hidden="1"/>
    </xf>
    <xf numFmtId="2" fontId="39" fillId="0" borderId="3" xfId="3" applyNumberFormat="1" applyFont="1" applyBorder="1" applyProtection="1">
      <protection hidden="1"/>
    </xf>
    <xf numFmtId="166" fontId="39" fillId="0" borderId="43" xfId="3" applyFont="1" applyBorder="1" applyProtection="1">
      <protection hidden="1"/>
    </xf>
    <xf numFmtId="166" fontId="39" fillId="0" borderId="44" xfId="3" applyFont="1" applyBorder="1" applyProtection="1">
      <protection hidden="1"/>
    </xf>
    <xf numFmtId="166" fontId="40" fillId="0" borderId="44" xfId="3" applyFont="1" applyBorder="1" applyAlignment="1" applyProtection="1">
      <alignment horizontal="left"/>
      <protection hidden="1"/>
    </xf>
    <xf numFmtId="166" fontId="40" fillId="0" borderId="45" xfId="3" applyFont="1" applyBorder="1" applyAlignment="1" applyProtection="1">
      <alignment horizontal="left"/>
      <protection hidden="1"/>
    </xf>
    <xf numFmtId="166" fontId="40" fillId="0" borderId="46" xfId="3" applyFont="1" applyBorder="1" applyAlignment="1" applyProtection="1">
      <alignment horizontal="left"/>
      <protection hidden="1"/>
    </xf>
    <xf numFmtId="166" fontId="40" fillId="0" borderId="47" xfId="3" applyFont="1" applyBorder="1" applyAlignment="1" applyProtection="1">
      <alignment horizontal="right"/>
      <protection hidden="1"/>
    </xf>
    <xf numFmtId="166" fontId="39" fillId="0" borderId="0" xfId="3" applyFont="1" applyAlignment="1" applyProtection="1">
      <alignment horizontal="right"/>
      <protection hidden="1"/>
    </xf>
    <xf numFmtId="166" fontId="39" fillId="0" borderId="0" xfId="3" applyFont="1" applyAlignment="1" applyProtection="1">
      <alignment horizontal="left" wrapText="1"/>
      <protection hidden="1"/>
    </xf>
    <xf numFmtId="1" fontId="39" fillId="0" borderId="0" xfId="3" applyNumberFormat="1" applyFont="1" applyAlignment="1" applyProtection="1">
      <alignment horizontal="right"/>
      <protection hidden="1"/>
    </xf>
    <xf numFmtId="10" fontId="39" fillId="0" borderId="30" xfId="3" quotePrefix="1" applyNumberFormat="1" applyFont="1" applyBorder="1" applyProtection="1">
      <protection hidden="1"/>
    </xf>
    <xf numFmtId="10" fontId="39" fillId="0" borderId="31" xfId="3" quotePrefix="1" applyNumberFormat="1" applyFont="1" applyBorder="1" applyProtection="1">
      <protection hidden="1"/>
    </xf>
    <xf numFmtId="166" fontId="40" fillId="0" borderId="32" xfId="3" applyFont="1" applyBorder="1" applyAlignment="1" applyProtection="1">
      <alignment horizontal="left" wrapText="1"/>
      <protection hidden="1"/>
    </xf>
    <xf numFmtId="1" fontId="39" fillId="0" borderId="34" xfId="3" applyNumberFormat="1" applyFont="1" applyBorder="1" applyAlignment="1" applyProtection="1">
      <alignment horizontal="right"/>
      <protection hidden="1"/>
    </xf>
    <xf numFmtId="10" fontId="39" fillId="0" borderId="35" xfId="3" applyNumberFormat="1" applyFont="1" applyBorder="1" applyProtection="1">
      <protection hidden="1"/>
    </xf>
    <xf numFmtId="10" fontId="39" fillId="0" borderId="1" xfId="3" applyNumberFormat="1" applyFont="1" applyBorder="1" applyProtection="1">
      <protection hidden="1"/>
    </xf>
    <xf numFmtId="166" fontId="38" fillId="0" borderId="36" xfId="3" applyFont="1" applyBorder="1" applyAlignment="1" applyProtection="1">
      <alignment horizontal="left"/>
      <protection hidden="1"/>
    </xf>
    <xf numFmtId="1" fontId="39" fillId="0" borderId="37" xfId="3" applyNumberFormat="1" applyFont="1" applyBorder="1" applyAlignment="1" applyProtection="1">
      <alignment horizontal="right"/>
      <protection hidden="1"/>
    </xf>
    <xf numFmtId="1" fontId="39" fillId="0" borderId="35" xfId="3" quotePrefix="1" applyNumberFormat="1" applyFont="1" applyBorder="1" applyProtection="1">
      <protection hidden="1"/>
    </xf>
    <xf numFmtId="1" fontId="39" fillId="0" borderId="1" xfId="3" quotePrefix="1" applyNumberFormat="1" applyFont="1" applyBorder="1" applyProtection="1">
      <protection hidden="1"/>
    </xf>
    <xf numFmtId="166" fontId="40" fillId="0" borderId="36" xfId="3" applyFont="1" applyBorder="1" applyAlignment="1" applyProtection="1">
      <alignment horizontal="left"/>
      <protection hidden="1"/>
    </xf>
    <xf numFmtId="1" fontId="39" fillId="0" borderId="37" xfId="3" applyNumberFormat="1" applyFont="1" applyBorder="1" applyProtection="1">
      <protection hidden="1"/>
    </xf>
    <xf numFmtId="10" fontId="39" fillId="0" borderId="35" xfId="3" quotePrefix="1" applyNumberFormat="1" applyFont="1" applyBorder="1" applyProtection="1">
      <protection hidden="1"/>
    </xf>
    <xf numFmtId="10" fontId="39" fillId="0" borderId="1" xfId="3" quotePrefix="1" applyNumberFormat="1" applyFont="1" applyBorder="1" applyProtection="1">
      <protection hidden="1"/>
    </xf>
    <xf numFmtId="166" fontId="39" fillId="0" borderId="35" xfId="3" applyFont="1" applyBorder="1" applyProtection="1">
      <protection hidden="1"/>
    </xf>
    <xf numFmtId="166" fontId="39" fillId="0" borderId="1" xfId="3" applyFont="1" applyBorder="1" applyProtection="1">
      <protection hidden="1"/>
    </xf>
    <xf numFmtId="166" fontId="40" fillId="0" borderId="26" xfId="3" applyFont="1" applyBorder="1" applyAlignment="1" applyProtection="1">
      <alignment horizontal="left"/>
      <protection hidden="1"/>
    </xf>
    <xf numFmtId="2" fontId="39" fillId="0" borderId="35" xfId="3" applyNumberFormat="1" applyFont="1" applyBorder="1" applyProtection="1">
      <protection hidden="1"/>
    </xf>
    <xf numFmtId="2" fontId="39" fillId="0" borderId="1" xfId="3" applyNumberFormat="1" applyFont="1" applyBorder="1" applyProtection="1">
      <protection hidden="1"/>
    </xf>
    <xf numFmtId="2" fontId="39" fillId="0" borderId="35" xfId="3" quotePrefix="1" applyNumberFormat="1" applyFont="1" applyBorder="1" applyProtection="1">
      <protection hidden="1"/>
    </xf>
    <xf numFmtId="2" fontId="39" fillId="0" borderId="1" xfId="3" quotePrefix="1" applyNumberFormat="1" applyFont="1" applyBorder="1" applyProtection="1">
      <protection hidden="1"/>
    </xf>
    <xf numFmtId="9" fontId="39" fillId="0" borderId="35" xfId="3" applyNumberFormat="1" applyFont="1" applyBorder="1" applyProtection="1">
      <protection hidden="1"/>
    </xf>
    <xf numFmtId="9" fontId="39" fillId="0" borderId="1" xfId="3" applyNumberFormat="1" applyFont="1" applyBorder="1" applyProtection="1">
      <protection hidden="1"/>
    </xf>
    <xf numFmtId="166" fontId="39" fillId="0" borderId="42" xfId="3" applyFont="1" applyBorder="1" applyAlignment="1" applyProtection="1">
      <alignment horizontal="left"/>
      <protection hidden="1"/>
    </xf>
    <xf numFmtId="166" fontId="39" fillId="0" borderId="28" xfId="3" applyFont="1" applyBorder="1" applyAlignment="1" applyProtection="1">
      <alignment horizontal="left"/>
      <protection hidden="1"/>
    </xf>
    <xf numFmtId="166" fontId="39" fillId="0" borderId="48" xfId="3" applyFont="1" applyBorder="1" applyProtection="1">
      <protection hidden="1"/>
    </xf>
    <xf numFmtId="166" fontId="39" fillId="0" borderId="49" xfId="3" applyFont="1" applyBorder="1" applyProtection="1">
      <protection hidden="1"/>
    </xf>
    <xf numFmtId="166" fontId="39" fillId="0" borderId="45" xfId="3" applyFont="1" applyBorder="1" applyAlignment="1" applyProtection="1">
      <alignment horizontal="left"/>
      <protection hidden="1"/>
    </xf>
    <xf numFmtId="166" fontId="39" fillId="0" borderId="47" xfId="3" applyFont="1" applyBorder="1" applyProtection="1">
      <protection hidden="1"/>
    </xf>
    <xf numFmtId="0" fontId="39" fillId="0" borderId="50" xfId="3" applyNumberFormat="1" applyFont="1" applyBorder="1" applyProtection="1">
      <protection hidden="1"/>
    </xf>
    <xf numFmtId="0" fontId="39" fillId="0" borderId="51" xfId="3" applyNumberFormat="1" applyFont="1" applyBorder="1" applyProtection="1">
      <protection hidden="1"/>
    </xf>
    <xf numFmtId="166" fontId="39" fillId="0" borderId="41" xfId="3" applyFont="1" applyBorder="1" applyAlignment="1" applyProtection="1">
      <alignment horizontal="left"/>
      <protection hidden="1"/>
    </xf>
    <xf numFmtId="166" fontId="40" fillId="0" borderId="41" xfId="3" applyFont="1" applyBorder="1" applyAlignment="1" applyProtection="1">
      <alignment horizontal="left"/>
      <protection hidden="1"/>
    </xf>
    <xf numFmtId="166" fontId="39" fillId="0" borderId="34" xfId="3" applyFont="1" applyBorder="1" applyProtection="1">
      <protection hidden="1"/>
    </xf>
    <xf numFmtId="2" fontId="39" fillId="0" borderId="48" xfId="3" applyNumberFormat="1" applyFont="1" applyBorder="1" applyProtection="1">
      <protection hidden="1"/>
    </xf>
    <xf numFmtId="2" fontId="39" fillId="0" borderId="46" xfId="3" applyNumberFormat="1" applyFont="1" applyBorder="1" applyProtection="1">
      <protection hidden="1"/>
    </xf>
    <xf numFmtId="2" fontId="39" fillId="0" borderId="44" xfId="3" applyNumberFormat="1" applyFont="1" applyBorder="1" applyProtection="1">
      <protection hidden="1"/>
    </xf>
    <xf numFmtId="2" fontId="39" fillId="0" borderId="49" xfId="3" applyNumberFormat="1" applyFont="1" applyBorder="1" applyProtection="1">
      <protection hidden="1"/>
    </xf>
    <xf numFmtId="166" fontId="39" fillId="0" borderId="52" xfId="3" applyFont="1" applyBorder="1" applyAlignment="1" applyProtection="1">
      <alignment horizontal="left"/>
      <protection hidden="1"/>
    </xf>
    <xf numFmtId="166" fontId="40" fillId="0" borderId="52" xfId="3" applyFont="1" applyBorder="1" applyAlignment="1" applyProtection="1">
      <alignment horizontal="left"/>
      <protection hidden="1"/>
    </xf>
    <xf numFmtId="166" fontId="39" fillId="0" borderId="53" xfId="3" applyFont="1" applyBorder="1" applyProtection="1">
      <protection hidden="1"/>
    </xf>
    <xf numFmtId="166" fontId="39" fillId="0" borderId="54" xfId="3" applyFont="1" applyBorder="1" applyProtection="1">
      <protection hidden="1"/>
    </xf>
    <xf numFmtId="166" fontId="38" fillId="0" borderId="41" xfId="3" applyFont="1" applyBorder="1" applyProtection="1">
      <protection hidden="1"/>
    </xf>
    <xf numFmtId="166" fontId="38" fillId="0" borderId="54" xfId="3" applyFont="1" applyBorder="1" applyProtection="1">
      <protection hidden="1"/>
    </xf>
    <xf numFmtId="166" fontId="40" fillId="0" borderId="0" xfId="3" applyFont="1" applyAlignment="1" applyProtection="1">
      <alignment horizontal="left"/>
      <protection hidden="1"/>
    </xf>
    <xf numFmtId="166" fontId="39" fillId="0" borderId="37" xfId="3" applyFont="1" applyBorder="1" applyProtection="1">
      <protection hidden="1"/>
    </xf>
    <xf numFmtId="164" fontId="38" fillId="0" borderId="54" xfId="4" applyFont="1" applyFill="1" applyBorder="1" applyProtection="1">
      <protection hidden="1"/>
    </xf>
    <xf numFmtId="164" fontId="38" fillId="0" borderId="0" xfId="4" applyFont="1" applyFill="1" applyBorder="1" applyProtection="1">
      <protection hidden="1"/>
    </xf>
    <xf numFmtId="2" fontId="40" fillId="0" borderId="54" xfId="3" applyNumberFormat="1" applyFont="1" applyBorder="1" applyProtection="1">
      <protection hidden="1"/>
    </xf>
    <xf numFmtId="2" fontId="40" fillId="0" borderId="0" xfId="3" applyNumberFormat="1" applyFont="1" applyProtection="1">
      <protection hidden="1"/>
    </xf>
    <xf numFmtId="175" fontId="40" fillId="0" borderId="30" xfId="3" applyNumberFormat="1" applyFont="1" applyBorder="1" applyProtection="1">
      <protection hidden="1"/>
    </xf>
    <xf numFmtId="175" fontId="40" fillId="0" borderId="31" xfId="3" applyNumberFormat="1" applyFont="1" applyBorder="1" applyProtection="1">
      <protection hidden="1"/>
    </xf>
    <xf numFmtId="166" fontId="39" fillId="0" borderId="51" xfId="3" applyFont="1" applyBorder="1" applyAlignment="1" applyProtection="1">
      <alignment horizontal="left"/>
      <protection hidden="1"/>
    </xf>
    <xf numFmtId="166" fontId="40" fillId="0" borderId="51" xfId="3" applyFont="1" applyBorder="1" applyAlignment="1" applyProtection="1">
      <alignment horizontal="left"/>
      <protection hidden="1"/>
    </xf>
    <xf numFmtId="1" fontId="39" fillId="0" borderId="55" xfId="3" applyNumberFormat="1" applyFont="1" applyBorder="1" applyProtection="1">
      <protection hidden="1"/>
    </xf>
    <xf numFmtId="166" fontId="39" fillId="0" borderId="11" xfId="3" applyFont="1" applyBorder="1" applyAlignment="1" applyProtection="1">
      <alignment horizontal="left"/>
      <protection hidden="1"/>
    </xf>
    <xf numFmtId="1" fontId="39" fillId="0" borderId="56" xfId="3" applyNumberFormat="1" applyFont="1" applyBorder="1" applyProtection="1">
      <protection hidden="1"/>
    </xf>
    <xf numFmtId="175" fontId="40" fillId="0" borderId="35" xfId="3" applyNumberFormat="1" applyFont="1" applyBorder="1" applyProtection="1">
      <protection hidden="1"/>
    </xf>
    <xf numFmtId="175" fontId="40" fillId="0" borderId="1" xfId="3" applyNumberFormat="1" applyFont="1" applyBorder="1" applyProtection="1">
      <protection hidden="1"/>
    </xf>
    <xf numFmtId="166" fontId="40" fillId="0" borderId="11" xfId="3" applyFont="1" applyBorder="1" applyAlignment="1" applyProtection="1">
      <alignment horizontal="left"/>
      <protection hidden="1"/>
    </xf>
    <xf numFmtId="2" fontId="40" fillId="0" borderId="40" xfId="3" applyNumberFormat="1" applyFont="1" applyBorder="1" applyProtection="1">
      <protection hidden="1"/>
    </xf>
    <xf numFmtId="2" fontId="40" fillId="0" borderId="3" xfId="3" applyNumberFormat="1" applyFont="1" applyBorder="1" applyProtection="1">
      <protection hidden="1"/>
    </xf>
    <xf numFmtId="166" fontId="39" fillId="0" borderId="25" xfId="3" applyFont="1" applyBorder="1" applyAlignment="1" applyProtection="1">
      <alignment horizontal="left"/>
      <protection hidden="1"/>
    </xf>
    <xf numFmtId="2" fontId="39" fillId="0" borderId="30" xfId="3" quotePrefix="1" applyNumberFormat="1" applyFont="1" applyBorder="1" applyProtection="1">
      <protection hidden="1"/>
    </xf>
    <xf numFmtId="2" fontId="39" fillId="0" borderId="31" xfId="3" quotePrefix="1" applyNumberFormat="1" applyFont="1" applyBorder="1" applyProtection="1">
      <protection hidden="1"/>
    </xf>
    <xf numFmtId="166" fontId="39" fillId="0" borderId="29" xfId="3" applyFont="1" applyBorder="1" applyAlignment="1" applyProtection="1">
      <alignment horizontal="left"/>
      <protection hidden="1"/>
    </xf>
    <xf numFmtId="166" fontId="39" fillId="0" borderId="35" xfId="3" quotePrefix="1" applyFont="1" applyBorder="1" applyProtection="1">
      <protection hidden="1"/>
    </xf>
    <xf numFmtId="166" fontId="39" fillId="0" borderId="1" xfId="3" quotePrefix="1" applyFont="1" applyBorder="1" applyProtection="1">
      <protection hidden="1"/>
    </xf>
    <xf numFmtId="166" fontId="38" fillId="0" borderId="39" xfId="3" applyFont="1" applyBorder="1" applyAlignment="1" applyProtection="1">
      <alignment horizontal="left"/>
      <protection hidden="1"/>
    </xf>
    <xf numFmtId="166" fontId="40" fillId="0" borderId="25" xfId="3" applyFont="1" applyBorder="1" applyAlignment="1" applyProtection="1">
      <alignment horizontal="left"/>
      <protection hidden="1"/>
    </xf>
    <xf numFmtId="166" fontId="39" fillId="0" borderId="57" xfId="3" applyFont="1" applyBorder="1" applyAlignment="1" applyProtection="1">
      <alignment horizontal="left"/>
      <protection hidden="1"/>
    </xf>
    <xf numFmtId="166" fontId="39" fillId="0" borderId="39" xfId="3" applyFont="1" applyBorder="1" applyAlignment="1" applyProtection="1">
      <alignment horizontal="left"/>
      <protection hidden="1"/>
    </xf>
    <xf numFmtId="166" fontId="39" fillId="0" borderId="24" xfId="3" applyFont="1" applyBorder="1" applyAlignment="1" applyProtection="1">
      <alignment horizontal="left"/>
      <protection hidden="1"/>
    </xf>
    <xf numFmtId="166" fontId="39" fillId="0" borderId="30" xfId="3" quotePrefix="1" applyFont="1" applyBorder="1" applyProtection="1">
      <protection hidden="1"/>
    </xf>
    <xf numFmtId="166" fontId="39" fillId="0" borderId="31" xfId="3" quotePrefix="1" applyFont="1" applyBorder="1" applyProtection="1">
      <protection hidden="1"/>
    </xf>
    <xf numFmtId="166" fontId="38" fillId="0" borderId="42" xfId="3" applyFont="1" applyBorder="1" applyAlignment="1" applyProtection="1">
      <alignment horizontal="left"/>
      <protection hidden="1"/>
    </xf>
    <xf numFmtId="166" fontId="40" fillId="0" borderId="35" xfId="3" applyFont="1" applyBorder="1" applyProtection="1">
      <protection hidden="1"/>
    </xf>
    <xf numFmtId="166" fontId="40" fillId="0" borderId="1" xfId="3" applyFont="1" applyBorder="1" applyProtection="1">
      <protection hidden="1"/>
    </xf>
    <xf numFmtId="166" fontId="40" fillId="0" borderId="40" xfId="3" applyFont="1" applyBorder="1" applyProtection="1">
      <protection hidden="1"/>
    </xf>
    <xf numFmtId="166" fontId="40" fillId="0" borderId="3" xfId="3" applyFont="1" applyBorder="1" applyProtection="1">
      <protection hidden="1"/>
    </xf>
    <xf numFmtId="166" fontId="39" fillId="0" borderId="30" xfId="3" applyFont="1" applyBorder="1" applyProtection="1">
      <protection hidden="1"/>
    </xf>
    <xf numFmtId="166" fontId="39" fillId="0" borderId="31" xfId="3" applyFont="1" applyBorder="1" applyProtection="1">
      <protection hidden="1"/>
    </xf>
    <xf numFmtId="1" fontId="39" fillId="0" borderId="58" xfId="3" applyNumberFormat="1" applyFont="1" applyBorder="1" applyProtection="1">
      <protection hidden="1"/>
    </xf>
    <xf numFmtId="1" fontId="39" fillId="0" borderId="34" xfId="3" applyNumberFormat="1" applyFont="1" applyBorder="1" applyProtection="1">
      <protection hidden="1"/>
    </xf>
    <xf numFmtId="166" fontId="39" fillId="0" borderId="40" xfId="3" applyFont="1" applyBorder="1" applyProtection="1">
      <protection hidden="1"/>
    </xf>
    <xf numFmtId="166" fontId="39" fillId="0" borderId="25" xfId="3" applyFont="1" applyBorder="1" applyProtection="1">
      <protection hidden="1"/>
    </xf>
    <xf numFmtId="166" fontId="39" fillId="0" borderId="3" xfId="3" applyFont="1" applyBorder="1" applyProtection="1">
      <protection hidden="1"/>
    </xf>
    <xf numFmtId="1" fontId="39" fillId="0" borderId="0" xfId="3" applyNumberFormat="1" applyFont="1" applyProtection="1">
      <protection hidden="1"/>
    </xf>
    <xf numFmtId="166" fontId="40" fillId="0" borderId="0" xfId="3" applyFont="1" applyAlignment="1" applyProtection="1">
      <alignment horizontal="right"/>
      <protection hidden="1"/>
    </xf>
    <xf numFmtId="2" fontId="39" fillId="0" borderId="0" xfId="3" applyNumberFormat="1" applyFont="1" applyProtection="1">
      <protection hidden="1"/>
    </xf>
    <xf numFmtId="2" fontId="39" fillId="0" borderId="30" xfId="3" applyNumberFormat="1" applyFont="1" applyBorder="1" applyProtection="1">
      <protection hidden="1"/>
    </xf>
    <xf numFmtId="2" fontId="39" fillId="0" borderId="31" xfId="3" applyNumberFormat="1" applyFont="1" applyBorder="1" applyProtection="1">
      <protection hidden="1"/>
    </xf>
    <xf numFmtId="176" fontId="41" fillId="0" borderId="59" xfId="23" applyNumberFormat="1" applyFont="1" applyBorder="1" applyAlignment="1">
      <alignment horizontal="left" vertical="center" wrapText="1"/>
    </xf>
    <xf numFmtId="176" fontId="41" fillId="0" borderId="50" xfId="23" applyNumberFormat="1" applyFont="1" applyBorder="1" applyAlignment="1">
      <alignment horizontal="left" vertical="center" wrapText="1"/>
    </xf>
    <xf numFmtId="1" fontId="39" fillId="0" borderId="60" xfId="3" applyNumberFormat="1" applyFont="1" applyBorder="1" applyProtection="1">
      <protection hidden="1"/>
    </xf>
    <xf numFmtId="164" fontId="42" fillId="0" borderId="0" xfId="4" applyFont="1" applyFill="1" applyBorder="1" applyAlignment="1" applyProtection="1">
      <alignment horizontal="right" wrapText="1"/>
    </xf>
    <xf numFmtId="164" fontId="42" fillId="0" borderId="35" xfId="4" applyFont="1" applyFill="1" applyBorder="1" applyAlignment="1" applyProtection="1">
      <alignment horizontal="right" wrapText="1"/>
    </xf>
    <xf numFmtId="164" fontId="42" fillId="0" borderId="1" xfId="4" applyFont="1" applyFill="1" applyBorder="1" applyAlignment="1" applyProtection="1">
      <alignment horizontal="right" wrapText="1"/>
    </xf>
    <xf numFmtId="164" fontId="42" fillId="0" borderId="39" xfId="24" applyNumberFormat="1" applyFont="1" applyFill="1" applyBorder="1" applyAlignment="1" applyProtection="1">
      <alignment horizontal="right" wrapText="1"/>
    </xf>
    <xf numFmtId="176" fontId="41" fillId="0" borderId="24" xfId="23" applyNumberFormat="1" applyFont="1" applyBorder="1" applyAlignment="1">
      <alignment horizontal="left" vertical="center" wrapText="1"/>
    </xf>
    <xf numFmtId="1" fontId="39" fillId="0" borderId="61" xfId="3" applyNumberFormat="1" applyFont="1" applyBorder="1" applyAlignment="1" applyProtection="1">
      <alignment horizontal="center" vertical="center"/>
      <protection hidden="1"/>
    </xf>
    <xf numFmtId="164" fontId="41" fillId="0" borderId="0" xfId="4" applyFont="1" applyFill="1" applyBorder="1" applyAlignment="1">
      <alignment horizontal="right"/>
    </xf>
    <xf numFmtId="164" fontId="41" fillId="0" borderId="35" xfId="4" applyFont="1" applyFill="1" applyBorder="1" applyAlignment="1">
      <alignment horizontal="right"/>
    </xf>
    <xf numFmtId="164" fontId="41" fillId="0" borderId="1" xfId="4" applyFont="1" applyFill="1" applyBorder="1" applyAlignment="1">
      <alignment horizontal="right"/>
    </xf>
    <xf numFmtId="164" fontId="41" fillId="0" borderId="39" xfId="24" applyNumberFormat="1" applyFont="1" applyFill="1" applyBorder="1" applyAlignment="1">
      <alignment horizontal="right"/>
    </xf>
    <xf numFmtId="164" fontId="41" fillId="0" borderId="0" xfId="4" applyFont="1" applyFill="1" applyBorder="1" applyAlignment="1" applyProtection="1">
      <alignment horizontal="right"/>
    </xf>
    <xf numFmtId="164" fontId="41" fillId="0" borderId="35" xfId="4" applyFont="1" applyFill="1" applyBorder="1" applyAlignment="1" applyProtection="1">
      <alignment horizontal="right"/>
    </xf>
    <xf numFmtId="164" fontId="41" fillId="0" borderId="1" xfId="4" applyFont="1" applyFill="1" applyBorder="1" applyAlignment="1" applyProtection="1">
      <alignment horizontal="right"/>
    </xf>
    <xf numFmtId="164" fontId="41" fillId="0" borderId="39" xfId="24" applyNumberFormat="1" applyFont="1" applyFill="1" applyBorder="1" applyAlignment="1" applyProtection="1">
      <alignment horizontal="right"/>
    </xf>
    <xf numFmtId="164" fontId="41" fillId="0" borderId="0" xfId="24" applyNumberFormat="1" applyFont="1" applyFill="1" applyBorder="1" applyAlignment="1">
      <alignment horizontal="right"/>
    </xf>
    <xf numFmtId="164" fontId="41" fillId="0" borderId="35" xfId="24" applyNumberFormat="1" applyFont="1" applyFill="1" applyBorder="1" applyAlignment="1">
      <alignment horizontal="right"/>
    </xf>
    <xf numFmtId="164" fontId="41" fillId="0" borderId="1" xfId="24" applyNumberFormat="1" applyFont="1" applyFill="1" applyBorder="1" applyAlignment="1">
      <alignment horizontal="right"/>
    </xf>
    <xf numFmtId="176" fontId="43" fillId="0" borderId="24" xfId="23" applyNumberFormat="1" applyFont="1" applyBorder="1" applyAlignment="1">
      <alignment horizontal="left" vertical="center" wrapText="1"/>
    </xf>
    <xf numFmtId="1" fontId="39" fillId="0" borderId="61" xfId="3" applyNumberFormat="1" applyFont="1" applyBorder="1" applyProtection="1">
      <protection hidden="1"/>
    </xf>
    <xf numFmtId="176" fontId="41" fillId="0" borderId="24" xfId="23" quotePrefix="1" applyNumberFormat="1" applyFont="1" applyBorder="1" applyAlignment="1">
      <alignment horizontal="left" vertical="center" wrapText="1"/>
    </xf>
    <xf numFmtId="164" fontId="42" fillId="0" borderId="35" xfId="24" applyNumberFormat="1" applyFont="1" applyFill="1" applyBorder="1" applyAlignment="1" applyProtection="1">
      <alignment horizontal="right"/>
    </xf>
    <xf numFmtId="164" fontId="42" fillId="0" borderId="1" xfId="24" applyNumberFormat="1" applyFont="1" applyFill="1" applyBorder="1" applyAlignment="1" applyProtection="1">
      <alignment horizontal="right"/>
    </xf>
    <xf numFmtId="164" fontId="42" fillId="0" borderId="39" xfId="24" applyNumberFormat="1" applyFont="1" applyFill="1" applyBorder="1" applyAlignment="1" applyProtection="1">
      <alignment horizontal="right"/>
    </xf>
    <xf numFmtId="164" fontId="41" fillId="0" borderId="35" xfId="24" applyNumberFormat="1" applyFont="1" applyFill="1" applyBorder="1" applyAlignment="1" applyProtection="1">
      <alignment horizontal="right"/>
    </xf>
    <xf numFmtId="164" fontId="41" fillId="0" borderId="1" xfId="24" applyNumberFormat="1" applyFont="1" applyFill="1" applyBorder="1" applyAlignment="1" applyProtection="1">
      <alignment horizontal="right"/>
    </xf>
    <xf numFmtId="164" fontId="41" fillId="0" borderId="0" xfId="24" applyNumberFormat="1" applyFont="1" applyFill="1" applyBorder="1" applyAlignment="1" applyProtection="1">
      <alignment horizontal="right"/>
    </xf>
    <xf numFmtId="164" fontId="39" fillId="0" borderId="35" xfId="4" applyFont="1" applyFill="1" applyBorder="1" applyAlignment="1" applyProtection="1">
      <protection hidden="1"/>
    </xf>
    <xf numFmtId="164" fontId="39" fillId="0" borderId="1" xfId="4" applyFont="1" applyFill="1" applyBorder="1" applyAlignment="1" applyProtection="1">
      <protection hidden="1"/>
    </xf>
    <xf numFmtId="10" fontId="44" fillId="0" borderId="48" xfId="3" applyNumberFormat="1" applyFont="1" applyBorder="1" applyProtection="1">
      <protection hidden="1"/>
    </xf>
    <xf numFmtId="10" fontId="44" fillId="0" borderId="49" xfId="3" applyNumberFormat="1" applyFont="1" applyBorder="1" applyProtection="1">
      <protection hidden="1"/>
    </xf>
    <xf numFmtId="1" fontId="39" fillId="0" borderId="47" xfId="3" applyNumberFormat="1" applyFont="1" applyBorder="1" applyProtection="1">
      <protection hidden="1"/>
    </xf>
    <xf numFmtId="166" fontId="39" fillId="0" borderId="62" xfId="3" applyFont="1" applyBorder="1" applyProtection="1">
      <protection hidden="1"/>
    </xf>
    <xf numFmtId="166" fontId="39" fillId="0" borderId="34" xfId="3" applyFont="1" applyBorder="1" applyAlignment="1" applyProtection="1">
      <alignment horizontal="left"/>
      <protection hidden="1"/>
    </xf>
    <xf numFmtId="2" fontId="39" fillId="0" borderId="54" xfId="3" applyNumberFormat="1" applyFont="1" applyBorder="1" applyProtection="1">
      <protection hidden="1"/>
    </xf>
    <xf numFmtId="166" fontId="40" fillId="0" borderId="37" xfId="3" applyFont="1" applyBorder="1" applyAlignment="1" applyProtection="1">
      <alignment horizontal="left"/>
      <protection hidden="1"/>
    </xf>
    <xf numFmtId="1" fontId="40" fillId="0" borderId="37" xfId="3" applyNumberFormat="1" applyFont="1" applyBorder="1" applyProtection="1">
      <protection hidden="1"/>
    </xf>
    <xf numFmtId="166" fontId="39" fillId="0" borderId="37" xfId="3" applyFont="1" applyBorder="1" applyAlignment="1" applyProtection="1">
      <alignment horizontal="left"/>
      <protection hidden="1"/>
    </xf>
    <xf numFmtId="2" fontId="39" fillId="0" borderId="50" xfId="3" applyNumberFormat="1" applyFont="1" applyBorder="1" applyProtection="1">
      <protection hidden="1"/>
    </xf>
    <xf numFmtId="2" fontId="39" fillId="0" borderId="24" xfId="3" applyNumberFormat="1" applyFont="1" applyBorder="1" applyProtection="1">
      <protection hidden="1"/>
    </xf>
    <xf numFmtId="166" fontId="39" fillId="0" borderId="63" xfId="3" applyFont="1" applyBorder="1" applyAlignment="1" applyProtection="1">
      <alignment horizontal="left"/>
      <protection hidden="1"/>
    </xf>
    <xf numFmtId="10" fontId="44" fillId="0" borderId="46" xfId="3" applyNumberFormat="1" applyFont="1" applyBorder="1" applyProtection="1">
      <protection hidden="1"/>
    </xf>
    <xf numFmtId="166" fontId="39" fillId="0" borderId="44" xfId="3" applyFont="1" applyBorder="1" applyAlignment="1" applyProtection="1">
      <alignment horizontal="left"/>
      <protection hidden="1"/>
    </xf>
    <xf numFmtId="166" fontId="40" fillId="0" borderId="47" xfId="3" applyFont="1" applyBorder="1" applyAlignment="1" applyProtection="1">
      <alignment horizontal="left"/>
      <protection hidden="1"/>
    </xf>
    <xf numFmtId="166" fontId="39" fillId="0" borderId="52" xfId="3" applyFont="1" applyBorder="1" applyProtection="1">
      <protection hidden="1"/>
    </xf>
    <xf numFmtId="1" fontId="39" fillId="0" borderId="64" xfId="3" applyNumberFormat="1" applyFont="1" applyBorder="1" applyProtection="1">
      <protection hidden="1"/>
    </xf>
    <xf numFmtId="10" fontId="40" fillId="0" borderId="65" xfId="3" applyNumberFormat="1" applyFont="1" applyBorder="1" applyProtection="1">
      <protection hidden="1"/>
    </xf>
    <xf numFmtId="10" fontId="40" fillId="0" borderId="64" xfId="3" applyNumberFormat="1" applyFont="1" applyBorder="1" applyProtection="1">
      <protection hidden="1"/>
    </xf>
    <xf numFmtId="10" fontId="40" fillId="0" borderId="66" xfId="3" applyNumberFormat="1" applyFont="1" applyBorder="1" applyProtection="1">
      <protection hidden="1"/>
    </xf>
    <xf numFmtId="166" fontId="39" fillId="0" borderId="62" xfId="3" applyFont="1" applyBorder="1" applyAlignment="1" applyProtection="1">
      <alignment horizontal="left"/>
      <protection hidden="1"/>
    </xf>
    <xf numFmtId="10" fontId="39" fillId="0" borderId="67" xfId="3" applyNumberFormat="1" applyFont="1" applyBorder="1" applyProtection="1">
      <protection hidden="1"/>
    </xf>
    <xf numFmtId="10" fontId="39" fillId="0" borderId="28" xfId="3" applyNumberFormat="1" applyFont="1" applyBorder="1" applyProtection="1">
      <protection hidden="1"/>
    </xf>
    <xf numFmtId="10" fontId="39" fillId="0" borderId="7" xfId="3" applyNumberFormat="1" applyFont="1" applyBorder="1" applyProtection="1">
      <protection hidden="1"/>
    </xf>
    <xf numFmtId="10" fontId="39" fillId="0" borderId="24" xfId="3" applyNumberFormat="1" applyFont="1" applyBorder="1" applyProtection="1">
      <protection hidden="1"/>
    </xf>
    <xf numFmtId="166" fontId="39" fillId="0" borderId="24" xfId="3" applyFont="1" applyBorder="1" applyProtection="1">
      <protection hidden="1"/>
    </xf>
    <xf numFmtId="166" fontId="40" fillId="0" borderId="24" xfId="3" applyFont="1" applyBorder="1" applyProtection="1">
      <protection hidden="1"/>
    </xf>
    <xf numFmtId="174" fontId="39" fillId="0" borderId="35" xfId="3" applyNumberFormat="1" applyFont="1" applyBorder="1" applyProtection="1">
      <protection hidden="1"/>
    </xf>
    <xf numFmtId="174" fontId="39" fillId="0" borderId="1" xfId="3" applyNumberFormat="1" applyFont="1" applyBorder="1" applyProtection="1">
      <protection hidden="1"/>
    </xf>
    <xf numFmtId="174" fontId="39" fillId="0" borderId="39" xfId="3" applyNumberFormat="1" applyFont="1" applyBorder="1" applyProtection="1">
      <protection hidden="1"/>
    </xf>
    <xf numFmtId="175" fontId="39" fillId="0" borderId="35" xfId="3" applyNumberFormat="1" applyFont="1" applyBorder="1" applyProtection="1">
      <protection hidden="1"/>
    </xf>
    <xf numFmtId="175" fontId="39" fillId="0" borderId="24" xfId="3" applyNumberFormat="1" applyFont="1" applyBorder="1" applyProtection="1">
      <protection hidden="1"/>
    </xf>
    <xf numFmtId="175" fontId="39" fillId="0" borderId="1" xfId="3" applyNumberFormat="1" applyFont="1" applyBorder="1" applyProtection="1">
      <protection hidden="1"/>
    </xf>
    <xf numFmtId="174" fontId="39" fillId="0" borderId="38" xfId="3" applyNumberFormat="1" applyFont="1" applyBorder="1" applyProtection="1">
      <protection hidden="1"/>
    </xf>
    <xf numFmtId="174" fontId="39" fillId="0" borderId="24" xfId="3" applyNumberFormat="1" applyFont="1" applyBorder="1" applyProtection="1">
      <protection hidden="1"/>
    </xf>
    <xf numFmtId="166" fontId="39" fillId="0" borderId="46" xfId="3" applyFont="1" applyBorder="1" applyProtection="1">
      <protection hidden="1"/>
    </xf>
    <xf numFmtId="166" fontId="39" fillId="0" borderId="47" xfId="3" applyFont="1" applyBorder="1" applyAlignment="1" applyProtection="1">
      <alignment horizontal="left"/>
      <protection hidden="1"/>
    </xf>
    <xf numFmtId="0" fontId="45" fillId="0" borderId="30" xfId="3" applyNumberFormat="1" applyFont="1" applyBorder="1" applyProtection="1">
      <protection hidden="1"/>
    </xf>
    <xf numFmtId="0" fontId="45" fillId="0" borderId="50" xfId="3" applyNumberFormat="1" applyFont="1" applyBorder="1" applyProtection="1">
      <protection hidden="1"/>
    </xf>
    <xf numFmtId="166" fontId="45" fillId="0" borderId="41" xfId="3" applyFont="1" applyBorder="1" applyAlignment="1" applyProtection="1">
      <alignment horizontal="left"/>
      <protection hidden="1"/>
    </xf>
    <xf numFmtId="166" fontId="45" fillId="0" borderId="32" xfId="3" applyFont="1" applyBorder="1" applyAlignment="1" applyProtection="1">
      <alignment horizontal="left"/>
      <protection hidden="1"/>
    </xf>
    <xf numFmtId="166" fontId="45" fillId="0" borderId="34" xfId="3" applyFont="1" applyBorder="1" applyAlignment="1" applyProtection="1">
      <alignment horizontal="left"/>
      <protection hidden="1"/>
    </xf>
    <xf numFmtId="1" fontId="46" fillId="0" borderId="34" xfId="3" applyNumberFormat="1" applyFont="1" applyBorder="1" applyProtection="1">
      <protection hidden="1"/>
    </xf>
    <xf numFmtId="166" fontId="45" fillId="0" borderId="48" xfId="3" applyFont="1" applyBorder="1" applyProtection="1">
      <protection hidden="1"/>
    </xf>
    <xf numFmtId="166" fontId="45" fillId="0" borderId="46" xfId="3" applyFont="1" applyBorder="1" applyProtection="1">
      <protection hidden="1"/>
    </xf>
    <xf numFmtId="166" fontId="45" fillId="0" borderId="52" xfId="3" applyFont="1" applyBorder="1" applyAlignment="1" applyProtection="1">
      <alignment horizontal="left"/>
      <protection hidden="1"/>
    </xf>
    <xf numFmtId="166" fontId="45" fillId="0" borderId="68" xfId="3" applyFont="1" applyBorder="1" applyAlignment="1" applyProtection="1">
      <alignment horizontal="left"/>
      <protection hidden="1"/>
    </xf>
    <xf numFmtId="166" fontId="45" fillId="0" borderId="53" xfId="3" applyFont="1" applyBorder="1" applyAlignment="1" applyProtection="1">
      <alignment horizontal="left"/>
      <protection hidden="1"/>
    </xf>
    <xf numFmtId="1" fontId="46" fillId="0" borderId="53" xfId="3" applyNumberFormat="1" applyFont="1" applyBorder="1" applyProtection="1">
      <protection hidden="1"/>
    </xf>
    <xf numFmtId="1" fontId="39" fillId="0" borderId="41" xfId="3" applyNumberFormat="1" applyFont="1" applyBorder="1" applyProtection="1">
      <protection hidden="1"/>
    </xf>
    <xf numFmtId="1" fontId="47" fillId="0" borderId="0" xfId="3" applyNumberFormat="1" applyFont="1" applyProtection="1">
      <protection hidden="1"/>
    </xf>
    <xf numFmtId="166" fontId="48" fillId="0" borderId="0" xfId="3" applyFont="1" applyAlignment="1" applyProtection="1">
      <alignment horizontal="left"/>
      <protection hidden="1"/>
    </xf>
    <xf numFmtId="166" fontId="38" fillId="0" borderId="1" xfId="3" applyFont="1" applyBorder="1" applyProtection="1">
      <protection hidden="1"/>
    </xf>
    <xf numFmtId="166" fontId="40" fillId="0" borderId="39" xfId="3" applyFont="1" applyBorder="1" applyAlignment="1" applyProtection="1">
      <alignment horizontal="left"/>
      <protection hidden="1"/>
    </xf>
    <xf numFmtId="166" fontId="38" fillId="0" borderId="52" xfId="3" applyFont="1" applyBorder="1" applyProtection="1">
      <protection hidden="1"/>
    </xf>
    <xf numFmtId="166" fontId="49" fillId="0" borderId="44" xfId="3" applyFont="1" applyBorder="1" applyAlignment="1" applyProtection="1">
      <alignment horizontal="left"/>
      <protection hidden="1"/>
    </xf>
    <xf numFmtId="164" fontId="47" fillId="0" borderId="69" xfId="4" applyFont="1" applyFill="1" applyBorder="1" applyAlignment="1" applyProtection="1">
      <protection hidden="1"/>
    </xf>
    <xf numFmtId="164" fontId="47" fillId="0" borderId="59" xfId="4" applyFont="1" applyFill="1" applyBorder="1" applyAlignment="1" applyProtection="1">
      <protection hidden="1"/>
    </xf>
    <xf numFmtId="164" fontId="38" fillId="0" borderId="59" xfId="4" applyFont="1" applyFill="1" applyBorder="1" applyAlignment="1" applyProtection="1">
      <alignment horizontal="left" wrapText="1"/>
      <protection hidden="1"/>
    </xf>
    <xf numFmtId="164" fontId="47" fillId="0" borderId="38" xfId="4" applyFont="1" applyFill="1" applyBorder="1" applyAlignment="1" applyProtection="1">
      <protection hidden="1"/>
    </xf>
    <xf numFmtId="164" fontId="47" fillId="0" borderId="39" xfId="4" applyFont="1" applyFill="1" applyBorder="1" applyAlignment="1" applyProtection="1">
      <protection hidden="1"/>
    </xf>
    <xf numFmtId="164" fontId="38" fillId="0" borderId="39" xfId="4" applyFont="1" applyFill="1" applyBorder="1" applyAlignment="1" applyProtection="1">
      <alignment horizontal="left" wrapText="1"/>
      <protection hidden="1"/>
    </xf>
    <xf numFmtId="1" fontId="39" fillId="0" borderId="71" xfId="3" applyNumberFormat="1" applyFont="1" applyBorder="1" applyProtection="1">
      <protection hidden="1"/>
    </xf>
    <xf numFmtId="164" fontId="47" fillId="0" borderId="72" xfId="4" applyFont="1" applyFill="1" applyBorder="1" applyAlignment="1" applyProtection="1">
      <protection hidden="1"/>
    </xf>
    <xf numFmtId="164" fontId="47" fillId="0" borderId="42" xfId="4" applyFont="1" applyFill="1" applyBorder="1" applyAlignment="1" applyProtection="1">
      <protection hidden="1"/>
    </xf>
    <xf numFmtId="164" fontId="38" fillId="0" borderId="42" xfId="4" applyFont="1" applyFill="1" applyBorder="1" applyAlignment="1" applyProtection="1">
      <alignment horizontal="left"/>
      <protection hidden="1"/>
    </xf>
    <xf numFmtId="164" fontId="47" fillId="0" borderId="35" xfId="4" applyFont="1" applyFill="1" applyBorder="1" applyAlignment="1" applyProtection="1">
      <protection hidden="1"/>
    </xf>
    <xf numFmtId="164" fontId="47" fillId="0" borderId="1" xfId="4" applyFont="1" applyFill="1" applyBorder="1" applyAlignment="1" applyProtection="1">
      <protection hidden="1"/>
    </xf>
    <xf numFmtId="164" fontId="38" fillId="0" borderId="39" xfId="4" applyFont="1" applyFill="1" applyBorder="1" applyAlignment="1" applyProtection="1">
      <alignment horizontal="left"/>
      <protection hidden="1"/>
    </xf>
    <xf numFmtId="166" fontId="44" fillId="0" borderId="48" xfId="3" applyFont="1" applyBorder="1" applyProtection="1">
      <protection hidden="1"/>
    </xf>
    <xf numFmtId="166" fontId="44" fillId="0" borderId="46" xfId="3" applyFont="1" applyBorder="1" applyProtection="1">
      <protection hidden="1"/>
    </xf>
    <xf numFmtId="166" fontId="44" fillId="0" borderId="49" xfId="3" applyFont="1" applyBorder="1" applyProtection="1">
      <protection hidden="1"/>
    </xf>
    <xf numFmtId="166" fontId="38" fillId="0" borderId="41" xfId="3" applyFont="1" applyBorder="1" applyAlignment="1" applyProtection="1">
      <alignment horizontal="left"/>
      <protection hidden="1"/>
    </xf>
    <xf numFmtId="1" fontId="39" fillId="0" borderId="53" xfId="3" applyNumberFormat="1" applyFont="1" applyBorder="1" applyProtection="1">
      <protection hidden="1"/>
    </xf>
    <xf numFmtId="166" fontId="39" fillId="0" borderId="31" xfId="3" applyFont="1" applyBorder="1" applyProtection="1">
      <protection locked="0" hidden="1"/>
    </xf>
    <xf numFmtId="166" fontId="38" fillId="0" borderId="31" xfId="3" applyFont="1" applyBorder="1" applyProtection="1">
      <protection locked="0" hidden="1"/>
    </xf>
    <xf numFmtId="164" fontId="38" fillId="0" borderId="32" xfId="4" applyFont="1" applyFill="1" applyBorder="1" applyAlignment="1" applyProtection="1">
      <alignment horizontal="left"/>
      <protection hidden="1"/>
    </xf>
    <xf numFmtId="166" fontId="39" fillId="0" borderId="1" xfId="3" applyFont="1" applyBorder="1" applyProtection="1">
      <protection locked="0" hidden="1"/>
    </xf>
    <xf numFmtId="166" fontId="38" fillId="0" borderId="1" xfId="3" applyFont="1" applyBorder="1" applyProtection="1">
      <protection locked="0" hidden="1"/>
    </xf>
    <xf numFmtId="164" fontId="38" fillId="0" borderId="36" xfId="4" applyFont="1" applyFill="1" applyBorder="1" applyAlignment="1" applyProtection="1">
      <alignment horizontal="left"/>
      <protection hidden="1"/>
    </xf>
    <xf numFmtId="166" fontId="38" fillId="0" borderId="49" xfId="3" applyFont="1" applyBorder="1" applyProtection="1">
      <protection hidden="1"/>
    </xf>
    <xf numFmtId="164" fontId="38" fillId="0" borderId="44" xfId="4" applyFont="1" applyFill="1" applyBorder="1" applyAlignment="1" applyProtection="1">
      <alignment horizontal="left"/>
      <protection hidden="1"/>
    </xf>
    <xf numFmtId="166" fontId="38" fillId="0" borderId="66" xfId="3" applyFont="1" applyBorder="1" applyProtection="1">
      <protection hidden="1"/>
    </xf>
    <xf numFmtId="164" fontId="39" fillId="0" borderId="66" xfId="4" applyFont="1" applyFill="1" applyBorder="1" applyAlignment="1" applyProtection="1">
      <alignment horizontal="left" wrapText="1"/>
      <protection hidden="1"/>
    </xf>
    <xf numFmtId="166" fontId="39" fillId="0" borderId="66" xfId="3" applyFont="1" applyBorder="1" applyAlignment="1" applyProtection="1">
      <alignment horizontal="left" wrapText="1"/>
      <protection hidden="1"/>
    </xf>
    <xf numFmtId="1" fontId="39" fillId="0" borderId="59" xfId="3" quotePrefix="1" applyNumberFormat="1" applyFont="1" applyBorder="1" applyProtection="1">
      <protection hidden="1"/>
    </xf>
    <xf numFmtId="164" fontId="39" fillId="0" borderId="32" xfId="4" applyFont="1" applyFill="1" applyBorder="1" applyAlignment="1" applyProtection="1">
      <alignment horizontal="left" wrapText="1"/>
      <protection hidden="1"/>
    </xf>
    <xf numFmtId="10" fontId="39" fillId="0" borderId="39" xfId="3" quotePrefix="1" applyNumberFormat="1" applyFont="1" applyBorder="1" applyProtection="1">
      <protection hidden="1"/>
    </xf>
    <xf numFmtId="164" fontId="39" fillId="0" borderId="36" xfId="4" applyFont="1" applyFill="1" applyBorder="1" applyAlignment="1" applyProtection="1">
      <alignment horizontal="left" wrapText="1"/>
      <protection hidden="1"/>
    </xf>
    <xf numFmtId="2" fontId="39" fillId="0" borderId="39" xfId="3" quotePrefix="1" applyNumberFormat="1" applyFont="1" applyBorder="1" applyProtection="1">
      <protection hidden="1"/>
    </xf>
    <xf numFmtId="166" fontId="39" fillId="0" borderId="39" xfId="3" quotePrefix="1" applyFont="1" applyBorder="1" applyProtection="1">
      <protection hidden="1"/>
    </xf>
    <xf numFmtId="164" fontId="39" fillId="0" borderId="36" xfId="4" applyFont="1" applyFill="1" applyBorder="1" applyAlignment="1" applyProtection="1">
      <alignment horizontal="left"/>
      <protection hidden="1"/>
    </xf>
    <xf numFmtId="2" fontId="39" fillId="0" borderId="45" xfId="3" applyNumberFormat="1" applyFont="1" applyBorder="1" applyProtection="1">
      <protection hidden="1"/>
    </xf>
    <xf numFmtId="164" fontId="38" fillId="0" borderId="45" xfId="4" applyFont="1" applyFill="1" applyBorder="1" applyAlignment="1" applyProtection="1">
      <alignment horizontal="left"/>
      <protection hidden="1"/>
    </xf>
    <xf numFmtId="166" fontId="38" fillId="0" borderId="45" xfId="3" applyFont="1" applyBorder="1" applyAlignment="1" applyProtection="1">
      <alignment horizontal="left"/>
      <protection hidden="1"/>
    </xf>
    <xf numFmtId="166" fontId="39" fillId="0" borderId="47" xfId="3" applyFont="1" applyBorder="1" applyAlignment="1" applyProtection="1">
      <alignment horizontal="right"/>
      <protection hidden="1"/>
    </xf>
    <xf numFmtId="164" fontId="39" fillId="0" borderId="66" xfId="4" applyFont="1" applyFill="1" applyBorder="1" applyAlignment="1" applyProtection="1">
      <protection hidden="1"/>
    </xf>
    <xf numFmtId="164" fontId="38" fillId="0" borderId="66" xfId="4" applyFont="1" applyFill="1" applyBorder="1" applyAlignment="1" applyProtection="1">
      <alignment horizontal="left"/>
      <protection hidden="1"/>
    </xf>
    <xf numFmtId="166" fontId="38" fillId="0" borderId="66" xfId="3" applyFont="1" applyBorder="1" applyAlignment="1" applyProtection="1">
      <alignment horizontal="left"/>
      <protection hidden="1"/>
    </xf>
    <xf numFmtId="166" fontId="39" fillId="0" borderId="66" xfId="3" applyFont="1" applyBorder="1" applyAlignment="1" applyProtection="1">
      <alignment horizontal="left"/>
      <protection hidden="1"/>
    </xf>
    <xf numFmtId="166" fontId="39" fillId="0" borderId="64" xfId="3" applyFont="1" applyBorder="1" applyAlignment="1" applyProtection="1">
      <alignment horizontal="right"/>
      <protection hidden="1"/>
    </xf>
    <xf numFmtId="164" fontId="40" fillId="0" borderId="30" xfId="4" applyFont="1" applyFill="1" applyBorder="1" applyAlignment="1" applyProtection="1">
      <protection hidden="1"/>
    </xf>
    <xf numFmtId="164" fontId="40" fillId="0" borderId="31" xfId="4" applyFont="1" applyFill="1" applyBorder="1" applyAlignment="1" applyProtection="1">
      <protection hidden="1"/>
    </xf>
    <xf numFmtId="164" fontId="38" fillId="0" borderId="59" xfId="4" applyFont="1" applyFill="1" applyBorder="1" applyAlignment="1" applyProtection="1">
      <alignment horizontal="left"/>
      <protection hidden="1"/>
    </xf>
    <xf numFmtId="166" fontId="38" fillId="0" borderId="59" xfId="3" applyFont="1" applyBorder="1" applyAlignment="1" applyProtection="1">
      <alignment horizontal="left"/>
      <protection hidden="1"/>
    </xf>
    <xf numFmtId="166" fontId="39" fillId="0" borderId="70" xfId="3" applyFont="1" applyBorder="1" applyAlignment="1" applyProtection="1">
      <alignment horizontal="left"/>
      <protection hidden="1"/>
    </xf>
    <xf numFmtId="166" fontId="39" fillId="0" borderId="34" xfId="3" applyFont="1" applyBorder="1" applyAlignment="1" applyProtection="1">
      <alignment horizontal="right"/>
      <protection hidden="1"/>
    </xf>
    <xf numFmtId="166" fontId="39" fillId="0" borderId="37" xfId="3" applyFont="1" applyBorder="1" applyAlignment="1" applyProtection="1">
      <alignment horizontal="right"/>
      <protection hidden="1"/>
    </xf>
    <xf numFmtId="164" fontId="39" fillId="0" borderId="73" xfId="4" applyFont="1" applyFill="1" applyBorder="1" applyProtection="1">
      <protection hidden="1"/>
    </xf>
    <xf numFmtId="164" fontId="38" fillId="0" borderId="52" xfId="4" applyFont="1" applyFill="1" applyBorder="1" applyProtection="1">
      <protection hidden="1"/>
    </xf>
    <xf numFmtId="164" fontId="38" fillId="0" borderId="52" xfId="4" applyFont="1" applyFill="1" applyBorder="1" applyAlignment="1" applyProtection="1">
      <alignment horizontal="left"/>
      <protection hidden="1"/>
    </xf>
    <xf numFmtId="166" fontId="40" fillId="0" borderId="53" xfId="3" applyFont="1" applyBorder="1" applyAlignment="1" applyProtection="1">
      <alignment horizontal="left"/>
      <protection hidden="1"/>
    </xf>
    <xf numFmtId="164" fontId="39" fillId="0" borderId="0" xfId="4" applyFont="1" applyFill="1" applyBorder="1" applyAlignment="1" applyProtection="1">
      <protection locked="0" hidden="1"/>
    </xf>
    <xf numFmtId="164" fontId="38" fillId="0" borderId="0" xfId="4" applyFont="1" applyFill="1" applyBorder="1" applyAlignment="1" applyProtection="1">
      <alignment horizontal="left"/>
      <protection hidden="1"/>
    </xf>
    <xf numFmtId="166" fontId="39" fillId="0" borderId="41" xfId="3" applyFont="1" applyBorder="1" applyAlignment="1" applyProtection="1">
      <alignment horizontal="right"/>
      <protection hidden="1"/>
    </xf>
    <xf numFmtId="164" fontId="39" fillId="0" borderId="0" xfId="4" applyFont="1" applyFill="1" applyBorder="1" applyAlignment="1" applyProtection="1">
      <protection hidden="1"/>
    </xf>
    <xf numFmtId="164" fontId="39" fillId="0" borderId="0" xfId="4" applyFont="1" applyFill="1" applyBorder="1" applyAlignment="1" applyProtection="1">
      <alignment horizontal="left"/>
      <protection hidden="1"/>
    </xf>
    <xf numFmtId="164" fontId="39" fillId="0" borderId="31" xfId="4" applyFont="1" applyFill="1" applyBorder="1" applyAlignment="1" applyProtection="1">
      <protection hidden="1"/>
    </xf>
    <xf numFmtId="164" fontId="39" fillId="0" borderId="11" xfId="4" applyFont="1" applyFill="1" applyBorder="1" applyAlignment="1" applyProtection="1">
      <protection hidden="1"/>
    </xf>
    <xf numFmtId="164" fontId="39" fillId="0" borderId="39" xfId="4" applyFont="1" applyFill="1" applyBorder="1" applyAlignment="1" applyProtection="1">
      <protection hidden="1"/>
    </xf>
    <xf numFmtId="164" fontId="39" fillId="0" borderId="35" xfId="4" applyFont="1" applyFill="1" applyBorder="1" applyProtection="1">
      <protection hidden="1"/>
    </xf>
    <xf numFmtId="164" fontId="39" fillId="0" borderId="24" xfId="4" applyFont="1" applyFill="1" applyBorder="1" applyProtection="1">
      <protection hidden="1"/>
    </xf>
    <xf numFmtId="164" fontId="39" fillId="0" borderId="1" xfId="4" applyFont="1" applyFill="1" applyBorder="1" applyProtection="1">
      <protection hidden="1"/>
    </xf>
    <xf numFmtId="164" fontId="40" fillId="0" borderId="40" xfId="4" applyFont="1" applyFill="1" applyBorder="1" applyAlignment="1" applyProtection="1">
      <protection hidden="1"/>
    </xf>
    <xf numFmtId="164" fontId="40" fillId="0" borderId="27" xfId="4" applyFont="1" applyFill="1" applyBorder="1" applyAlignment="1" applyProtection="1">
      <protection hidden="1"/>
    </xf>
    <xf numFmtId="164" fontId="40" fillId="0" borderId="3" xfId="4" applyFont="1" applyFill="1" applyBorder="1" applyAlignment="1" applyProtection="1">
      <protection hidden="1"/>
    </xf>
    <xf numFmtId="164" fontId="40" fillId="0" borderId="74" xfId="4" applyFont="1" applyFill="1" applyBorder="1" applyAlignment="1" applyProtection="1">
      <protection hidden="1"/>
    </xf>
    <xf numFmtId="164" fontId="40" fillId="0" borderId="66" xfId="4" applyFont="1" applyFill="1" applyBorder="1" applyAlignment="1" applyProtection="1">
      <protection hidden="1"/>
    </xf>
    <xf numFmtId="164" fontId="40" fillId="0" borderId="75" xfId="4" applyFont="1" applyFill="1" applyBorder="1" applyAlignment="1" applyProtection="1">
      <protection hidden="1"/>
    </xf>
    <xf numFmtId="164" fontId="39" fillId="0" borderId="30" xfId="4" applyFont="1" applyFill="1" applyBorder="1" applyProtection="1">
      <protection locked="0" hidden="1"/>
    </xf>
    <xf numFmtId="164" fontId="39" fillId="0" borderId="24" xfId="4" applyFont="1" applyFill="1" applyBorder="1" applyProtection="1">
      <protection locked="0" hidden="1"/>
    </xf>
    <xf numFmtId="164" fontId="39" fillId="0" borderId="1" xfId="4" applyFont="1" applyFill="1" applyBorder="1" applyProtection="1">
      <protection locked="0" hidden="1"/>
    </xf>
    <xf numFmtId="164" fontId="38" fillId="0" borderId="36" xfId="4" applyFont="1" applyFill="1" applyBorder="1" applyAlignment="1" applyProtection="1">
      <alignment horizontal="left"/>
      <protection locked="0" hidden="1"/>
    </xf>
    <xf numFmtId="166" fontId="38" fillId="0" borderId="36" xfId="3" applyFont="1" applyBorder="1" applyAlignment="1" applyProtection="1">
      <alignment horizontal="left"/>
      <protection locked="0" hidden="1"/>
    </xf>
    <xf numFmtId="166" fontId="39" fillId="0" borderId="26" xfId="3" applyFont="1" applyBorder="1" applyAlignment="1" applyProtection="1">
      <alignment horizontal="left"/>
      <protection locked="0" hidden="1"/>
    </xf>
    <xf numFmtId="1" fontId="39" fillId="0" borderId="56" xfId="3" applyNumberFormat="1" applyFont="1" applyBorder="1" applyAlignment="1" applyProtection="1">
      <alignment horizontal="right"/>
      <protection hidden="1"/>
    </xf>
    <xf numFmtId="164" fontId="39" fillId="0" borderId="35" xfId="4" applyFont="1" applyFill="1" applyBorder="1" applyProtection="1">
      <protection locked="0" hidden="1"/>
    </xf>
    <xf numFmtId="164" fontId="39" fillId="0" borderId="48" xfId="4" applyFont="1" applyFill="1" applyBorder="1" applyProtection="1">
      <protection hidden="1"/>
    </xf>
    <xf numFmtId="164" fontId="39" fillId="0" borderId="46" xfId="4" applyFont="1" applyFill="1" applyBorder="1" applyProtection="1">
      <protection hidden="1"/>
    </xf>
    <xf numFmtId="164" fontId="39" fillId="0" borderId="49" xfId="4" applyFont="1" applyFill="1" applyBorder="1" applyProtection="1">
      <protection hidden="1"/>
    </xf>
    <xf numFmtId="164" fontId="38" fillId="0" borderId="68" xfId="4" applyFont="1" applyFill="1" applyBorder="1" applyAlignment="1" applyProtection="1">
      <alignment horizontal="left"/>
      <protection hidden="1"/>
    </xf>
    <xf numFmtId="1" fontId="39" fillId="0" borderId="77" xfId="3" applyNumberFormat="1" applyFont="1" applyBorder="1" applyProtection="1">
      <protection hidden="1"/>
    </xf>
    <xf numFmtId="164" fontId="40" fillId="0" borderId="78" xfId="4" applyFont="1" applyFill="1" applyBorder="1" applyAlignment="1" applyProtection="1">
      <protection hidden="1"/>
    </xf>
    <xf numFmtId="164" fontId="40" fillId="0" borderId="79" xfId="4" applyFont="1" applyFill="1" applyBorder="1" applyAlignment="1" applyProtection="1">
      <protection hidden="1"/>
    </xf>
    <xf numFmtId="164" fontId="40" fillId="0" borderId="32" xfId="4" applyFont="1" applyFill="1" applyBorder="1" applyAlignment="1" applyProtection="1">
      <protection hidden="1"/>
    </xf>
    <xf numFmtId="166" fontId="40" fillId="0" borderId="33" xfId="3" applyFont="1" applyBorder="1" applyAlignment="1" applyProtection="1">
      <alignment horizontal="left"/>
      <protection hidden="1"/>
    </xf>
    <xf numFmtId="164" fontId="39" fillId="0" borderId="35" xfId="4" applyFont="1" applyFill="1" applyBorder="1" applyAlignment="1" applyProtection="1">
      <alignment horizontal="left"/>
      <protection locked="0" hidden="1"/>
    </xf>
    <xf numFmtId="164" fontId="39" fillId="0" borderId="1" xfId="4" applyFont="1" applyFill="1" applyBorder="1" applyAlignment="1" applyProtection="1">
      <alignment horizontal="left"/>
      <protection locked="0" hidden="1"/>
    </xf>
    <xf numFmtId="166" fontId="39" fillId="0" borderId="36" xfId="3" applyFont="1" applyBorder="1" applyAlignment="1" applyProtection="1">
      <alignment horizontal="left"/>
      <protection locked="0" hidden="1"/>
    </xf>
    <xf numFmtId="166" fontId="39" fillId="0" borderId="26" xfId="3" applyFont="1" applyBorder="1" applyAlignment="1" applyProtection="1">
      <alignment horizontal="left" wrapText="1"/>
      <protection locked="0" hidden="1"/>
    </xf>
    <xf numFmtId="1" fontId="39" fillId="0" borderId="56" xfId="3" applyNumberFormat="1" applyFont="1" applyBorder="1" applyAlignment="1" applyProtection="1">
      <alignment horizontal="right" vertical="top"/>
      <protection hidden="1"/>
    </xf>
    <xf numFmtId="164" fontId="39" fillId="0" borderId="35" xfId="4" applyFont="1" applyFill="1" applyBorder="1" applyAlignment="1" applyProtection="1">
      <alignment horizontal="left"/>
      <protection hidden="1"/>
    </xf>
    <xf numFmtId="164" fontId="39" fillId="0" borderId="1" xfId="4" applyFont="1" applyFill="1" applyBorder="1" applyAlignment="1" applyProtection="1">
      <alignment horizontal="left"/>
      <protection hidden="1"/>
    </xf>
    <xf numFmtId="164" fontId="39" fillId="0" borderId="35" xfId="4" applyFont="1" applyFill="1" applyBorder="1" applyAlignment="1" applyProtection="1">
      <protection locked="0" hidden="1"/>
    </xf>
    <xf numFmtId="164" fontId="39" fillId="0" borderId="1" xfId="4" applyFont="1" applyFill="1" applyBorder="1" applyAlignment="1" applyProtection="1">
      <protection locked="0" hidden="1"/>
    </xf>
    <xf numFmtId="164" fontId="39" fillId="0" borderId="67" xfId="4" applyFont="1" applyFill="1" applyBorder="1" applyProtection="1">
      <protection hidden="1"/>
    </xf>
    <xf numFmtId="164" fontId="39" fillId="0" borderId="28" xfId="4" applyFont="1" applyFill="1" applyBorder="1" applyProtection="1">
      <protection hidden="1"/>
    </xf>
    <xf numFmtId="164" fontId="39" fillId="0" borderId="7" xfId="4" applyFont="1" applyFill="1" applyBorder="1" applyProtection="1">
      <protection hidden="1"/>
    </xf>
    <xf numFmtId="164" fontId="40" fillId="0" borderId="48" xfId="4" applyFont="1" applyFill="1" applyBorder="1" applyAlignment="1" applyProtection="1">
      <protection hidden="1"/>
    </xf>
    <xf numFmtId="164" fontId="40" fillId="0" borderId="49" xfId="4" applyFont="1" applyFill="1" applyBorder="1" applyAlignment="1" applyProtection="1">
      <protection hidden="1"/>
    </xf>
    <xf numFmtId="164" fontId="39" fillId="0" borderId="30" xfId="4" applyFont="1" applyFill="1" applyBorder="1" applyAlignment="1" applyProtection="1">
      <protection hidden="1"/>
    </xf>
    <xf numFmtId="164" fontId="39" fillId="0" borderId="40" xfId="4" applyFont="1" applyFill="1" applyBorder="1" applyAlignment="1" applyProtection="1">
      <protection locked="0" hidden="1"/>
    </xf>
    <xf numFmtId="164" fontId="39" fillId="0" borderId="3" xfId="4" applyFont="1" applyFill="1" applyBorder="1" applyAlignment="1" applyProtection="1">
      <protection locked="0" hidden="1"/>
    </xf>
    <xf numFmtId="164" fontId="45" fillId="0" borderId="3" xfId="4" applyFont="1" applyFill="1" applyBorder="1" applyAlignment="1" applyProtection="1">
      <protection locked="0" hidden="1"/>
    </xf>
    <xf numFmtId="164" fontId="45" fillId="0" borderId="36" xfId="4" applyFont="1" applyFill="1" applyBorder="1" applyAlignment="1" applyProtection="1">
      <alignment horizontal="left"/>
      <protection locked="0" hidden="1"/>
    </xf>
    <xf numFmtId="164" fontId="38" fillId="0" borderId="1" xfId="4" applyFont="1" applyFill="1" applyBorder="1" applyAlignment="1" applyProtection="1">
      <alignment horizontal="left"/>
      <protection locked="0" hidden="1"/>
    </xf>
    <xf numFmtId="164" fontId="38" fillId="0" borderId="35" xfId="4" applyFont="1" applyFill="1" applyBorder="1" applyAlignment="1" applyProtection="1">
      <alignment horizontal="left"/>
      <protection locked="0" hidden="1"/>
    </xf>
    <xf numFmtId="164" fontId="50" fillId="0" borderId="35" xfId="4" applyFont="1" applyFill="1" applyBorder="1" applyAlignment="1" applyProtection="1">
      <alignment horizontal="right"/>
      <protection hidden="1"/>
    </xf>
    <xf numFmtId="164" fontId="50" fillId="0" borderId="1" xfId="4" applyFont="1" applyFill="1" applyBorder="1" applyAlignment="1" applyProtection="1">
      <alignment horizontal="right"/>
      <protection hidden="1"/>
    </xf>
    <xf numFmtId="164" fontId="39" fillId="0" borderId="38" xfId="4" applyFont="1" applyFill="1" applyBorder="1" applyAlignment="1" applyProtection="1">
      <protection locked="0" hidden="1"/>
    </xf>
    <xf numFmtId="164" fontId="39" fillId="0" borderId="39" xfId="4" applyFont="1" applyFill="1" applyBorder="1" applyAlignment="1" applyProtection="1">
      <protection locked="0" hidden="1"/>
    </xf>
    <xf numFmtId="164" fontId="39" fillId="0" borderId="38" xfId="4" applyFont="1" applyFill="1" applyBorder="1" applyAlignment="1" applyProtection="1">
      <protection hidden="1"/>
    </xf>
    <xf numFmtId="164" fontId="38" fillId="0" borderId="54" xfId="4" applyFont="1" applyFill="1" applyBorder="1" applyAlignment="1" applyProtection="1">
      <alignment horizontal="left"/>
      <protection hidden="1"/>
    </xf>
    <xf numFmtId="166" fontId="39" fillId="0" borderId="27" xfId="3" applyFont="1" applyBorder="1" applyProtection="1">
      <protection hidden="1"/>
    </xf>
    <xf numFmtId="164" fontId="38" fillId="0" borderId="49" xfId="4" applyFont="1" applyFill="1" applyBorder="1" applyAlignment="1" applyProtection="1">
      <alignment horizontal="left"/>
      <protection hidden="1"/>
    </xf>
    <xf numFmtId="0" fontId="39" fillId="0" borderId="28" xfId="3" applyNumberFormat="1" applyFont="1" applyBorder="1" applyProtection="1">
      <protection hidden="1"/>
    </xf>
    <xf numFmtId="0" fontId="39" fillId="0" borderId="42" xfId="3" applyNumberFormat="1" applyFont="1" applyBorder="1" applyProtection="1">
      <protection hidden="1"/>
    </xf>
    <xf numFmtId="0" fontId="39" fillId="0" borderId="7" xfId="3" applyNumberFormat="1" applyFont="1" applyBorder="1" applyProtection="1">
      <protection hidden="1"/>
    </xf>
    <xf numFmtId="166" fontId="39" fillId="0" borderId="45" xfId="3" applyFont="1" applyBorder="1" applyProtection="1">
      <protection hidden="1"/>
    </xf>
    <xf numFmtId="164" fontId="39" fillId="0" borderId="68" xfId="4" applyFont="1" applyFill="1" applyBorder="1" applyAlignment="1" applyProtection="1">
      <alignment horizontal="left"/>
      <protection hidden="1"/>
    </xf>
    <xf numFmtId="166" fontId="39" fillId="0" borderId="68" xfId="3" applyFont="1" applyBorder="1" applyAlignment="1" applyProtection="1">
      <alignment horizontal="left"/>
      <protection hidden="1"/>
    </xf>
    <xf numFmtId="164" fontId="39" fillId="0" borderId="41" xfId="4" applyFont="1" applyFill="1" applyBorder="1" applyAlignment="1" applyProtection="1">
      <alignment horizontal="left"/>
      <protection hidden="1"/>
    </xf>
    <xf numFmtId="1" fontId="51" fillId="0" borderId="0" xfId="3" applyNumberFormat="1" applyFont="1" applyProtection="1">
      <protection hidden="1"/>
    </xf>
    <xf numFmtId="164" fontId="39" fillId="0" borderId="32" xfId="4" applyFont="1" applyFill="1" applyBorder="1" applyAlignment="1" applyProtection="1">
      <alignment horizontal="left"/>
      <protection hidden="1"/>
    </xf>
    <xf numFmtId="164" fontId="40" fillId="0" borderId="57" xfId="4" applyFont="1" applyFill="1" applyBorder="1" applyAlignment="1" applyProtection="1">
      <protection hidden="1"/>
    </xf>
    <xf numFmtId="164" fontId="39" fillId="0" borderId="36" xfId="4" applyFont="1" applyFill="1" applyBorder="1" applyAlignment="1" applyProtection="1">
      <alignment horizontal="left"/>
      <protection locked="0" hidden="1"/>
    </xf>
    <xf numFmtId="164" fontId="38" fillId="0" borderId="1" xfId="4" applyFont="1" applyFill="1" applyBorder="1" applyProtection="1">
      <protection hidden="1"/>
    </xf>
    <xf numFmtId="164" fontId="39" fillId="0" borderId="31" xfId="4" applyFont="1" applyFill="1" applyBorder="1" applyAlignment="1" applyProtection="1">
      <protection locked="0" hidden="1"/>
    </xf>
    <xf numFmtId="164" fontId="39" fillId="0" borderId="7" xfId="4" applyFont="1" applyFill="1" applyBorder="1" applyAlignment="1" applyProtection="1">
      <protection locked="0" hidden="1"/>
    </xf>
    <xf numFmtId="164" fontId="50" fillId="0" borderId="42" xfId="4" applyFont="1" applyFill="1" applyBorder="1" applyAlignment="1" applyProtection="1">
      <protection hidden="1"/>
    </xf>
    <xf numFmtId="1" fontId="39" fillId="0" borderId="56" xfId="3" applyNumberFormat="1" applyFont="1" applyBorder="1" applyAlignment="1" applyProtection="1">
      <alignment vertical="top"/>
      <protection hidden="1"/>
    </xf>
    <xf numFmtId="164" fontId="38" fillId="0" borderId="36" xfId="4" applyFont="1" applyFill="1" applyBorder="1" applyAlignment="1">
      <alignment horizontal="left"/>
    </xf>
    <xf numFmtId="1" fontId="39" fillId="0" borderId="56" xfId="3" applyNumberFormat="1" applyFont="1" applyBorder="1" applyAlignment="1" applyProtection="1">
      <alignment vertical="top" wrapText="1"/>
      <protection hidden="1"/>
    </xf>
    <xf numFmtId="164" fontId="38" fillId="0" borderId="36" xfId="4" applyFont="1" applyFill="1" applyBorder="1" applyAlignment="1"/>
    <xf numFmtId="164" fontId="38" fillId="0" borderId="49" xfId="4" applyFont="1" applyFill="1" applyBorder="1" applyProtection="1">
      <protection hidden="1"/>
    </xf>
    <xf numFmtId="166" fontId="38" fillId="0" borderId="3" xfId="3" applyFont="1" applyBorder="1" applyProtection="1">
      <protection hidden="1"/>
    </xf>
    <xf numFmtId="164" fontId="39" fillId="0" borderId="45" xfId="4" applyFont="1" applyFill="1" applyBorder="1" applyAlignment="1" applyProtection="1">
      <alignment horizontal="left"/>
      <protection hidden="1"/>
    </xf>
    <xf numFmtId="166" fontId="39" fillId="0" borderId="39" xfId="3" applyFont="1" applyBorder="1" applyProtection="1">
      <protection hidden="1"/>
    </xf>
    <xf numFmtId="166" fontId="38" fillId="0" borderId="46" xfId="3" applyFont="1" applyBorder="1" applyProtection="1">
      <protection hidden="1"/>
    </xf>
    <xf numFmtId="166" fontId="38" fillId="0" borderId="45" xfId="3" applyFont="1" applyBorder="1" applyProtection="1">
      <protection hidden="1"/>
    </xf>
    <xf numFmtId="164" fontId="39" fillId="0" borderId="52" xfId="4" applyFont="1" applyFill="1" applyBorder="1" applyAlignment="1" applyProtection="1">
      <alignment horizontal="left"/>
      <protection hidden="1"/>
    </xf>
    <xf numFmtId="166" fontId="38" fillId="0" borderId="37" xfId="3" applyFont="1" applyBorder="1" applyProtection="1">
      <protection hidden="1"/>
    </xf>
    <xf numFmtId="1" fontId="52" fillId="0" borderId="0" xfId="3" applyNumberFormat="1" applyFont="1" applyProtection="1">
      <protection hidden="1"/>
    </xf>
    <xf numFmtId="164" fontId="39" fillId="0" borderId="59" xfId="4" applyFont="1" applyFill="1" applyBorder="1" applyAlignment="1">
      <alignment horizontal="left"/>
    </xf>
    <xf numFmtId="166" fontId="39" fillId="0" borderId="49" xfId="3" applyFont="1" applyBorder="1" applyProtection="1">
      <protection locked="0" hidden="1"/>
    </xf>
    <xf numFmtId="164" fontId="38" fillId="0" borderId="45" xfId="4" applyFont="1" applyFill="1" applyBorder="1" applyAlignment="1">
      <alignment horizontal="left"/>
    </xf>
    <xf numFmtId="166" fontId="40" fillId="0" borderId="39" xfId="3" applyFont="1" applyBorder="1" applyProtection="1">
      <protection hidden="1"/>
    </xf>
    <xf numFmtId="166" fontId="39" fillId="0" borderId="80" xfId="3" applyFont="1" applyBorder="1" applyProtection="1">
      <protection locked="0" hidden="1"/>
    </xf>
    <xf numFmtId="166" fontId="40" fillId="0" borderId="79" xfId="3" applyFont="1" applyBorder="1" applyProtection="1">
      <protection hidden="1"/>
    </xf>
    <xf numFmtId="166" fontId="39" fillId="0" borderId="79" xfId="3" applyFont="1" applyBorder="1" applyProtection="1">
      <protection hidden="1"/>
    </xf>
    <xf numFmtId="166" fontId="40" fillId="0" borderId="26" xfId="3" applyFont="1" applyBorder="1" applyAlignment="1" applyProtection="1">
      <alignment horizontal="left" wrapText="1"/>
      <protection hidden="1"/>
    </xf>
    <xf numFmtId="166" fontId="39" fillId="0" borderId="26" xfId="3" applyFont="1" applyBorder="1" applyAlignment="1">
      <alignment horizontal="left"/>
    </xf>
    <xf numFmtId="164" fontId="39" fillId="0" borderId="3" xfId="4" applyFont="1" applyFill="1" applyBorder="1" applyAlignment="1" applyProtection="1">
      <protection hidden="1"/>
    </xf>
    <xf numFmtId="164" fontId="39" fillId="0" borderId="36" xfId="4" applyFont="1" applyFill="1" applyBorder="1" applyProtection="1">
      <protection locked="0" hidden="1"/>
    </xf>
    <xf numFmtId="166" fontId="39" fillId="0" borderId="36" xfId="3" applyFont="1" applyBorder="1" applyProtection="1">
      <protection locked="0" hidden="1"/>
    </xf>
    <xf numFmtId="166" fontId="39" fillId="0" borderId="26" xfId="3" applyFont="1" applyBorder="1" applyProtection="1">
      <protection locked="0" hidden="1"/>
    </xf>
    <xf numFmtId="166" fontId="39" fillId="0" borderId="56" xfId="3" applyFont="1" applyBorder="1" applyAlignment="1" applyProtection="1">
      <alignment horizontal="right"/>
      <protection hidden="1"/>
    </xf>
    <xf numFmtId="10" fontId="39" fillId="0" borderId="36" xfId="3" applyNumberFormat="1" applyFont="1" applyBorder="1" applyAlignment="1" applyProtection="1">
      <alignment horizontal="left"/>
      <protection locked="0" hidden="1"/>
    </xf>
    <xf numFmtId="166" fontId="40" fillId="0" borderId="27" xfId="3" applyFont="1" applyBorder="1" applyAlignment="1" applyProtection="1">
      <alignment horizontal="left"/>
      <protection hidden="1"/>
    </xf>
    <xf numFmtId="1" fontId="39" fillId="0" borderId="81" xfId="3" applyNumberFormat="1" applyFont="1" applyBorder="1" applyProtection="1">
      <protection hidden="1"/>
    </xf>
    <xf numFmtId="164" fontId="39" fillId="0" borderId="7" xfId="4" applyFont="1" applyFill="1" applyBorder="1" applyAlignment="1" applyProtection="1">
      <protection locked="0"/>
    </xf>
    <xf numFmtId="164" fontId="40" fillId="0" borderId="1" xfId="4" applyFont="1" applyFill="1" applyBorder="1" applyAlignment="1" applyProtection="1">
      <protection hidden="1"/>
    </xf>
    <xf numFmtId="164" fontId="50" fillId="0" borderId="3" xfId="4" applyFont="1" applyFill="1" applyBorder="1" applyAlignment="1" applyProtection="1">
      <protection hidden="1"/>
    </xf>
    <xf numFmtId="164" fontId="39" fillId="0" borderId="80" xfId="4" applyFont="1" applyFill="1" applyBorder="1" applyAlignment="1" applyProtection="1">
      <protection hidden="1"/>
    </xf>
    <xf numFmtId="166" fontId="39" fillId="0" borderId="76" xfId="3" applyFont="1" applyBorder="1" applyAlignment="1" applyProtection="1">
      <alignment horizontal="left" wrapText="1"/>
      <protection hidden="1"/>
    </xf>
    <xf numFmtId="164" fontId="39" fillId="0" borderId="0" xfId="4" applyFont="1" applyFill="1" applyBorder="1" applyProtection="1">
      <protection locked="0" hidden="1"/>
    </xf>
    <xf numFmtId="43" fontId="17" fillId="0" borderId="12" xfId="1" applyFont="1" applyBorder="1" applyAlignment="1">
      <alignment vertical="center"/>
    </xf>
    <xf numFmtId="164" fontId="50" fillId="0" borderId="36" xfId="4" applyFont="1" applyFill="1" applyBorder="1" applyAlignment="1" applyProtection="1">
      <protection hidden="1"/>
    </xf>
    <xf numFmtId="164" fontId="39" fillId="0" borderId="36" xfId="4" applyFont="1" applyFill="1" applyBorder="1" applyAlignment="1" applyProtection="1">
      <protection hidden="1"/>
    </xf>
    <xf numFmtId="164" fontId="39" fillId="0" borderId="59" xfId="4" applyFont="1" applyFill="1" applyBorder="1" applyAlignment="1" applyProtection="1">
      <protection locked="0" hidden="1"/>
    </xf>
    <xf numFmtId="166" fontId="39" fillId="0" borderId="39" xfId="3" applyFont="1" applyBorder="1" applyProtection="1">
      <protection locked="0" hidden="1"/>
    </xf>
    <xf numFmtId="9" fontId="39" fillId="0" borderId="1" xfId="2" applyFont="1" applyFill="1" applyBorder="1" applyAlignment="1" applyProtection="1">
      <protection locked="0" hidden="1"/>
    </xf>
    <xf numFmtId="164" fontId="39" fillId="0" borderId="25" xfId="4" applyFont="1" applyFill="1" applyBorder="1" applyAlignment="1" applyProtection="1">
      <protection hidden="1"/>
    </xf>
    <xf numFmtId="166" fontId="40" fillId="0" borderId="28" xfId="3" applyFont="1" applyBorder="1" applyAlignment="1" applyProtection="1">
      <alignment horizontal="left"/>
      <protection hidden="1"/>
    </xf>
    <xf numFmtId="1" fontId="39" fillId="0" borderId="26" xfId="3" applyNumberFormat="1" applyFont="1" applyBorder="1" applyAlignment="1" applyProtection="1">
      <alignment horizontal="center"/>
      <protection locked="0" hidden="1"/>
    </xf>
    <xf numFmtId="1" fontId="39" fillId="0" borderId="2" xfId="3" applyNumberFormat="1" applyFont="1" applyBorder="1" applyAlignment="1" applyProtection="1">
      <alignment horizontal="center"/>
      <protection locked="0" hidden="1"/>
    </xf>
    <xf numFmtId="166" fontId="38" fillId="0" borderId="36" xfId="3" applyFont="1" applyBorder="1" applyAlignment="1" applyProtection="1">
      <alignment horizontal="right"/>
      <protection hidden="1"/>
    </xf>
    <xf numFmtId="43" fontId="39" fillId="0" borderId="30" xfId="1" applyFont="1" applyFill="1" applyBorder="1" applyAlignment="1" applyProtection="1">
      <alignment horizontal="center"/>
      <protection locked="0" hidden="1"/>
    </xf>
    <xf numFmtId="164" fontId="39" fillId="0" borderId="31" xfId="4" applyFont="1" applyFill="1" applyBorder="1" applyAlignment="1" applyProtection="1">
      <alignment horizontal="center"/>
      <protection locked="0" hidden="1"/>
    </xf>
    <xf numFmtId="166" fontId="38" fillId="0" borderId="59" xfId="3" applyFont="1" applyBorder="1" applyAlignment="1" applyProtection="1">
      <alignment horizontal="right"/>
      <protection hidden="1"/>
    </xf>
    <xf numFmtId="43" fontId="39" fillId="0" borderId="35" xfId="1" applyFont="1" applyFill="1" applyBorder="1" applyAlignment="1" applyProtection="1">
      <alignment horizontal="center"/>
      <protection locked="0" hidden="1"/>
    </xf>
    <xf numFmtId="164" fontId="39" fillId="0" borderId="1" xfId="4" applyFont="1" applyFill="1" applyBorder="1" applyAlignment="1" applyProtection="1">
      <alignment horizontal="center"/>
      <protection locked="0" hidden="1"/>
    </xf>
    <xf numFmtId="166" fontId="38" fillId="0" borderId="39" xfId="3" applyFont="1" applyBorder="1" applyAlignment="1" applyProtection="1">
      <alignment horizontal="right"/>
      <protection hidden="1"/>
    </xf>
    <xf numFmtId="1" fontId="39" fillId="0" borderId="35" xfId="3" applyNumberFormat="1" applyFont="1" applyBorder="1" applyAlignment="1" applyProtection="1">
      <alignment horizontal="center"/>
      <protection locked="0" hidden="1"/>
    </xf>
    <xf numFmtId="1" fontId="39" fillId="0" borderId="1" xfId="3" applyNumberFormat="1" applyFont="1" applyBorder="1" applyAlignment="1" applyProtection="1">
      <alignment horizontal="center"/>
      <protection locked="0" hidden="1"/>
    </xf>
    <xf numFmtId="10" fontId="39" fillId="0" borderId="35" xfId="2" applyNumberFormat="1" applyFont="1" applyFill="1" applyBorder="1" applyAlignment="1" applyProtection="1">
      <alignment horizontal="center"/>
      <protection locked="0" hidden="1"/>
    </xf>
    <xf numFmtId="10" fontId="39" fillId="0" borderId="1" xfId="2" applyNumberFormat="1" applyFont="1" applyFill="1" applyBorder="1" applyAlignment="1" applyProtection="1">
      <alignment horizontal="center"/>
      <protection locked="0" hidden="1"/>
    </xf>
    <xf numFmtId="10" fontId="38" fillId="0" borderId="39" xfId="2" applyNumberFormat="1" applyFont="1" applyBorder="1" applyAlignment="1" applyProtection="1">
      <alignment horizontal="right"/>
      <protection hidden="1"/>
    </xf>
    <xf numFmtId="176" fontId="39" fillId="0" borderId="48" xfId="3" applyNumberFormat="1" applyFont="1" applyBorder="1" applyAlignment="1" applyProtection="1">
      <alignment horizontal="center"/>
      <protection locked="0" hidden="1"/>
    </xf>
    <xf numFmtId="176" fontId="39" fillId="0" borderId="49" xfId="3" applyNumberFormat="1" applyFont="1" applyBorder="1" applyAlignment="1" applyProtection="1">
      <alignment horizontal="center"/>
      <protection locked="0" hidden="1"/>
    </xf>
    <xf numFmtId="176" fontId="38" fillId="0" borderId="45" xfId="3" applyNumberFormat="1" applyFont="1" applyBorder="1" applyAlignment="1" applyProtection="1">
      <alignment horizontal="right"/>
      <protection hidden="1"/>
    </xf>
    <xf numFmtId="166" fontId="38" fillId="0" borderId="45" xfId="3" applyFont="1" applyBorder="1" applyAlignment="1" applyProtection="1">
      <alignment horizontal="right"/>
      <protection hidden="1"/>
    </xf>
    <xf numFmtId="166" fontId="39" fillId="0" borderId="48" xfId="3" applyFont="1" applyBorder="1" applyProtection="1">
      <protection locked="0" hidden="1"/>
    </xf>
    <xf numFmtId="166" fontId="38" fillId="0" borderId="25" xfId="3" applyFont="1" applyBorder="1" applyAlignment="1" applyProtection="1">
      <alignment horizontal="right"/>
      <protection hidden="1"/>
    </xf>
    <xf numFmtId="166" fontId="53" fillId="0" borderId="0" xfId="3" applyFont="1" applyAlignment="1" applyProtection="1">
      <alignment horizontal="left"/>
      <protection locked="0" hidden="1"/>
    </xf>
    <xf numFmtId="166" fontId="39" fillId="0" borderId="44" xfId="3" applyFont="1" applyBorder="1" applyAlignment="1" applyProtection="1">
      <alignment horizontal="left"/>
      <protection hidden="1"/>
    </xf>
    <xf numFmtId="166" fontId="39" fillId="0" borderId="26" xfId="3" applyFont="1" applyBorder="1" applyAlignment="1" applyProtection="1">
      <alignment horizontal="left" wrapText="1"/>
      <protection hidden="1"/>
    </xf>
    <xf numFmtId="166" fontId="40" fillId="0" borderId="26" xfId="3" applyFont="1" applyBorder="1" applyAlignment="1" applyProtection="1">
      <alignment horizontal="left"/>
      <protection hidden="1"/>
    </xf>
    <xf numFmtId="166" fontId="39" fillId="0" borderId="26" xfId="3" applyFont="1" applyBorder="1" applyAlignment="1" applyProtection="1">
      <alignment horizontal="left"/>
      <protection hidden="1"/>
    </xf>
    <xf numFmtId="166" fontId="39" fillId="0" borderId="36" xfId="3" applyFont="1" applyBorder="1" applyAlignment="1" applyProtection="1">
      <alignment horizontal="left"/>
      <protection hidden="1"/>
    </xf>
    <xf numFmtId="166" fontId="40" fillId="0" borderId="76" xfId="3" applyFont="1" applyBorder="1" applyAlignment="1" applyProtection="1">
      <alignment horizontal="left"/>
      <protection hidden="1"/>
    </xf>
    <xf numFmtId="166" fontId="38" fillId="0" borderId="68" xfId="3" applyFont="1" applyBorder="1" applyAlignment="1" applyProtection="1">
      <alignment horizontal="left"/>
      <protection hidden="1"/>
    </xf>
    <xf numFmtId="166" fontId="39" fillId="0" borderId="33" xfId="3" applyFont="1" applyBorder="1" applyAlignment="1" applyProtection="1">
      <alignment horizontal="left"/>
      <protection hidden="1"/>
    </xf>
    <xf numFmtId="166" fontId="39" fillId="0" borderId="32" xfId="3" applyFont="1" applyBorder="1" applyAlignment="1" applyProtection="1">
      <alignment horizontal="left"/>
      <protection hidden="1"/>
    </xf>
    <xf numFmtId="166" fontId="40" fillId="0" borderId="44" xfId="3" applyFont="1" applyBorder="1" applyAlignment="1" applyProtection="1">
      <alignment horizontal="left"/>
      <protection hidden="1"/>
    </xf>
    <xf numFmtId="166" fontId="39" fillId="0" borderId="52" xfId="3" applyFont="1" applyBorder="1" applyAlignment="1" applyProtection="1">
      <alignment horizontal="left"/>
      <protection hidden="1"/>
    </xf>
    <xf numFmtId="166" fontId="38" fillId="0" borderId="52" xfId="3" applyFont="1" applyBorder="1" applyAlignment="1" applyProtection="1">
      <alignment horizontal="left"/>
      <protection hidden="1"/>
    </xf>
    <xf numFmtId="166" fontId="39" fillId="0" borderId="41" xfId="3" applyFont="1" applyBorder="1" applyAlignment="1" applyProtection="1">
      <alignment horizontal="left"/>
      <protection hidden="1"/>
    </xf>
    <xf numFmtId="166" fontId="38" fillId="0" borderId="41" xfId="3" applyFont="1" applyBorder="1" applyAlignment="1" applyProtection="1">
      <alignment horizontal="left"/>
      <protection hidden="1"/>
    </xf>
    <xf numFmtId="166" fontId="47" fillId="0" borderId="45" xfId="3" applyFont="1" applyBorder="1" applyAlignment="1" applyProtection="1">
      <alignment horizontal="left"/>
      <protection hidden="1"/>
    </xf>
    <xf numFmtId="166" fontId="39" fillId="0" borderId="71" xfId="3" applyFont="1" applyBorder="1" applyAlignment="1" applyProtection="1">
      <alignment horizontal="left"/>
      <protection hidden="1"/>
    </xf>
    <xf numFmtId="166" fontId="38" fillId="0" borderId="39" xfId="3" applyFont="1" applyBorder="1" applyAlignment="1" applyProtection="1">
      <alignment horizontal="left"/>
      <protection hidden="1"/>
    </xf>
    <xf numFmtId="166" fontId="39" fillId="0" borderId="24" xfId="3" applyFont="1" applyBorder="1" applyAlignment="1" applyProtection="1">
      <alignment horizontal="left"/>
      <protection hidden="1"/>
    </xf>
    <xf numFmtId="166" fontId="38" fillId="0" borderId="42" xfId="3" applyFont="1" applyBorder="1" applyAlignment="1" applyProtection="1">
      <alignment horizontal="left"/>
      <protection hidden="1"/>
    </xf>
    <xf numFmtId="166" fontId="39" fillId="0" borderId="11" xfId="3" applyFont="1" applyBorder="1" applyAlignment="1" applyProtection="1">
      <alignment horizontal="left"/>
      <protection hidden="1"/>
    </xf>
    <xf numFmtId="166" fontId="39" fillId="0" borderId="42" xfId="3" applyFont="1" applyBorder="1" applyAlignment="1" applyProtection="1">
      <alignment horizontal="left"/>
      <protection hidden="1"/>
    </xf>
    <xf numFmtId="164" fontId="39" fillId="0" borderId="42" xfId="4" applyFont="1" applyFill="1" applyBorder="1" applyAlignment="1" applyProtection="1">
      <protection locked="0" hidden="1"/>
    </xf>
    <xf numFmtId="166" fontId="38" fillId="0" borderId="0" xfId="3" applyFont="1" applyFill="1" applyProtection="1">
      <protection hidden="1"/>
    </xf>
    <xf numFmtId="1" fontId="39" fillId="0" borderId="0" xfId="3" applyNumberFormat="1" applyFont="1" applyBorder="1" applyProtection="1">
      <protection hidden="1"/>
    </xf>
    <xf numFmtId="166" fontId="38" fillId="0" borderId="0" xfId="3" applyFont="1" applyBorder="1" applyProtection="1">
      <protection hidden="1"/>
    </xf>
    <xf numFmtId="166" fontId="39" fillId="0" borderId="0" xfId="3" applyFont="1" applyBorder="1" applyAlignment="1" applyProtection="1">
      <alignment horizontal="right"/>
      <protection hidden="1"/>
    </xf>
    <xf numFmtId="166" fontId="38" fillId="0" borderId="0" xfId="3" applyFont="1" applyBorder="1" applyAlignment="1" applyProtection="1">
      <alignment horizontal="right"/>
      <protection hidden="1"/>
    </xf>
    <xf numFmtId="1" fontId="39" fillId="0" borderId="82" xfId="3" applyNumberFormat="1" applyFont="1" applyBorder="1" applyAlignment="1" applyProtection="1">
      <alignment horizontal="center"/>
      <protection locked="0" hidden="1"/>
    </xf>
    <xf numFmtId="166" fontId="39" fillId="0" borderId="0" xfId="3" applyFont="1" applyBorder="1" applyAlignment="1" applyProtection="1">
      <alignment horizontal="left"/>
      <protection hidden="1"/>
    </xf>
    <xf numFmtId="164" fontId="39" fillId="0" borderId="72" xfId="4" applyFont="1" applyFill="1" applyBorder="1" applyAlignment="1" applyProtection="1">
      <protection locked="0" hidden="1"/>
    </xf>
    <xf numFmtId="164" fontId="39" fillId="0" borderId="30" xfId="4" applyFont="1" applyFill="1" applyBorder="1" applyAlignment="1" applyProtection="1">
      <protection locked="0" hidden="1"/>
    </xf>
    <xf numFmtId="166" fontId="40" fillId="0" borderId="0" xfId="3" applyFont="1" applyBorder="1" applyAlignment="1" applyProtection="1">
      <alignment horizontal="left"/>
      <protection hidden="1"/>
    </xf>
    <xf numFmtId="166" fontId="39" fillId="0" borderId="0" xfId="3" applyFont="1" applyBorder="1" applyAlignment="1" applyProtection="1">
      <alignment horizontal="left" wrapText="1"/>
      <protection hidden="1"/>
    </xf>
    <xf numFmtId="9" fontId="39" fillId="0" borderId="35" xfId="2" applyFont="1" applyFill="1" applyBorder="1" applyAlignment="1" applyProtection="1">
      <protection locked="0" hidden="1"/>
    </xf>
    <xf numFmtId="164" fontId="39" fillId="0" borderId="54" xfId="4" applyFont="1" applyFill="1" applyBorder="1" applyAlignment="1" applyProtection="1">
      <alignment horizontal="left"/>
      <protection hidden="1"/>
    </xf>
    <xf numFmtId="166" fontId="39" fillId="0" borderId="38" xfId="3" applyFont="1" applyBorder="1" applyProtection="1">
      <protection locked="0" hidden="1"/>
    </xf>
    <xf numFmtId="164" fontId="39" fillId="0" borderId="69" xfId="4" applyFont="1" applyFill="1" applyBorder="1" applyAlignment="1" applyProtection="1">
      <protection locked="0" hidden="1"/>
    </xf>
    <xf numFmtId="164" fontId="50" fillId="0" borderId="54" xfId="4" applyFont="1" applyFill="1" applyBorder="1" applyAlignment="1" applyProtection="1">
      <protection hidden="1"/>
    </xf>
    <xf numFmtId="166" fontId="39" fillId="0" borderId="0" xfId="3" applyFont="1" applyBorder="1" applyProtection="1">
      <protection locked="0" hidden="1"/>
    </xf>
    <xf numFmtId="43" fontId="17" fillId="0" borderId="83" xfId="1" applyFont="1" applyBorder="1" applyAlignment="1">
      <alignment vertical="center"/>
    </xf>
    <xf numFmtId="164" fontId="40" fillId="0" borderId="62" xfId="4" applyFont="1" applyFill="1" applyBorder="1" applyAlignment="1" applyProtection="1">
      <protection hidden="1"/>
    </xf>
    <xf numFmtId="164" fontId="39" fillId="0" borderId="74" xfId="4" applyFont="1" applyFill="1" applyBorder="1" applyAlignment="1" applyProtection="1">
      <protection hidden="1"/>
    </xf>
    <xf numFmtId="164" fontId="50" fillId="0" borderId="40" xfId="4" applyFont="1" applyFill="1" applyBorder="1" applyAlignment="1" applyProtection="1">
      <protection hidden="1"/>
    </xf>
    <xf numFmtId="164" fontId="40" fillId="0" borderId="35" xfId="4" applyFont="1" applyFill="1" applyBorder="1" applyAlignment="1" applyProtection="1">
      <protection hidden="1"/>
    </xf>
    <xf numFmtId="164" fontId="39" fillId="0" borderId="67" xfId="4" applyFont="1" applyFill="1" applyBorder="1" applyAlignment="1" applyProtection="1">
      <protection locked="0"/>
    </xf>
    <xf numFmtId="164" fontId="39" fillId="0" borderId="40" xfId="4" applyFont="1" applyFill="1" applyBorder="1" applyAlignment="1" applyProtection="1">
      <protection hidden="1"/>
    </xf>
    <xf numFmtId="164" fontId="39" fillId="0" borderId="67" xfId="4" applyFont="1" applyFill="1" applyBorder="1" applyAlignment="1" applyProtection="1">
      <protection locked="0" hidden="1"/>
    </xf>
    <xf numFmtId="164" fontId="39" fillId="0" borderId="54" xfId="4" applyFont="1" applyFill="1" applyBorder="1" applyAlignment="1" applyProtection="1">
      <alignment horizontal="left"/>
      <protection locked="0" hidden="1"/>
    </xf>
    <xf numFmtId="166" fontId="39" fillId="0" borderId="78" xfId="3" applyFont="1" applyBorder="1" applyProtection="1">
      <protection hidden="1"/>
    </xf>
    <xf numFmtId="166" fontId="40" fillId="0" borderId="78" xfId="3" applyFont="1" applyBorder="1" applyProtection="1">
      <protection hidden="1"/>
    </xf>
    <xf numFmtId="166" fontId="39" fillId="0" borderId="74" xfId="3" applyFont="1" applyBorder="1" applyProtection="1">
      <protection locked="0" hidden="1"/>
    </xf>
    <xf numFmtId="166" fontId="40" fillId="0" borderId="38" xfId="3" applyFont="1" applyBorder="1" applyProtection="1">
      <protection hidden="1"/>
    </xf>
    <xf numFmtId="166" fontId="39" fillId="0" borderId="0" xfId="3" applyFont="1" applyBorder="1" applyProtection="1">
      <protection hidden="1"/>
    </xf>
    <xf numFmtId="166" fontId="39" fillId="0" borderId="35" xfId="3" applyFont="1" applyBorder="1" applyProtection="1">
      <protection locked="0" hidden="1"/>
    </xf>
    <xf numFmtId="166" fontId="39" fillId="0" borderId="30" xfId="3" applyFont="1" applyBorder="1" applyProtection="1">
      <protection locked="0" hidden="1"/>
    </xf>
    <xf numFmtId="164" fontId="38" fillId="0" borderId="54" xfId="4" applyFont="1" applyFill="1" applyBorder="1" applyAlignment="1"/>
    <xf numFmtId="164" fontId="38" fillId="0" borderId="54" xfId="4" applyFont="1" applyFill="1" applyBorder="1" applyAlignment="1">
      <alignment horizontal="left"/>
    </xf>
    <xf numFmtId="164" fontId="50" fillId="0" borderId="72" xfId="4" applyFont="1" applyFill="1" applyBorder="1" applyAlignment="1" applyProtection="1">
      <protection hidden="1"/>
    </xf>
    <xf numFmtId="164" fontId="40" fillId="0" borderId="84" xfId="4" applyFont="1" applyFill="1" applyBorder="1" applyAlignment="1" applyProtection="1">
      <protection hidden="1"/>
    </xf>
    <xf numFmtId="164" fontId="39" fillId="0" borderId="85" xfId="4" applyFont="1" applyFill="1" applyBorder="1" applyAlignment="1" applyProtection="1">
      <protection hidden="1"/>
    </xf>
    <xf numFmtId="2" fontId="39" fillId="0" borderId="43" xfId="3" applyNumberFormat="1" applyFont="1" applyBorder="1" applyProtection="1">
      <protection hidden="1"/>
    </xf>
    <xf numFmtId="166" fontId="39" fillId="0" borderId="38" xfId="3" quotePrefix="1" applyFont="1" applyBorder="1" applyProtection="1">
      <protection hidden="1"/>
    </xf>
    <xf numFmtId="2" fontId="39" fillId="0" borderId="38" xfId="3" quotePrefix="1" applyNumberFormat="1" applyFont="1" applyBorder="1" applyProtection="1">
      <protection hidden="1"/>
    </xf>
    <xf numFmtId="10" fontId="39" fillId="0" borderId="38" xfId="3" quotePrefix="1" applyNumberFormat="1" applyFont="1" applyBorder="1" applyProtection="1">
      <protection hidden="1"/>
    </xf>
    <xf numFmtId="1" fontId="39" fillId="0" borderId="69" xfId="3" quotePrefix="1" applyNumberFormat="1" applyFont="1" applyBorder="1" applyProtection="1">
      <protection hidden="1"/>
    </xf>
    <xf numFmtId="166" fontId="39" fillId="0" borderId="85" xfId="3" applyFont="1" applyBorder="1" applyProtection="1">
      <protection hidden="1"/>
    </xf>
    <xf numFmtId="166" fontId="39" fillId="0" borderId="73" xfId="3" applyFont="1" applyBorder="1" applyProtection="1">
      <protection hidden="1"/>
    </xf>
    <xf numFmtId="166" fontId="38" fillId="0" borderId="0" xfId="3" applyFont="1" applyBorder="1" applyAlignment="1" applyProtection="1">
      <alignment wrapText="1"/>
      <protection hidden="1"/>
    </xf>
    <xf numFmtId="43" fontId="6" fillId="0" borderId="16" xfId="0" applyNumberFormat="1" applyFont="1" applyBorder="1" applyAlignment="1">
      <alignment vertical="center"/>
    </xf>
    <xf numFmtId="43" fontId="6" fillId="0" borderId="16" xfId="0" applyNumberFormat="1" applyFont="1" applyFill="1" applyBorder="1" applyAlignment="1">
      <alignment vertical="center"/>
    </xf>
    <xf numFmtId="0" fontId="6" fillId="0" borderId="20" xfId="0" applyFont="1" applyFill="1" applyBorder="1" applyAlignment="1">
      <alignment vertical="center"/>
    </xf>
    <xf numFmtId="0" fontId="17" fillId="0" borderId="20" xfId="0" applyFont="1" applyFill="1" applyBorder="1" applyAlignment="1">
      <alignment vertical="center"/>
    </xf>
    <xf numFmtId="43" fontId="6" fillId="0" borderId="20" xfId="1" applyFont="1" applyFill="1" applyBorder="1" applyAlignment="1">
      <alignment vertical="center"/>
    </xf>
    <xf numFmtId="10" fontId="17" fillId="0" borderId="20" xfId="2" applyNumberFormat="1" applyFont="1" applyFill="1" applyBorder="1" applyAlignment="1">
      <alignment vertical="center"/>
    </xf>
    <xf numFmtId="0" fontId="8" fillId="0" borderId="20" xfId="0" applyFont="1" applyFill="1" applyBorder="1" applyAlignment="1">
      <alignment vertical="center"/>
    </xf>
    <xf numFmtId="43" fontId="18" fillId="0" borderId="16" xfId="0" applyNumberFormat="1" applyFont="1" applyFill="1" applyBorder="1" applyAlignment="1">
      <alignment vertical="center"/>
    </xf>
    <xf numFmtId="43" fontId="8" fillId="0" borderId="20" xfId="0" applyNumberFormat="1" applyFont="1" applyFill="1" applyBorder="1" applyAlignment="1">
      <alignment vertical="center"/>
    </xf>
    <xf numFmtId="10" fontId="0" fillId="0" borderId="1" xfId="0" applyNumberFormat="1" applyBorder="1"/>
    <xf numFmtId="10" fontId="0" fillId="0" borderId="1" xfId="2" applyNumberFormat="1" applyFont="1" applyBorder="1"/>
    <xf numFmtId="0" fontId="3" fillId="0" borderId="1" xfId="0" applyFont="1" applyFill="1" applyBorder="1"/>
    <xf numFmtId="15" fontId="0" fillId="0" borderId="13" xfId="0" applyNumberFormat="1" applyFont="1" applyBorder="1" applyAlignment="1">
      <alignment vertical="center"/>
    </xf>
    <xf numFmtId="166" fontId="50" fillId="0" borderId="41" xfId="3" applyFont="1" applyBorder="1" applyProtection="1">
      <protection hidden="1"/>
    </xf>
    <xf numFmtId="1" fontId="39" fillId="0" borderId="53" xfId="3" applyNumberFormat="1" applyFont="1" applyFill="1" applyBorder="1" applyProtection="1">
      <protection hidden="1"/>
    </xf>
    <xf numFmtId="166" fontId="50" fillId="0" borderId="46" xfId="3" applyFont="1" applyFill="1" applyBorder="1" applyAlignment="1" applyProtection="1">
      <alignment horizontal="center"/>
      <protection locked="0" hidden="1"/>
    </xf>
    <xf numFmtId="166" fontId="50" fillId="0" borderId="48" xfId="3" applyFont="1" applyFill="1" applyBorder="1" applyProtection="1">
      <protection locked="0" hidden="1"/>
    </xf>
    <xf numFmtId="1" fontId="39" fillId="0" borderId="37" xfId="3" applyNumberFormat="1" applyFont="1" applyFill="1" applyBorder="1" applyProtection="1">
      <protection hidden="1"/>
    </xf>
    <xf numFmtId="0" fontId="50" fillId="0" borderId="1" xfId="3" applyNumberFormat="1" applyFont="1" applyFill="1" applyBorder="1" applyProtection="1">
      <protection locked="0" hidden="1"/>
    </xf>
    <xf numFmtId="0" fontId="50" fillId="0" borderId="1" xfId="3" applyNumberFormat="1" applyFont="1" applyFill="1" applyBorder="1" applyAlignment="1" applyProtection="1">
      <alignment horizontal="center"/>
      <protection locked="0" hidden="1"/>
    </xf>
    <xf numFmtId="0" fontId="50" fillId="0" borderId="35" xfId="3" applyNumberFormat="1" applyFont="1" applyFill="1" applyBorder="1" applyAlignment="1" applyProtection="1">
      <alignment horizontal="center"/>
      <protection locked="0" hidden="1"/>
    </xf>
    <xf numFmtId="1" fontId="39" fillId="0" borderId="34" xfId="3" applyNumberFormat="1" applyFont="1" applyFill="1" applyBorder="1" applyProtection="1">
      <protection hidden="1"/>
    </xf>
    <xf numFmtId="1" fontId="50" fillId="0" borderId="50" xfId="3" applyNumberFormat="1" applyFont="1" applyFill="1" applyBorder="1" applyAlignment="1" applyProtection="1">
      <alignment horizontal="center"/>
      <protection locked="0" hidden="1"/>
    </xf>
    <xf numFmtId="1" fontId="50" fillId="0" borderId="31" xfId="3" applyNumberFormat="1" applyFont="1" applyFill="1" applyBorder="1" applyAlignment="1" applyProtection="1">
      <alignment horizontal="center"/>
      <protection locked="0" hidden="1"/>
    </xf>
    <xf numFmtId="1" fontId="50" fillId="0" borderId="30" xfId="3" applyNumberFormat="1" applyFont="1" applyFill="1" applyBorder="1" applyAlignment="1" applyProtection="1">
      <alignment horizontal="center"/>
      <protection locked="0" hidden="1"/>
    </xf>
    <xf numFmtId="0" fontId="6" fillId="0" borderId="12" xfId="0" applyFont="1" applyBorder="1" applyAlignment="1">
      <alignment vertical="center"/>
    </xf>
    <xf numFmtId="10" fontId="0" fillId="0" borderId="0" xfId="0" applyNumberFormat="1" applyFill="1" applyBorder="1" applyAlignment="1">
      <alignment vertical="center"/>
    </xf>
    <xf numFmtId="165" fontId="20" fillId="0" borderId="13" xfId="1" applyNumberFormat="1" applyFont="1" applyBorder="1" applyAlignment="1">
      <alignment vertical="center"/>
    </xf>
    <xf numFmtId="0" fontId="57" fillId="0" borderId="0" xfId="0" applyFont="1"/>
    <xf numFmtId="0" fontId="58" fillId="14" borderId="86" xfId="0" applyFont="1" applyFill="1" applyBorder="1" applyAlignment="1">
      <alignment horizontal="center" vertical="center" wrapText="1" readingOrder="1"/>
    </xf>
    <xf numFmtId="0" fontId="57" fillId="0" borderId="0" xfId="0" applyFont="1" applyBorder="1"/>
    <xf numFmtId="0" fontId="59" fillId="0" borderId="86" xfId="0" applyFont="1" applyBorder="1" applyAlignment="1">
      <alignment horizontal="left" vertical="center" wrapText="1" readingOrder="1"/>
    </xf>
    <xf numFmtId="0" fontId="58" fillId="0" borderId="86" xfId="0" applyFont="1" applyBorder="1" applyAlignment="1">
      <alignment horizontal="left" vertical="center" wrapText="1" readingOrder="1"/>
    </xf>
    <xf numFmtId="0" fontId="60" fillId="0" borderId="86" xfId="0" applyFont="1" applyBorder="1" applyAlignment="1">
      <alignment horizontal="left" vertical="center" wrapText="1" readingOrder="1"/>
    </xf>
    <xf numFmtId="0" fontId="58" fillId="15" borderId="86" xfId="0" applyFont="1" applyFill="1" applyBorder="1" applyAlignment="1">
      <alignment horizontal="left" vertical="center" wrapText="1" readingOrder="1"/>
    </xf>
    <xf numFmtId="0" fontId="58" fillId="16" borderId="90" xfId="0" applyFont="1" applyFill="1" applyBorder="1" applyAlignment="1">
      <alignment horizontal="center" vertical="center" wrapText="1" readingOrder="1"/>
    </xf>
    <xf numFmtId="0" fontId="59" fillId="0" borderId="90" xfId="0" applyFont="1" applyBorder="1" applyAlignment="1">
      <alignment horizontal="left" vertical="center" wrapText="1" readingOrder="1"/>
    </xf>
    <xf numFmtId="0" fontId="58" fillId="17" borderId="90" xfId="0" applyFont="1" applyFill="1" applyBorder="1" applyAlignment="1">
      <alignment horizontal="left" vertical="center" wrapText="1" readingOrder="1"/>
    </xf>
    <xf numFmtId="0" fontId="60" fillId="0" borderId="90" xfId="0" applyFont="1" applyBorder="1" applyAlignment="1">
      <alignment horizontal="left" vertical="center" wrapText="1" readingOrder="1"/>
    </xf>
    <xf numFmtId="3" fontId="57" fillId="0" borderId="0" xfId="0" applyNumberFormat="1" applyFont="1"/>
    <xf numFmtId="0" fontId="58" fillId="14" borderId="86" xfId="0" applyFont="1" applyFill="1" applyBorder="1" applyAlignment="1">
      <alignment horizontal="left" vertical="center" wrapText="1" readingOrder="1"/>
    </xf>
    <xf numFmtId="0" fontId="58" fillId="16" borderId="90" xfId="0" applyFont="1" applyFill="1" applyBorder="1" applyAlignment="1">
      <alignment horizontal="left" vertical="center" wrapText="1" readingOrder="1"/>
    </xf>
    <xf numFmtId="164" fontId="59" fillId="15" borderId="86" xfId="1" applyNumberFormat="1" applyFont="1" applyFill="1" applyBorder="1" applyAlignment="1">
      <alignment horizontal="right" vertical="center" wrapText="1" readingOrder="1"/>
    </xf>
    <xf numFmtId="0" fontId="58" fillId="18" borderId="91" xfId="0" applyFont="1" applyFill="1" applyBorder="1" applyAlignment="1">
      <alignment vertical="center"/>
    </xf>
    <xf numFmtId="0" fontId="58" fillId="18" borderId="92" xfId="0" applyFont="1" applyFill="1" applyBorder="1" applyAlignment="1">
      <alignment horizontal="center" vertical="center"/>
    </xf>
    <xf numFmtId="0" fontId="58" fillId="19" borderId="93" xfId="0" applyFont="1" applyFill="1" applyBorder="1" applyAlignment="1">
      <alignment vertical="center"/>
    </xf>
    <xf numFmtId="0" fontId="59" fillId="19" borderId="94" xfId="0" applyFont="1" applyFill="1" applyBorder="1" applyAlignment="1">
      <alignment horizontal="right" vertical="center"/>
    </xf>
    <xf numFmtId="0" fontId="58" fillId="0" borderId="93" xfId="0" applyFont="1" applyBorder="1" applyAlignment="1">
      <alignment vertical="center"/>
    </xf>
    <xf numFmtId="0" fontId="59" fillId="0" borderId="94" xfId="0" applyFont="1" applyBorder="1" applyAlignment="1">
      <alignment horizontal="right" vertical="center"/>
    </xf>
    <xf numFmtId="0" fontId="59" fillId="0" borderId="93" xfId="0" applyFont="1" applyBorder="1" applyAlignment="1">
      <alignment vertical="center"/>
    </xf>
    <xf numFmtId="4" fontId="62" fillId="0" borderId="94" xfId="0" applyNumberFormat="1" applyFont="1" applyBorder="1" applyAlignment="1">
      <alignment horizontal="right" vertical="center"/>
    </xf>
    <xf numFmtId="4" fontId="65" fillId="0" borderId="94" xfId="0" applyNumberFormat="1" applyFont="1" applyBorder="1" applyAlignment="1">
      <alignment horizontal="right" vertical="center"/>
    </xf>
    <xf numFmtId="0" fontId="58" fillId="18" borderId="93" xfId="0" applyFont="1" applyFill="1" applyBorder="1" applyAlignment="1">
      <alignment vertical="center"/>
    </xf>
    <xf numFmtId="0" fontId="66" fillId="18" borderId="93" xfId="0" applyFont="1" applyFill="1" applyBorder="1" applyAlignment="1">
      <alignment vertical="center"/>
    </xf>
    <xf numFmtId="0" fontId="59" fillId="0" borderId="93" xfId="0" quotePrefix="1" applyFont="1" applyBorder="1" applyAlignment="1">
      <alignment vertical="center"/>
    </xf>
    <xf numFmtId="10" fontId="60" fillId="0" borderId="86" xfId="2" applyNumberFormat="1" applyFont="1" applyBorder="1" applyAlignment="1">
      <alignment horizontal="right" vertical="center" wrapText="1" readingOrder="1"/>
    </xf>
    <xf numFmtId="3" fontId="65" fillId="0" borderId="94" xfId="0" applyNumberFormat="1" applyFont="1" applyBorder="1" applyAlignment="1">
      <alignment horizontal="right" vertical="center"/>
    </xf>
    <xf numFmtId="4" fontId="65" fillId="19" borderId="94" xfId="0" applyNumberFormat="1" applyFont="1" applyFill="1" applyBorder="1" applyAlignment="1">
      <alignment horizontal="right" vertical="center"/>
    </xf>
    <xf numFmtId="0" fontId="0" fillId="0" borderId="94" xfId="0" applyBorder="1" applyAlignment="1">
      <alignment vertical="center"/>
    </xf>
    <xf numFmtId="0" fontId="62" fillId="19" borderId="94" xfId="0" applyFont="1" applyFill="1" applyBorder="1" applyAlignment="1">
      <alignment horizontal="right" vertical="center"/>
    </xf>
    <xf numFmtId="0" fontId="60" fillId="0" borderId="93" xfId="0" applyFont="1" applyBorder="1" applyAlignment="1">
      <alignment vertical="center"/>
    </xf>
    <xf numFmtId="4" fontId="67" fillId="0" borderId="94" xfId="0" applyNumberFormat="1" applyFont="1" applyBorder="1" applyAlignment="1">
      <alignment horizontal="right" vertical="center"/>
    </xf>
    <xf numFmtId="0" fontId="57" fillId="4" borderId="0" xfId="0" applyFont="1" applyFill="1"/>
    <xf numFmtId="0" fontId="69" fillId="4" borderId="0" xfId="0" applyFont="1" applyFill="1"/>
    <xf numFmtId="43" fontId="62" fillId="0" borderId="94" xfId="0" applyNumberFormat="1" applyFont="1" applyBorder="1" applyAlignment="1">
      <alignment horizontal="right" vertical="center"/>
    </xf>
    <xf numFmtId="43" fontId="68" fillId="0" borderId="94" xfId="0" applyNumberFormat="1" applyFont="1" applyBorder="1" applyAlignment="1">
      <alignment horizontal="right" vertical="center"/>
    </xf>
    <xf numFmtId="43" fontId="57" fillId="0" borderId="0" xfId="1" applyFont="1"/>
    <xf numFmtId="0" fontId="65" fillId="19" borderId="94" xfId="0" applyFont="1" applyFill="1" applyBorder="1" applyAlignment="1">
      <alignment vertical="center"/>
    </xf>
    <xf numFmtId="0" fontId="60" fillId="0" borderId="93" xfId="0" quotePrefix="1" applyFont="1" applyBorder="1" applyAlignment="1">
      <alignment vertical="center"/>
    </xf>
    <xf numFmtId="164" fontId="63" fillId="0" borderId="94" xfId="0" applyNumberFormat="1" applyFont="1" applyBorder="1" applyAlignment="1">
      <alignment horizontal="right" vertical="center"/>
    </xf>
    <xf numFmtId="164" fontId="0" fillId="0" borderId="94" xfId="0" applyNumberFormat="1" applyBorder="1" applyAlignment="1">
      <alignment vertical="center"/>
    </xf>
    <xf numFmtId="164" fontId="64" fillId="0" borderId="94" xfId="0" applyNumberFormat="1" applyFont="1" applyBorder="1" applyAlignment="1">
      <alignment horizontal="right" vertical="center"/>
    </xf>
    <xf numFmtId="164" fontId="0" fillId="19" borderId="94" xfId="0" applyNumberFormat="1" applyFill="1" applyBorder="1" applyAlignment="1">
      <alignment vertical="center"/>
    </xf>
    <xf numFmtId="164" fontId="62" fillId="0" borderId="94" xfId="0" applyNumberFormat="1" applyFont="1" applyBorder="1" applyAlignment="1">
      <alignment horizontal="right" vertical="center"/>
    </xf>
    <xf numFmtId="164" fontId="67" fillId="0" borderId="94" xfId="0" applyNumberFormat="1" applyFont="1" applyBorder="1" applyAlignment="1">
      <alignment horizontal="right" vertical="center"/>
    </xf>
    <xf numFmtId="164" fontId="65" fillId="19" borderId="94" xfId="0" applyNumberFormat="1" applyFont="1" applyFill="1" applyBorder="1" applyAlignment="1">
      <alignment horizontal="right" vertical="center"/>
    </xf>
    <xf numFmtId="10" fontId="66" fillId="18" borderId="94" xfId="2" applyNumberFormat="1" applyFont="1" applyFill="1" applyBorder="1" applyAlignment="1">
      <alignment horizontal="right" vertical="center"/>
    </xf>
    <xf numFmtId="43" fontId="11" fillId="0" borderId="13" xfId="1" applyFont="1" applyFill="1" applyBorder="1" applyAlignment="1">
      <alignment vertical="center"/>
    </xf>
    <xf numFmtId="9" fontId="0" fillId="0" borderId="0" xfId="2" applyFont="1" applyAlignment="1">
      <alignment horizontal="center" vertical="center"/>
    </xf>
    <xf numFmtId="10" fontId="6" fillId="0" borderId="13" xfId="0" applyNumberFormat="1" applyFont="1" applyFill="1" applyBorder="1" applyAlignment="1">
      <alignment horizontal="right" vertical="center"/>
    </xf>
    <xf numFmtId="10" fontId="36" fillId="0" borderId="0" xfId="2" applyNumberFormat="1" applyFont="1" applyAlignment="1">
      <alignment vertical="center"/>
    </xf>
    <xf numFmtId="10" fontId="36" fillId="0" borderId="0" xfId="2" applyNumberFormat="1" applyFont="1" applyFill="1" applyBorder="1" applyAlignment="1">
      <alignment vertical="center"/>
    </xf>
    <xf numFmtId="10" fontId="2" fillId="0" borderId="0" xfId="2" applyNumberFormat="1" applyFont="1" applyFill="1" applyBorder="1" applyAlignment="1">
      <alignment vertical="center"/>
    </xf>
    <xf numFmtId="10" fontId="36" fillId="0" borderId="0" xfId="0" applyNumberFormat="1" applyFont="1"/>
    <xf numFmtId="9" fontId="36" fillId="0" borderId="0" xfId="0" applyNumberFormat="1" applyFont="1"/>
    <xf numFmtId="0" fontId="2" fillId="7" borderId="1" xfId="0" applyFont="1" applyFill="1" applyBorder="1" applyAlignment="1">
      <alignment vertical="center"/>
    </xf>
    <xf numFmtId="15" fontId="2" fillId="7" borderId="1" xfId="1" applyNumberFormat="1" applyFont="1" applyFill="1" applyBorder="1" applyAlignment="1">
      <alignment vertical="center"/>
    </xf>
    <xf numFmtId="0" fontId="2" fillId="0" borderId="1" xfId="0" applyFont="1" applyBorder="1" applyAlignment="1">
      <alignment vertical="center"/>
    </xf>
    <xf numFmtId="169" fontId="2" fillId="0" borderId="1" xfId="1" applyNumberFormat="1" applyFont="1" applyBorder="1" applyAlignment="1">
      <alignment vertical="center"/>
    </xf>
    <xf numFmtId="9" fontId="2" fillId="0" borderId="1" xfId="2" applyFont="1" applyFill="1" applyBorder="1" applyAlignment="1">
      <alignment vertical="center"/>
    </xf>
    <xf numFmtId="10" fontId="2" fillId="0" borderId="1" xfId="2" applyNumberFormat="1" applyFont="1" applyFill="1" applyBorder="1" applyAlignment="1">
      <alignment vertical="center"/>
    </xf>
    <xf numFmtId="10" fontId="2" fillId="0" borderId="1" xfId="0" applyNumberFormat="1" applyFont="1" applyBorder="1" applyAlignment="1">
      <alignment vertical="center"/>
    </xf>
    <xf numFmtId="0" fontId="0" fillId="0" borderId="1" xfId="0" applyBorder="1" applyAlignment="1">
      <alignment vertical="center"/>
    </xf>
    <xf numFmtId="43" fontId="0" fillId="0" borderId="1" xfId="1" applyFont="1" applyBorder="1" applyAlignment="1">
      <alignment vertical="center"/>
    </xf>
    <xf numFmtId="43" fontId="0" fillId="0" borderId="1" xfId="1" applyFont="1" applyFill="1" applyBorder="1" applyAlignment="1">
      <alignment vertical="center"/>
    </xf>
    <xf numFmtId="43" fontId="2" fillId="0" borderId="1" xfId="1" applyFont="1" applyBorder="1" applyAlignment="1">
      <alignment vertical="center"/>
    </xf>
    <xf numFmtId="10" fontId="0" fillId="0" borderId="1" xfId="2" applyNumberFormat="1" applyFont="1" applyBorder="1" applyAlignment="1">
      <alignment vertical="center"/>
    </xf>
    <xf numFmtId="43" fontId="1" fillId="0" borderId="1" xfId="1" applyFont="1" applyBorder="1" applyAlignment="1">
      <alignment vertical="center"/>
    </xf>
    <xf numFmtId="43" fontId="0" fillId="0" borderId="24" xfId="1" applyFont="1" applyBorder="1" applyAlignment="1">
      <alignment vertical="center"/>
    </xf>
    <xf numFmtId="0" fontId="0" fillId="0" borderId="1" xfId="0" applyFill="1" applyBorder="1" applyAlignment="1">
      <alignment vertical="center"/>
    </xf>
    <xf numFmtId="43" fontId="14" fillId="0" borderId="0" xfId="2" applyNumberFormat="1" applyFont="1" applyFill="1" applyBorder="1" applyAlignment="1">
      <alignment vertical="center"/>
    </xf>
    <xf numFmtId="43" fontId="0" fillId="0" borderId="13" xfId="0" applyNumberFormat="1" applyFont="1" applyBorder="1" applyAlignment="1">
      <alignment vertical="center"/>
    </xf>
    <xf numFmtId="10" fontId="0" fillId="0" borderId="0" xfId="0" applyNumberFormat="1" applyFont="1" applyFill="1" applyAlignment="1">
      <alignment vertical="center"/>
    </xf>
    <xf numFmtId="169" fontId="0" fillId="0" borderId="13" xfId="0" applyNumberFormat="1" applyFont="1" applyBorder="1" applyAlignment="1">
      <alignment vertical="center"/>
    </xf>
    <xf numFmtId="9" fontId="0" fillId="0" borderId="13" xfId="0" applyNumberFormat="1" applyFont="1" applyBorder="1" applyAlignment="1">
      <alignment vertical="center"/>
    </xf>
    <xf numFmtId="9" fontId="0" fillId="0" borderId="0" xfId="0" applyNumberFormat="1" applyFont="1" applyBorder="1" applyAlignment="1">
      <alignment vertical="center"/>
    </xf>
    <xf numFmtId="10" fontId="0" fillId="0" borderId="13" xfId="0" applyNumberFormat="1" applyFont="1" applyBorder="1" applyAlignment="1">
      <alignment vertical="center"/>
    </xf>
    <xf numFmtId="10" fontId="0" fillId="0" borderId="0" xfId="0" applyNumberFormat="1" applyFont="1" applyBorder="1" applyAlignment="1">
      <alignment vertical="center"/>
    </xf>
    <xf numFmtId="10" fontId="35" fillId="0" borderId="0" xfId="0" applyNumberFormat="1" applyFont="1" applyFill="1" applyAlignment="1">
      <alignment vertical="center"/>
    </xf>
    <xf numFmtId="169" fontId="2" fillId="0" borderId="13" xfId="1" applyNumberFormat="1" applyFont="1" applyBorder="1" applyAlignment="1">
      <alignment vertical="center"/>
    </xf>
    <xf numFmtId="169" fontId="0" fillId="0" borderId="13" xfId="1" applyNumberFormat="1" applyFont="1" applyFill="1" applyBorder="1" applyAlignment="1">
      <alignment vertical="center"/>
    </xf>
    <xf numFmtId="166" fontId="8" fillId="0" borderId="13" xfId="7" applyFont="1" applyBorder="1" applyAlignment="1">
      <alignment horizontal="center" vertical="center" wrapText="1"/>
    </xf>
    <xf numFmtId="166" fontId="11" fillId="0" borderId="13" xfId="7" applyFont="1" applyFill="1" applyBorder="1" applyAlignment="1">
      <alignment horizontal="center" vertical="center" wrapText="1"/>
    </xf>
    <xf numFmtId="166" fontId="6" fillId="0" borderId="13" xfId="7" applyFont="1" applyFill="1" applyBorder="1" applyAlignment="1">
      <alignment horizontal="center" vertical="center" wrapText="1"/>
    </xf>
    <xf numFmtId="14" fontId="2" fillId="0" borderId="13" xfId="0" applyNumberFormat="1" applyFont="1" applyBorder="1" applyAlignment="1">
      <alignment vertical="center"/>
    </xf>
    <xf numFmtId="171" fontId="8" fillId="0" borderId="13" xfId="8" applyNumberFormat="1" applyFont="1" applyBorder="1" applyAlignment="1">
      <alignment vertical="center"/>
    </xf>
    <xf numFmtId="14" fontId="0" fillId="0" borderId="13" xfId="0" applyNumberFormat="1" applyFont="1" applyBorder="1" applyAlignment="1">
      <alignment vertical="center"/>
    </xf>
    <xf numFmtId="0" fontId="26" fillId="0" borderId="13" xfId="8" applyFont="1" applyBorder="1" applyAlignment="1">
      <alignment vertical="center"/>
    </xf>
    <xf numFmtId="0" fontId="0" fillId="0" borderId="13" xfId="6" applyFont="1" applyBorder="1" applyAlignment="1">
      <alignment vertical="center"/>
    </xf>
    <xf numFmtId="0" fontId="2" fillId="0" borderId="13" xfId="6" applyFont="1" applyBorder="1" applyAlignment="1">
      <alignment vertical="center"/>
    </xf>
    <xf numFmtId="14" fontId="0" fillId="0" borderId="0" xfId="0" applyNumberFormat="1" applyFont="1" applyBorder="1" applyAlignment="1">
      <alignment vertical="center"/>
    </xf>
    <xf numFmtId="166" fontId="6" fillId="0" borderId="0" xfId="7" applyFont="1" applyBorder="1" applyAlignment="1">
      <alignment horizontal="center" vertical="center" wrapText="1"/>
    </xf>
    <xf numFmtId="15" fontId="8" fillId="0" borderId="0" xfId="0" applyNumberFormat="1" applyFont="1" applyBorder="1" applyAlignment="1">
      <alignment horizontal="center" vertical="center"/>
    </xf>
    <xf numFmtId="177" fontId="59" fillId="0" borderId="86" xfId="1" applyNumberFormat="1" applyFont="1" applyBorder="1" applyAlignment="1">
      <alignment horizontal="right" vertical="center" wrapText="1" readingOrder="1"/>
    </xf>
    <xf numFmtId="177" fontId="58" fillId="0" borderId="86" xfId="1" applyNumberFormat="1" applyFont="1" applyBorder="1" applyAlignment="1">
      <alignment horizontal="right" vertical="center" wrapText="1" readingOrder="1"/>
    </xf>
    <xf numFmtId="177" fontId="58" fillId="15" borderId="86" xfId="1" applyNumberFormat="1" applyFont="1" applyFill="1" applyBorder="1" applyAlignment="1">
      <alignment horizontal="right" vertical="center" wrapText="1" readingOrder="1"/>
    </xf>
    <xf numFmtId="0" fontId="2" fillId="3" borderId="1" xfId="0" applyFont="1" applyFill="1" applyBorder="1"/>
    <xf numFmtId="165" fontId="7" fillId="0" borderId="0" xfId="1" applyNumberFormat="1" applyFont="1" applyBorder="1" applyAlignment="1">
      <alignment vertical="center"/>
    </xf>
    <xf numFmtId="165" fontId="2" fillId="0" borderId="0" xfId="1" applyNumberFormat="1" applyFont="1" applyBorder="1" applyAlignment="1">
      <alignment vertical="center"/>
    </xf>
    <xf numFmtId="15" fontId="0" fillId="4" borderId="13" xfId="0" applyNumberFormat="1" applyFill="1" applyBorder="1" applyAlignment="1">
      <alignment vertical="center"/>
    </xf>
    <xf numFmtId="15" fontId="0" fillId="4" borderId="13" xfId="0" applyNumberFormat="1" applyFont="1" applyFill="1" applyBorder="1" applyAlignment="1">
      <alignment vertical="center"/>
    </xf>
    <xf numFmtId="165" fontId="0" fillId="4" borderId="13" xfId="1" applyNumberFormat="1" applyFont="1" applyFill="1" applyBorder="1" applyAlignment="1">
      <alignment horizontal="right" vertical="center"/>
    </xf>
    <xf numFmtId="43" fontId="0" fillId="4" borderId="13" xfId="1" applyFont="1" applyFill="1" applyBorder="1" applyAlignment="1">
      <alignment horizontal="right" vertical="center"/>
    </xf>
    <xf numFmtId="10" fontId="0" fillId="4" borderId="13" xfId="0" applyNumberFormat="1" applyFill="1" applyBorder="1" applyAlignment="1">
      <alignment horizontal="right" vertical="center"/>
    </xf>
    <xf numFmtId="43" fontId="0" fillId="4" borderId="0" xfId="1" applyFont="1" applyFill="1" applyBorder="1" applyAlignment="1">
      <alignment horizontal="right" vertical="center"/>
    </xf>
    <xf numFmtId="15" fontId="6" fillId="4" borderId="13" xfId="0" applyNumberFormat="1" applyFont="1" applyFill="1" applyBorder="1" applyAlignment="1">
      <alignment vertical="center"/>
    </xf>
    <xf numFmtId="43" fontId="6" fillId="4" borderId="0" xfId="1" applyFont="1" applyFill="1" applyBorder="1" applyAlignment="1">
      <alignment horizontal="right" vertical="center"/>
    </xf>
    <xf numFmtId="9" fontId="0" fillId="0" borderId="12" xfId="2" applyFont="1" applyFill="1" applyBorder="1" applyAlignment="1">
      <alignment horizontal="center" vertical="center"/>
    </xf>
    <xf numFmtId="0" fontId="0" fillId="6" borderId="0" xfId="0" applyFill="1" applyBorder="1" applyAlignment="1">
      <alignment vertical="center"/>
    </xf>
    <xf numFmtId="0" fontId="7" fillId="6" borderId="0" xfId="0" applyFont="1" applyFill="1" applyBorder="1" applyAlignment="1">
      <alignment vertical="center"/>
    </xf>
    <xf numFmtId="0" fontId="14" fillId="6" borderId="0" xfId="0" applyFont="1" applyFill="1" applyAlignment="1">
      <alignment vertical="center"/>
    </xf>
    <xf numFmtId="9" fontId="0" fillId="3" borderId="12" xfId="2" applyFont="1" applyFill="1" applyBorder="1" applyAlignment="1">
      <alignment vertical="center"/>
    </xf>
    <xf numFmtId="9" fontId="0" fillId="0" borderId="0" xfId="2" applyFont="1" applyFill="1" applyBorder="1" applyAlignment="1">
      <alignment vertical="center"/>
    </xf>
    <xf numFmtId="43" fontId="58" fillId="15" borderId="86" xfId="1" applyFont="1" applyFill="1" applyBorder="1" applyAlignment="1">
      <alignment horizontal="right" vertical="center" wrapText="1" readingOrder="1"/>
    </xf>
    <xf numFmtId="43" fontId="58" fillId="15" borderId="87" xfId="1" applyFont="1" applyFill="1" applyBorder="1" applyAlignment="1">
      <alignment vertical="center" wrapText="1" readingOrder="1"/>
    </xf>
    <xf numFmtId="43" fontId="58" fillId="15" borderId="88" xfId="1" applyFont="1" applyFill="1" applyBorder="1" applyAlignment="1">
      <alignment vertical="center" wrapText="1" readingOrder="1"/>
    </xf>
    <xf numFmtId="43" fontId="58" fillId="15" borderId="89" xfId="1" applyFont="1" applyFill="1" applyBorder="1" applyAlignment="1">
      <alignment vertical="center" wrapText="1" readingOrder="1"/>
    </xf>
    <xf numFmtId="43" fontId="7" fillId="4" borderId="0" xfId="1" applyFont="1" applyFill="1" applyBorder="1" applyAlignment="1">
      <alignment vertical="center"/>
    </xf>
    <xf numFmtId="168" fontId="7" fillId="4" borderId="0" xfId="2" applyNumberFormat="1" applyFont="1" applyFill="1" applyBorder="1" applyAlignment="1">
      <alignment vertical="center"/>
    </xf>
    <xf numFmtId="0" fontId="7" fillId="0" borderId="12" xfId="0" applyFont="1" applyFill="1" applyBorder="1" applyAlignment="1">
      <alignment horizontal="left" vertical="center" indent="1"/>
    </xf>
    <xf numFmtId="165" fontId="59" fillId="0" borderId="90" xfId="1" applyNumberFormat="1" applyFont="1" applyBorder="1" applyAlignment="1">
      <alignment horizontal="right" vertical="center" wrapText="1" readingOrder="1"/>
    </xf>
    <xf numFmtId="165" fontId="58" fillId="17" borderId="90" xfId="1" applyNumberFormat="1" applyFont="1" applyFill="1" applyBorder="1" applyAlignment="1">
      <alignment horizontal="right" vertical="center" wrapText="1" readingOrder="1"/>
    </xf>
    <xf numFmtId="165" fontId="61" fillId="0" borderId="90" xfId="1" applyNumberFormat="1" applyFont="1" applyBorder="1" applyAlignment="1">
      <alignment wrapText="1"/>
    </xf>
    <xf numFmtId="165" fontId="60" fillId="0" borderId="90" xfId="1" applyNumberFormat="1" applyFont="1" applyBorder="1" applyAlignment="1">
      <alignment horizontal="right" vertical="center" wrapText="1" readingOrder="1"/>
    </xf>
    <xf numFmtId="10" fontId="18" fillId="0" borderId="13" xfId="2" applyNumberFormat="1" applyFont="1" applyFill="1" applyBorder="1" applyAlignment="1">
      <alignment vertical="center"/>
    </xf>
    <xf numFmtId="164" fontId="6" fillId="0" borderId="12" xfId="1" applyNumberFormat="1" applyFont="1" applyBorder="1" applyAlignment="1">
      <alignment vertical="center"/>
    </xf>
    <xf numFmtId="164" fontId="6" fillId="0" borderId="12" xfId="1" applyNumberFormat="1" applyFont="1" applyFill="1" applyBorder="1" applyAlignment="1">
      <alignment vertical="center"/>
    </xf>
    <xf numFmtId="164" fontId="6" fillId="3" borderId="12" xfId="1" applyNumberFormat="1" applyFont="1" applyFill="1" applyBorder="1" applyAlignment="1">
      <alignment vertical="center"/>
    </xf>
    <xf numFmtId="164" fontId="2" fillId="0" borderId="12" xfId="1" applyNumberFormat="1" applyFont="1" applyFill="1" applyBorder="1" applyAlignment="1">
      <alignment vertical="center"/>
    </xf>
    <xf numFmtId="164" fontId="2" fillId="3" borderId="12" xfId="1" applyNumberFormat="1" applyFont="1" applyFill="1" applyBorder="1" applyAlignment="1">
      <alignment vertical="center"/>
    </xf>
    <xf numFmtId="164" fontId="6" fillId="8" borderId="12" xfId="1" applyNumberFormat="1" applyFont="1" applyFill="1" applyBorder="1" applyAlignment="1">
      <alignment vertical="center"/>
    </xf>
    <xf numFmtId="164" fontId="2" fillId="8" borderId="12" xfId="1" applyNumberFormat="1" applyFont="1" applyFill="1" applyBorder="1" applyAlignment="1">
      <alignment vertical="center"/>
    </xf>
    <xf numFmtId="164" fontId="1" fillId="0" borderId="12" xfId="1" applyNumberFormat="1" applyFont="1" applyFill="1" applyBorder="1" applyAlignment="1">
      <alignment vertical="center"/>
    </xf>
    <xf numFmtId="164" fontId="0" fillId="0" borderId="12" xfId="1" applyNumberFormat="1" applyFont="1" applyFill="1" applyBorder="1" applyAlignment="1">
      <alignment vertical="center"/>
    </xf>
    <xf numFmtId="164" fontId="0" fillId="0" borderId="12" xfId="1" applyNumberFormat="1" applyFont="1" applyBorder="1" applyAlignment="1">
      <alignment vertical="center"/>
    </xf>
    <xf numFmtId="164" fontId="8" fillId="3" borderId="12" xfId="1" applyNumberFormat="1" applyFont="1" applyFill="1" applyBorder="1" applyAlignment="1">
      <alignment vertical="center"/>
    </xf>
    <xf numFmtId="164" fontId="2" fillId="0" borderId="12" xfId="1" applyNumberFormat="1" applyFont="1" applyBorder="1" applyAlignment="1">
      <alignment vertical="center"/>
    </xf>
    <xf numFmtId="0" fontId="2" fillId="2" borderId="1" xfId="0" applyFont="1" applyFill="1" applyBorder="1"/>
    <xf numFmtId="43" fontId="2" fillId="2" borderId="1" xfId="1" applyFont="1" applyFill="1" applyBorder="1"/>
    <xf numFmtId="15" fontId="2" fillId="0" borderId="0" xfId="0" applyNumberFormat="1" applyFont="1" applyFill="1" applyBorder="1" applyAlignment="1">
      <alignment horizontal="center" vertical="center" wrapText="1"/>
    </xf>
    <xf numFmtId="15" fontId="35" fillId="0" borderId="0" xfId="0" applyNumberFormat="1" applyFont="1" applyFill="1" applyBorder="1" applyAlignment="1">
      <alignment horizontal="center" vertical="center" wrapText="1"/>
    </xf>
    <xf numFmtId="43" fontId="6" fillId="0" borderId="0" xfId="1" applyFont="1" applyFill="1" applyBorder="1" applyAlignment="1">
      <alignment vertical="center" wrapText="1"/>
    </xf>
    <xf numFmtId="43" fontId="8" fillId="0" borderId="0" xfId="0" applyNumberFormat="1" applyFont="1" applyFill="1" applyBorder="1" applyAlignment="1">
      <alignment vertical="center"/>
    </xf>
    <xf numFmtId="43" fontId="8" fillId="0" borderId="0" xfId="1" applyFont="1" applyFill="1" applyBorder="1" applyAlignment="1">
      <alignment vertical="center"/>
    </xf>
    <xf numFmtId="15" fontId="0" fillId="0" borderId="13" xfId="0" applyNumberFormat="1" applyFill="1" applyBorder="1" applyAlignment="1">
      <alignment vertical="center"/>
    </xf>
    <xf numFmtId="15" fontId="0" fillId="0" borderId="13" xfId="0" applyNumberFormat="1" applyFont="1" applyFill="1" applyBorder="1" applyAlignment="1">
      <alignment vertical="center"/>
    </xf>
    <xf numFmtId="43" fontId="0" fillId="0" borderId="13" xfId="1" applyFont="1" applyFill="1" applyBorder="1" applyAlignment="1">
      <alignment horizontal="right" vertical="center"/>
    </xf>
    <xf numFmtId="10" fontId="0" fillId="0" borderId="13" xfId="0" applyNumberFormat="1" applyFill="1" applyBorder="1" applyAlignment="1">
      <alignment horizontal="right" vertical="center"/>
    </xf>
    <xf numFmtId="15" fontId="6" fillId="0" borderId="13" xfId="0" applyNumberFormat="1" applyFont="1" applyFill="1" applyBorder="1" applyAlignment="1">
      <alignment vertical="center"/>
    </xf>
    <xf numFmtId="43" fontId="0" fillId="0" borderId="13" xfId="1" applyNumberFormat="1" applyFont="1" applyBorder="1" applyAlignment="1">
      <alignment horizontal="right" vertical="center"/>
    </xf>
    <xf numFmtId="178" fontId="0" fillId="0" borderId="13" xfId="1" applyNumberFormat="1" applyFont="1" applyBorder="1" applyAlignment="1">
      <alignment horizontal="right" vertical="center"/>
    </xf>
    <xf numFmtId="43" fontId="0" fillId="4" borderId="13" xfId="1" applyNumberFormat="1" applyFont="1" applyFill="1" applyBorder="1" applyAlignment="1">
      <alignment horizontal="right" vertical="center"/>
    </xf>
    <xf numFmtId="43" fontId="0" fillId="0" borderId="13" xfId="1" applyNumberFormat="1" applyFont="1" applyFill="1" applyBorder="1" applyAlignment="1">
      <alignment horizontal="right" vertical="center"/>
    </xf>
    <xf numFmtId="3" fontId="70" fillId="0" borderId="0" xfId="0" applyNumberFormat="1" applyFont="1" applyBorder="1" applyAlignment="1">
      <alignment horizontal="center" vertical="center" wrapText="1" readingOrder="1"/>
    </xf>
    <xf numFmtId="15" fontId="0" fillId="0" borderId="0" xfId="0" applyNumberFormat="1"/>
    <xf numFmtId="165" fontId="0" fillId="0" borderId="0" xfId="0" applyNumberFormat="1"/>
    <xf numFmtId="0" fontId="0" fillId="0" borderId="0" xfId="0" quotePrefix="1" applyFill="1" applyBorder="1" applyAlignment="1">
      <alignment horizontal="left" vertical="center"/>
    </xf>
    <xf numFmtId="179" fontId="0" fillId="0" borderId="0" xfId="0" applyNumberFormat="1"/>
    <xf numFmtId="165" fontId="0" fillId="0" borderId="1" xfId="0" applyNumberFormat="1" applyBorder="1"/>
    <xf numFmtId="165" fontId="0" fillId="0" borderId="1" xfId="1" applyNumberFormat="1" applyFont="1" applyBorder="1"/>
    <xf numFmtId="165" fontId="0" fillId="0" borderId="0" xfId="1" applyNumberFormat="1" applyFont="1" applyBorder="1"/>
    <xf numFmtId="15" fontId="2" fillId="0" borderId="1" xfId="0" applyNumberFormat="1" applyFont="1" applyBorder="1"/>
    <xf numFmtId="0" fontId="0" fillId="0" borderId="1" xfId="0" applyFont="1" applyBorder="1" applyAlignment="1">
      <alignment vertical="center"/>
    </xf>
    <xf numFmtId="0" fontId="2" fillId="0" borderId="1" xfId="0" applyFont="1" applyBorder="1"/>
    <xf numFmtId="15" fontId="8" fillId="7" borderId="13" xfId="0" applyNumberFormat="1" applyFont="1" applyFill="1" applyBorder="1" applyAlignment="1">
      <alignment horizontal="center" vertical="center" wrapText="1"/>
    </xf>
    <xf numFmtId="43" fontId="16" fillId="0" borderId="13" xfId="1" applyFont="1" applyBorder="1" applyAlignment="1">
      <alignment vertical="center" wrapText="1"/>
    </xf>
    <xf numFmtId="43" fontId="0" fillId="0" borderId="1" xfId="1" applyNumberFormat="1" applyFont="1" applyBorder="1"/>
    <xf numFmtId="43" fontId="0" fillId="0" borderId="1" xfId="1" applyFont="1" applyBorder="1"/>
    <xf numFmtId="10" fontId="1" fillId="0" borderId="1" xfId="2" applyNumberFormat="1" applyFont="1" applyBorder="1" applyAlignment="1">
      <alignment vertical="center"/>
    </xf>
    <xf numFmtId="10" fontId="1" fillId="0" borderId="1" xfId="2" applyNumberFormat="1" applyFont="1" applyFill="1" applyBorder="1" applyAlignment="1">
      <alignment vertical="center"/>
    </xf>
    <xf numFmtId="0" fontId="71" fillId="21" borderId="0" xfId="0" applyFont="1" applyFill="1"/>
    <xf numFmtId="0" fontId="2" fillId="2" borderId="58" xfId="0" applyFont="1" applyFill="1" applyBorder="1" applyAlignment="1">
      <alignment wrapText="1"/>
    </xf>
    <xf numFmtId="0" fontId="0" fillId="2" borderId="49" xfId="0" applyFill="1" applyBorder="1" applyAlignment="1">
      <alignment horizontal="center"/>
    </xf>
    <xf numFmtId="0" fontId="0" fillId="2" borderId="48" xfId="0" applyFill="1" applyBorder="1" applyAlignment="1">
      <alignment horizontal="center"/>
    </xf>
    <xf numFmtId="0" fontId="0" fillId="0" borderId="102" xfId="0" applyFont="1" applyBorder="1" applyAlignment="1"/>
    <xf numFmtId="180" fontId="0" fillId="0" borderId="4" xfId="1" applyNumberFormat="1" applyFont="1" applyBorder="1" applyAlignment="1">
      <alignment wrapText="1"/>
    </xf>
    <xf numFmtId="180" fontId="0" fillId="0" borderId="4" xfId="0" applyNumberFormat="1" applyBorder="1" applyAlignment="1">
      <alignment wrapText="1"/>
    </xf>
    <xf numFmtId="180" fontId="0" fillId="0" borderId="101" xfId="0" applyNumberFormat="1" applyBorder="1" applyAlignment="1">
      <alignment wrapText="1"/>
    </xf>
    <xf numFmtId="0" fontId="0" fillId="0" borderId="96" xfId="0" applyFont="1" applyBorder="1" applyAlignment="1"/>
    <xf numFmtId="180" fontId="0" fillId="0" borderId="5" xfId="1" applyNumberFormat="1" applyFont="1" applyBorder="1" applyAlignment="1">
      <alignment wrapText="1"/>
    </xf>
    <xf numFmtId="180" fontId="0" fillId="0" borderId="95" xfId="1" applyNumberFormat="1" applyFont="1" applyBorder="1" applyAlignment="1">
      <alignment wrapText="1"/>
    </xf>
    <xf numFmtId="180" fontId="0" fillId="0" borderId="5" xfId="0" applyNumberFormat="1" applyBorder="1" applyAlignment="1">
      <alignment wrapText="1"/>
    </xf>
    <xf numFmtId="180" fontId="0" fillId="0" borderId="95" xfId="0" applyNumberFormat="1" applyBorder="1" applyAlignment="1">
      <alignment wrapText="1"/>
    </xf>
    <xf numFmtId="0" fontId="0" fillId="0" borderId="103" xfId="0" applyFont="1" applyFill="1" applyBorder="1" applyAlignment="1"/>
    <xf numFmtId="180" fontId="0" fillId="0" borderId="104" xfId="0" applyNumberFormat="1" applyBorder="1"/>
    <xf numFmtId="180" fontId="0" fillId="0" borderId="105" xfId="0" applyNumberFormat="1" applyBorder="1"/>
    <xf numFmtId="0" fontId="0" fillId="21" borderId="0" xfId="0" applyFill="1"/>
    <xf numFmtId="0" fontId="2" fillId="3" borderId="58" xfId="0" applyFont="1" applyFill="1" applyBorder="1"/>
    <xf numFmtId="0" fontId="2" fillId="3" borderId="49" xfId="0" applyFont="1" applyFill="1" applyBorder="1" applyAlignment="1">
      <alignment horizontal="center"/>
    </xf>
    <xf numFmtId="0" fontId="2" fillId="3" borderId="48" xfId="0" applyFont="1" applyFill="1" applyBorder="1" applyAlignment="1">
      <alignment horizontal="center"/>
    </xf>
    <xf numFmtId="0" fontId="0" fillId="0" borderId="102" xfId="0" applyBorder="1"/>
    <xf numFmtId="0" fontId="0" fillId="0" borderId="107" xfId="0" applyBorder="1"/>
    <xf numFmtId="0" fontId="0" fillId="3" borderId="60" xfId="0" applyFill="1" applyBorder="1"/>
    <xf numFmtId="165" fontId="0" fillId="3" borderId="31" xfId="1" applyNumberFormat="1" applyFont="1" applyFill="1" applyBorder="1"/>
    <xf numFmtId="165" fontId="0" fillId="3" borderId="30" xfId="1" applyNumberFormat="1" applyFont="1" applyFill="1" applyBorder="1"/>
    <xf numFmtId="0" fontId="3" fillId="3" borderId="1" xfId="0" applyFont="1" applyFill="1" applyBorder="1"/>
    <xf numFmtId="0" fontId="0" fillId="3" borderId="1" xfId="0" applyFill="1" applyBorder="1" applyAlignment="1">
      <alignment horizontal="center" wrapText="1"/>
    </xf>
    <xf numFmtId="43" fontId="0" fillId="4" borderId="1" xfId="1" applyFont="1" applyFill="1" applyBorder="1"/>
    <xf numFmtId="9" fontId="11" fillId="0" borderId="0" xfId="2" applyFont="1"/>
    <xf numFmtId="165" fontId="0" fillId="3" borderId="1" xfId="1" applyNumberFormat="1" applyFont="1" applyFill="1" applyBorder="1"/>
    <xf numFmtId="165" fontId="0" fillId="0" borderId="0" xfId="1" applyNumberFormat="1" applyFont="1"/>
    <xf numFmtId="0" fontId="2" fillId="3" borderId="58" xfId="0" applyFont="1" applyFill="1" applyBorder="1" applyAlignment="1">
      <alignment wrapText="1"/>
    </xf>
    <xf numFmtId="0" fontId="6" fillId="3" borderId="49" xfId="0" applyFont="1" applyFill="1" applyBorder="1" applyAlignment="1">
      <alignment horizontal="center" wrapText="1"/>
    </xf>
    <xf numFmtId="0" fontId="0" fillId="3" borderId="49" xfId="0" applyFill="1" applyBorder="1" applyAlignment="1">
      <alignment horizontal="center"/>
    </xf>
    <xf numFmtId="0" fontId="0" fillId="3" borderId="48" xfId="0" applyFill="1" applyBorder="1" applyAlignment="1">
      <alignment horizontal="center"/>
    </xf>
    <xf numFmtId="0" fontId="3" fillId="0" borderId="102" xfId="0" applyFont="1" applyBorder="1" applyAlignment="1"/>
    <xf numFmtId="1" fontId="6" fillId="3" borderId="4" xfId="1" applyNumberFormat="1" applyFont="1" applyFill="1" applyBorder="1" applyAlignment="1">
      <alignment wrapText="1"/>
    </xf>
    <xf numFmtId="1" fontId="0" fillId="0" borderId="4" xfId="1" applyNumberFormat="1" applyFont="1" applyBorder="1" applyAlignment="1">
      <alignment wrapText="1"/>
    </xf>
    <xf numFmtId="1" fontId="0" fillId="0" borderId="4" xfId="0" applyNumberFormat="1" applyBorder="1" applyAlignment="1">
      <alignment wrapText="1"/>
    </xf>
    <xf numFmtId="1" fontId="0" fillId="0" borderId="101" xfId="0" applyNumberFormat="1" applyBorder="1" applyAlignment="1">
      <alignment wrapText="1"/>
    </xf>
    <xf numFmtId="165" fontId="6" fillId="3" borderId="5" xfId="1" applyNumberFormat="1" applyFont="1" applyFill="1" applyBorder="1" applyAlignment="1">
      <alignment wrapText="1"/>
    </xf>
    <xf numFmtId="165" fontId="0" fillId="0" borderId="5" xfId="1" applyNumberFormat="1" applyFont="1" applyBorder="1" applyAlignment="1">
      <alignment wrapText="1"/>
    </xf>
    <xf numFmtId="165" fontId="0" fillId="0" borderId="95" xfId="1" applyNumberFormat="1" applyFont="1" applyBorder="1" applyAlignment="1">
      <alignment wrapText="1"/>
    </xf>
    <xf numFmtId="0" fontId="0" fillId="0" borderId="100" xfId="0" applyFont="1" applyBorder="1" applyAlignment="1"/>
    <xf numFmtId="165" fontId="0" fillId="0" borderId="8" xfId="1" applyNumberFormat="1" applyFont="1" applyBorder="1" applyAlignment="1">
      <alignment wrapText="1"/>
    </xf>
    <xf numFmtId="165" fontId="0" fillId="0" borderId="2" xfId="1" applyNumberFormat="1" applyFont="1" applyBorder="1" applyAlignment="1">
      <alignment wrapText="1"/>
    </xf>
    <xf numFmtId="0" fontId="0" fillId="3" borderId="61" xfId="0" applyFont="1" applyFill="1" applyBorder="1" applyAlignment="1"/>
    <xf numFmtId="165" fontId="6" fillId="3" borderId="1" xfId="1" applyNumberFormat="1" applyFont="1" applyFill="1" applyBorder="1" applyAlignment="1">
      <alignment wrapText="1"/>
    </xf>
    <xf numFmtId="165" fontId="0" fillId="3" borderId="1" xfId="1" applyNumberFormat="1" applyFont="1" applyFill="1" applyBorder="1" applyAlignment="1">
      <alignment wrapText="1"/>
    </xf>
    <xf numFmtId="165" fontId="0" fillId="3" borderId="35" xfId="1" applyNumberFormat="1" applyFont="1" applyFill="1" applyBorder="1" applyAlignment="1">
      <alignment wrapText="1"/>
    </xf>
    <xf numFmtId="165" fontId="6" fillId="3" borderId="9" xfId="1" applyNumberFormat="1" applyFont="1" applyFill="1" applyBorder="1" applyAlignment="1">
      <alignment wrapText="1"/>
    </xf>
    <xf numFmtId="165" fontId="0" fillId="0" borderId="9" xfId="1" applyNumberFormat="1" applyFont="1" applyBorder="1" applyAlignment="1">
      <alignment wrapText="1"/>
    </xf>
    <xf numFmtId="165" fontId="0" fillId="0" borderId="97" xfId="1" applyNumberFormat="1" applyFont="1" applyBorder="1" applyAlignment="1">
      <alignment wrapText="1"/>
    </xf>
    <xf numFmtId="165" fontId="0" fillId="0" borderId="82" xfId="1" applyNumberFormat="1" applyFont="1" applyBorder="1" applyAlignment="1">
      <alignment wrapText="1"/>
    </xf>
    <xf numFmtId="0" fontId="0" fillId="3" borderId="60" xfId="0" applyFont="1" applyFill="1" applyBorder="1" applyAlignment="1"/>
    <xf numFmtId="165" fontId="6" fillId="3" borderId="31" xfId="1" applyNumberFormat="1" applyFont="1" applyFill="1" applyBorder="1"/>
    <xf numFmtId="0" fontId="0" fillId="0" borderId="0" xfId="0" applyFont="1" applyFill="1" applyBorder="1" applyAlignment="1"/>
    <xf numFmtId="0" fontId="2" fillId="2" borderId="58" xfId="0" applyFont="1" applyFill="1" applyBorder="1"/>
    <xf numFmtId="0" fontId="2" fillId="2" borderId="49" xfId="0" applyFont="1" applyFill="1" applyBorder="1" applyAlignment="1">
      <alignment horizontal="center"/>
    </xf>
    <xf numFmtId="0" fontId="2" fillId="2" borderId="48" xfId="0" applyFont="1" applyFill="1" applyBorder="1" applyAlignment="1">
      <alignment horizontal="center"/>
    </xf>
    <xf numFmtId="0" fontId="3" fillId="0" borderId="98" xfId="0" applyFont="1" applyBorder="1"/>
    <xf numFmtId="165" fontId="0" fillId="0" borderId="9" xfId="1" applyNumberFormat="1" applyFont="1" applyBorder="1"/>
    <xf numFmtId="165" fontId="0" fillId="0" borderId="97" xfId="1" applyNumberFormat="1" applyFont="1" applyBorder="1"/>
    <xf numFmtId="0" fontId="0" fillId="0" borderId="96" xfId="0" applyFont="1" applyBorder="1"/>
    <xf numFmtId="167" fontId="0" fillId="0" borderId="5" xfId="1" applyNumberFormat="1" applyFont="1" applyBorder="1"/>
    <xf numFmtId="167" fontId="0" fillId="0" borderId="95" xfId="1" applyNumberFormat="1" applyFont="1" applyBorder="1"/>
    <xf numFmtId="0" fontId="0" fillId="0" borderId="96" xfId="0" applyBorder="1"/>
    <xf numFmtId="43" fontId="0" fillId="0" borderId="100" xfId="1" applyFont="1" applyBorder="1"/>
    <xf numFmtId="167" fontId="0" fillId="0" borderId="8" xfId="1" applyNumberFormat="1" applyFont="1" applyBorder="1"/>
    <xf numFmtId="167" fontId="0" fillId="0" borderId="99" xfId="1" applyNumberFormat="1" applyFont="1" applyBorder="1"/>
    <xf numFmtId="0" fontId="0" fillId="2" borderId="61" xfId="0" applyFill="1" applyBorder="1"/>
    <xf numFmtId="165" fontId="0" fillId="2" borderId="1" xfId="1" applyNumberFormat="1" applyFont="1" applyFill="1" applyBorder="1"/>
    <xf numFmtId="167" fontId="0" fillId="2" borderId="1" xfId="1" applyNumberFormat="1" applyFont="1" applyFill="1" applyBorder="1"/>
    <xf numFmtId="167" fontId="0" fillId="2" borderId="35" xfId="1" applyNumberFormat="1" applyFont="1" applyFill="1" applyBorder="1"/>
    <xf numFmtId="0" fontId="11" fillId="0" borderId="108" xfId="0" applyFont="1" applyFill="1" applyBorder="1"/>
    <xf numFmtId="165" fontId="11" fillId="0" borderId="7" xfId="1" applyNumberFormat="1" applyFont="1" applyFill="1" applyBorder="1"/>
    <xf numFmtId="43" fontId="11" fillId="0" borderId="7" xfId="1" applyNumberFormat="1" applyFont="1" applyFill="1" applyBorder="1"/>
    <xf numFmtId="43" fontId="11" fillId="0" borderId="67" xfId="1" applyNumberFormat="1" applyFont="1" applyFill="1" applyBorder="1"/>
    <xf numFmtId="167" fontId="0" fillId="0" borderId="9" xfId="1" applyNumberFormat="1" applyFont="1" applyBorder="1"/>
    <xf numFmtId="167" fontId="0" fillId="0" borderId="97" xfId="1" applyNumberFormat="1" applyFont="1" applyBorder="1"/>
    <xf numFmtId="43" fontId="0" fillId="0" borderId="107" xfId="1" applyFont="1" applyBorder="1"/>
    <xf numFmtId="167" fontId="0" fillId="0" borderId="6" xfId="1" applyNumberFormat="1" applyFont="1" applyBorder="1"/>
    <xf numFmtId="167" fontId="0" fillId="0" borderId="106" xfId="1" applyNumberFormat="1" applyFont="1" applyBorder="1"/>
    <xf numFmtId="0" fontId="11" fillId="0" borderId="61" xfId="0" applyFont="1" applyFill="1" applyBorder="1"/>
    <xf numFmtId="165" fontId="11" fillId="0" borderId="1" xfId="1" applyNumberFormat="1" applyFont="1" applyFill="1" applyBorder="1"/>
    <xf numFmtId="43" fontId="11" fillId="0" borderId="1" xfId="1" applyFont="1" applyFill="1" applyBorder="1"/>
    <xf numFmtId="43" fontId="11" fillId="0" borderId="35" xfId="1" applyFont="1" applyFill="1" applyBorder="1"/>
    <xf numFmtId="0" fontId="11" fillId="0" borderId="109" xfId="0" applyFont="1" applyFill="1" applyBorder="1"/>
    <xf numFmtId="165" fontId="11" fillId="0" borderId="10" xfId="1" applyNumberFormat="1" applyFont="1" applyFill="1" applyBorder="1"/>
    <xf numFmtId="43" fontId="11" fillId="0" borderId="10" xfId="1" applyFont="1" applyFill="1" applyBorder="1"/>
    <xf numFmtId="167" fontId="11" fillId="0" borderId="10" xfId="1" applyNumberFormat="1" applyFont="1" applyFill="1" applyBorder="1"/>
    <xf numFmtId="167" fontId="11" fillId="0" borderId="110" xfId="1" applyNumberFormat="1" applyFont="1" applyFill="1" applyBorder="1"/>
    <xf numFmtId="0" fontId="0" fillId="2" borderId="81" xfId="0" applyFill="1" applyBorder="1"/>
    <xf numFmtId="165" fontId="0" fillId="2" borderId="3" xfId="1" applyNumberFormat="1" applyFont="1" applyFill="1" applyBorder="1"/>
    <xf numFmtId="167" fontId="0" fillId="2" borderId="3" xfId="1" applyNumberFormat="1" applyFont="1" applyFill="1" applyBorder="1"/>
    <xf numFmtId="167" fontId="0" fillId="2" borderId="40" xfId="1" applyNumberFormat="1" applyFont="1" applyFill="1" applyBorder="1"/>
    <xf numFmtId="0" fontId="11" fillId="0" borderId="60" xfId="0" applyFont="1" applyFill="1" applyBorder="1"/>
    <xf numFmtId="165" fontId="11" fillId="0" borderId="31" xfId="1" applyNumberFormat="1" applyFont="1" applyFill="1" applyBorder="1"/>
    <xf numFmtId="43" fontId="11" fillId="0" borderId="31" xfId="1" applyFont="1" applyFill="1" applyBorder="1"/>
    <xf numFmtId="167" fontId="11" fillId="0" borderId="31" xfId="1" applyNumberFormat="1" applyFont="1" applyFill="1" applyBorder="1"/>
    <xf numFmtId="167" fontId="11" fillId="0" borderId="30" xfId="1" applyNumberFormat="1" applyFont="1" applyFill="1" applyBorder="1"/>
    <xf numFmtId="0" fontId="11" fillId="0" borderId="0" xfId="0" applyFont="1" applyFill="1" applyBorder="1" applyAlignment="1"/>
    <xf numFmtId="0" fontId="13" fillId="0" borderId="0" xfId="0" applyFont="1" applyFill="1" applyBorder="1" applyAlignment="1"/>
    <xf numFmtId="0" fontId="73" fillId="22" borderId="0" xfId="0" applyFont="1" applyFill="1"/>
    <xf numFmtId="0" fontId="3" fillId="2" borderId="77" xfId="0" applyFont="1" applyFill="1" applyBorder="1"/>
    <xf numFmtId="0" fontId="2" fillId="2" borderId="111" xfId="0" applyFont="1" applyFill="1" applyBorder="1" applyAlignment="1">
      <alignment horizontal="center"/>
    </xf>
    <xf numFmtId="0" fontId="2" fillId="2" borderId="112" xfId="0" applyFont="1" applyFill="1" applyBorder="1" applyAlignment="1">
      <alignment horizontal="center"/>
    </xf>
    <xf numFmtId="43" fontId="0" fillId="0" borderId="101" xfId="1" applyFont="1" applyBorder="1"/>
    <xf numFmtId="43" fontId="0" fillId="0" borderId="95" xfId="1" applyFont="1" applyBorder="1"/>
    <xf numFmtId="43" fontId="0" fillId="0" borderId="106" xfId="1" applyFont="1" applyBorder="1"/>
    <xf numFmtId="0" fontId="0" fillId="2" borderId="55" xfId="0" applyFill="1" applyBorder="1"/>
    <xf numFmtId="0" fontId="0" fillId="2" borderId="79" xfId="0" applyFill="1" applyBorder="1"/>
    <xf numFmtId="43" fontId="0" fillId="2" borderId="79" xfId="0" applyNumberFormat="1" applyFill="1" applyBorder="1"/>
    <xf numFmtId="43" fontId="0" fillId="2" borderId="78" xfId="0" applyNumberFormat="1" applyFill="1" applyBorder="1"/>
    <xf numFmtId="165" fontId="0" fillId="0" borderId="101" xfId="1" applyNumberFormat="1" applyFont="1" applyBorder="1"/>
    <xf numFmtId="165" fontId="0" fillId="0" borderId="95" xfId="1" applyNumberFormat="1" applyFont="1" applyBorder="1"/>
    <xf numFmtId="165" fontId="0" fillId="0" borderId="106" xfId="1" applyNumberFormat="1" applyFont="1" applyBorder="1"/>
    <xf numFmtId="0" fontId="0" fillId="2" borderId="60" xfId="0" applyFill="1" applyBorder="1"/>
    <xf numFmtId="165" fontId="0" fillId="2" borderId="31" xfId="1" applyNumberFormat="1" applyFont="1" applyFill="1" applyBorder="1"/>
    <xf numFmtId="165" fontId="0" fillId="2" borderId="30" xfId="1" applyNumberFormat="1" applyFont="1" applyFill="1" applyBorder="1"/>
    <xf numFmtId="0" fontId="2" fillId="2" borderId="1" xfId="0" applyFont="1" applyFill="1" applyBorder="1" applyAlignment="1">
      <alignment horizontal="center"/>
    </xf>
    <xf numFmtId="0" fontId="0" fillId="22" borderId="0" xfId="0" applyFill="1"/>
    <xf numFmtId="43" fontId="11" fillId="0" borderId="1" xfId="1" applyFont="1" applyBorder="1"/>
    <xf numFmtId="43" fontId="0" fillId="0" borderId="1" xfId="0" applyNumberFormat="1" applyBorder="1"/>
    <xf numFmtId="43" fontId="11" fillId="2" borderId="1" xfId="1" applyFont="1" applyFill="1" applyBorder="1"/>
    <xf numFmtId="43" fontId="0" fillId="2" borderId="1" xfId="0" applyNumberFormat="1" applyFill="1" applyBorder="1"/>
    <xf numFmtId="165" fontId="6" fillId="4" borderId="5" xfId="1" applyNumberFormat="1" applyFont="1" applyFill="1" applyBorder="1" applyAlignment="1">
      <alignment wrapText="1"/>
    </xf>
    <xf numFmtId="165" fontId="0" fillId="4" borderId="5" xfId="1" applyNumberFormat="1" applyFont="1" applyFill="1" applyBorder="1" applyAlignment="1">
      <alignment wrapText="1"/>
    </xf>
    <xf numFmtId="165" fontId="0" fillId="4" borderId="95" xfId="1" applyNumberFormat="1" applyFont="1" applyFill="1" applyBorder="1" applyAlignment="1">
      <alignment wrapText="1"/>
    </xf>
    <xf numFmtId="165" fontId="0" fillId="4" borderId="5" xfId="1" applyNumberFormat="1" applyFont="1" applyFill="1" applyBorder="1"/>
    <xf numFmtId="167" fontId="0" fillId="4" borderId="5" xfId="1" applyNumberFormat="1" applyFont="1" applyFill="1" applyBorder="1"/>
    <xf numFmtId="167" fontId="0" fillId="4" borderId="95" xfId="1" applyNumberFormat="1" applyFont="1" applyFill="1" applyBorder="1"/>
    <xf numFmtId="0" fontId="71" fillId="10" borderId="0" xfId="0" applyFont="1" applyFill="1"/>
    <xf numFmtId="0" fontId="0" fillId="10" borderId="0" xfId="0" applyFill="1"/>
    <xf numFmtId="14" fontId="2" fillId="0" borderId="1" xfId="0" applyNumberFormat="1" applyFont="1" applyBorder="1"/>
    <xf numFmtId="9" fontId="7" fillId="0" borderId="12" xfId="2" applyFont="1" applyFill="1" applyBorder="1" applyAlignment="1">
      <alignment horizontal="left" vertical="center" indent="1"/>
    </xf>
    <xf numFmtId="43" fontId="0" fillId="8" borderId="12" xfId="2" applyNumberFormat="1" applyFont="1" applyFill="1" applyBorder="1" applyAlignment="1">
      <alignment vertical="center"/>
    </xf>
    <xf numFmtId="9" fontId="17" fillId="8" borderId="12" xfId="2" applyFont="1" applyFill="1" applyBorder="1" applyAlignment="1">
      <alignment vertical="center"/>
    </xf>
    <xf numFmtId="10" fontId="0" fillId="3" borderId="12" xfId="2" applyNumberFormat="1" applyFont="1" applyFill="1" applyBorder="1" applyAlignment="1">
      <alignment vertical="center"/>
    </xf>
    <xf numFmtId="0" fontId="2" fillId="7" borderId="113" xfId="0" applyFont="1" applyFill="1" applyBorder="1" applyAlignment="1">
      <alignment vertical="center"/>
    </xf>
    <xf numFmtId="15" fontId="2" fillId="7" borderId="113" xfId="0" applyNumberFormat="1" applyFont="1" applyFill="1" applyBorder="1" applyAlignment="1">
      <alignment horizontal="center" vertical="center"/>
    </xf>
    <xf numFmtId="0" fontId="2" fillId="0" borderId="114" xfId="0" applyFont="1" applyBorder="1" applyAlignment="1">
      <alignment vertical="center"/>
    </xf>
    <xf numFmtId="0" fontId="0" fillId="0" borderId="114" xfId="0" applyFont="1" applyBorder="1" applyAlignment="1">
      <alignment vertical="center"/>
    </xf>
    <xf numFmtId="164" fontId="2" fillId="0" borderId="114" xfId="1" applyNumberFormat="1" applyFont="1" applyBorder="1" applyAlignment="1">
      <alignment vertical="center"/>
    </xf>
    <xf numFmtId="164" fontId="1" fillId="0" borderId="114" xfId="1" applyNumberFormat="1" applyFont="1" applyBorder="1" applyAlignment="1">
      <alignment vertical="center"/>
    </xf>
    <xf numFmtId="164" fontId="0" fillId="0" borderId="114" xfId="0" applyNumberFormat="1" applyFont="1" applyBorder="1" applyAlignment="1">
      <alignment vertical="center"/>
    </xf>
    <xf numFmtId="0" fontId="2" fillId="3" borderId="114" xfId="0" applyFont="1" applyFill="1" applyBorder="1" applyAlignment="1">
      <alignment vertical="center"/>
    </xf>
    <xf numFmtId="164" fontId="2" fillId="3" borderId="114" xfId="1" applyNumberFormat="1" applyFont="1" applyFill="1" applyBorder="1" applyAlignment="1">
      <alignment vertical="center"/>
    </xf>
    <xf numFmtId="164" fontId="0" fillId="0" borderId="114" xfId="0" applyNumberFormat="1" applyBorder="1" applyAlignment="1">
      <alignment vertical="center"/>
    </xf>
    <xf numFmtId="0" fontId="0" fillId="0" borderId="114" xfId="0" applyBorder="1" applyAlignment="1">
      <alignment vertical="center"/>
    </xf>
    <xf numFmtId="0" fontId="0" fillId="0" borderId="114" xfId="0" quotePrefix="1" applyBorder="1" applyAlignment="1">
      <alignment vertical="center"/>
    </xf>
    <xf numFmtId="164" fontId="2" fillId="0" borderId="114" xfId="1" applyNumberFormat="1" applyFont="1" applyFill="1" applyBorder="1" applyAlignment="1">
      <alignment vertical="center"/>
    </xf>
    <xf numFmtId="0" fontId="2" fillId="0" borderId="114" xfId="0" applyFont="1" applyFill="1" applyBorder="1" applyAlignment="1">
      <alignment vertical="center"/>
    </xf>
    <xf numFmtId="0" fontId="0" fillId="0" borderId="114" xfId="0" applyFont="1" applyFill="1" applyBorder="1" applyAlignment="1">
      <alignment vertical="center"/>
    </xf>
    <xf numFmtId="164" fontId="0" fillId="0" borderId="114" xfId="0" applyNumberFormat="1" applyBorder="1" applyAlignment="1">
      <alignment horizontal="center" vertical="center"/>
    </xf>
    <xf numFmtId="164" fontId="2" fillId="3" borderId="114" xfId="0" applyNumberFormat="1" applyFont="1" applyFill="1" applyBorder="1" applyAlignment="1">
      <alignment vertical="center"/>
    </xf>
    <xf numFmtId="0" fontId="7" fillId="0" borderId="114" xfId="0" applyFont="1" applyBorder="1" applyAlignment="1">
      <alignment vertical="center"/>
    </xf>
    <xf numFmtId="43" fontId="11" fillId="0" borderId="114" xfId="0" applyNumberFormat="1" applyFont="1" applyBorder="1" applyAlignment="1">
      <alignment vertical="center"/>
    </xf>
    <xf numFmtId="10" fontId="0" fillId="0" borderId="0" xfId="0" applyNumberFormat="1" applyFont="1" applyAlignment="1">
      <alignment vertical="center"/>
    </xf>
    <xf numFmtId="0" fontId="0" fillId="0" borderId="0" xfId="0" applyFill="1" applyBorder="1"/>
    <xf numFmtId="43" fontId="2" fillId="0" borderId="114" xfId="1" applyFont="1" applyFill="1" applyBorder="1" applyAlignment="1">
      <alignment vertical="center"/>
    </xf>
    <xf numFmtId="0" fontId="2" fillId="7" borderId="13" xfId="0" applyFont="1" applyFill="1" applyBorder="1" applyAlignment="1">
      <alignment horizontal="center" vertical="center" wrapText="1"/>
    </xf>
    <xf numFmtId="164" fontId="1" fillId="0" borderId="114" xfId="1" applyNumberFormat="1" applyFont="1" applyFill="1" applyBorder="1" applyAlignment="1">
      <alignment vertical="center"/>
    </xf>
    <xf numFmtId="181" fontId="0" fillId="0" borderId="12" xfId="1" applyNumberFormat="1" applyFont="1" applyBorder="1" applyAlignment="1">
      <alignment vertical="center"/>
    </xf>
    <xf numFmtId="181" fontId="6" fillId="0" borderId="12" xfId="1" applyNumberFormat="1" applyFont="1" applyBorder="1" applyAlignment="1">
      <alignment vertical="center"/>
    </xf>
    <xf numFmtId="181" fontId="2" fillId="3" borderId="12" xfId="1" applyNumberFormat="1" applyFont="1" applyFill="1" applyBorder="1" applyAlignment="1">
      <alignment vertical="center"/>
    </xf>
    <xf numFmtId="181" fontId="6" fillId="0" borderId="12" xfId="1" applyNumberFormat="1" applyFont="1" applyFill="1" applyBorder="1" applyAlignment="1">
      <alignment vertical="center"/>
    </xf>
    <xf numFmtId="181" fontId="1" fillId="0" borderId="12" xfId="1" applyNumberFormat="1" applyFont="1" applyFill="1" applyBorder="1" applyAlignment="1">
      <alignment vertical="center"/>
    </xf>
    <xf numFmtId="165" fontId="0" fillId="0" borderId="0" xfId="0" applyNumberFormat="1" applyAlignment="1">
      <alignment vertical="center"/>
    </xf>
    <xf numFmtId="10" fontId="60" fillId="0" borderId="86" xfId="2" applyNumberFormat="1" applyFont="1" applyBorder="1" applyAlignment="1">
      <alignment horizontal="center" vertical="center" wrapText="1" readingOrder="1"/>
    </xf>
    <xf numFmtId="3" fontId="59" fillId="0" borderId="86" xfId="1" applyNumberFormat="1" applyFont="1" applyBorder="1" applyAlignment="1">
      <alignment horizontal="center" vertical="center" wrapText="1" readingOrder="1"/>
    </xf>
    <xf numFmtId="3" fontId="58" fillId="0" borderId="86" xfId="1" applyNumberFormat="1" applyFont="1" applyBorder="1" applyAlignment="1">
      <alignment horizontal="center" vertical="center" wrapText="1" readingOrder="1"/>
    </xf>
    <xf numFmtId="3" fontId="59" fillId="15" borderId="86" xfId="1" applyNumberFormat="1" applyFont="1" applyFill="1" applyBorder="1" applyAlignment="1">
      <alignment horizontal="center" vertical="center" wrapText="1" readingOrder="1"/>
    </xf>
    <xf numFmtId="3" fontId="58" fillId="15" borderId="86" xfId="1" applyNumberFormat="1" applyFont="1" applyFill="1" applyBorder="1" applyAlignment="1">
      <alignment horizontal="center" vertical="center" wrapText="1" readingOrder="1"/>
    </xf>
    <xf numFmtId="4" fontId="58" fillId="15" borderId="86" xfId="1" applyNumberFormat="1" applyFont="1" applyFill="1" applyBorder="1" applyAlignment="1">
      <alignment horizontal="center" vertical="center" wrapText="1" readingOrder="1"/>
    </xf>
    <xf numFmtId="0" fontId="77" fillId="0" borderId="0" xfId="0" applyFont="1"/>
    <xf numFmtId="182" fontId="59" fillId="0" borderId="90" xfId="1" applyNumberFormat="1" applyFont="1" applyBorder="1" applyAlignment="1">
      <alignment horizontal="center" vertical="center" wrapText="1" readingOrder="1"/>
    </xf>
    <xf numFmtId="182" fontId="58" fillId="17" borderId="90" xfId="1" applyNumberFormat="1" applyFont="1" applyFill="1" applyBorder="1" applyAlignment="1">
      <alignment horizontal="center" vertical="center" wrapText="1" readingOrder="1"/>
    </xf>
    <xf numFmtId="182" fontId="61" fillId="0" borderId="90" xfId="1" applyNumberFormat="1" applyFont="1" applyBorder="1" applyAlignment="1">
      <alignment horizontal="center" wrapText="1"/>
    </xf>
    <xf numFmtId="182" fontId="60" fillId="0" borderId="90" xfId="1" applyNumberFormat="1" applyFont="1" applyBorder="1" applyAlignment="1">
      <alignment horizontal="center" vertical="center" wrapText="1" readingOrder="1"/>
    </xf>
    <xf numFmtId="181" fontId="8" fillId="9" borderId="12" xfId="1" applyNumberFormat="1" applyFont="1" applyFill="1" applyBorder="1" applyAlignment="1">
      <alignment vertical="center"/>
    </xf>
    <xf numFmtId="43" fontId="2" fillId="0" borderId="0" xfId="0" applyNumberFormat="1" applyFont="1" applyFill="1" applyBorder="1" applyAlignment="1">
      <alignment vertical="center"/>
    </xf>
    <xf numFmtId="43" fontId="2" fillId="0" borderId="0" xfId="2" applyNumberFormat="1" applyFont="1" applyFill="1" applyBorder="1" applyAlignment="1">
      <alignment vertical="center"/>
    </xf>
    <xf numFmtId="164" fontId="6" fillId="0" borderId="114" xfId="1" applyNumberFormat="1" applyFont="1" applyFill="1" applyBorder="1" applyAlignment="1">
      <alignment vertical="center"/>
    </xf>
    <xf numFmtId="10" fontId="7" fillId="3" borderId="12" xfId="2" applyNumberFormat="1" applyFont="1" applyFill="1" applyBorder="1" applyAlignment="1">
      <alignment vertical="center"/>
    </xf>
    <xf numFmtId="3" fontId="74" fillId="0" borderId="0" xfId="0" applyNumberFormat="1" applyFont="1" applyFill="1" applyBorder="1" applyAlignment="1">
      <alignment horizontal="right" wrapText="1" readingOrder="1"/>
    </xf>
    <xf numFmtId="3" fontId="75" fillId="0" borderId="0" xfId="0" applyNumberFormat="1" applyFont="1" applyFill="1" applyBorder="1" applyAlignment="1">
      <alignment horizontal="right" wrapText="1" readingOrder="1"/>
    </xf>
    <xf numFmtId="0" fontId="74" fillId="0" borderId="0" xfId="0" applyFont="1" applyFill="1" applyBorder="1" applyAlignment="1">
      <alignment horizontal="right" wrapText="1" readingOrder="1"/>
    </xf>
    <xf numFmtId="3" fontId="76" fillId="0" borderId="0" xfId="0" applyNumberFormat="1" applyFont="1" applyFill="1" applyBorder="1" applyAlignment="1">
      <alignment horizontal="right" wrapText="1" readingOrder="1"/>
    </xf>
    <xf numFmtId="43" fontId="6" fillId="0" borderId="0" xfId="0" applyNumberFormat="1" applyFont="1" applyFill="1" applyAlignment="1">
      <alignment vertical="center"/>
    </xf>
    <xf numFmtId="15" fontId="0" fillId="0" borderId="0" xfId="0" applyNumberFormat="1" applyFont="1" applyFill="1" applyBorder="1" applyAlignment="1">
      <alignment vertical="center"/>
    </xf>
    <xf numFmtId="43" fontId="0" fillId="0" borderId="0" xfId="0" applyNumberFormat="1" applyFont="1" applyFill="1" applyBorder="1" applyAlignment="1">
      <alignment vertical="center"/>
    </xf>
    <xf numFmtId="164" fontId="0" fillId="0" borderId="0" xfId="0" applyNumberFormat="1" applyFont="1" applyFill="1" applyBorder="1" applyAlignment="1">
      <alignment vertical="center"/>
    </xf>
    <xf numFmtId="43" fontId="35" fillId="0" borderId="0" xfId="0" applyNumberFormat="1" applyFont="1" applyFill="1" applyBorder="1" applyAlignment="1">
      <alignment vertical="center"/>
    </xf>
    <xf numFmtId="43" fontId="17" fillId="0" borderId="0" xfId="1" applyFont="1" applyFill="1" applyBorder="1" applyAlignment="1">
      <alignment vertical="center"/>
    </xf>
    <xf numFmtId="165" fontId="69" fillId="0" borderId="1" xfId="1" applyNumberFormat="1" applyFont="1" applyBorder="1"/>
    <xf numFmtId="165" fontId="69" fillId="0" borderId="1" xfId="0" applyNumberFormat="1" applyFont="1" applyBorder="1"/>
    <xf numFmtId="165" fontId="57" fillId="0" borderId="1" xfId="1" applyNumberFormat="1" applyFont="1" applyBorder="1"/>
    <xf numFmtId="165" fontId="57" fillId="4" borderId="1" xfId="1" applyNumberFormat="1" applyFont="1" applyFill="1" applyBorder="1"/>
    <xf numFmtId="43" fontId="69" fillId="0" borderId="1" xfId="1" applyFont="1" applyBorder="1"/>
    <xf numFmtId="177" fontId="57" fillId="0" borderId="1" xfId="0" applyNumberFormat="1" applyFont="1" applyBorder="1"/>
    <xf numFmtId="177" fontId="69" fillId="0" borderId="1" xfId="0" applyNumberFormat="1" applyFont="1" applyBorder="1"/>
    <xf numFmtId="165" fontId="17" fillId="0" borderId="12" xfId="1" applyNumberFormat="1" applyFont="1" applyFill="1" applyBorder="1" applyAlignment="1">
      <alignment vertical="center"/>
    </xf>
    <xf numFmtId="165" fontId="0" fillId="0" borderId="0" xfId="0" applyNumberFormat="1" applyFont="1" applyAlignment="1">
      <alignment vertical="center"/>
    </xf>
    <xf numFmtId="43" fontId="7" fillId="0" borderId="0" xfId="0" applyNumberFormat="1" applyFont="1" applyBorder="1" applyAlignment="1">
      <alignment vertical="center"/>
    </xf>
    <xf numFmtId="10" fontId="30" fillId="0" borderId="12" xfId="2" applyNumberFormat="1" applyFont="1" applyFill="1" applyBorder="1" applyAlignment="1">
      <alignment vertical="center"/>
    </xf>
    <xf numFmtId="168" fontId="17" fillId="0" borderId="0" xfId="2" applyNumberFormat="1" applyFont="1" applyFill="1" applyBorder="1" applyAlignment="1">
      <alignment vertical="center"/>
    </xf>
    <xf numFmtId="0" fontId="6" fillId="0" borderId="12" xfId="0" applyFont="1" applyFill="1" applyBorder="1" applyAlignment="1">
      <alignment horizontal="left" vertical="center" indent="2"/>
    </xf>
    <xf numFmtId="10" fontId="8" fillId="0" borderId="12" xfId="2" applyNumberFormat="1" applyFont="1" applyFill="1" applyBorder="1" applyAlignment="1">
      <alignment vertical="center"/>
    </xf>
    <xf numFmtId="10" fontId="6" fillId="0" borderId="0" xfId="2" applyNumberFormat="1" applyFont="1" applyFill="1" applyBorder="1" applyAlignment="1">
      <alignment vertical="center"/>
    </xf>
    <xf numFmtId="0" fontId="14" fillId="0" borderId="0" xfId="0" applyFont="1" applyFill="1" applyBorder="1" applyAlignment="1">
      <alignment vertical="center"/>
    </xf>
    <xf numFmtId="9" fontId="2" fillId="0" borderId="0" xfId="2" applyFont="1" applyFill="1" applyBorder="1" applyAlignment="1">
      <alignment vertical="center"/>
    </xf>
    <xf numFmtId="0" fontId="30" fillId="0" borderId="0" xfId="0" applyFont="1"/>
    <xf numFmtId="0" fontId="17" fillId="0" borderId="0" xfId="0" applyFont="1" applyAlignment="1">
      <alignment horizontal="left"/>
    </xf>
    <xf numFmtId="9" fontId="6" fillId="0" borderId="0" xfId="2" applyFont="1"/>
    <xf numFmtId="43" fontId="6" fillId="0" borderId="0" xfId="1" applyFont="1"/>
    <xf numFmtId="43" fontId="6" fillId="0" borderId="0" xfId="2" applyNumberFormat="1" applyFont="1"/>
    <xf numFmtId="0" fontId="30" fillId="8" borderId="12" xfId="0" applyFont="1" applyFill="1" applyBorder="1" applyAlignment="1">
      <alignment horizontal="left" vertical="center"/>
    </xf>
    <xf numFmtId="15" fontId="8" fillId="8" borderId="12" xfId="0" applyNumberFormat="1" applyFont="1" applyFill="1" applyBorder="1" applyAlignment="1">
      <alignment horizontal="center" vertical="center"/>
    </xf>
    <xf numFmtId="15" fontId="6" fillId="0" borderId="0" xfId="0" applyNumberFormat="1" applyFont="1" applyAlignment="1">
      <alignment vertical="center"/>
    </xf>
    <xf numFmtId="0" fontId="30" fillId="0" borderId="12" xfId="0" applyFont="1" applyFill="1" applyBorder="1" applyAlignment="1">
      <alignment horizontal="left" vertical="center"/>
    </xf>
    <xf numFmtId="0" fontId="6" fillId="0" borderId="12" xfId="0" applyFont="1" applyFill="1" applyBorder="1" applyAlignment="1">
      <alignment horizontal="center" vertical="center"/>
    </xf>
    <xf numFmtId="43" fontId="8" fillId="0" borderId="12" xfId="1" applyFont="1" applyFill="1" applyBorder="1" applyAlignment="1">
      <alignment horizontal="center" vertical="center"/>
    </xf>
    <xf numFmtId="43" fontId="8" fillId="0" borderId="0" xfId="1" applyFont="1" applyFill="1" applyBorder="1" applyAlignment="1">
      <alignment horizontal="center" vertical="center"/>
    </xf>
    <xf numFmtId="0" fontId="17" fillId="0" borderId="12" xfId="0" applyFont="1" applyFill="1" applyBorder="1" applyAlignment="1">
      <alignment horizontal="left" vertical="center"/>
    </xf>
    <xf numFmtId="43" fontId="6" fillId="0" borderId="0" xfId="1" applyFont="1" applyFill="1" applyAlignment="1">
      <alignment vertical="center"/>
    </xf>
    <xf numFmtId="9" fontId="6" fillId="0" borderId="0" xfId="0" applyNumberFormat="1" applyFont="1" applyFill="1" applyBorder="1" applyAlignment="1">
      <alignment vertical="center"/>
    </xf>
    <xf numFmtId="0" fontId="17" fillId="0" borderId="12" xfId="0" applyFont="1" applyBorder="1" applyAlignment="1">
      <alignment horizontal="left" vertical="center"/>
    </xf>
    <xf numFmtId="0" fontId="30" fillId="3" borderId="12" xfId="0" applyFont="1" applyFill="1" applyBorder="1" applyAlignment="1">
      <alignment horizontal="left" vertical="center"/>
    </xf>
    <xf numFmtId="0" fontId="8" fillId="0" borderId="12" xfId="0" applyFont="1" applyBorder="1" applyAlignment="1">
      <alignment vertical="center"/>
    </xf>
    <xf numFmtId="0" fontId="8" fillId="0" borderId="12" xfId="0" applyFont="1" applyFill="1" applyBorder="1" applyAlignment="1">
      <alignment horizontal="left" vertical="center" indent="1"/>
    </xf>
    <xf numFmtId="0" fontId="6" fillId="4" borderId="0" xfId="0" applyFont="1" applyFill="1" applyAlignment="1">
      <alignment vertical="center"/>
    </xf>
    <xf numFmtId="0" fontId="17" fillId="0" borderId="0" xfId="0" applyFont="1" applyAlignment="1">
      <alignment vertical="center"/>
    </xf>
    <xf numFmtId="0" fontId="17" fillId="9" borderId="12" xfId="0" applyFont="1" applyFill="1" applyBorder="1" applyAlignment="1">
      <alignment horizontal="left" vertical="center"/>
    </xf>
    <xf numFmtId="0" fontId="6" fillId="9" borderId="12" xfId="0" applyFont="1" applyFill="1" applyBorder="1" applyAlignment="1">
      <alignment vertical="center"/>
    </xf>
    <xf numFmtId="43" fontId="8" fillId="9" borderId="12" xfId="1" applyFont="1" applyFill="1" applyBorder="1" applyAlignment="1">
      <alignment vertical="center"/>
    </xf>
    <xf numFmtId="0" fontId="8" fillId="3" borderId="16" xfId="0" applyFont="1" applyFill="1" applyBorder="1" applyAlignment="1">
      <alignment vertical="center"/>
    </xf>
    <xf numFmtId="0" fontId="17" fillId="3" borderId="16" xfId="0" applyFont="1" applyFill="1" applyBorder="1" applyAlignment="1">
      <alignment horizontal="left" vertical="center"/>
    </xf>
    <xf numFmtId="0" fontId="6" fillId="3" borderId="16" xfId="0" applyFont="1" applyFill="1" applyBorder="1" applyAlignment="1">
      <alignment vertical="center"/>
    </xf>
    <xf numFmtId="43" fontId="8" fillId="3" borderId="16" xfId="1" applyFont="1" applyFill="1" applyBorder="1" applyAlignment="1">
      <alignment vertical="center"/>
    </xf>
    <xf numFmtId="0" fontId="8" fillId="3" borderId="13" xfId="0" applyFont="1" applyFill="1" applyBorder="1" applyAlignment="1">
      <alignment vertical="center"/>
    </xf>
    <xf numFmtId="0" fontId="17" fillId="3" borderId="13" xfId="0" applyFont="1" applyFill="1" applyBorder="1" applyAlignment="1">
      <alignment horizontal="left" vertical="center"/>
    </xf>
    <xf numFmtId="0" fontId="6" fillId="3" borderId="13" xfId="0" applyFont="1" applyFill="1" applyBorder="1" applyAlignment="1">
      <alignment vertical="center"/>
    </xf>
    <xf numFmtId="9" fontId="30" fillId="3" borderId="13" xfId="2" applyFont="1" applyFill="1" applyBorder="1" applyAlignment="1">
      <alignment vertical="center"/>
    </xf>
    <xf numFmtId="0" fontId="6" fillId="0" borderId="0" xfId="0" applyFont="1" applyBorder="1" applyAlignment="1">
      <alignment vertical="center"/>
    </xf>
    <xf numFmtId="0" fontId="17" fillId="0" borderId="0" xfId="0" applyFont="1" applyBorder="1" applyAlignment="1">
      <alignment horizontal="left" vertical="center"/>
    </xf>
    <xf numFmtId="165" fontId="6" fillId="0" borderId="0" xfId="1" applyNumberFormat="1" applyFont="1" applyBorder="1" applyAlignment="1">
      <alignment vertical="center"/>
    </xf>
    <xf numFmtId="15" fontId="8" fillId="7" borderId="18" xfId="0" applyNumberFormat="1" applyFont="1" applyFill="1" applyBorder="1" applyAlignment="1">
      <alignment horizontal="left" vertical="center"/>
    </xf>
    <xf numFmtId="15" fontId="30" fillId="7" borderId="18" xfId="0" applyNumberFormat="1" applyFont="1" applyFill="1" applyBorder="1" applyAlignment="1">
      <alignment horizontal="left" vertical="center"/>
    </xf>
    <xf numFmtId="15" fontId="8" fillId="7" borderId="18" xfId="0" applyNumberFormat="1" applyFont="1" applyFill="1" applyBorder="1" applyAlignment="1">
      <alignment horizontal="center" vertical="center"/>
    </xf>
    <xf numFmtId="15" fontId="8" fillId="0" borderId="18" xfId="0" applyNumberFormat="1" applyFont="1" applyFill="1" applyBorder="1" applyAlignment="1">
      <alignment horizontal="left" vertical="center"/>
    </xf>
    <xf numFmtId="15" fontId="30" fillId="0" borderId="18" xfId="0" applyNumberFormat="1" applyFont="1" applyFill="1" applyBorder="1" applyAlignment="1">
      <alignment horizontal="left" vertical="center"/>
    </xf>
    <xf numFmtId="15" fontId="8" fillId="0" borderId="18" xfId="0" applyNumberFormat="1" applyFont="1" applyFill="1" applyBorder="1" applyAlignment="1">
      <alignment horizontal="center" vertical="center"/>
    </xf>
    <xf numFmtId="0" fontId="6" fillId="0" borderId="17" xfId="6" applyFont="1" applyBorder="1"/>
    <xf numFmtId="165" fontId="6" fillId="0" borderId="18" xfId="1" applyNumberFormat="1" applyFont="1" applyFill="1" applyBorder="1" applyAlignment="1">
      <alignment horizontal="center" vertical="center"/>
    </xf>
    <xf numFmtId="165" fontId="8" fillId="0" borderId="18" xfId="1" applyNumberFormat="1" applyFont="1" applyFill="1" applyBorder="1" applyAlignment="1">
      <alignment horizontal="center" vertical="center"/>
    </xf>
    <xf numFmtId="43" fontId="8" fillId="0" borderId="18" xfId="1" applyFont="1" applyFill="1" applyBorder="1" applyAlignment="1">
      <alignment horizontal="center" vertical="center"/>
    </xf>
    <xf numFmtId="15" fontId="6" fillId="0" borderId="18" xfId="0" applyNumberFormat="1" applyFont="1" applyFill="1" applyBorder="1" applyAlignment="1">
      <alignment horizontal="left" vertical="center"/>
    </xf>
    <xf numFmtId="43" fontId="6" fillId="0" borderId="18" xfId="1" applyFont="1" applyFill="1" applyBorder="1" applyAlignment="1">
      <alignment horizontal="center" vertical="center"/>
    </xf>
    <xf numFmtId="0" fontId="8" fillId="8" borderId="18" xfId="0" applyFont="1" applyFill="1" applyBorder="1" applyAlignment="1">
      <alignment vertical="center"/>
    </xf>
    <xf numFmtId="0" fontId="30" fillId="8" borderId="18" xfId="0" applyFont="1" applyFill="1" applyBorder="1" applyAlignment="1">
      <alignment horizontal="left" vertical="center"/>
    </xf>
    <xf numFmtId="0" fontId="6" fillId="0" borderId="12" xfId="0" applyFont="1" applyBorder="1" applyAlignment="1">
      <alignment horizontal="left" vertical="center"/>
    </xf>
    <xf numFmtId="0" fontId="8" fillId="0" borderId="12" xfId="0" applyFont="1" applyBorder="1" applyAlignment="1">
      <alignment horizontal="left" vertical="center"/>
    </xf>
    <xf numFmtId="0" fontId="6" fillId="0" borderId="12" xfId="0" quotePrefix="1" applyFont="1" applyBorder="1" applyAlignment="1">
      <alignment horizontal="left" vertical="center"/>
    </xf>
    <xf numFmtId="0" fontId="17" fillId="0" borderId="18" xfId="0" applyFont="1" applyFill="1" applyBorder="1" applyAlignment="1">
      <alignment horizontal="left" vertical="center"/>
    </xf>
    <xf numFmtId="0" fontId="6" fillId="0" borderId="18" xfId="0" applyFont="1" applyFill="1" applyBorder="1" applyAlignment="1">
      <alignment vertical="center"/>
    </xf>
    <xf numFmtId="43" fontId="6" fillId="0" borderId="18" xfId="0" applyNumberFormat="1" applyFont="1" applyFill="1" applyBorder="1"/>
    <xf numFmtId="0" fontId="8" fillId="0" borderId="18" xfId="0" applyFont="1" applyBorder="1"/>
    <xf numFmtId="0" fontId="17" fillId="0" borderId="18" xfId="0" applyFont="1" applyBorder="1" applyAlignment="1">
      <alignment horizontal="left" vertical="center"/>
    </xf>
    <xf numFmtId="43" fontId="8" fillId="0" borderId="18" xfId="1" applyFont="1" applyBorder="1"/>
    <xf numFmtId="0" fontId="6" fillId="0" borderId="18" xfId="0" applyFont="1" applyFill="1" applyBorder="1"/>
    <xf numFmtId="43" fontId="6" fillId="9" borderId="12" xfId="1" applyFont="1" applyFill="1" applyBorder="1" applyAlignment="1">
      <alignment vertical="center"/>
    </xf>
    <xf numFmtId="43" fontId="8" fillId="0" borderId="0" xfId="1" applyFont="1" applyBorder="1" applyAlignment="1">
      <alignment vertical="center"/>
    </xf>
    <xf numFmtId="43" fontId="6" fillId="0" borderId="0" xfId="1" applyFont="1" applyBorder="1" applyAlignment="1">
      <alignment vertical="center"/>
    </xf>
    <xf numFmtId="43" fontId="6" fillId="0" borderId="0" xfId="0" applyNumberFormat="1" applyFont="1" applyBorder="1" applyAlignment="1">
      <alignment vertical="center"/>
    </xf>
    <xf numFmtId="9" fontId="6" fillId="0" borderId="0" xfId="0" applyNumberFormat="1" applyFont="1" applyBorder="1" applyAlignment="1">
      <alignment vertical="center"/>
    </xf>
    <xf numFmtId="0" fontId="17" fillId="0" borderId="12" xfId="0" applyFont="1" applyBorder="1" applyAlignment="1">
      <alignment vertical="center"/>
    </xf>
    <xf numFmtId="9" fontId="17" fillId="0" borderId="12" xfId="2" applyFont="1" applyBorder="1" applyAlignment="1">
      <alignment vertical="center"/>
    </xf>
    <xf numFmtId="0" fontId="17" fillId="3" borderId="12" xfId="0" applyFont="1" applyFill="1" applyBorder="1" applyAlignment="1">
      <alignment horizontal="left" vertical="center"/>
    </xf>
    <xf numFmtId="43" fontId="6" fillId="0" borderId="0" xfId="0" applyNumberFormat="1" applyFont="1"/>
    <xf numFmtId="0" fontId="57" fillId="0" borderId="1" xfId="0" applyFont="1" applyBorder="1"/>
    <xf numFmtId="0" fontId="69" fillId="0" borderId="1" xfId="0" applyFont="1" applyBorder="1"/>
    <xf numFmtId="0" fontId="69" fillId="0" borderId="1" xfId="0" applyFont="1" applyBorder="1" applyAlignment="1">
      <alignment horizontal="center"/>
    </xf>
    <xf numFmtId="165" fontId="57" fillId="0" borderId="1" xfId="0" applyNumberFormat="1" applyFont="1" applyBorder="1"/>
    <xf numFmtId="10" fontId="78" fillId="0" borderId="0" xfId="0" applyNumberFormat="1" applyFont="1" applyBorder="1" applyAlignment="1">
      <alignment horizontal="center" vertical="center" wrapText="1" readingOrder="1"/>
    </xf>
    <xf numFmtId="10" fontId="78" fillId="0" borderId="0" xfId="0" applyNumberFormat="1" applyFont="1" applyBorder="1" applyAlignment="1">
      <alignment horizontal="center" wrapText="1" readingOrder="1"/>
    </xf>
    <xf numFmtId="10" fontId="57" fillId="0" borderId="0" xfId="0" applyNumberFormat="1" applyFont="1" applyBorder="1"/>
    <xf numFmtId="177" fontId="0" fillId="0" borderId="114" xfId="0" applyNumberFormat="1" applyFill="1" applyBorder="1" applyAlignment="1">
      <alignment vertical="center"/>
    </xf>
    <xf numFmtId="177" fontId="0" fillId="0" borderId="114" xfId="0" applyNumberFormat="1" applyBorder="1" applyAlignment="1">
      <alignment vertical="center"/>
    </xf>
    <xf numFmtId="165" fontId="8" fillId="0" borderId="0" xfId="1" applyNumberFormat="1" applyFont="1" applyFill="1" applyBorder="1" applyAlignment="1">
      <alignment vertical="center"/>
    </xf>
    <xf numFmtId="4" fontId="8" fillId="0" borderId="18" xfId="0" applyNumberFormat="1" applyFont="1" applyFill="1" applyBorder="1" applyAlignment="1">
      <alignment horizontal="center" vertical="center"/>
    </xf>
    <xf numFmtId="43" fontId="0" fillId="0" borderId="0" xfId="0" applyNumberFormat="1" applyFont="1"/>
    <xf numFmtId="0" fontId="17" fillId="9" borderId="12" xfId="0" applyFont="1" applyFill="1" applyBorder="1" applyAlignment="1">
      <alignment vertical="center"/>
    </xf>
    <xf numFmtId="165" fontId="6" fillId="9" borderId="12" xfId="1" applyNumberFormat="1" applyFont="1" applyFill="1" applyBorder="1" applyAlignment="1">
      <alignment vertical="center"/>
    </xf>
    <xf numFmtId="9" fontId="6" fillId="9" borderId="12" xfId="2" applyFont="1" applyFill="1" applyBorder="1" applyAlignment="1">
      <alignment vertical="center"/>
    </xf>
    <xf numFmtId="43" fontId="0" fillId="4" borderId="13" xfId="1" applyFont="1" applyFill="1" applyBorder="1" applyAlignment="1">
      <alignment vertical="center"/>
    </xf>
    <xf numFmtId="43" fontId="0" fillId="0" borderId="13" xfId="1" applyFont="1" applyFill="1" applyBorder="1" applyAlignment="1">
      <alignment horizontal="left" vertical="center"/>
    </xf>
    <xf numFmtId="43" fontId="18" fillId="0" borderId="13" xfId="1" applyFont="1" applyFill="1" applyBorder="1" applyAlignment="1">
      <alignment horizontal="left" vertical="center"/>
    </xf>
    <xf numFmtId="165" fontId="0" fillId="0" borderId="0" xfId="0" applyNumberFormat="1" applyBorder="1" applyAlignment="1">
      <alignment vertical="center"/>
    </xf>
    <xf numFmtId="165" fontId="2" fillId="7" borderId="12" xfId="0" applyNumberFormat="1" applyFont="1" applyFill="1" applyBorder="1" applyAlignment="1">
      <alignment horizontal="center" vertical="center"/>
    </xf>
    <xf numFmtId="43" fontId="18" fillId="0" borderId="21" xfId="1" applyFont="1" applyFill="1" applyBorder="1" applyAlignment="1">
      <alignment vertical="center"/>
    </xf>
    <xf numFmtId="43" fontId="8" fillId="8" borderId="12" xfId="0" applyNumberFormat="1" applyFont="1" applyFill="1" applyBorder="1" applyAlignment="1">
      <alignment vertical="center"/>
    </xf>
    <xf numFmtId="43" fontId="17" fillId="8" borderId="12" xfId="1" applyFont="1" applyFill="1" applyBorder="1" applyAlignment="1">
      <alignment vertical="center"/>
    </xf>
    <xf numFmtId="0" fontId="0" fillId="0" borderId="16" xfId="0" applyFill="1" applyBorder="1" applyAlignment="1">
      <alignment vertical="center"/>
    </xf>
    <xf numFmtId="0" fontId="7" fillId="0" borderId="16" xfId="0" applyFont="1" applyFill="1" applyBorder="1" applyAlignment="1">
      <alignment vertical="center"/>
    </xf>
    <xf numFmtId="168" fontId="18" fillId="0" borderId="12" xfId="2" applyNumberFormat="1" applyFont="1" applyFill="1" applyBorder="1" applyAlignment="1">
      <alignment vertical="center"/>
    </xf>
    <xf numFmtId="43" fontId="6" fillId="0" borderId="12" xfId="1" applyNumberFormat="1" applyFont="1" applyFill="1" applyBorder="1" applyAlignment="1">
      <alignment vertical="center"/>
    </xf>
    <xf numFmtId="168" fontId="20" fillId="0" borderId="12" xfId="0" applyNumberFormat="1" applyFont="1" applyFill="1" applyBorder="1" applyAlignment="1">
      <alignment vertical="center"/>
    </xf>
    <xf numFmtId="43" fontId="18" fillId="0" borderId="18" xfId="0" applyNumberFormat="1" applyFont="1" applyFill="1" applyBorder="1"/>
    <xf numFmtId="43" fontId="6" fillId="0" borderId="18" xfId="0" applyNumberFormat="1" applyFont="1" applyFill="1" applyBorder="1" applyAlignment="1">
      <alignment horizontal="center" vertical="center"/>
    </xf>
    <xf numFmtId="43" fontId="2" fillId="3" borderId="12" xfId="1" applyNumberFormat="1" applyFont="1" applyFill="1" applyBorder="1" applyAlignment="1">
      <alignment vertical="center"/>
    </xf>
    <xf numFmtId="43" fontId="7" fillId="0" borderId="12" xfId="2" applyNumberFormat="1" applyFont="1" applyBorder="1" applyAlignment="1">
      <alignment vertical="center"/>
    </xf>
    <xf numFmtId="43" fontId="2" fillId="4" borderId="13" xfId="1" applyFont="1" applyFill="1" applyBorder="1" applyAlignment="1">
      <alignment vertical="center"/>
    </xf>
    <xf numFmtId="2" fontId="18" fillId="0" borderId="12" xfId="0" applyNumberFormat="1" applyFont="1" applyFill="1" applyBorder="1" applyAlignment="1">
      <alignment vertical="center"/>
    </xf>
    <xf numFmtId="43" fontId="0" fillId="0" borderId="0" xfId="0" applyNumberFormat="1" applyFont="1" applyBorder="1" applyAlignment="1">
      <alignment vertical="center"/>
    </xf>
    <xf numFmtId="183" fontId="0" fillId="0" borderId="0" xfId="0" applyNumberFormat="1" applyAlignment="1">
      <alignment vertical="center"/>
    </xf>
    <xf numFmtId="10" fontId="21" fillId="0" borderId="0" xfId="0" applyNumberFormat="1" applyFont="1" applyAlignment="1">
      <alignment vertical="center"/>
    </xf>
    <xf numFmtId="0" fontId="6" fillId="0" borderId="13" xfId="0" applyFont="1" applyFill="1" applyBorder="1" applyAlignment="1">
      <alignment horizontal="left" vertical="center"/>
    </xf>
    <xf numFmtId="0" fontId="17" fillId="0" borderId="13" xfId="0" applyFont="1" applyFill="1" applyBorder="1" applyAlignment="1">
      <alignment vertical="center"/>
    </xf>
    <xf numFmtId="181" fontId="0" fillId="0" borderId="12" xfId="1" applyNumberFormat="1" applyFont="1" applyFill="1" applyBorder="1" applyAlignment="1">
      <alignment vertical="center"/>
    </xf>
    <xf numFmtId="181" fontId="2" fillId="9" borderId="12" xfId="1" applyNumberFormat="1" applyFont="1" applyFill="1" applyBorder="1" applyAlignment="1">
      <alignment vertical="center"/>
    </xf>
    <xf numFmtId="165" fontId="2" fillId="3" borderId="12" xfId="1" applyNumberFormat="1" applyFont="1" applyFill="1" applyBorder="1" applyAlignment="1">
      <alignment vertical="center"/>
    </xf>
    <xf numFmtId="177" fontId="2" fillId="0" borderId="114" xfId="1" applyNumberFormat="1" applyFont="1" applyBorder="1" applyAlignment="1">
      <alignment vertical="center"/>
    </xf>
    <xf numFmtId="177" fontId="1" fillId="0" borderId="114" xfId="1" applyNumberFormat="1" applyFont="1" applyBorder="1" applyAlignment="1">
      <alignment vertical="center"/>
    </xf>
    <xf numFmtId="177" fontId="0" fillId="0" borderId="114" xfId="0" applyNumberFormat="1" applyFont="1" applyBorder="1" applyAlignment="1">
      <alignment vertical="center"/>
    </xf>
    <xf numFmtId="177" fontId="1" fillId="0" borderId="114" xfId="1" applyNumberFormat="1" applyFont="1" applyFill="1" applyBorder="1" applyAlignment="1">
      <alignment vertical="center"/>
    </xf>
    <xf numFmtId="177" fontId="6" fillId="0" borderId="114" xfId="1" applyNumberFormat="1" applyFont="1" applyFill="1" applyBorder="1" applyAlignment="1">
      <alignment vertical="center"/>
    </xf>
    <xf numFmtId="177" fontId="2" fillId="3" borderId="114" xfId="1" applyNumberFormat="1" applyFont="1" applyFill="1" applyBorder="1" applyAlignment="1">
      <alignment vertical="center"/>
    </xf>
    <xf numFmtId="165" fontId="1" fillId="0" borderId="12" xfId="1" applyNumberFormat="1" applyFont="1" applyBorder="1" applyAlignment="1">
      <alignment vertical="center"/>
    </xf>
    <xf numFmtId="0" fontId="0" fillId="0" borderId="0" xfId="0" applyAlignment="1">
      <alignment horizontal="left" vertical="center"/>
    </xf>
    <xf numFmtId="10" fontId="30" fillId="3" borderId="12" xfId="2" applyNumberFormat="1" applyFont="1" applyFill="1" applyBorder="1" applyAlignment="1">
      <alignment vertical="center"/>
    </xf>
    <xf numFmtId="165" fontId="0" fillId="0" borderId="0" xfId="1" applyNumberFormat="1" applyFont="1" applyFill="1" applyBorder="1" applyAlignment="1">
      <alignment vertical="center"/>
    </xf>
    <xf numFmtId="10" fontId="6" fillId="9" borderId="12" xfId="2" applyNumberFormat="1" applyFont="1" applyFill="1" applyBorder="1" applyAlignment="1">
      <alignment vertical="center"/>
    </xf>
    <xf numFmtId="43" fontId="18" fillId="0" borderId="18" xfId="1" applyFont="1" applyFill="1" applyBorder="1"/>
    <xf numFmtId="15" fontId="2" fillId="7" borderId="13" xfId="1" applyNumberFormat="1" applyFont="1" applyFill="1" applyBorder="1" applyAlignment="1">
      <alignment horizontal="center" vertical="center"/>
    </xf>
    <xf numFmtId="43" fontId="0" fillId="8" borderId="13" xfId="0" applyNumberFormat="1" applyFill="1" applyBorder="1" applyAlignment="1">
      <alignment vertical="center"/>
    </xf>
    <xf numFmtId="43" fontId="0" fillId="8" borderId="1" xfId="0" applyNumberFormat="1" applyFill="1" applyBorder="1"/>
    <xf numFmtId="43" fontId="0" fillId="8" borderId="1" xfId="0" applyNumberFormat="1" applyFont="1" applyFill="1" applyBorder="1"/>
    <xf numFmtId="0" fontId="0" fillId="8" borderId="10" xfId="0" applyFill="1" applyBorder="1"/>
    <xf numFmtId="43" fontId="0" fillId="8" borderId="10" xfId="0" applyNumberFormat="1" applyFill="1" applyBorder="1"/>
    <xf numFmtId="43" fontId="2" fillId="0" borderId="1" xfId="0" applyNumberFormat="1" applyFont="1" applyBorder="1"/>
    <xf numFmtId="10" fontId="2" fillId="0" borderId="1" xfId="0" applyNumberFormat="1" applyFont="1" applyBorder="1"/>
    <xf numFmtId="43" fontId="2" fillId="0" borderId="1" xfId="1" applyFont="1" applyBorder="1"/>
    <xf numFmtId="0" fontId="2" fillId="8" borderId="1" xfId="0" applyFont="1" applyFill="1" applyBorder="1"/>
    <xf numFmtId="165" fontId="2" fillId="8" borderId="13" xfId="0" applyNumberFormat="1" applyFont="1" applyFill="1" applyBorder="1" applyAlignment="1">
      <alignment vertical="center"/>
    </xf>
    <xf numFmtId="10" fontId="2" fillId="8" borderId="13" xfId="0" applyNumberFormat="1" applyFont="1" applyFill="1" applyBorder="1" applyAlignment="1">
      <alignment vertical="center"/>
    </xf>
    <xf numFmtId="10" fontId="2" fillId="8" borderId="13" xfId="2" applyNumberFormat="1" applyFont="1" applyFill="1" applyBorder="1" applyAlignment="1">
      <alignment vertical="center"/>
    </xf>
    <xf numFmtId="0" fontId="69" fillId="0" borderId="1" xfId="0" applyFont="1" applyBorder="1" applyAlignment="1">
      <alignment horizontal="center" vertical="center"/>
    </xf>
    <xf numFmtId="0" fontId="57" fillId="0" borderId="1" xfId="0" applyFont="1" applyBorder="1" applyAlignment="1">
      <alignment horizontal="left" vertical="center"/>
    </xf>
    <xf numFmtId="0" fontId="57" fillId="0" borderId="1" xfId="0" applyFont="1" applyBorder="1" applyAlignment="1">
      <alignment horizontal="center" vertical="center"/>
    </xf>
    <xf numFmtId="3" fontId="57" fillId="0" borderId="1" xfId="0" applyNumberFormat="1" applyFont="1" applyBorder="1" applyAlignment="1">
      <alignment horizontal="center" vertical="center"/>
    </xf>
    <xf numFmtId="0" fontId="69" fillId="0" borderId="1" xfId="0" applyFont="1" applyBorder="1" applyAlignment="1">
      <alignment horizontal="left" vertical="center"/>
    </xf>
    <xf numFmtId="3" fontId="69" fillId="0" borderId="1" xfId="0" applyNumberFormat="1" applyFont="1" applyBorder="1" applyAlignment="1">
      <alignment horizontal="center" vertical="center"/>
    </xf>
    <xf numFmtId="4" fontId="57" fillId="0" borderId="1" xfId="0" applyNumberFormat="1" applyFont="1" applyBorder="1" applyAlignment="1">
      <alignment horizontal="center" vertical="center"/>
    </xf>
    <xf numFmtId="0" fontId="58" fillId="20" borderId="115" xfId="0" applyFont="1" applyFill="1" applyBorder="1" applyAlignment="1">
      <alignment horizontal="left" vertical="center" wrapText="1" readingOrder="1"/>
    </xf>
    <xf numFmtId="0" fontId="58" fillId="20" borderId="1" xfId="0" applyFont="1" applyFill="1" applyBorder="1" applyAlignment="1">
      <alignment horizontal="right" vertical="center" wrapText="1" readingOrder="1"/>
    </xf>
    <xf numFmtId="0" fontId="58" fillId="0" borderId="115" xfId="0" applyFont="1" applyBorder="1" applyAlignment="1">
      <alignment horizontal="left" vertical="center" wrapText="1" readingOrder="1"/>
    </xf>
    <xf numFmtId="0" fontId="59" fillId="0" borderId="115" xfId="0" applyFont="1" applyBorder="1" applyAlignment="1">
      <alignment horizontal="left" vertical="center" wrapText="1" readingOrder="1"/>
    </xf>
    <xf numFmtId="0" fontId="80" fillId="0" borderId="0" xfId="0" applyFont="1"/>
    <xf numFmtId="0" fontId="69" fillId="0" borderId="0" xfId="0" applyFont="1"/>
    <xf numFmtId="0" fontId="57" fillId="0" borderId="0" xfId="0" applyFont="1" applyFill="1"/>
    <xf numFmtId="0" fontId="58" fillId="0" borderId="0" xfId="0" applyFont="1" applyFill="1" applyBorder="1" applyAlignment="1">
      <alignment vertical="center"/>
    </xf>
    <xf numFmtId="164" fontId="65" fillId="0" borderId="0" xfId="1" applyNumberFormat="1" applyFont="1" applyFill="1" applyBorder="1" applyAlignment="1">
      <alignment horizontal="right" vertical="center"/>
    </xf>
    <xf numFmtId="164" fontId="2" fillId="0" borderId="114" xfId="1" applyNumberFormat="1" applyFont="1" applyFill="1" applyBorder="1" applyAlignment="1">
      <alignment horizontal="center" vertical="center"/>
    </xf>
    <xf numFmtId="43" fontId="6" fillId="0" borderId="114" xfId="0" applyNumberFormat="1" applyFont="1" applyFill="1" applyBorder="1" applyAlignment="1">
      <alignment vertical="center"/>
    </xf>
    <xf numFmtId="10" fontId="2" fillId="0" borderId="13" xfId="2" applyNumberFormat="1" applyFont="1" applyBorder="1" applyAlignment="1">
      <alignment vertical="center"/>
    </xf>
    <xf numFmtId="10" fontId="0" fillId="0" borderId="0" xfId="2" applyNumberFormat="1" applyFont="1" applyFill="1" applyAlignment="1">
      <alignment vertical="center"/>
    </xf>
    <xf numFmtId="10" fontId="2" fillId="0" borderId="12" xfId="2" applyNumberFormat="1" applyFont="1" applyFill="1" applyBorder="1" applyAlignment="1">
      <alignment vertical="center"/>
    </xf>
    <xf numFmtId="38" fontId="26" fillId="0" borderId="13" xfId="11" applyNumberFormat="1" applyFont="1" applyFill="1" applyBorder="1" applyAlignment="1">
      <alignment vertical="center"/>
    </xf>
    <xf numFmtId="166" fontId="18" fillId="0" borderId="13" xfId="7" applyFont="1" applyFill="1" applyBorder="1" applyAlignment="1">
      <alignment horizontal="right" vertical="center" wrapText="1"/>
    </xf>
    <xf numFmtId="166" fontId="6" fillId="0" borderId="13" xfId="7" applyFont="1" applyFill="1" applyBorder="1" applyAlignment="1">
      <alignment horizontal="right" vertical="center" wrapText="1"/>
    </xf>
    <xf numFmtId="0" fontId="6" fillId="0" borderId="16" xfId="0" applyFont="1" applyBorder="1" applyAlignment="1">
      <alignment vertical="center"/>
    </xf>
    <xf numFmtId="0" fontId="17" fillId="0" borderId="16" xfId="0" applyFont="1" applyBorder="1" applyAlignment="1">
      <alignment vertical="center"/>
    </xf>
    <xf numFmtId="0" fontId="8" fillId="23" borderId="12" xfId="0" applyFont="1" applyFill="1" applyBorder="1" applyAlignment="1">
      <alignment vertical="center"/>
    </xf>
    <xf numFmtId="0" fontId="30" fillId="23" borderId="12" xfId="0" applyFont="1" applyFill="1" applyBorder="1" applyAlignment="1">
      <alignment vertical="center"/>
    </xf>
    <xf numFmtId="43" fontId="8" fillId="23" borderId="12" xfId="1" applyFont="1" applyFill="1" applyBorder="1" applyAlignment="1">
      <alignment vertical="center"/>
    </xf>
    <xf numFmtId="0" fontId="17" fillId="9" borderId="116" xfId="0" applyFont="1" applyFill="1" applyBorder="1" applyAlignment="1">
      <alignment vertical="center"/>
    </xf>
    <xf numFmtId="0" fontId="6" fillId="9" borderId="116" xfId="0" applyFont="1" applyFill="1" applyBorder="1" applyAlignment="1">
      <alignment vertical="center"/>
    </xf>
    <xf numFmtId="43" fontId="8" fillId="9" borderId="116" xfId="0" applyNumberFormat="1" applyFont="1" applyFill="1" applyBorder="1" applyAlignment="1">
      <alignment vertical="center"/>
    </xf>
    <xf numFmtId="43" fontId="8" fillId="9" borderId="117" xfId="0" applyNumberFormat="1" applyFont="1" applyFill="1" applyBorder="1" applyAlignment="1">
      <alignment vertical="center"/>
    </xf>
    <xf numFmtId="0" fontId="8" fillId="9" borderId="118" xfId="0" applyFont="1" applyFill="1" applyBorder="1" applyAlignment="1">
      <alignment vertical="center"/>
    </xf>
    <xf numFmtId="0" fontId="8" fillId="8" borderId="0" xfId="0" applyFont="1" applyFill="1" applyBorder="1" applyAlignment="1">
      <alignment horizontal="center" vertical="center"/>
    </xf>
    <xf numFmtId="0" fontId="6" fillId="8" borderId="12" xfId="0" applyFont="1" applyFill="1" applyBorder="1" applyAlignment="1">
      <alignment vertical="center"/>
    </xf>
    <xf numFmtId="0" fontId="6" fillId="8" borderId="0" xfId="0" applyFont="1" applyFill="1" applyBorder="1" applyAlignment="1">
      <alignment vertical="center"/>
    </xf>
    <xf numFmtId="43" fontId="6" fillId="8" borderId="12" xfId="1" applyFont="1" applyFill="1" applyBorder="1" applyAlignment="1">
      <alignment vertical="center"/>
    </xf>
    <xf numFmtId="0" fontId="29" fillId="10" borderId="13" xfId="0" applyFont="1" applyFill="1" applyBorder="1" applyAlignment="1">
      <alignment horizontal="center" vertical="center"/>
    </xf>
    <xf numFmtId="177" fontId="62" fillId="0" borderId="94" xfId="1" applyNumberFormat="1" applyFont="1" applyBorder="1" applyAlignment="1">
      <alignment horizontal="right" vertical="center"/>
    </xf>
    <xf numFmtId="177" fontId="64" fillId="0" borderId="94" xfId="1" applyNumberFormat="1" applyFont="1" applyBorder="1" applyAlignment="1">
      <alignment horizontal="right" vertical="center"/>
    </xf>
    <xf numFmtId="177" fontId="63" fillId="0" borderId="94" xfId="1" applyNumberFormat="1" applyFont="1" applyBorder="1" applyAlignment="1">
      <alignment horizontal="right" vertical="center"/>
    </xf>
    <xf numFmtId="177" fontId="65" fillId="0" borderId="94" xfId="1" applyNumberFormat="1" applyFont="1" applyBorder="1" applyAlignment="1">
      <alignment horizontal="right" vertical="center"/>
    </xf>
    <xf numFmtId="177" fontId="59" fillId="19" borderId="94" xfId="1" applyNumberFormat="1" applyFont="1" applyFill="1" applyBorder="1" applyAlignment="1">
      <alignment horizontal="right" vertical="center"/>
    </xf>
    <xf numFmtId="177" fontId="65" fillId="18" borderId="94" xfId="1" applyNumberFormat="1" applyFont="1" applyFill="1" applyBorder="1" applyAlignment="1">
      <alignment horizontal="right" vertical="center"/>
    </xf>
    <xf numFmtId="43" fontId="18" fillId="0" borderId="13" xfId="1" applyFont="1" applyFill="1" applyBorder="1" applyAlignment="1">
      <alignment horizontal="center" vertical="center" wrapText="1"/>
    </xf>
    <xf numFmtId="165" fontId="11" fillId="0" borderId="0" xfId="1" applyNumberFormat="1" applyFont="1" applyBorder="1" applyAlignment="1">
      <alignment vertical="center"/>
    </xf>
    <xf numFmtId="43" fontId="10" fillId="0" borderId="12" xfId="1" applyFont="1" applyFill="1" applyBorder="1" applyAlignment="1">
      <alignment vertical="center"/>
    </xf>
    <xf numFmtId="0" fontId="13" fillId="0" borderId="12" xfId="0" applyFont="1" applyFill="1" applyBorder="1" applyAlignment="1">
      <alignment vertical="center"/>
    </xf>
    <xf numFmtId="43" fontId="6" fillId="0" borderId="0" xfId="1" applyFont="1" applyAlignment="1">
      <alignment vertical="center"/>
    </xf>
    <xf numFmtId="43" fontId="0" fillId="0" borderId="0" xfId="1" applyFont="1" applyFill="1" applyAlignment="1">
      <alignment vertical="center"/>
    </xf>
    <xf numFmtId="165" fontId="6" fillId="0" borderId="0" xfId="1" applyNumberFormat="1" applyFont="1" applyFill="1" applyBorder="1" applyAlignment="1">
      <alignment vertical="center"/>
    </xf>
    <xf numFmtId="43" fontId="11" fillId="0" borderId="0" xfId="1" applyFont="1" applyFill="1" applyBorder="1" applyAlignment="1">
      <alignment vertical="center"/>
    </xf>
    <xf numFmtId="43" fontId="11" fillId="0" borderId="0" xfId="1" applyFont="1" applyBorder="1" applyAlignment="1">
      <alignment vertical="center"/>
    </xf>
    <xf numFmtId="43" fontId="11" fillId="0" borderId="0" xfId="0" applyNumberFormat="1" applyFont="1" applyBorder="1" applyAlignment="1">
      <alignment vertical="center"/>
    </xf>
    <xf numFmtId="9" fontId="11" fillId="0" borderId="0" xfId="2" applyFont="1" applyBorder="1" applyAlignment="1">
      <alignment vertical="center"/>
    </xf>
    <xf numFmtId="43" fontId="35" fillId="0" borderId="0" xfId="1" applyFont="1" applyFill="1" applyBorder="1" applyAlignment="1">
      <alignment vertical="center"/>
    </xf>
    <xf numFmtId="43" fontId="11" fillId="0" borderId="0" xfId="2" applyNumberFormat="1" applyFont="1" applyFill="1" applyBorder="1" applyAlignment="1">
      <alignment vertical="center"/>
    </xf>
    <xf numFmtId="43" fontId="11" fillId="0" borderId="0" xfId="2" applyNumberFormat="1" applyFont="1" applyBorder="1" applyAlignment="1">
      <alignment vertical="center"/>
    </xf>
    <xf numFmtId="0" fontId="11" fillId="0" borderId="0" xfId="0" applyFont="1" applyAlignment="1">
      <alignment vertical="center"/>
    </xf>
    <xf numFmtId="43" fontId="11" fillId="0" borderId="0" xfId="1" applyFont="1" applyAlignment="1">
      <alignment vertical="center"/>
    </xf>
    <xf numFmtId="0" fontId="2" fillId="8" borderId="24" xfId="0" applyFont="1" applyFill="1" applyBorder="1" applyAlignment="1">
      <alignment horizontal="center"/>
    </xf>
    <xf numFmtId="0" fontId="2" fillId="8" borderId="39" xfId="0" applyFont="1" applyFill="1" applyBorder="1" applyAlignment="1">
      <alignment horizontal="center"/>
    </xf>
    <xf numFmtId="165" fontId="2" fillId="0" borderId="24" xfId="1" applyNumberFormat="1" applyFont="1" applyBorder="1" applyAlignment="1">
      <alignment horizontal="center"/>
    </xf>
    <xf numFmtId="165" fontId="2" fillId="0" borderId="39" xfId="1" applyNumberFormat="1" applyFont="1" applyBorder="1" applyAlignment="1">
      <alignment horizontal="center"/>
    </xf>
    <xf numFmtId="43" fontId="2" fillId="8" borderId="24" xfId="1" applyFont="1" applyFill="1" applyBorder="1" applyAlignment="1">
      <alignment horizontal="center"/>
    </xf>
    <xf numFmtId="43" fontId="2" fillId="8" borderId="39" xfId="1" applyFont="1" applyFill="1" applyBorder="1" applyAlignment="1">
      <alignment horizontal="center"/>
    </xf>
    <xf numFmtId="0" fontId="69" fillId="0" borderId="1" xfId="0" applyFont="1" applyBorder="1" applyAlignment="1">
      <alignment horizontal="center" vertical="center"/>
    </xf>
    <xf numFmtId="166" fontId="39" fillId="0" borderId="26" xfId="3" applyFont="1" applyBorder="1" applyAlignment="1" applyProtection="1">
      <alignment horizontal="left"/>
      <protection hidden="1"/>
    </xf>
    <xf numFmtId="166" fontId="39" fillId="0" borderId="36" xfId="3" applyFont="1" applyBorder="1" applyAlignment="1" applyProtection="1">
      <alignment horizontal="left"/>
      <protection hidden="1"/>
    </xf>
    <xf numFmtId="166" fontId="39" fillId="0" borderId="29" xfId="3" applyFont="1" applyBorder="1" applyAlignment="1" applyProtection="1">
      <alignment horizontal="left"/>
      <protection hidden="1"/>
    </xf>
    <xf numFmtId="166" fontId="39" fillId="0" borderId="42" xfId="3" applyFont="1" applyBorder="1" applyAlignment="1" applyProtection="1">
      <alignment horizontal="left"/>
      <protection hidden="1"/>
    </xf>
    <xf numFmtId="166" fontId="39" fillId="0" borderId="41" xfId="3" applyFont="1" applyBorder="1" applyAlignment="1" applyProtection="1">
      <alignment horizontal="left"/>
      <protection hidden="1"/>
    </xf>
    <xf numFmtId="166" fontId="39" fillId="0" borderId="32" xfId="3" applyFont="1" applyBorder="1" applyAlignment="1" applyProtection="1">
      <alignment horizontal="left"/>
      <protection hidden="1"/>
    </xf>
    <xf numFmtId="166" fontId="39" fillId="0" borderId="28" xfId="3" applyFont="1" applyBorder="1" applyAlignment="1" applyProtection="1">
      <alignment horizontal="left"/>
      <protection hidden="1"/>
    </xf>
    <xf numFmtId="166" fontId="38" fillId="0" borderId="42" xfId="3" applyFont="1" applyBorder="1" applyAlignment="1" applyProtection="1">
      <alignment horizontal="left"/>
      <protection hidden="1"/>
    </xf>
    <xf numFmtId="166" fontId="39" fillId="0" borderId="11" xfId="3" applyFont="1" applyBorder="1" applyAlignment="1" applyProtection="1">
      <alignment horizontal="left"/>
      <protection hidden="1"/>
    </xf>
    <xf numFmtId="166" fontId="38" fillId="0" borderId="39" xfId="3" applyFont="1" applyBorder="1" applyAlignment="1" applyProtection="1">
      <alignment horizontal="left"/>
      <protection hidden="1"/>
    </xf>
    <xf numFmtId="166" fontId="39" fillId="0" borderId="26" xfId="3" applyFont="1" applyBorder="1" applyAlignment="1" applyProtection="1">
      <alignment horizontal="left" wrapText="1"/>
      <protection hidden="1"/>
    </xf>
    <xf numFmtId="166" fontId="38" fillId="0" borderId="36" xfId="3" applyFont="1" applyBorder="1" applyAlignment="1" applyProtection="1">
      <alignment horizontal="left"/>
      <protection hidden="1"/>
    </xf>
    <xf numFmtId="166" fontId="40" fillId="0" borderId="26" xfId="3" applyFont="1" applyBorder="1" applyAlignment="1" applyProtection="1">
      <alignment horizontal="left"/>
      <protection hidden="1"/>
    </xf>
    <xf numFmtId="166" fontId="40" fillId="0" borderId="36" xfId="3" applyFont="1" applyBorder="1" applyAlignment="1" applyProtection="1">
      <alignment horizontal="left"/>
      <protection hidden="1"/>
    </xf>
    <xf numFmtId="166" fontId="40" fillId="0" borderId="33" xfId="3" applyFont="1" applyBorder="1" applyAlignment="1" applyProtection="1">
      <alignment horizontal="left" wrapText="1"/>
      <protection hidden="1"/>
    </xf>
    <xf numFmtId="166" fontId="40" fillId="0" borderId="32" xfId="3" applyFont="1" applyBorder="1" applyAlignment="1" applyProtection="1">
      <alignment horizontal="left" wrapText="1"/>
      <protection hidden="1"/>
    </xf>
    <xf numFmtId="166" fontId="40" fillId="0" borderId="37" xfId="3" applyFont="1" applyBorder="1" applyAlignment="1" applyProtection="1">
      <alignment horizontal="left"/>
      <protection hidden="1"/>
    </xf>
    <xf numFmtId="166" fontId="39" fillId="0" borderId="37" xfId="3" applyFont="1" applyBorder="1" applyAlignment="1" applyProtection="1">
      <alignment horizontal="left"/>
      <protection hidden="1"/>
    </xf>
    <xf numFmtId="166" fontId="39" fillId="0" borderId="24" xfId="3" applyFont="1" applyBorder="1" applyAlignment="1" applyProtection="1">
      <alignment horizontal="left"/>
      <protection hidden="1"/>
    </xf>
    <xf numFmtId="166" fontId="39" fillId="0" borderId="39" xfId="3" applyFont="1" applyBorder="1" applyAlignment="1" applyProtection="1">
      <alignment horizontal="left"/>
      <protection hidden="1"/>
    </xf>
    <xf numFmtId="166" fontId="39" fillId="0" borderId="52" xfId="3" applyFont="1" applyBorder="1" applyAlignment="1" applyProtection="1">
      <alignment horizontal="left"/>
      <protection hidden="1"/>
    </xf>
    <xf numFmtId="166" fontId="38" fillId="0" borderId="52" xfId="3" applyFont="1" applyBorder="1" applyAlignment="1" applyProtection="1">
      <alignment horizontal="left"/>
      <protection hidden="1"/>
    </xf>
    <xf numFmtId="166" fontId="38" fillId="0" borderId="41" xfId="3" applyFont="1" applyBorder="1" applyAlignment="1" applyProtection="1">
      <alignment horizontal="left"/>
      <protection hidden="1"/>
    </xf>
    <xf numFmtId="166" fontId="47" fillId="0" borderId="47" xfId="3" applyFont="1" applyBorder="1" applyAlignment="1" applyProtection="1">
      <alignment horizontal="left"/>
      <protection hidden="1"/>
    </xf>
    <xf numFmtId="166" fontId="47" fillId="0" borderId="45" xfId="3" applyFont="1" applyBorder="1" applyAlignment="1" applyProtection="1">
      <alignment horizontal="left"/>
      <protection hidden="1"/>
    </xf>
    <xf numFmtId="166" fontId="39" fillId="0" borderId="71" xfId="3" applyFont="1" applyBorder="1" applyAlignment="1" applyProtection="1">
      <alignment horizontal="left"/>
      <protection hidden="1"/>
    </xf>
    <xf numFmtId="166" fontId="39" fillId="0" borderId="71" xfId="3" applyFont="1" applyBorder="1" applyAlignment="1" applyProtection="1">
      <alignment horizontal="left" wrapText="1"/>
      <protection hidden="1"/>
    </xf>
    <xf numFmtId="166" fontId="38" fillId="0" borderId="39" xfId="3" applyFont="1" applyBorder="1" applyAlignment="1" applyProtection="1">
      <alignment horizontal="left" wrapText="1"/>
      <protection hidden="1"/>
    </xf>
    <xf numFmtId="166" fontId="39" fillId="0" borderId="70" xfId="3" applyFont="1" applyBorder="1" applyAlignment="1" applyProtection="1">
      <alignment horizontal="left" wrapText="1"/>
      <protection hidden="1"/>
    </xf>
    <xf numFmtId="166" fontId="38" fillId="0" borderId="59" xfId="3" applyFont="1" applyBorder="1" applyAlignment="1" applyProtection="1">
      <alignment horizontal="left" wrapText="1"/>
      <protection hidden="1"/>
    </xf>
    <xf numFmtId="166" fontId="49" fillId="0" borderId="26" xfId="3" applyFont="1" applyBorder="1" applyAlignment="1" applyProtection="1">
      <alignment horizontal="left" wrapText="1"/>
      <protection hidden="1"/>
    </xf>
    <xf numFmtId="166" fontId="38" fillId="0" borderId="0" xfId="3" applyFont="1" applyBorder="1" applyAlignment="1" applyProtection="1">
      <alignment wrapText="1"/>
      <protection hidden="1"/>
    </xf>
    <xf numFmtId="166" fontId="39" fillId="0" borderId="36" xfId="3" applyFont="1" applyBorder="1" applyAlignment="1" applyProtection="1">
      <alignment horizontal="left" wrapText="1"/>
      <protection hidden="1"/>
    </xf>
    <xf numFmtId="166" fontId="39" fillId="0" borderId="33" xfId="3" applyFont="1" applyBorder="1" applyAlignment="1" applyProtection="1">
      <alignment horizontal="left" wrapText="1"/>
      <protection hidden="1"/>
    </xf>
    <xf numFmtId="166" fontId="39" fillId="0" borderId="32" xfId="3" applyFont="1" applyBorder="1" applyAlignment="1" applyProtection="1">
      <alignment horizontal="left" wrapText="1"/>
      <protection hidden="1"/>
    </xf>
    <xf numFmtId="166" fontId="40" fillId="0" borderId="44" xfId="3" applyFont="1" applyBorder="1" applyAlignment="1" applyProtection="1">
      <alignment horizontal="left"/>
      <protection hidden="1"/>
    </xf>
    <xf numFmtId="166" fontId="38" fillId="0" borderId="44" xfId="3" applyFont="1" applyBorder="1" applyAlignment="1" applyProtection="1">
      <alignment horizontal="left"/>
      <protection hidden="1"/>
    </xf>
    <xf numFmtId="166" fontId="39" fillId="0" borderId="33" xfId="3" applyFont="1" applyBorder="1" applyAlignment="1" applyProtection="1">
      <alignment horizontal="left"/>
      <protection hidden="1"/>
    </xf>
    <xf numFmtId="166" fontId="38" fillId="0" borderId="32" xfId="3" applyFont="1" applyBorder="1" applyAlignment="1" applyProtection="1">
      <alignment horizontal="left"/>
      <protection hidden="1"/>
    </xf>
    <xf numFmtId="166" fontId="40" fillId="0" borderId="76" xfId="3" applyFont="1" applyBorder="1" applyAlignment="1" applyProtection="1">
      <alignment horizontal="left"/>
      <protection hidden="1"/>
    </xf>
    <xf numFmtId="166" fontId="38" fillId="0" borderId="68" xfId="3" applyFont="1" applyBorder="1" applyAlignment="1" applyProtection="1">
      <alignment horizontal="left"/>
      <protection hidden="1"/>
    </xf>
    <xf numFmtId="166" fontId="38" fillId="0" borderId="36" xfId="3" applyFont="1" applyBorder="1" applyAlignment="1">
      <alignment horizontal="left"/>
    </xf>
    <xf numFmtId="166" fontId="38" fillId="0" borderId="36" xfId="3" applyFont="1" applyBorder="1" applyAlignment="1">
      <alignment horizontal="left" wrapText="1"/>
    </xf>
    <xf numFmtId="166" fontId="40" fillId="0" borderId="49" xfId="3" applyFont="1" applyBorder="1" applyAlignment="1" applyProtection="1">
      <alignment horizontal="left"/>
      <protection hidden="1"/>
    </xf>
    <xf numFmtId="166" fontId="38" fillId="0" borderId="49" xfId="3" applyFont="1" applyBorder="1" applyAlignment="1" applyProtection="1">
      <alignment horizontal="left"/>
      <protection hidden="1"/>
    </xf>
    <xf numFmtId="166" fontId="50" fillId="0" borderId="52" xfId="3" applyFont="1" applyFill="1" applyBorder="1" applyAlignment="1" applyProtection="1">
      <alignment horizontal="left"/>
      <protection hidden="1"/>
    </xf>
    <xf numFmtId="166" fontId="50" fillId="0" borderId="68" xfId="3" applyFont="1" applyFill="1" applyBorder="1" applyAlignment="1" applyProtection="1">
      <alignment horizontal="left"/>
      <protection hidden="1"/>
    </xf>
    <xf numFmtId="166" fontId="50" fillId="0" borderId="0" xfId="3" applyFont="1" applyFill="1" applyBorder="1" applyAlignment="1" applyProtection="1">
      <alignment horizontal="right"/>
      <protection hidden="1"/>
    </xf>
    <xf numFmtId="166" fontId="50" fillId="0" borderId="36" xfId="3" applyFont="1" applyFill="1" applyBorder="1" applyAlignment="1" applyProtection="1">
      <alignment horizontal="right"/>
      <protection hidden="1"/>
    </xf>
    <xf numFmtId="166" fontId="50" fillId="0" borderId="41" xfId="3" applyFont="1" applyFill="1" applyBorder="1" applyAlignment="1" applyProtection="1">
      <alignment horizontal="right"/>
      <protection hidden="1"/>
    </xf>
    <xf numFmtId="166" fontId="56" fillId="0" borderId="32" xfId="3" applyFont="1" applyFill="1" applyBorder="1" applyAlignment="1" applyProtection="1">
      <alignment horizontal="right"/>
      <protection hidden="1"/>
    </xf>
    <xf numFmtId="166" fontId="39" fillId="0" borderId="44" xfId="3" applyFont="1" applyBorder="1" applyAlignment="1" applyProtection="1">
      <alignment horizontal="left"/>
      <protection hidden="1"/>
    </xf>
    <xf numFmtId="166" fontId="38" fillId="0" borderId="45" xfId="3" applyFont="1" applyBorder="1" applyAlignment="1">
      <alignment horizontal="left"/>
    </xf>
    <xf numFmtId="166" fontId="39" fillId="0" borderId="51" xfId="3" applyFont="1" applyBorder="1" applyAlignment="1" applyProtection="1">
      <alignment horizontal="left"/>
      <protection hidden="1"/>
    </xf>
    <xf numFmtId="166" fontId="39" fillId="0" borderId="59" xfId="3" applyFont="1" applyBorder="1" applyAlignment="1">
      <alignment horizontal="left"/>
    </xf>
    <xf numFmtId="166" fontId="39" fillId="0" borderId="26" xfId="3" applyFont="1" applyBorder="1" applyAlignment="1" applyProtection="1">
      <alignment wrapText="1"/>
      <protection hidden="1"/>
    </xf>
    <xf numFmtId="166" fontId="38" fillId="0" borderId="36" xfId="3" applyFont="1" applyBorder="1"/>
    <xf numFmtId="43" fontId="17" fillId="0" borderId="0" xfId="1" applyNumberFormat="1" applyFont="1" applyFill="1" applyBorder="1" applyAlignment="1">
      <alignment vertical="center"/>
    </xf>
  </cellXfs>
  <cellStyles count="29">
    <cellStyle name="=C:\WINNT\SYSTEM32\COMMAND.COM 2 2" xfId="21" xr:uid="{00000000-0005-0000-0000-000000000000}"/>
    <cellStyle name="Comma" xfId="1" builtinId="3"/>
    <cellStyle name="Comma 10 3" xfId="14" xr:uid="{00000000-0005-0000-0000-000002000000}"/>
    <cellStyle name="Comma 10 3 2" xfId="20" xr:uid="{00000000-0005-0000-0000-000003000000}"/>
    <cellStyle name="Comma 2" xfId="4" xr:uid="{00000000-0005-0000-0000-000004000000}"/>
    <cellStyle name="Comma 2 2" xfId="16" xr:uid="{00000000-0005-0000-0000-000005000000}"/>
    <cellStyle name="Comma 2 2 2" xfId="10" xr:uid="{00000000-0005-0000-0000-000006000000}"/>
    <cellStyle name="Comma 2 2 2 2" xfId="18" xr:uid="{00000000-0005-0000-0000-000007000000}"/>
    <cellStyle name="Comma 2 2 2 89" xfId="12" xr:uid="{00000000-0005-0000-0000-000008000000}"/>
    <cellStyle name="Comma 2 2 2 89 2" xfId="19" xr:uid="{00000000-0005-0000-0000-000009000000}"/>
    <cellStyle name="Comma 2 3 89" xfId="9" xr:uid="{00000000-0005-0000-0000-00000A000000}"/>
    <cellStyle name="Comma 3" xfId="15" xr:uid="{00000000-0005-0000-0000-00000B000000}"/>
    <cellStyle name="Comma 3 2" xfId="25" xr:uid="{00000000-0005-0000-0000-00000C000000}"/>
    <cellStyle name="Comma 4" xfId="22" xr:uid="{00000000-0005-0000-0000-00000D000000}"/>
    <cellStyle name="Comma 4 2" xfId="26" xr:uid="{00000000-0005-0000-0000-00000E000000}"/>
    <cellStyle name="Comma 5" xfId="5" xr:uid="{00000000-0005-0000-0000-00000F000000}"/>
    <cellStyle name="Comma 5 2" xfId="17" xr:uid="{00000000-0005-0000-0000-000010000000}"/>
    <cellStyle name="Comma 6 2" xfId="27" xr:uid="{00000000-0005-0000-0000-000011000000}"/>
    <cellStyle name="Comma_CMA Format  - 2" xfId="24" xr:uid="{00000000-0005-0000-0000-000012000000}"/>
    <cellStyle name="Hyperlink 2" xfId="28" xr:uid="{00000000-0005-0000-0000-000013000000}"/>
    <cellStyle name="Normal" xfId="0" builtinId="0"/>
    <cellStyle name="Normal - Style1" xfId="7" xr:uid="{00000000-0005-0000-0000-000015000000}"/>
    <cellStyle name="Normal 2" xfId="6" xr:uid="{00000000-0005-0000-0000-000016000000}"/>
    <cellStyle name="Normal 52" xfId="3" xr:uid="{00000000-0005-0000-0000-000017000000}"/>
    <cellStyle name="Normal_BORL _WC_Lenders Model_Revised_SBI" xfId="23" xr:uid="{00000000-0005-0000-0000-000018000000}"/>
    <cellStyle name="Normal_Depreciation and tax - 12 Aug" xfId="8" xr:uid="{00000000-0005-0000-0000-000019000000}"/>
    <cellStyle name="Normal_M20011206 - modified" xfId="11" xr:uid="{00000000-0005-0000-0000-00001A000000}"/>
    <cellStyle name="Percent" xfId="2" builtinId="5"/>
    <cellStyle name="Style 1 2" xfId="13" xr:uid="{00000000-0005-0000-0000-00001C000000}"/>
  </cellStyles>
  <dxfs count="56">
    <dxf>
      <font>
        <condense val="0"/>
        <extend val="0"/>
        <color indexed="10"/>
      </font>
    </dxf>
    <dxf>
      <font>
        <condense val="0"/>
        <extend val="0"/>
        <color indexed="10"/>
      </font>
    </dxf>
    <dxf>
      <font>
        <condense val="0"/>
        <extend val="0"/>
        <color indexed="10"/>
      </font>
    </dxf>
    <dxf>
      <font>
        <condense val="0"/>
        <extend val="0"/>
        <color indexed="1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7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2.xml"/><Relationship Id="rId21" Type="http://schemas.openxmlformats.org/officeDocument/2006/relationships/worksheet" Target="worksheets/sheet21.xml"/><Relationship Id="rId34" Type="http://schemas.openxmlformats.org/officeDocument/2006/relationships/externalLink" Target="externalLinks/externalLink7.xml"/><Relationship Id="rId42" Type="http://schemas.openxmlformats.org/officeDocument/2006/relationships/externalLink" Target="externalLinks/externalLink15.xml"/><Relationship Id="rId47" Type="http://schemas.openxmlformats.org/officeDocument/2006/relationships/externalLink" Target="externalLinks/externalLink20.xml"/><Relationship Id="rId50" Type="http://schemas.openxmlformats.org/officeDocument/2006/relationships/externalLink" Target="externalLinks/externalLink23.xml"/><Relationship Id="rId55" Type="http://schemas.openxmlformats.org/officeDocument/2006/relationships/externalLink" Target="externalLinks/externalLink28.xml"/><Relationship Id="rId63" Type="http://schemas.openxmlformats.org/officeDocument/2006/relationships/externalLink" Target="externalLinks/externalLink36.xml"/><Relationship Id="rId68" Type="http://schemas.openxmlformats.org/officeDocument/2006/relationships/externalLink" Target="externalLinks/externalLink41.xml"/><Relationship Id="rId76" Type="http://schemas.openxmlformats.org/officeDocument/2006/relationships/externalLink" Target="externalLinks/externalLink49.xml"/><Relationship Id="rId84"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externalLink" Target="externalLinks/externalLink44.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2.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5.xml"/><Relationship Id="rId37" Type="http://schemas.openxmlformats.org/officeDocument/2006/relationships/externalLink" Target="externalLinks/externalLink10.xml"/><Relationship Id="rId40" Type="http://schemas.openxmlformats.org/officeDocument/2006/relationships/externalLink" Target="externalLinks/externalLink13.xml"/><Relationship Id="rId45" Type="http://schemas.openxmlformats.org/officeDocument/2006/relationships/externalLink" Target="externalLinks/externalLink18.xml"/><Relationship Id="rId53" Type="http://schemas.openxmlformats.org/officeDocument/2006/relationships/externalLink" Target="externalLinks/externalLink26.xml"/><Relationship Id="rId58" Type="http://schemas.openxmlformats.org/officeDocument/2006/relationships/externalLink" Target="externalLinks/externalLink31.xml"/><Relationship Id="rId66" Type="http://schemas.openxmlformats.org/officeDocument/2006/relationships/externalLink" Target="externalLinks/externalLink39.xml"/><Relationship Id="rId74" Type="http://schemas.openxmlformats.org/officeDocument/2006/relationships/externalLink" Target="externalLinks/externalLink47.xml"/><Relationship Id="rId79" Type="http://schemas.openxmlformats.org/officeDocument/2006/relationships/externalLink" Target="externalLinks/externalLink52.xml"/><Relationship Id="rId5" Type="http://schemas.openxmlformats.org/officeDocument/2006/relationships/worksheet" Target="worksheets/sheet5.xml"/><Relationship Id="rId61" Type="http://schemas.openxmlformats.org/officeDocument/2006/relationships/externalLink" Target="externalLinks/externalLink34.xml"/><Relationship Id="rId82" Type="http://schemas.openxmlformats.org/officeDocument/2006/relationships/theme" Target="theme/theme1.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35" Type="http://schemas.openxmlformats.org/officeDocument/2006/relationships/externalLink" Target="externalLinks/externalLink8.xml"/><Relationship Id="rId43" Type="http://schemas.openxmlformats.org/officeDocument/2006/relationships/externalLink" Target="externalLinks/externalLink16.xml"/><Relationship Id="rId48" Type="http://schemas.openxmlformats.org/officeDocument/2006/relationships/externalLink" Target="externalLinks/externalLink21.xml"/><Relationship Id="rId56" Type="http://schemas.openxmlformats.org/officeDocument/2006/relationships/externalLink" Target="externalLinks/externalLink29.xml"/><Relationship Id="rId64" Type="http://schemas.openxmlformats.org/officeDocument/2006/relationships/externalLink" Target="externalLinks/externalLink37.xml"/><Relationship Id="rId69" Type="http://schemas.openxmlformats.org/officeDocument/2006/relationships/externalLink" Target="externalLinks/externalLink42.xml"/><Relationship Id="rId77" Type="http://schemas.openxmlformats.org/officeDocument/2006/relationships/externalLink" Target="externalLinks/externalLink50.xml"/><Relationship Id="rId8" Type="http://schemas.openxmlformats.org/officeDocument/2006/relationships/worksheet" Target="worksheets/sheet8.xml"/><Relationship Id="rId51" Type="http://schemas.openxmlformats.org/officeDocument/2006/relationships/externalLink" Target="externalLinks/externalLink24.xml"/><Relationship Id="rId72" Type="http://schemas.openxmlformats.org/officeDocument/2006/relationships/externalLink" Target="externalLinks/externalLink45.xml"/><Relationship Id="rId80" Type="http://schemas.openxmlformats.org/officeDocument/2006/relationships/externalLink" Target="externalLinks/externalLink53.xml"/><Relationship Id="rId85"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6.xml"/><Relationship Id="rId38" Type="http://schemas.openxmlformats.org/officeDocument/2006/relationships/externalLink" Target="externalLinks/externalLink11.xml"/><Relationship Id="rId46" Type="http://schemas.openxmlformats.org/officeDocument/2006/relationships/externalLink" Target="externalLinks/externalLink19.xml"/><Relationship Id="rId59" Type="http://schemas.openxmlformats.org/officeDocument/2006/relationships/externalLink" Target="externalLinks/externalLink32.xml"/><Relationship Id="rId67" Type="http://schemas.openxmlformats.org/officeDocument/2006/relationships/externalLink" Target="externalLinks/externalLink40.xml"/><Relationship Id="rId20" Type="http://schemas.openxmlformats.org/officeDocument/2006/relationships/worksheet" Target="worksheets/sheet20.xml"/><Relationship Id="rId41" Type="http://schemas.openxmlformats.org/officeDocument/2006/relationships/externalLink" Target="externalLinks/externalLink14.xml"/><Relationship Id="rId54" Type="http://schemas.openxmlformats.org/officeDocument/2006/relationships/externalLink" Target="externalLinks/externalLink27.xml"/><Relationship Id="rId62" Type="http://schemas.openxmlformats.org/officeDocument/2006/relationships/externalLink" Target="externalLinks/externalLink35.xml"/><Relationship Id="rId70" Type="http://schemas.openxmlformats.org/officeDocument/2006/relationships/externalLink" Target="externalLinks/externalLink43.xml"/><Relationship Id="rId75" Type="http://schemas.openxmlformats.org/officeDocument/2006/relationships/externalLink" Target="externalLinks/externalLink48.xml"/><Relationship Id="rId83"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externalLink" Target="externalLinks/externalLink9.xml"/><Relationship Id="rId49" Type="http://schemas.openxmlformats.org/officeDocument/2006/relationships/externalLink" Target="externalLinks/externalLink22.xml"/><Relationship Id="rId57" Type="http://schemas.openxmlformats.org/officeDocument/2006/relationships/externalLink" Target="externalLinks/externalLink30.xml"/><Relationship Id="rId10" Type="http://schemas.openxmlformats.org/officeDocument/2006/relationships/worksheet" Target="worksheets/sheet10.xml"/><Relationship Id="rId31" Type="http://schemas.openxmlformats.org/officeDocument/2006/relationships/externalLink" Target="externalLinks/externalLink4.xml"/><Relationship Id="rId44" Type="http://schemas.openxmlformats.org/officeDocument/2006/relationships/externalLink" Target="externalLinks/externalLink17.xml"/><Relationship Id="rId52" Type="http://schemas.openxmlformats.org/officeDocument/2006/relationships/externalLink" Target="externalLinks/externalLink25.xml"/><Relationship Id="rId60" Type="http://schemas.openxmlformats.org/officeDocument/2006/relationships/externalLink" Target="externalLinks/externalLink33.xml"/><Relationship Id="rId65" Type="http://schemas.openxmlformats.org/officeDocument/2006/relationships/externalLink" Target="externalLinks/externalLink38.xml"/><Relationship Id="rId73" Type="http://schemas.openxmlformats.org/officeDocument/2006/relationships/externalLink" Target="externalLinks/externalLink46.xml"/><Relationship Id="rId78" Type="http://schemas.openxmlformats.org/officeDocument/2006/relationships/externalLink" Target="externalLinks/externalLink51.xml"/><Relationship Id="rId81" Type="http://schemas.openxmlformats.org/officeDocument/2006/relationships/externalLink" Target="externalLinks/externalLink54.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12</xdr:col>
      <xdr:colOff>39511</xdr:colOff>
      <xdr:row>17</xdr:row>
      <xdr:rowOff>168417</xdr:rowOff>
    </xdr:to>
    <xdr:sp macro="" textlink="">
      <xdr:nvSpPr>
        <xdr:cNvPr id="2" name="TextBox 1">
          <a:extLst>
            <a:ext uri="{FF2B5EF4-FFF2-40B4-BE49-F238E27FC236}">
              <a16:creationId xmlns:a16="http://schemas.microsoft.com/office/drawing/2014/main" id="{E63F7DBE-90A4-4AE8-B264-4224D7A8A592}"/>
            </a:ext>
          </a:extLst>
        </xdr:cNvPr>
        <xdr:cNvSpPr txBox="1"/>
      </xdr:nvSpPr>
      <xdr:spPr>
        <a:xfrm>
          <a:off x="609600" y="548640"/>
          <a:ext cx="6745111" cy="2728737"/>
        </a:xfrm>
        <a:prstGeom prst="rect">
          <a:avLst/>
        </a:prstGeom>
        <a:solidFill>
          <a:srgbClr val="FFE600"/>
        </a:solidFill>
        <a:ln w="38100" cmpd="dbl">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108000" rIns="108000" bIns="108000" rtlCol="0" anchor="t"/>
        <a:lstStyle/>
        <a:p>
          <a:pPr algn="l"/>
          <a:r>
            <a:rPr lang="en-IN" sz="2000" b="1">
              <a:latin typeface="Arial" panose="020B0604020202020204" pitchFamily="34" charset="0"/>
              <a:cs typeface="Arial" panose="020B0604020202020204" pitchFamily="34" charset="0"/>
            </a:rPr>
            <a:t>Bajaj Hindusthan</a:t>
          </a:r>
          <a:r>
            <a:rPr lang="en-IN" sz="2000" b="1" baseline="0">
              <a:latin typeface="Arial" panose="020B0604020202020204" pitchFamily="34" charset="0"/>
              <a:cs typeface="Arial" panose="020B0604020202020204" pitchFamily="34" charset="0"/>
            </a:rPr>
            <a:t> Sugar Limited</a:t>
          </a:r>
          <a:endParaRPr lang="en-IN" sz="2000" b="1">
            <a:latin typeface="Arial" panose="020B0604020202020204" pitchFamily="34" charset="0"/>
            <a:cs typeface="Arial" panose="020B0604020202020204" pitchFamily="34" charset="0"/>
          </a:endParaRPr>
        </a:p>
        <a:p>
          <a:pPr algn="l"/>
          <a:endParaRPr lang="en-IN" sz="1000" b="1">
            <a:latin typeface="Arial" panose="020B0604020202020204" pitchFamily="34" charset="0"/>
            <a:cs typeface="Arial" panose="020B0604020202020204" pitchFamily="34" charset="0"/>
          </a:endParaRPr>
        </a:p>
        <a:p>
          <a:pPr algn="l"/>
          <a:endParaRPr lang="en-IN" sz="1800" b="1" i="1">
            <a:latin typeface="Arial" panose="020B0604020202020204" pitchFamily="34" charset="0"/>
            <a:cs typeface="Arial" panose="020B0604020202020204" pitchFamily="34" charset="0"/>
          </a:endParaRPr>
        </a:p>
        <a:p>
          <a:pPr algn="l"/>
          <a:r>
            <a:rPr lang="en-IN" sz="1800" b="1" i="1">
              <a:latin typeface="Arial" panose="020B0604020202020204" pitchFamily="34" charset="0"/>
              <a:cs typeface="Arial" panose="020B0604020202020204" pitchFamily="34" charset="0"/>
            </a:rPr>
            <a:t>Draft Projected</a:t>
          </a:r>
          <a:r>
            <a:rPr lang="en-IN" sz="1800" b="1" i="1" baseline="0">
              <a:latin typeface="Arial" panose="020B0604020202020204" pitchFamily="34" charset="0"/>
              <a:cs typeface="Arial" panose="020B0604020202020204" pitchFamily="34" charset="0"/>
            </a:rPr>
            <a:t> </a:t>
          </a:r>
          <a:r>
            <a:rPr lang="en-IN" sz="1800" b="1" i="1">
              <a:latin typeface="Arial" panose="020B0604020202020204" pitchFamily="34" charset="0"/>
              <a:cs typeface="Arial" panose="020B0604020202020204" pitchFamily="34" charset="0"/>
            </a:rPr>
            <a:t>Financial</a:t>
          </a:r>
          <a:r>
            <a:rPr lang="en-IN" sz="1800" b="1" i="1" baseline="0">
              <a:latin typeface="Arial" panose="020B0604020202020204" pitchFamily="34" charset="0"/>
              <a:cs typeface="Arial" panose="020B0604020202020204" pitchFamily="34" charset="0"/>
            </a:rPr>
            <a:t> Model - Standalone </a:t>
          </a:r>
        </a:p>
        <a:p>
          <a:pPr algn="l"/>
          <a:endParaRPr lang="en-IN" sz="1800" b="1" i="1" baseline="0">
            <a:latin typeface="Arial" panose="020B0604020202020204" pitchFamily="34" charset="0"/>
            <a:cs typeface="Arial" panose="020B0604020202020204" pitchFamily="34" charset="0"/>
          </a:endParaRPr>
        </a:p>
        <a:p>
          <a:pPr algn="l"/>
          <a:r>
            <a:rPr lang="en-IN" sz="1800" b="1" i="1" baseline="0">
              <a:latin typeface="Arial" panose="020B0604020202020204" pitchFamily="34" charset="0"/>
              <a:cs typeface="Arial" panose="020B0604020202020204" pitchFamily="34" charset="0"/>
            </a:rPr>
            <a:t>Resolution Plan </a:t>
          </a:r>
        </a:p>
        <a:p>
          <a:pPr algn="l"/>
          <a:endParaRPr lang="en-IN" sz="900" b="0" baseline="0">
            <a:solidFill>
              <a:sysClr val="windowText" lastClr="000000"/>
            </a:solidFill>
            <a:latin typeface="Arial" panose="020B0604020202020204" pitchFamily="34" charset="0"/>
            <a:cs typeface="Arial" panose="020B0604020202020204" pitchFamily="34" charset="0"/>
          </a:endParaRPr>
        </a:p>
        <a:p>
          <a:pPr algn="l"/>
          <a:endParaRPr lang="en-IN" sz="900" b="0" baseline="0">
            <a:solidFill>
              <a:sysClr val="windowText" lastClr="000000"/>
            </a:solidFill>
            <a:latin typeface="Arial" panose="020B0604020202020204" pitchFamily="34" charset="0"/>
            <a:cs typeface="Arial" panose="020B0604020202020204" pitchFamily="34" charset="0"/>
          </a:endParaRPr>
        </a:p>
        <a:p>
          <a:pPr algn="l"/>
          <a:endParaRPr lang="en-IN" sz="900" b="0" baseline="0">
            <a:solidFill>
              <a:sysClr val="windowText" lastClr="000000"/>
            </a:solidFill>
            <a:latin typeface="Arial" panose="020B0604020202020204" pitchFamily="34" charset="0"/>
            <a:cs typeface="Arial" panose="020B0604020202020204" pitchFamily="34" charset="0"/>
          </a:endParaRPr>
        </a:p>
        <a:p>
          <a:pPr algn="l"/>
          <a:endParaRPr lang="en-IN" sz="900" b="0" baseline="0">
            <a:solidFill>
              <a:sysClr val="windowText" lastClr="000000"/>
            </a:solidFill>
            <a:latin typeface="Arial" panose="020B0604020202020204" pitchFamily="34" charset="0"/>
            <a:cs typeface="Arial" panose="020B0604020202020204" pitchFamily="34" charset="0"/>
          </a:endParaRPr>
        </a:p>
        <a:p>
          <a:pPr algn="l"/>
          <a:r>
            <a:rPr lang="en-IN" sz="1600" b="1" baseline="0">
              <a:solidFill>
                <a:sysClr val="windowText" lastClr="000000"/>
              </a:solidFill>
              <a:latin typeface="Arial" panose="020B0604020202020204" pitchFamily="34" charset="0"/>
              <a:cs typeface="Arial" panose="020B0604020202020204" pitchFamily="34" charset="0"/>
            </a:rPr>
            <a:t>April 2022</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90352</xdr:colOff>
      <xdr:row>1</xdr:row>
      <xdr:rowOff>100149</xdr:rowOff>
    </xdr:from>
    <xdr:to>
      <xdr:col>17</xdr:col>
      <xdr:colOff>135860</xdr:colOff>
      <xdr:row>24</xdr:row>
      <xdr:rowOff>79265</xdr:rowOff>
    </xdr:to>
    <xdr:sp macro="" textlink="">
      <xdr:nvSpPr>
        <xdr:cNvPr id="2" name="Content Placeholder 2">
          <a:extLst>
            <a:ext uri="{FF2B5EF4-FFF2-40B4-BE49-F238E27FC236}">
              <a16:creationId xmlns:a16="http://schemas.microsoft.com/office/drawing/2014/main" id="{1497B11B-E1F5-4760-B226-0B7FA610A629}"/>
            </a:ext>
          </a:extLst>
        </xdr:cNvPr>
        <xdr:cNvSpPr>
          <a:spLocks noGrp="1"/>
        </xdr:cNvSpPr>
      </xdr:nvSpPr>
      <xdr:spPr>
        <a:xfrm>
          <a:off x="90352" y="285206"/>
          <a:ext cx="10484908" cy="4235430"/>
        </a:xfrm>
        <a:prstGeom prst="rect">
          <a:avLst/>
        </a:prstGeom>
      </xdr:spPr>
      <xdr:txBody>
        <a:bodyPr vert="horz" wrap="square" lIns="0" tIns="0" rIns="0" bIns="0" rtlCol="0" anchor="t" anchorCtr="0">
          <a:noAutofit/>
        </a:bodyPr>
        <a:lstStyle>
          <a:lvl1pPr marL="356438" indent="-356438" algn="l" defTabSz="913943" rtl="0" eaLnBrk="1" latinLnBrk="0" hangingPunct="1">
            <a:spcBef>
              <a:spcPct val="20000"/>
            </a:spcBef>
            <a:buClr>
              <a:schemeClr val="bg1"/>
            </a:buClr>
            <a:buSzPct val="70000"/>
            <a:buFont typeface="Arial" pitchFamily="34" charset="0"/>
            <a:buChar char="►"/>
            <a:defRPr sz="2399" kern="1200">
              <a:solidFill>
                <a:schemeClr val="bg1"/>
              </a:solidFill>
              <a:latin typeface="Arial" panose="020B0604020202020204" pitchFamily="34" charset="0"/>
              <a:ea typeface="+mn-ea"/>
              <a:cs typeface="Arial" pitchFamily="34" charset="0"/>
            </a:defRPr>
          </a:lvl1pPr>
          <a:lvl2pPr marL="712875" indent="-356438" algn="l" defTabSz="913943" rtl="0" eaLnBrk="1" latinLnBrk="0" hangingPunct="1">
            <a:spcBef>
              <a:spcPct val="20000"/>
            </a:spcBef>
            <a:buClr>
              <a:schemeClr val="bg1"/>
            </a:buClr>
            <a:buSzPct val="70000"/>
            <a:buFont typeface="Arial" pitchFamily="34" charset="0"/>
            <a:buChar char="►"/>
            <a:defRPr sz="1999" kern="1200">
              <a:solidFill>
                <a:schemeClr val="bg1"/>
              </a:solidFill>
              <a:latin typeface="Arial" panose="020B0604020202020204" pitchFamily="34" charset="0"/>
              <a:ea typeface="+mn-ea"/>
              <a:cs typeface="Arial" pitchFamily="34" charset="0"/>
            </a:defRPr>
          </a:lvl2pPr>
          <a:lvl3pPr marL="1069313" indent="-356438" algn="l" defTabSz="913943" rtl="0" eaLnBrk="1" latinLnBrk="0" hangingPunct="1">
            <a:spcBef>
              <a:spcPct val="20000"/>
            </a:spcBef>
            <a:buClr>
              <a:schemeClr val="bg1"/>
            </a:buClr>
            <a:buSzPct val="70000"/>
            <a:buFont typeface="Arial" pitchFamily="34" charset="0"/>
            <a:buChar char="►"/>
            <a:defRPr sz="1799" kern="1200">
              <a:solidFill>
                <a:schemeClr val="bg1"/>
              </a:solidFill>
              <a:latin typeface="Arial" panose="020B0604020202020204" pitchFamily="34" charset="0"/>
              <a:ea typeface="+mn-ea"/>
              <a:cs typeface="Arial" pitchFamily="34" charset="0"/>
            </a:defRPr>
          </a:lvl3pPr>
          <a:lvl4pPr marL="1425751" indent="-356438" algn="l" defTabSz="913943" rtl="0" eaLnBrk="1" latinLnBrk="0" hangingPunct="1">
            <a:spcBef>
              <a:spcPct val="20000"/>
            </a:spcBef>
            <a:buClr>
              <a:schemeClr val="bg1"/>
            </a:buClr>
            <a:buSzPct val="70000"/>
            <a:buFont typeface="Arial" pitchFamily="34" charset="0"/>
            <a:buChar char="►"/>
            <a:defRPr sz="1599" kern="1200">
              <a:solidFill>
                <a:schemeClr val="bg1"/>
              </a:solidFill>
              <a:latin typeface="Arial" panose="020B0604020202020204" pitchFamily="34" charset="0"/>
              <a:ea typeface="+mn-ea"/>
              <a:cs typeface="Arial" pitchFamily="34" charset="0"/>
            </a:defRPr>
          </a:lvl4pPr>
          <a:lvl5pPr marL="1782188" indent="-356438" algn="l" defTabSz="913943" rtl="0" eaLnBrk="1" latinLnBrk="0" hangingPunct="1">
            <a:spcBef>
              <a:spcPct val="20000"/>
            </a:spcBef>
            <a:buClr>
              <a:schemeClr val="bg1"/>
            </a:buClr>
            <a:buSzPct val="70000"/>
            <a:buFont typeface="Arial" pitchFamily="34" charset="0"/>
            <a:buChar char="►"/>
            <a:defRPr sz="1599" kern="1200">
              <a:solidFill>
                <a:schemeClr val="bg1"/>
              </a:solidFill>
              <a:latin typeface="Arial" panose="020B0604020202020204" pitchFamily="34" charset="0"/>
              <a:ea typeface="+mn-ea"/>
              <a:cs typeface="Arial" pitchFamily="34" charset="0"/>
            </a:defRPr>
          </a:lvl5pPr>
          <a:lvl6pPr marL="2513343" indent="-228486" algn="l" defTabSz="913943" rtl="0" eaLnBrk="1" latinLnBrk="0" hangingPunct="1">
            <a:spcBef>
              <a:spcPct val="20000"/>
            </a:spcBef>
            <a:buFont typeface="Arial" pitchFamily="34" charset="0"/>
            <a:buChar char="•"/>
            <a:defRPr sz="1999" kern="1200">
              <a:solidFill>
                <a:schemeClr val="tx1"/>
              </a:solidFill>
              <a:latin typeface="+mn-lt"/>
              <a:ea typeface="+mn-ea"/>
              <a:cs typeface="+mn-cs"/>
            </a:defRPr>
          </a:lvl6pPr>
          <a:lvl7pPr marL="2970314" indent="-228486" algn="l" defTabSz="913943" rtl="0" eaLnBrk="1" latinLnBrk="0" hangingPunct="1">
            <a:spcBef>
              <a:spcPct val="20000"/>
            </a:spcBef>
            <a:buFont typeface="Arial" pitchFamily="34" charset="0"/>
            <a:buChar char="•"/>
            <a:defRPr sz="1999" kern="1200">
              <a:solidFill>
                <a:schemeClr val="tx1"/>
              </a:solidFill>
              <a:latin typeface="+mn-lt"/>
              <a:ea typeface="+mn-ea"/>
              <a:cs typeface="+mn-cs"/>
            </a:defRPr>
          </a:lvl7pPr>
          <a:lvl8pPr marL="3427286" indent="-228486" algn="l" defTabSz="913943" rtl="0" eaLnBrk="1" latinLnBrk="0" hangingPunct="1">
            <a:spcBef>
              <a:spcPct val="20000"/>
            </a:spcBef>
            <a:buFont typeface="Arial" pitchFamily="34" charset="0"/>
            <a:buChar char="•"/>
            <a:defRPr sz="1999" kern="1200">
              <a:solidFill>
                <a:schemeClr val="tx1"/>
              </a:solidFill>
              <a:latin typeface="+mn-lt"/>
              <a:ea typeface="+mn-ea"/>
              <a:cs typeface="+mn-cs"/>
            </a:defRPr>
          </a:lvl8pPr>
          <a:lvl9pPr marL="3884257" indent="-228486" algn="l" defTabSz="913943" rtl="0" eaLnBrk="1" latinLnBrk="0" hangingPunct="1">
            <a:spcBef>
              <a:spcPct val="20000"/>
            </a:spcBef>
            <a:buFont typeface="Arial" pitchFamily="34" charset="0"/>
            <a:buChar char="•"/>
            <a:defRPr sz="1999" kern="1200">
              <a:solidFill>
                <a:schemeClr val="tx1"/>
              </a:solidFill>
              <a:latin typeface="+mn-lt"/>
              <a:ea typeface="+mn-ea"/>
              <a:cs typeface="+mn-cs"/>
            </a:defRPr>
          </a:lvl9pPr>
        </a:lstStyle>
        <a:p>
          <a:pPr marL="0" indent="0" algn="just">
            <a:spcBef>
              <a:spcPts val="346"/>
            </a:spcBef>
            <a:spcAft>
              <a:spcPts val="346"/>
            </a:spcAft>
            <a:buNone/>
            <a:defRPr/>
          </a:pPr>
          <a:r>
            <a:rPr lang="en-IN" sz="1000" i="1">
              <a:solidFill>
                <a:schemeClr val="tx1"/>
              </a:solidFill>
              <a:latin typeface="Calibri" panose="020F0502020204030204" pitchFamily="34" charset="0"/>
              <a:cs typeface="Calibri" panose="020F0502020204030204" pitchFamily="34" charset="0"/>
            </a:rPr>
            <a:t>This file has been prepared by Ernst and Young LLP (‘EY’) based on the information provided by Bajaj Hindustahn Sugar Limited (‘the Client’ or ‘the Company’ or ‘BHSL’) and its associates, group companies and its management. </a:t>
          </a:r>
        </a:p>
        <a:p>
          <a:pPr marL="0" indent="0" algn="just">
            <a:spcBef>
              <a:spcPts val="346"/>
            </a:spcBef>
            <a:spcAft>
              <a:spcPts val="346"/>
            </a:spcAft>
            <a:buNone/>
            <a:defRPr/>
          </a:pPr>
          <a:r>
            <a:rPr lang="en-IN" sz="1000" i="1">
              <a:solidFill>
                <a:schemeClr val="tx1"/>
              </a:solidFill>
              <a:latin typeface="Calibri" panose="020F0502020204030204" pitchFamily="34" charset="0"/>
              <a:cs typeface="Calibri" panose="020F0502020204030204" pitchFamily="34" charset="0"/>
            </a:rPr>
            <a:t>The file does not purport to be all-inclusive or to necessarily contain all the information that a prospective Lender may desire in investigating the Group or its promoters or subsidiaries or affiliates and may be subject to update, revision or amendment. The material contains selected information to assist the recipient in making the initial decision to proceed with further investigation and is not intended to form the basis of any investment decision by a prospective lender. Interested parties should carry out their own investigations and analysis of the Group and its promoters/subsidiaries/ associate/promoter companies and of the data referred to in the document and should consult their own advisors before proceeding with any offer. </a:t>
          </a:r>
        </a:p>
        <a:p>
          <a:pPr marL="0" indent="0" algn="just">
            <a:spcBef>
              <a:spcPts val="346"/>
            </a:spcBef>
            <a:spcAft>
              <a:spcPts val="346"/>
            </a:spcAft>
            <a:buNone/>
            <a:defRPr/>
          </a:pPr>
          <a:r>
            <a:rPr lang="en-IN" sz="1000" i="1">
              <a:solidFill>
                <a:schemeClr val="tx1"/>
              </a:solidFill>
              <a:latin typeface="Calibri" panose="020F0502020204030204" pitchFamily="34" charset="0"/>
              <a:cs typeface="Calibri" panose="020F0502020204030204" pitchFamily="34" charset="0"/>
            </a:rPr>
            <a:t>No representation or warranty, express or implied, is given by EY or any of its directors, partners, officers, affiliates, employees, advisors or agents (and any warranty expressed or implied by statute is hereby excluded) as to the accuracy or completeness of the contents of this document or any other information supplied, or which may be supplied at any time or any opinions or projections expressed herein or therein, nor is any such party under any obligation to update the report or correct any inaccuracies or omissions in it which may exist or become apparent. </a:t>
          </a:r>
        </a:p>
        <a:p>
          <a:pPr marL="0" indent="0" algn="just">
            <a:spcBef>
              <a:spcPts val="346"/>
            </a:spcBef>
            <a:spcAft>
              <a:spcPts val="346"/>
            </a:spcAft>
            <a:buNone/>
            <a:defRPr/>
          </a:pPr>
          <a:r>
            <a:rPr lang="en-IN" sz="1000" i="1">
              <a:solidFill>
                <a:schemeClr val="tx1"/>
              </a:solidFill>
              <a:latin typeface="Calibri" panose="020F0502020204030204" pitchFamily="34" charset="0"/>
              <a:cs typeface="Calibri" panose="020F0502020204030204" pitchFamily="34" charset="0"/>
            </a:rPr>
            <a:t>The projected financial information, if any, contained in the document is based on judgmental estimates and assumptions made by the management of the Group, about circumstances and events that have not yet taken place. Accordingly, there can be no assurance that the projected results will be attained. In particular, but without prejudice to the generality of the foregoing, no representation or warranty whatsoever is given in relation to the reasonableness or achievability of the projections contained in the document or in relation to the bases and assumptions underlying such projections and you must satisfy yourself in relation to the reasonableness, achievability and accuracy thereof.</a:t>
          </a:r>
        </a:p>
        <a:p>
          <a:pPr marL="0" indent="0" algn="just">
            <a:spcBef>
              <a:spcPts val="346"/>
            </a:spcBef>
            <a:spcAft>
              <a:spcPts val="346"/>
            </a:spcAft>
            <a:buNone/>
            <a:defRPr/>
          </a:pPr>
          <a:r>
            <a:rPr lang="en-IN" sz="1000" i="1">
              <a:solidFill>
                <a:schemeClr val="tx1"/>
              </a:solidFill>
              <a:latin typeface="Calibri" panose="020F0502020204030204" pitchFamily="34" charset="0"/>
              <a:cs typeface="Calibri" panose="020F0502020204030204" pitchFamily="34" charset="0"/>
            </a:rPr>
            <a:t>No responsibility or liability is accepted for any loss or damage howsoever arising that you may suffer as a result of this material and any and all responsibility and liability is expressly disclaimed by EY or any of their respective directors, partners, officers, affiliates, employees, advisors or agents. </a:t>
          </a:r>
        </a:p>
        <a:p>
          <a:pPr marL="0" indent="0" algn="just">
            <a:spcBef>
              <a:spcPts val="346"/>
            </a:spcBef>
            <a:spcAft>
              <a:spcPts val="346"/>
            </a:spcAft>
            <a:buNone/>
            <a:defRPr/>
          </a:pPr>
          <a:r>
            <a:rPr lang="en-IN" sz="1000" i="1">
              <a:solidFill>
                <a:schemeClr val="tx1"/>
              </a:solidFill>
              <a:latin typeface="Calibri" panose="020F0502020204030204" pitchFamily="34" charset="0"/>
              <a:cs typeface="Calibri" panose="020F0502020204030204" pitchFamily="34" charset="0"/>
            </a:rPr>
            <a:t>EY is acting as advisor to the Company, and to no other person in connection with the proposed transaction. Neither receipt of the material nor any information supplied in connection with the proposed investment in the Companies and/or their subsidiaries/affiliates by any person is or is to be taken as constituting the giving of investment advice or to constitute any person as a client of EY in connection with any proposed transaction. The information contained in this material is not intended to provide the basis of any credit or any other evaluation and is not to be considered as a recommendation by EY to invest in the Companies. Nothing in these materials constitutes investment advice. The recipient must make (and will be deemed to have made) its own independent investigation and appraisal as it deems necessary of the financial condition, credit-worthiness, affairs, status and nature of the Companies based upon a consideration of the investment objectives, financial situation or particular needs of the Recipient in making any decision with respect to the Investment.</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BB"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ocuments%20and%20Settings/admin/Local%20Settings/Temporary%20Internet%20Files/Content.Outlook/FUQIYHBA/15.11.14/My%20Documents/&#23455;&#32318;05-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MAY%2017%202007\GILMAR07\Documents%20and%20Settings\Administrator\Desktop\MISC\SANJAY\GIL\FA06\MAR0306\SJTEMP.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eema\c$\2002-03\Costaudit\allocation\allocatio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TEMP/HPCL-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Documents%20and%20Settings/jitesh/Local%20Settings/Temporary%20Internet%20Files/OLK2/ARCHIVE/Critical%20issues/20-Jan-05/Budget-June04/BGT-Jul-04.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i-0332\c\KORBA.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Documents%20and%20Settings/sm/Local%20Settings/Temp/wz747a/USERS/TarunS/TANU/sch/jan-dec03/AsstBA2100dec2003A.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RESEARCH/Chartbook%202003/consumer%20Chtbook%202003.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RESEARCH/Chartbook2002/Sent/metal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RESEARCH/METALS/BloombergKris/stee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OSHI\MY%20DOCUMENTS\WINDOWS\Desktop\Manoj%20Gandhi\FINDRDEC.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G:\INV_BKG\GENERAL\Bryce\Bogus%20Links\Bogus%20Link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RESEARCH/METALS/BloombergKris/LME%20alu%20inventory.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RESEARCH/METALS/BloombergKris/capgoods%20index.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G:\INV_BKG\PROJECTS\NAPA\Other\M&amp;A%20precedents%20final.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RESEARCH/ENGINEER/valuation%20report/report%20charts%201%20with%20frozen%20PE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KORBA.XLS" TargetMode="External"/></Relationships>
</file>

<file path=xl/externalLinks/_rels/externalLink26.xml.rels><?xml version="1.0" encoding="UTF-8" standalone="yes"?>
<Relationships xmlns="http://schemas.openxmlformats.org/package/2006/relationships"><Relationship Id="rId1" Type="http://schemas.microsoft.com/office/2006/relationships/xlExternalLinkPath/xlPathMissing" Target="AsstBA2100Mar2003.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G:\SANDEEP%20GUPTA\Balance%20Sheets%202005\BSDEC05-Modi%20Mundipharma.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Work/P&amp;L%20BS%20Prj/0405/Proj%20for%20Revised%20Working%20Capitalww.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Prabhakaran\prabu\unzipped\bsjan02\bsnov01cor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A4592B5\&#23455;&#32318;05-T.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JOSHI\MY%20DOCUMENTS\WINDOWS\Desktop\Manoj%20Gandhi\WINDOWS\DEPRE.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Users/DIMENSION%20MANAGEMENT/Downloads/draft_ind_as_financials.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personal/raman_chawla_in_ey_com/Documents/Desktop/Projects/BHSL/Model/Cane%20Price%20and%20Stock%20as%20on%2031.08.2021.xlsx" TargetMode="External"/></Relationships>
</file>

<file path=xl/externalLinks/_rels/externalLink33.xml.rels><?xml version="1.0" encoding="UTF-8" standalone="yes"?>
<Relationships xmlns="http://schemas.openxmlformats.org/package/2006/relationships"><Relationship Id="rId1" Type="http://schemas.microsoft.com/office/2006/relationships/xlExternalLinkPath/xlPathMissing" Target="Backup%20of%20global%20consolidation%20for%20sebi%20-%20mar'03%20option%20II.xlk"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fas10\c\cost\COSTSH\DEC01.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1jz/TrainingTheStreet/Presentations/Valuation/DCF%20&amp;%20LBO/Worksheet%20in%20Master%20Version%20DCF%20&amp;%20LBO%20for%20Fordham%20v2.0"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556-d11\c\TYAGRAJ\DAILY\REP\REP\My%20Documents\daily.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Users/Administrator.Antariksh_work/AppData/Local/Capital%20IQ/Office%20Plug-in/Templates/Estimates/Detailed%20Broker%20Estimates.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KIMMCO\DATA\IYER\MIS\98\BP1998\REV-BP98\MIS\97\OPR\10\OPR-OCT.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B:\WINDOWS\DEPR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cffras0003\WINNT\Profiles\laube\Desktop\Monitoring\Monitoring\230500\Basisdaten\H&#246;rmann-NachkalkulationMai-00.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amerappr-my.sharepoint.com/Sumant%20Aggarwal/Clients/Project%20Concord/Finanacing%20Model/Group%20Financial%20Statement.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Documents%20and%20Settings/jitesh/Local%20Settings/Temporary%20Internet%20Files/OLK2/ARCHIVE/nt/3-3CASH.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10.192.10.7\VNS%20Reports\WINDOWS\TEMP\C.Lotus.Notes.Data\My%20Documents\Balance%20Sheet\Balance%20Sheet\Balance%20Sheet\Balance%20Sheet%20300900.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WINDOWS/TEMP/ADDITION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A:\My%20Documents\MRN%20REGISTER.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A:\&#26085;&#31243;&#34920;.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Users/Sushmit.Parwal/Desktop/Office%20work/Lanco/13.06.2016_JLF%20prepartion/Updated%20UC%20model_v_29_v2/BabandhThermal_v29_v2_(b).xlsb"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Y:\CCC\Miscellaneous\Stock%20Take%20310306\Stock%20Reports\K%20M%20Enterprise%20PBPL.xls" TargetMode="External"/></Relationships>
</file>

<file path=xl/externalLinks/_rels/externalLink48.xml.rels><?xml version="1.0" encoding="UTF-8" standalone="yes"?>
<Relationships xmlns="http://schemas.openxmlformats.org/package/2006/relationships"><Relationship Id="rId1" Type="http://schemas.microsoft.com/office/2006/relationships/xlExternalLinkPath/xlPathMissing" Target="Worksheet%20in%205520%20Loans%20&amp;%20Advances%20Substantive%20Testing"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N:\CCC%20Audit-05\AIL\Accounts\Liability\Creditors\6120%20Creditors%20Analysis%20workbook.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IMMCO\DATA\IYER\MIS\98\BP1998\OLD-BP98\MIS\97\OPR\10\OPR-OCT.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Rina\rina\WINDOWS\TEMP\dhsint1004\1611A%20INTEREST%20ACCRUED%20ON%20LOANS%20AS%20ON%2030%20SEP%202004.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Documents%20and%20Settings/sm/Local%20Settings/Temp/wz747a/Documents%20and%20Settings/admin/Desktop/Pending/Ranbaxy/2006/Limited%20Re"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Q:\VP-FIN-KT\Bud00ph%20(Rs)%20Mid%20review.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ravi\Personal\WINDOWS\TEMP\Shwami\mahesh%20singh.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ravi\Personal\WINDOWS\TEMP\Vivek\Vivek_Cdrive\33.pr's%20MIs\Vivek_Cdrive\04.variance\04_05\Jan.'04\Presentation\01.FE.Analysis.Jan'0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KCDC04\Groups\My%20Documents\OVERALL\Complex_F.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NFAC\INFOBASE\DOCSOPEN\PROGS\DOCS\TRANSLIB\0001696.01"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Saurabh.garg/Local%20Settings/Temporary%20Internet%20Files/Content.Outlook/L8K2511W/Balance%20Sheet%20for%20presentation.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TEMP/SWE%20Credit%20Rating%20Graph%206_28_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B"/>
      <sheetName val="p8"/>
      <sheetName val="EQOT"/>
    </sheet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損益分岐点"/>
      <sheetName val="laroux"/>
      <sheetName val="経常利益"/>
      <sheetName val="工場別損益"/>
      <sheetName val="差異分析"/>
      <sheetName val="Sheet1"/>
      <sheetName val="損益概要"/>
      <sheetName val="損益計算書"/>
      <sheetName val="合理化"/>
      <sheetName val="要員"/>
      <sheetName val="AC日程"/>
      <sheetName val="detail"/>
      <sheetName val="実績05-T"/>
      <sheetName val="mnsht"/>
      <sheetName val="manpwr"/>
      <sheetName val="pnl"/>
      <sheetName val="pnl dtl"/>
      <sheetName val="マネプロ管理表 -2"/>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ess Stocks"/>
      <sheetName val="Process Stocks MANUAL FEED"/>
      <sheetName val="PPSTALLY(U)"/>
      <sheetName val="ALLOC-1"/>
      <sheetName val="ALLOC-2"/>
      <sheetName val="ALLOC-3"/>
      <sheetName val="ALLOC-4"/>
      <sheetName val="ALLOC-5"/>
      <sheetName val="ALLOC-6"/>
      <sheetName val="ALLOC-7"/>
      <sheetName val="ALLOC-8"/>
      <sheetName val="ALLOC-9"/>
      <sheetName val="ALLOC-10"/>
      <sheetName val="ALLOC-11"/>
      <sheetName val="ALLOC-12"/>
      <sheetName val="ALL11"/>
      <sheetName val="Dull &amp; Dye"/>
      <sheetName val="TEMP"/>
      <sheetName val="packing mat"/>
      <sheetName val="PACKMAT"/>
      <sheetName val="PPALLOC-"/>
      <sheetName val="Compilation"/>
      <sheetName val="Breakup(Grand)"/>
      <sheetName val="PPSTALLY"/>
    </sheetNames>
    <sheetDataSet>
      <sheetData sheetId="0"/>
      <sheetData sheetId="1"/>
      <sheetData sheetId="2"/>
      <sheetData sheetId="3"/>
      <sheetData sheetId="4"/>
      <sheetData sheetId="5">
        <row r="59">
          <cell r="B59">
            <v>15591357</v>
          </cell>
          <cell r="C59">
            <v>935962645</v>
          </cell>
          <cell r="D59">
            <v>45708</v>
          </cell>
          <cell r="E59">
            <v>94545</v>
          </cell>
          <cell r="F59">
            <v>140253</v>
          </cell>
          <cell r="G59">
            <v>13595</v>
          </cell>
          <cell r="H59">
            <v>46143</v>
          </cell>
          <cell r="I59">
            <v>59738</v>
          </cell>
          <cell r="J59">
            <v>20131</v>
          </cell>
          <cell r="K59">
            <v>17916</v>
          </cell>
          <cell r="L59">
            <v>38047</v>
          </cell>
          <cell r="M59">
            <v>946</v>
          </cell>
          <cell r="N59">
            <v>1249</v>
          </cell>
          <cell r="O59">
            <v>2195</v>
          </cell>
          <cell r="P59">
            <v>18385</v>
          </cell>
          <cell r="Q59">
            <v>5849</v>
          </cell>
          <cell r="R59">
            <v>24234</v>
          </cell>
          <cell r="S59">
            <v>16514</v>
          </cell>
          <cell r="T59">
            <v>21837</v>
          </cell>
          <cell r="U59">
            <v>38351</v>
          </cell>
          <cell r="V59">
            <v>310825</v>
          </cell>
          <cell r="W59">
            <v>195199</v>
          </cell>
          <cell r="X59">
            <v>195199</v>
          </cell>
          <cell r="Y59">
            <v>808842</v>
          </cell>
          <cell r="Z59">
            <v>728374</v>
          </cell>
          <cell r="AA59">
            <v>1537216</v>
          </cell>
          <cell r="AB59">
            <v>404430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nsitivity"/>
      <sheetName val="GRM-Vizaj"/>
      <sheetName val="GRM-Mumbai"/>
      <sheetName val="mktg margin"/>
      <sheetName val="margin summary"/>
      <sheetName val="Simply speaking"/>
      <sheetName val="EVA new"/>
      <sheetName val="DCF"/>
      <sheetName val="PL"/>
      <sheetName val="DCF EVA"/>
      <sheetName val="BS"/>
      <sheetName val="WACC new"/>
      <sheetName val="Flashnote"/>
      <sheetName val="Report"/>
      <sheetName val="Assumptions"/>
      <sheetName val="MN"/>
      <sheetName val="zxdfhb"/>
      <sheetName val="Page1"/>
      <sheetName val="Page2"/>
      <sheetName val="test"/>
      <sheetName val="Interest &amp; other income"/>
      <sheetName val="Depri &amp; tax"/>
      <sheetName val="Forecasts new"/>
      <sheetName val="Charts"/>
      <sheetName val="Capex"/>
      <sheetName val="mkt margin"/>
      <sheetName val="Ref-Mumbai"/>
      <sheetName val="Ref-Vishak"/>
      <sheetName val="EVA"/>
      <sheetName val="Valuations - DCF"/>
      <sheetName val="Projects"/>
      <sheetName val="intrim"/>
      <sheetName val="Pipelin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row r="60">
          <cell r="B60">
            <v>42.861093877254461</v>
          </cell>
          <cell r="C60">
            <v>53.859146911411088</v>
          </cell>
          <cell r="D60">
            <v>78.513988268082116</v>
          </cell>
          <cell r="E60">
            <v>79.715795045289141</v>
          </cell>
          <cell r="F60">
            <v>86.304959938412651</v>
          </cell>
          <cell r="G60">
            <v>121.52247255671978</v>
          </cell>
        </row>
        <row r="61">
          <cell r="B61">
            <v>114.66666666666667</v>
          </cell>
          <cell r="C61">
            <v>178</v>
          </cell>
          <cell r="D61">
            <v>286.66666666666669</v>
          </cell>
          <cell r="E61">
            <v>214</v>
          </cell>
          <cell r="F61">
            <v>236.66666666666666</v>
          </cell>
          <cell r="G61">
            <v>302</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MAJOR"/>
      <sheetName val="OTHER"/>
      <sheetName val="EPL"/>
      <sheetName val="TBA"/>
      <sheetName val="Annexure 4 (PUC)"/>
      <sheetName val="Annexure 5 (FIM)"/>
      <sheetName val="Sheet2"/>
      <sheetName val="Annexure 6 (Proc.)"/>
      <sheetName val="ISBL (2)"/>
      <sheetName val="DETAILS-ACCOUNTS"/>
      <sheetName val="ISBL-ACCOUNTS"/>
      <sheetName val="OSBL-ACCOUNTS"/>
      <sheetName val="PGW-ACCOUNTS"/>
      <sheetName val="EW-ACCOUNTS"/>
      <sheetName val="FREE-ACCOUNTS"/>
      <sheetName val="COMP-ACCOUNTS"/>
      <sheetName val="TOWNSHIP-ACCOU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refreshError="1"/>
      <sheetData sheetId="15" refreshError="1"/>
      <sheetData sheetId="16" refreshError="1"/>
      <sheetData sheetId="1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bu biiling"/>
      <sheetName val="pac.1"/>
      <sheetName val="pac-ii"/>
      <sheetName val="dn singh"/>
      <sheetName val="excise refund"/>
      <sheetName val="excise-i"/>
      <sheetName val="excise-ii"/>
      <sheetName val="excise.iii"/>
      <sheetName val="dn singh-i"/>
      <sheetName val="erection bill"/>
      <sheetName val="Sheet19"/>
      <sheetName val="Sheet3"/>
      <sheetName val="mspares-bm"/>
      <sheetName val="star"/>
      <sheetName val="buget-i"/>
      <sheetName val="Sheet24"/>
      <sheetName val="erection-p"/>
      <sheetName val="list bm 1.4.99"/>
      <sheetName val="bbu.valve"/>
      <sheetName val="Sheet2"/>
      <sheetName val="Sheet28"/>
      <sheetName val="excise_i"/>
      <sheetName val="Advance"/>
      <sheetName val="Freight"/>
      <sheetName val="INFLOW _ OUTFLO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d jan to mar"/>
      <sheetName val="add apr to dec"/>
      <sheetName val="add apr to dec I Tax"/>
      <sheetName val="add jan to dec"/>
      <sheetName val="YTD"/>
      <sheetName val="SUMMARY"/>
      <sheetName val="tfr out"/>
      <sheetName val="tfr in"/>
    </sheetNames>
    <sheetDataSet>
      <sheetData sheetId="0" refreshError="1"/>
      <sheetData sheetId="1" refreshError="1"/>
      <sheetData sheetId="2" refreshError="1"/>
      <sheetData sheetId="3" refreshError="1"/>
      <sheetData sheetId="4" refreshError="1">
        <row r="198">
          <cell r="C198" t="str">
            <v>Air Conditioner</v>
          </cell>
          <cell r="D198">
            <v>1</v>
          </cell>
          <cell r="E198">
            <v>33390</v>
          </cell>
          <cell r="F198">
            <v>21450</v>
          </cell>
          <cell r="K198">
            <v>21450</v>
          </cell>
          <cell r="L198">
            <v>12795.87</v>
          </cell>
          <cell r="M198">
            <v>1105</v>
          </cell>
          <cell r="Q198">
            <v>13900.87</v>
          </cell>
          <cell r="R198">
            <v>8654.1299999999992</v>
          </cell>
          <cell r="S198">
            <v>7549.1299999999992</v>
          </cell>
        </row>
        <row r="199">
          <cell r="C199" t="str">
            <v>Air Conditioner 1.5 TON</v>
          </cell>
          <cell r="D199">
            <v>1</v>
          </cell>
          <cell r="E199">
            <v>33695</v>
          </cell>
          <cell r="F199">
            <v>21950</v>
          </cell>
          <cell r="K199">
            <v>21950</v>
          </cell>
          <cell r="L199">
            <v>12152.122500000001</v>
          </cell>
          <cell r="M199">
            <v>1130</v>
          </cell>
          <cell r="Q199">
            <v>13282.122500000001</v>
          </cell>
          <cell r="R199">
            <v>9797.8774999999987</v>
          </cell>
          <cell r="S199">
            <v>8667.8774999999987</v>
          </cell>
        </row>
        <row r="200">
          <cell r="C200" t="str">
            <v>Air Conditioner 1.5 TON</v>
          </cell>
          <cell r="D200">
            <v>1</v>
          </cell>
          <cell r="E200">
            <v>33635</v>
          </cell>
          <cell r="F200">
            <v>25300</v>
          </cell>
          <cell r="K200">
            <v>25300</v>
          </cell>
          <cell r="L200">
            <v>14223.872500000001</v>
          </cell>
          <cell r="M200">
            <v>1303</v>
          </cell>
          <cell r="Q200">
            <v>15526.872500000001</v>
          </cell>
          <cell r="R200">
            <v>11076.127499999999</v>
          </cell>
          <cell r="S200">
            <v>9773.1274999999987</v>
          </cell>
        </row>
        <row r="201">
          <cell r="C201" t="str">
            <v>Air Conditioner 1.5 TON</v>
          </cell>
          <cell r="E201">
            <v>33086</v>
          </cell>
          <cell r="F201">
            <v>22300</v>
          </cell>
          <cell r="K201">
            <v>22300</v>
          </cell>
          <cell r="L201">
            <v>14259.907500000001</v>
          </cell>
          <cell r="M201">
            <v>1148</v>
          </cell>
          <cell r="Q201">
            <v>15407.907500000001</v>
          </cell>
          <cell r="R201">
            <v>8040.0924999999988</v>
          </cell>
          <cell r="S201">
            <v>6892.0924999999988</v>
          </cell>
        </row>
        <row r="202">
          <cell r="C202" t="str">
            <v>Air Conditioner &amp; Stablizer</v>
          </cell>
          <cell r="D202" t="str">
            <v>1+1</v>
          </cell>
          <cell r="E202">
            <v>33055</v>
          </cell>
          <cell r="F202">
            <v>19550</v>
          </cell>
          <cell r="K202">
            <v>19550</v>
          </cell>
          <cell r="L202">
            <v>12585.362499999999</v>
          </cell>
          <cell r="M202">
            <v>1007</v>
          </cell>
          <cell r="Q202">
            <v>13592.362499999999</v>
          </cell>
          <cell r="R202">
            <v>6964.6375000000007</v>
          </cell>
          <cell r="S202">
            <v>5957.6375000000007</v>
          </cell>
        </row>
        <row r="203">
          <cell r="C203" t="str">
            <v>Air Conditioner &amp; Stablizer</v>
          </cell>
          <cell r="D203" t="str">
            <v>1+1</v>
          </cell>
          <cell r="E203">
            <v>32660</v>
          </cell>
          <cell r="F203">
            <v>17900</v>
          </cell>
          <cell r="K203">
            <v>17900</v>
          </cell>
          <cell r="L203">
            <v>12521.797500000001</v>
          </cell>
          <cell r="M203">
            <v>922</v>
          </cell>
          <cell r="Q203">
            <v>13443.797500000001</v>
          </cell>
          <cell r="R203">
            <v>5378.2024999999994</v>
          </cell>
          <cell r="S203">
            <v>4456.2024999999994</v>
          </cell>
        </row>
        <row r="204">
          <cell r="C204" t="str">
            <v>Air Conditioner &amp; Stablizer</v>
          </cell>
          <cell r="D204" t="str">
            <v>1+1</v>
          </cell>
          <cell r="E204">
            <v>32660</v>
          </cell>
          <cell r="F204">
            <v>19100</v>
          </cell>
          <cell r="K204">
            <v>19100</v>
          </cell>
          <cell r="L204">
            <v>13361.247499999999</v>
          </cell>
          <cell r="M204">
            <v>984</v>
          </cell>
          <cell r="Q204">
            <v>14345.247499999999</v>
          </cell>
          <cell r="R204">
            <v>5738.7525000000005</v>
          </cell>
          <cell r="S204">
            <v>4754.7525000000005</v>
          </cell>
        </row>
        <row r="205">
          <cell r="C205" t="str">
            <v>Air Conditioner (CPD)</v>
          </cell>
          <cell r="F205">
            <v>4950</v>
          </cell>
          <cell r="K205">
            <v>4950</v>
          </cell>
          <cell r="L205">
            <v>4949.9975000000004</v>
          </cell>
          <cell r="Q205">
            <v>4949.9975000000004</v>
          </cell>
          <cell r="R205">
            <v>2.4999999995998223E-3</v>
          </cell>
          <cell r="S205">
            <v>2.4999999995998223E-3</v>
          </cell>
        </row>
        <row r="206">
          <cell r="C206" t="str">
            <v>Air Conditioner (CURADIA)</v>
          </cell>
          <cell r="D206">
            <v>1</v>
          </cell>
          <cell r="E206">
            <v>1986</v>
          </cell>
          <cell r="F206">
            <v>15180</v>
          </cell>
          <cell r="K206">
            <v>15180</v>
          </cell>
          <cell r="L206">
            <v>13329.547500000001</v>
          </cell>
          <cell r="M206">
            <v>782</v>
          </cell>
          <cell r="Q206">
            <v>14111.547500000001</v>
          </cell>
          <cell r="R206">
            <v>1850.4524999999994</v>
          </cell>
          <cell r="S206">
            <v>1068.4524999999994</v>
          </cell>
        </row>
        <row r="207">
          <cell r="C207" t="str">
            <v>A.C. Stablizer</v>
          </cell>
          <cell r="D207">
            <v>1</v>
          </cell>
          <cell r="E207">
            <v>33664</v>
          </cell>
          <cell r="F207">
            <v>1800</v>
          </cell>
          <cell r="K207">
            <v>1800</v>
          </cell>
          <cell r="L207">
            <v>1004.255</v>
          </cell>
          <cell r="M207">
            <v>93</v>
          </cell>
          <cell r="Q207">
            <v>1097.2550000000001</v>
          </cell>
          <cell r="R207">
            <v>795.745</v>
          </cell>
          <cell r="S207">
            <v>702.74499999999989</v>
          </cell>
        </row>
        <row r="208">
          <cell r="C208" t="str">
            <v>A.C. Stablizer</v>
          </cell>
          <cell r="D208">
            <v>1</v>
          </cell>
          <cell r="E208">
            <v>33390</v>
          </cell>
          <cell r="F208">
            <v>2000</v>
          </cell>
          <cell r="K208">
            <v>2000</v>
          </cell>
          <cell r="L208">
            <v>1193.08</v>
          </cell>
          <cell r="M208">
            <v>103</v>
          </cell>
          <cell r="Q208">
            <v>1296.08</v>
          </cell>
          <cell r="R208">
            <v>806.92000000000007</v>
          </cell>
          <cell r="S208">
            <v>703.92000000000007</v>
          </cell>
        </row>
        <row r="209">
          <cell r="C209" t="str">
            <v>A.C. Stablizer (CURADIA)</v>
          </cell>
          <cell r="D209">
            <v>1</v>
          </cell>
          <cell r="E209">
            <v>1986</v>
          </cell>
          <cell r="F209">
            <v>1281</v>
          </cell>
          <cell r="K209">
            <v>1281</v>
          </cell>
          <cell r="L209">
            <v>1124.8275000000001</v>
          </cell>
          <cell r="M209">
            <v>66</v>
          </cell>
          <cell r="Q209">
            <v>1190.8275000000001</v>
          </cell>
          <cell r="R209">
            <v>156.1724999999999</v>
          </cell>
          <cell r="S209">
            <v>90.1724999999999</v>
          </cell>
        </row>
        <row r="210">
          <cell r="C210" t="str">
            <v>A.C. Stablizer</v>
          </cell>
          <cell r="D210">
            <v>1</v>
          </cell>
          <cell r="E210">
            <v>34366</v>
          </cell>
          <cell r="F210">
            <v>2000</v>
          </cell>
          <cell r="K210">
            <v>2000</v>
          </cell>
          <cell r="L210">
            <v>2000</v>
          </cell>
          <cell r="Q210">
            <v>2000</v>
          </cell>
          <cell r="R210">
            <v>0</v>
          </cell>
          <cell r="S210">
            <v>0</v>
          </cell>
        </row>
        <row r="211">
          <cell r="C211" t="str">
            <v>Cooler</v>
          </cell>
          <cell r="D211">
            <v>1</v>
          </cell>
          <cell r="E211">
            <v>33420</v>
          </cell>
          <cell r="F211">
            <v>4500</v>
          </cell>
          <cell r="K211">
            <v>4500</v>
          </cell>
          <cell r="L211">
            <v>2665.1224999999999</v>
          </cell>
          <cell r="M211">
            <v>232</v>
          </cell>
          <cell r="Q211">
            <v>2897.1224999999999</v>
          </cell>
          <cell r="R211">
            <v>1834.8775000000001</v>
          </cell>
          <cell r="S211">
            <v>1602.8775000000001</v>
          </cell>
        </row>
        <row r="212">
          <cell r="C212" t="str">
            <v>Desert Cooler</v>
          </cell>
          <cell r="D212">
            <v>1</v>
          </cell>
          <cell r="E212">
            <v>33390</v>
          </cell>
          <cell r="F212">
            <v>6600</v>
          </cell>
          <cell r="K212">
            <v>6600</v>
          </cell>
          <cell r="L212">
            <v>3937.1750000000002</v>
          </cell>
          <cell r="M212">
            <v>340</v>
          </cell>
          <cell r="Q212">
            <v>4277.1750000000002</v>
          </cell>
          <cell r="R212">
            <v>2662.8249999999998</v>
          </cell>
          <cell r="S212">
            <v>2322.8249999999998</v>
          </cell>
        </row>
        <row r="213">
          <cell r="C213" t="str">
            <v>1.5 TONNE A.C. WITH STABILISER</v>
          </cell>
          <cell r="D213">
            <v>1</v>
          </cell>
          <cell r="E213">
            <v>1990</v>
          </cell>
          <cell r="F213">
            <v>19550</v>
          </cell>
          <cell r="K213">
            <v>19550</v>
          </cell>
          <cell r="L213">
            <v>12753.172500000001</v>
          </cell>
          <cell r="M213">
            <v>1007</v>
          </cell>
          <cell r="Q213">
            <v>13760.172500000001</v>
          </cell>
          <cell r="R213">
            <v>6796.8274999999994</v>
          </cell>
          <cell r="S213">
            <v>5789.8274999999994</v>
          </cell>
        </row>
        <row r="214">
          <cell r="C214" t="str">
            <v>1.5 TONNE A.C. WITH STABILISER</v>
          </cell>
          <cell r="D214">
            <v>1</v>
          </cell>
          <cell r="E214">
            <v>1991</v>
          </cell>
          <cell r="F214">
            <v>21300</v>
          </cell>
          <cell r="K214">
            <v>21300</v>
          </cell>
          <cell r="L214">
            <v>12706.342500000001</v>
          </cell>
          <cell r="M214">
            <v>1097</v>
          </cell>
          <cell r="Q214">
            <v>13803.342500000001</v>
          </cell>
          <cell r="R214">
            <v>8593.6574999999993</v>
          </cell>
          <cell r="S214">
            <v>7496.6574999999993</v>
          </cell>
        </row>
        <row r="215">
          <cell r="C215" t="str">
            <v>1.5 TONNE A.C. WITH STABILISER</v>
          </cell>
          <cell r="D215">
            <v>1</v>
          </cell>
          <cell r="E215">
            <v>1992</v>
          </cell>
          <cell r="F215">
            <v>26550</v>
          </cell>
          <cell r="K215">
            <v>26550</v>
          </cell>
          <cell r="L215">
            <v>14584.8575</v>
          </cell>
          <cell r="M215">
            <v>1367</v>
          </cell>
          <cell r="Q215">
            <v>15951.8575</v>
          </cell>
          <cell r="R215">
            <v>11965.1425</v>
          </cell>
          <cell r="S215">
            <v>10598.1425</v>
          </cell>
        </row>
        <row r="216">
          <cell r="C216" t="str">
            <v>AIR CONDITIONER</v>
          </cell>
          <cell r="D216">
            <v>9</v>
          </cell>
          <cell r="E216" t="str">
            <v>31.07.86</v>
          </cell>
          <cell r="F216">
            <v>130680</v>
          </cell>
          <cell r="K216">
            <v>130680</v>
          </cell>
          <cell r="L216">
            <v>114750.10730769232</v>
          </cell>
          <cell r="M216">
            <v>6730</v>
          </cell>
          <cell r="Q216">
            <v>121480.10730769232</v>
          </cell>
          <cell r="R216">
            <v>15929.89269230768</v>
          </cell>
          <cell r="S216">
            <v>9199.8926923076797</v>
          </cell>
        </row>
        <row r="217">
          <cell r="C217" t="str">
            <v>VOLTAGE STABILIZER</v>
          </cell>
          <cell r="D217">
            <v>9</v>
          </cell>
          <cell r="E217" t="str">
            <v>31.07.86</v>
          </cell>
          <cell r="F217">
            <v>10051.997692307692</v>
          </cell>
          <cell r="K217">
            <v>10051.997692307692</v>
          </cell>
          <cell r="L217">
            <v>8826.8988461538465</v>
          </cell>
          <cell r="M217">
            <v>518</v>
          </cell>
          <cell r="Q217">
            <v>9344.8988461538465</v>
          </cell>
          <cell r="R217">
            <v>1225.0988461538454</v>
          </cell>
          <cell r="S217">
            <v>707.09884615384544</v>
          </cell>
        </row>
        <row r="218">
          <cell r="C218" t="str">
            <v>INSTALATION COST</v>
          </cell>
          <cell r="E218" t="str">
            <v>31.07.86</v>
          </cell>
          <cell r="F218">
            <v>3900</v>
          </cell>
          <cell r="K218">
            <v>3900</v>
          </cell>
          <cell r="L218">
            <v>3424.5874999999996</v>
          </cell>
          <cell r="M218">
            <v>201</v>
          </cell>
          <cell r="Q218">
            <v>3625.5874999999996</v>
          </cell>
          <cell r="R218">
            <v>475.41250000000036</v>
          </cell>
          <cell r="S218">
            <v>274.41250000000036</v>
          </cell>
        </row>
        <row r="219">
          <cell r="C219" t="str">
            <v>WATER COOLER</v>
          </cell>
          <cell r="D219">
            <v>1</v>
          </cell>
          <cell r="E219" t="str">
            <v>31.12.86</v>
          </cell>
          <cell r="F219">
            <v>8848.4</v>
          </cell>
          <cell r="K219">
            <v>8848.4</v>
          </cell>
          <cell r="L219">
            <v>7769.7601000000004</v>
          </cell>
          <cell r="M219">
            <v>455.99</v>
          </cell>
          <cell r="Q219">
            <v>8225.7501000000011</v>
          </cell>
          <cell r="R219">
            <v>1078.6398999999992</v>
          </cell>
          <cell r="S219">
            <v>622.64989999999852</v>
          </cell>
        </row>
        <row r="220">
          <cell r="C220" t="str">
            <v>A.C. Stablizer</v>
          </cell>
          <cell r="D220">
            <v>1</v>
          </cell>
          <cell r="F220">
            <v>1425.26</v>
          </cell>
          <cell r="K220">
            <v>1425.26</v>
          </cell>
          <cell r="L220">
            <v>1425.25</v>
          </cell>
          <cell r="Q220">
            <v>1425.25</v>
          </cell>
          <cell r="R220">
            <v>9.9999999999909051E-3</v>
          </cell>
          <cell r="S220">
            <v>9.9999999999909051E-3</v>
          </cell>
        </row>
        <row r="222">
          <cell r="C222" t="str">
            <v>GODREJ REFRIGERATOR</v>
          </cell>
          <cell r="D222">
            <v>1</v>
          </cell>
          <cell r="E222" t="str">
            <v>31.12.82</v>
          </cell>
          <cell r="F222">
            <v>7250</v>
          </cell>
          <cell r="K222">
            <v>7250</v>
          </cell>
          <cell r="L222">
            <v>7249</v>
          </cell>
          <cell r="M222">
            <v>1</v>
          </cell>
          <cell r="Q222">
            <v>7250</v>
          </cell>
          <cell r="R222">
            <v>1</v>
          </cell>
          <cell r="S222">
            <v>0</v>
          </cell>
        </row>
        <row r="223">
          <cell r="C223" t="str">
            <v>75SE-WATER COOLER</v>
          </cell>
          <cell r="D223">
            <v>1</v>
          </cell>
          <cell r="E223" t="str">
            <v>27.03.92</v>
          </cell>
          <cell r="F223">
            <v>11279</v>
          </cell>
          <cell r="K223">
            <v>11279</v>
          </cell>
          <cell r="L223">
            <v>6293</v>
          </cell>
          <cell r="M223">
            <v>581</v>
          </cell>
          <cell r="Q223">
            <v>6874</v>
          </cell>
          <cell r="R223">
            <v>4986</v>
          </cell>
          <cell r="S223">
            <v>4405</v>
          </cell>
        </row>
        <row r="224">
          <cell r="C224" t="str">
            <v>75SE-WATER COOLER</v>
          </cell>
          <cell r="D224">
            <v>1</v>
          </cell>
          <cell r="E224" t="str">
            <v>20.11.87</v>
          </cell>
          <cell r="F224">
            <v>8481.2000000000007</v>
          </cell>
          <cell r="K224">
            <v>8481.2000000000007</v>
          </cell>
          <cell r="L224">
            <v>6672.7</v>
          </cell>
          <cell r="M224">
            <v>437</v>
          </cell>
          <cell r="Q224">
            <v>7109.7</v>
          </cell>
          <cell r="R224">
            <v>1808.5000000000009</v>
          </cell>
          <cell r="S224">
            <v>1371.5000000000009</v>
          </cell>
        </row>
        <row r="225">
          <cell r="C225" t="str">
            <v>REFRI-HRD FUR-RSM-STC</v>
          </cell>
          <cell r="D225">
            <v>1</v>
          </cell>
          <cell r="E225" t="str">
            <v>07.08.91</v>
          </cell>
          <cell r="F225">
            <v>10000</v>
          </cell>
          <cell r="K225">
            <v>10000</v>
          </cell>
          <cell r="L225">
            <v>5922.25</v>
          </cell>
          <cell r="M225">
            <v>515</v>
          </cell>
          <cell r="Q225">
            <v>6437.25</v>
          </cell>
          <cell r="R225">
            <v>4077.75</v>
          </cell>
          <cell r="S225">
            <v>3562.75</v>
          </cell>
        </row>
        <row r="226">
          <cell r="C226" t="str">
            <v>1.5 TON.AIR CON</v>
          </cell>
          <cell r="D226">
            <v>2</v>
          </cell>
          <cell r="E226" t="str">
            <v>31.02.82</v>
          </cell>
          <cell r="F226">
            <v>6930</v>
          </cell>
          <cell r="K226">
            <v>6930</v>
          </cell>
          <cell r="L226">
            <v>6929</v>
          </cell>
          <cell r="M226">
            <v>1</v>
          </cell>
          <cell r="Q226">
            <v>6930</v>
          </cell>
          <cell r="R226">
            <v>1</v>
          </cell>
          <cell r="S226">
            <v>0</v>
          </cell>
        </row>
        <row r="227">
          <cell r="C227" t="str">
            <v>1.5 TON.AIR CON</v>
          </cell>
          <cell r="D227">
            <v>2</v>
          </cell>
          <cell r="E227" t="str">
            <v>18.05.88</v>
          </cell>
          <cell r="F227">
            <v>44621</v>
          </cell>
          <cell r="K227">
            <v>44621</v>
          </cell>
          <cell r="L227">
            <v>32835.4</v>
          </cell>
          <cell r="M227">
            <v>2298</v>
          </cell>
          <cell r="Q227">
            <v>35133.4</v>
          </cell>
          <cell r="R227">
            <v>11785.599999999999</v>
          </cell>
          <cell r="S227">
            <v>9487.5999999999985</v>
          </cell>
        </row>
        <row r="228">
          <cell r="C228" t="str">
            <v>1.5 TON.AIR CON</v>
          </cell>
          <cell r="D228">
            <v>1</v>
          </cell>
          <cell r="E228" t="str">
            <v>31.03.95</v>
          </cell>
          <cell r="F228">
            <v>19500</v>
          </cell>
          <cell r="K228">
            <v>19500</v>
          </cell>
          <cell r="L228">
            <v>13555.44</v>
          </cell>
          <cell r="M228">
            <v>1004</v>
          </cell>
          <cell r="Q228">
            <v>14559.44</v>
          </cell>
          <cell r="R228">
            <v>5944.5599999999995</v>
          </cell>
          <cell r="S228">
            <v>4940.5599999999995</v>
          </cell>
        </row>
        <row r="229">
          <cell r="C229" t="str">
            <v>ROOM COOLER</v>
          </cell>
          <cell r="D229">
            <v>2</v>
          </cell>
          <cell r="E229" t="str">
            <v>06.05.82</v>
          </cell>
          <cell r="F229">
            <v>3960</v>
          </cell>
          <cell r="K229">
            <v>3960</v>
          </cell>
          <cell r="L229">
            <v>3960</v>
          </cell>
          <cell r="Q229">
            <v>3960</v>
          </cell>
          <cell r="R229">
            <v>0</v>
          </cell>
          <cell r="S229">
            <v>0</v>
          </cell>
        </row>
        <row r="230">
          <cell r="C230" t="str">
            <v>ROOM COOLER</v>
          </cell>
          <cell r="D230">
            <v>1</v>
          </cell>
          <cell r="E230" t="str">
            <v>24.07.87</v>
          </cell>
          <cell r="F230">
            <v>4374</v>
          </cell>
          <cell r="K230">
            <v>4374</v>
          </cell>
          <cell r="L230">
            <v>3534.26</v>
          </cell>
          <cell r="M230">
            <v>225</v>
          </cell>
          <cell r="Q230">
            <v>3759.26</v>
          </cell>
          <cell r="R230">
            <v>839.73999999999978</v>
          </cell>
          <cell r="S230">
            <v>614.73999999999978</v>
          </cell>
        </row>
        <row r="231">
          <cell r="C231" t="str">
            <v>GEM ROOMCOOLER</v>
          </cell>
          <cell r="D231">
            <v>1</v>
          </cell>
          <cell r="E231" t="str">
            <v>26.04.83</v>
          </cell>
          <cell r="F231">
            <v>2560.36</v>
          </cell>
          <cell r="K231">
            <v>2560.36</v>
          </cell>
          <cell r="L231">
            <v>2559.36</v>
          </cell>
          <cell r="M231">
            <v>1</v>
          </cell>
          <cell r="Q231">
            <v>2560.36</v>
          </cell>
          <cell r="R231">
            <v>1</v>
          </cell>
          <cell r="S231">
            <v>0</v>
          </cell>
        </row>
        <row r="232">
          <cell r="C232" t="str">
            <v>1.5T.A.C WITH STBLSR</v>
          </cell>
          <cell r="D232">
            <v>10</v>
          </cell>
          <cell r="E232" t="str">
            <v>27.07.90</v>
          </cell>
          <cell r="F232">
            <v>202960</v>
          </cell>
          <cell r="K232">
            <v>202960</v>
          </cell>
          <cell r="L232">
            <v>125933.53</v>
          </cell>
          <cell r="M232">
            <v>10452</v>
          </cell>
          <cell r="Q232">
            <v>136385.53</v>
          </cell>
          <cell r="R232">
            <v>77026.47</v>
          </cell>
          <cell r="S232">
            <v>66574.47</v>
          </cell>
        </row>
        <row r="233">
          <cell r="C233" t="str">
            <v>A.C WITH STBLSR</v>
          </cell>
          <cell r="D233">
            <v>5</v>
          </cell>
          <cell r="E233" t="str">
            <v>18.12.92</v>
          </cell>
          <cell r="F233">
            <v>130000</v>
          </cell>
          <cell r="K233">
            <v>130000</v>
          </cell>
          <cell r="L233">
            <v>65276.25</v>
          </cell>
          <cell r="M233">
            <v>6695</v>
          </cell>
          <cell r="Q233">
            <v>71971.25</v>
          </cell>
          <cell r="R233">
            <v>64723.75</v>
          </cell>
          <cell r="S233">
            <v>58028.75</v>
          </cell>
        </row>
        <row r="234">
          <cell r="C234" t="str">
            <v>1.5 TON AC WITH STBLISER</v>
          </cell>
          <cell r="D234">
            <v>3</v>
          </cell>
          <cell r="E234" t="str">
            <v>31.03.93</v>
          </cell>
          <cell r="F234">
            <v>78000</v>
          </cell>
          <cell r="K234">
            <v>78000</v>
          </cell>
          <cell r="L234">
            <v>38161.75</v>
          </cell>
          <cell r="M234">
            <v>4017</v>
          </cell>
          <cell r="Q234">
            <v>42178.75</v>
          </cell>
          <cell r="R234">
            <v>39838.25</v>
          </cell>
          <cell r="S234">
            <v>35821.25</v>
          </cell>
        </row>
        <row r="236">
          <cell r="C236" t="str">
            <v>1.5 T 4KVA STABLSR-3 NOS</v>
          </cell>
          <cell r="E236">
            <v>33324</v>
          </cell>
          <cell r="F236">
            <v>81000</v>
          </cell>
          <cell r="K236">
            <v>81000</v>
          </cell>
          <cell r="L236">
            <v>49368</v>
          </cell>
          <cell r="M236">
            <v>4172</v>
          </cell>
          <cell r="Q236">
            <v>53540</v>
          </cell>
          <cell r="R236">
            <v>31632</v>
          </cell>
          <cell r="S236">
            <v>27460</v>
          </cell>
        </row>
        <row r="237">
          <cell r="C237" t="str">
            <v>DOUBLE DOOR COOLING CABINET</v>
          </cell>
          <cell r="E237">
            <v>32964</v>
          </cell>
          <cell r="F237">
            <v>27672.25</v>
          </cell>
          <cell r="K237">
            <v>27672.25</v>
          </cell>
          <cell r="L237">
            <v>18169.490000000002</v>
          </cell>
          <cell r="M237">
            <v>1425</v>
          </cell>
          <cell r="Q237">
            <v>19594.490000000002</v>
          </cell>
          <cell r="R237">
            <v>9502.7599999999984</v>
          </cell>
          <cell r="S237">
            <v>8077.7599999999984</v>
          </cell>
        </row>
        <row r="238">
          <cell r="C238" t="str">
            <v>BLUE STAR WALKINCOOLER</v>
          </cell>
          <cell r="E238">
            <v>32952</v>
          </cell>
          <cell r="F238">
            <v>177528</v>
          </cell>
          <cell r="K238">
            <v>177528</v>
          </cell>
          <cell r="L238">
            <v>116572.38</v>
          </cell>
          <cell r="M238">
            <v>9143</v>
          </cell>
          <cell r="Q238">
            <v>125715.38</v>
          </cell>
          <cell r="R238">
            <v>60955.619999999995</v>
          </cell>
          <cell r="S238">
            <v>51812.619999999995</v>
          </cell>
        </row>
        <row r="239">
          <cell r="C239" t="str">
            <v>ONE AC 1.5TON FROM INDORE</v>
          </cell>
          <cell r="E239">
            <v>33238</v>
          </cell>
          <cell r="F239">
            <v>20400</v>
          </cell>
          <cell r="K239">
            <v>20400</v>
          </cell>
          <cell r="L239">
            <v>12696.2</v>
          </cell>
          <cell r="M239">
            <v>1051</v>
          </cell>
          <cell r="Q239">
            <v>13747.2</v>
          </cell>
          <cell r="R239">
            <v>7703.7999999999993</v>
          </cell>
          <cell r="S239">
            <v>6652.7999999999993</v>
          </cell>
        </row>
        <row r="240">
          <cell r="C240" t="str">
            <v>1.5T4KVA STABLSR-2NOS</v>
          </cell>
          <cell r="E240">
            <v>33324</v>
          </cell>
          <cell r="F240">
            <v>54000</v>
          </cell>
          <cell r="K240">
            <v>54000</v>
          </cell>
          <cell r="L240">
            <v>32909</v>
          </cell>
          <cell r="M240">
            <v>2781</v>
          </cell>
          <cell r="Q240">
            <v>35690</v>
          </cell>
          <cell r="R240">
            <v>21091</v>
          </cell>
          <cell r="S240">
            <v>18310</v>
          </cell>
        </row>
        <row r="241">
          <cell r="C241" t="str">
            <v>WALKIN COOLER</v>
          </cell>
          <cell r="E241">
            <v>33694</v>
          </cell>
          <cell r="F241">
            <v>163878</v>
          </cell>
          <cell r="K241">
            <v>163878</v>
          </cell>
          <cell r="L241">
            <v>91314</v>
          </cell>
          <cell r="M241">
            <v>8440</v>
          </cell>
          <cell r="Q241">
            <v>99754</v>
          </cell>
          <cell r="R241">
            <v>72564</v>
          </cell>
          <cell r="S241">
            <v>64124</v>
          </cell>
        </row>
        <row r="242">
          <cell r="C242" t="str">
            <v>BLUE STAR WALKIN COOLER</v>
          </cell>
          <cell r="E242">
            <v>32952</v>
          </cell>
          <cell r="F242">
            <v>174778</v>
          </cell>
          <cell r="K242">
            <v>174778</v>
          </cell>
          <cell r="L242">
            <v>114763</v>
          </cell>
          <cell r="M242">
            <v>9001</v>
          </cell>
          <cell r="Q242">
            <v>123764</v>
          </cell>
          <cell r="R242">
            <v>60015</v>
          </cell>
          <cell r="S242">
            <v>51014</v>
          </cell>
        </row>
        <row r="243">
          <cell r="C243" t="str">
            <v>A/C 1NO 2.5TONS FROM INDORE</v>
          </cell>
          <cell r="E243">
            <v>32142</v>
          </cell>
          <cell r="F243">
            <v>21200</v>
          </cell>
          <cell r="K243">
            <v>21200</v>
          </cell>
          <cell r="L243">
            <v>18899</v>
          </cell>
          <cell r="M243">
            <v>1092</v>
          </cell>
          <cell r="Q243">
            <v>19991</v>
          </cell>
          <cell r="R243">
            <v>2301</v>
          </cell>
          <cell r="S243">
            <v>1209</v>
          </cell>
        </row>
        <row r="244">
          <cell r="C244" t="str">
            <v>AIRCONDITIONER MODEL-A300</v>
          </cell>
          <cell r="E244">
            <v>27856</v>
          </cell>
          <cell r="F244">
            <v>8609.5</v>
          </cell>
          <cell r="K244">
            <v>8609.5</v>
          </cell>
          <cell r="L244">
            <v>8609.5</v>
          </cell>
          <cell r="Q244">
            <v>8609.5</v>
          </cell>
          <cell r="R244">
            <v>0</v>
          </cell>
          <cell r="S244">
            <v>0</v>
          </cell>
        </row>
        <row r="245">
          <cell r="C245" t="str">
            <v>AIRCONDITIONERWINDOW</v>
          </cell>
          <cell r="E245">
            <v>30068</v>
          </cell>
          <cell r="F245">
            <v>13860</v>
          </cell>
          <cell r="K245">
            <v>13860</v>
          </cell>
          <cell r="L245">
            <v>13860</v>
          </cell>
          <cell r="Q245">
            <v>13860</v>
          </cell>
          <cell r="R245">
            <v>0</v>
          </cell>
          <cell r="S245">
            <v>0</v>
          </cell>
        </row>
        <row r="246">
          <cell r="C246" t="str">
            <v>VOLTAGESTABILIZERS</v>
          </cell>
          <cell r="E246">
            <v>30825</v>
          </cell>
          <cell r="F246">
            <v>722.5</v>
          </cell>
          <cell r="K246">
            <v>722.5</v>
          </cell>
          <cell r="L246">
            <v>707.5</v>
          </cell>
          <cell r="M246">
            <v>15</v>
          </cell>
          <cell r="Q246">
            <v>722.5</v>
          </cell>
          <cell r="R246">
            <v>15</v>
          </cell>
          <cell r="S246">
            <v>0</v>
          </cell>
        </row>
        <row r="247">
          <cell r="C247" t="str">
            <v>WATER COOLER</v>
          </cell>
          <cell r="E247">
            <v>29829</v>
          </cell>
          <cell r="F247">
            <v>5768</v>
          </cell>
          <cell r="K247">
            <v>5768</v>
          </cell>
          <cell r="L247">
            <v>5768</v>
          </cell>
          <cell r="M247">
            <v>0</v>
          </cell>
          <cell r="Q247">
            <v>5768</v>
          </cell>
          <cell r="R247">
            <v>0</v>
          </cell>
          <cell r="S247">
            <v>0</v>
          </cell>
        </row>
        <row r="248">
          <cell r="C248" t="str">
            <v>ROOMCOOLER &amp; REVOLING STAND 2NOS</v>
          </cell>
          <cell r="E248">
            <v>30069</v>
          </cell>
          <cell r="F248">
            <v>3960</v>
          </cell>
          <cell r="K248">
            <v>3960</v>
          </cell>
          <cell r="L248">
            <v>3960</v>
          </cell>
          <cell r="Q248">
            <v>3960</v>
          </cell>
          <cell r="R248">
            <v>0</v>
          </cell>
          <cell r="S248">
            <v>0</v>
          </cell>
        </row>
        <row r="249">
          <cell r="C249" t="str">
            <v>ROOMCOOLER UNIVERSAL</v>
          </cell>
          <cell r="E249">
            <v>30379</v>
          </cell>
          <cell r="F249">
            <v>2850</v>
          </cell>
          <cell r="K249">
            <v>2850</v>
          </cell>
          <cell r="L249">
            <v>2849</v>
          </cell>
          <cell r="M249">
            <v>1</v>
          </cell>
          <cell r="Q249">
            <v>2850</v>
          </cell>
          <cell r="R249">
            <v>1</v>
          </cell>
          <cell r="S249">
            <v>0</v>
          </cell>
        </row>
        <row r="250">
          <cell r="C250" t="str">
            <v>DESERTCOOLER</v>
          </cell>
          <cell r="E250">
            <v>30844</v>
          </cell>
          <cell r="F250">
            <v>2700</v>
          </cell>
          <cell r="K250">
            <v>2700</v>
          </cell>
          <cell r="L250">
            <v>2657</v>
          </cell>
          <cell r="M250">
            <v>43</v>
          </cell>
          <cell r="Q250">
            <v>2700</v>
          </cell>
          <cell r="R250">
            <v>43</v>
          </cell>
          <cell r="S250">
            <v>0</v>
          </cell>
        </row>
        <row r="251">
          <cell r="C251" t="str">
            <v>AIRCONDITON 1.5TON &amp; STAB 2NOS</v>
          </cell>
          <cell r="E251">
            <v>33324</v>
          </cell>
          <cell r="F251">
            <v>54000</v>
          </cell>
          <cell r="K251">
            <v>54000</v>
          </cell>
          <cell r="L251">
            <v>32909</v>
          </cell>
          <cell r="M251">
            <v>2781</v>
          </cell>
          <cell r="Q251">
            <v>35690</v>
          </cell>
          <cell r="R251">
            <v>21091</v>
          </cell>
          <cell r="S251">
            <v>18310</v>
          </cell>
        </row>
        <row r="252">
          <cell r="C252" t="str">
            <v>BLUESTAR WALKINCOOLER</v>
          </cell>
          <cell r="E252">
            <v>34239</v>
          </cell>
          <cell r="F252">
            <v>173314.52</v>
          </cell>
          <cell r="K252">
            <v>173314.52</v>
          </cell>
          <cell r="L252">
            <v>83308.52</v>
          </cell>
          <cell r="M252">
            <v>8926</v>
          </cell>
          <cell r="Q252">
            <v>92234.52</v>
          </cell>
          <cell r="R252">
            <v>90005.999999999985</v>
          </cell>
          <cell r="S252">
            <v>81079.999999999985</v>
          </cell>
        </row>
        <row r="253">
          <cell r="C253" t="str">
            <v>SHRIRAM USHAWATERCOOLER</v>
          </cell>
          <cell r="E253">
            <v>34239</v>
          </cell>
          <cell r="F253">
            <v>14685</v>
          </cell>
          <cell r="K253">
            <v>14685</v>
          </cell>
          <cell r="L253">
            <v>6930</v>
          </cell>
          <cell r="M253">
            <v>756</v>
          </cell>
          <cell r="Q253">
            <v>7686</v>
          </cell>
          <cell r="R253">
            <v>7755</v>
          </cell>
          <cell r="S253">
            <v>6999</v>
          </cell>
        </row>
        <row r="254">
          <cell r="C254" t="str">
            <v>BLUE STAR WALKIN COOLER</v>
          </cell>
          <cell r="E254">
            <v>33820</v>
          </cell>
          <cell r="F254">
            <v>166421</v>
          </cell>
          <cell r="K254">
            <v>166421</v>
          </cell>
          <cell r="L254">
            <v>89279</v>
          </cell>
          <cell r="M254">
            <v>8571</v>
          </cell>
          <cell r="Q254">
            <v>97850</v>
          </cell>
          <cell r="R254">
            <v>77142</v>
          </cell>
          <cell r="S254">
            <v>68571</v>
          </cell>
        </row>
        <row r="255">
          <cell r="C255" t="str">
            <v xml:space="preserve">REFRIGERATOR </v>
          </cell>
          <cell r="E255">
            <v>30259</v>
          </cell>
          <cell r="F255">
            <v>7859</v>
          </cell>
          <cell r="K255">
            <v>7859</v>
          </cell>
          <cell r="L255">
            <v>7859</v>
          </cell>
          <cell r="Q255">
            <v>7859</v>
          </cell>
          <cell r="R255">
            <v>0</v>
          </cell>
          <cell r="S255">
            <v>0</v>
          </cell>
        </row>
        <row r="256">
          <cell r="C256" t="str">
            <v>AIRCONDITIONER INCLD TRANSFORMER</v>
          </cell>
          <cell r="E256">
            <v>30096</v>
          </cell>
          <cell r="F256">
            <v>5610</v>
          </cell>
          <cell r="K256">
            <v>5610</v>
          </cell>
          <cell r="L256">
            <v>5610</v>
          </cell>
          <cell r="Q256">
            <v>5610</v>
          </cell>
          <cell r="R256">
            <v>0</v>
          </cell>
          <cell r="S256">
            <v>0</v>
          </cell>
        </row>
        <row r="257">
          <cell r="C257" t="str">
            <v>VOLTAS SUPER ROOM A/C</v>
          </cell>
          <cell r="E257">
            <v>28338</v>
          </cell>
          <cell r="F257">
            <v>10490</v>
          </cell>
          <cell r="K257">
            <v>10490</v>
          </cell>
          <cell r="L257">
            <v>10490</v>
          </cell>
          <cell r="Q257">
            <v>10490</v>
          </cell>
          <cell r="R257">
            <v>0</v>
          </cell>
          <cell r="S257">
            <v>0</v>
          </cell>
        </row>
        <row r="258">
          <cell r="C258" t="str">
            <v>VOLTAS SUPER ROOM A/C</v>
          </cell>
          <cell r="E258">
            <v>32297</v>
          </cell>
          <cell r="F258">
            <v>20500</v>
          </cell>
          <cell r="K258">
            <v>20500</v>
          </cell>
          <cell r="L258">
            <v>15400</v>
          </cell>
          <cell r="M258">
            <v>1056</v>
          </cell>
          <cell r="Q258">
            <v>16456</v>
          </cell>
          <cell r="R258">
            <v>5100</v>
          </cell>
          <cell r="S258">
            <v>4044</v>
          </cell>
        </row>
        <row r="259">
          <cell r="C259" t="str">
            <v>USHA WATER COOLER</v>
          </cell>
          <cell r="E259">
            <v>31163</v>
          </cell>
          <cell r="F259">
            <v>6977</v>
          </cell>
          <cell r="K259">
            <v>6977</v>
          </cell>
          <cell r="L259">
            <v>6489</v>
          </cell>
          <cell r="M259">
            <v>359</v>
          </cell>
          <cell r="Q259">
            <v>6848</v>
          </cell>
          <cell r="R259">
            <v>488</v>
          </cell>
          <cell r="S259">
            <v>129</v>
          </cell>
        </row>
        <row r="260">
          <cell r="C260" t="str">
            <v>AUTOMATIC VOLTAGE STABLISER</v>
          </cell>
          <cell r="E260">
            <v>32378</v>
          </cell>
          <cell r="F260">
            <v>1650</v>
          </cell>
          <cell r="K260">
            <v>1650</v>
          </cell>
          <cell r="L260">
            <v>1218</v>
          </cell>
          <cell r="M260">
            <v>85</v>
          </cell>
          <cell r="Q260">
            <v>1303</v>
          </cell>
          <cell r="R260">
            <v>432</v>
          </cell>
          <cell r="S260">
            <v>347</v>
          </cell>
        </row>
        <row r="261">
          <cell r="C261" t="str">
            <v>ELECTRON 1 LTR ROOM A/C WITH GRILL</v>
          </cell>
          <cell r="E261">
            <v>32658</v>
          </cell>
          <cell r="F261">
            <v>36000</v>
          </cell>
          <cell r="K261">
            <v>36000</v>
          </cell>
          <cell r="L261">
            <v>25339</v>
          </cell>
          <cell r="M261">
            <v>1854</v>
          </cell>
          <cell r="Q261">
            <v>27193</v>
          </cell>
          <cell r="R261">
            <v>10661</v>
          </cell>
          <cell r="S261">
            <v>8807</v>
          </cell>
        </row>
        <row r="262">
          <cell r="C262" t="str">
            <v>AUTOMATIC VOLTAGE STABLISER</v>
          </cell>
          <cell r="E262">
            <v>32658</v>
          </cell>
          <cell r="F262">
            <v>3300</v>
          </cell>
          <cell r="K262">
            <v>3300</v>
          </cell>
          <cell r="L262">
            <v>2337</v>
          </cell>
          <cell r="M262">
            <v>170</v>
          </cell>
          <cell r="Q262">
            <v>2507</v>
          </cell>
          <cell r="R262">
            <v>963</v>
          </cell>
          <cell r="S262">
            <v>793</v>
          </cell>
        </row>
        <row r="263">
          <cell r="C263" t="str">
            <v>AUTOMATIC VOLTAGE STABILISER</v>
          </cell>
          <cell r="E263">
            <v>33143</v>
          </cell>
          <cell r="F263">
            <v>113500</v>
          </cell>
          <cell r="K263">
            <v>113500</v>
          </cell>
          <cell r="L263">
            <v>72089</v>
          </cell>
          <cell r="M263">
            <v>5845</v>
          </cell>
          <cell r="Q263">
            <v>77934</v>
          </cell>
          <cell r="R263">
            <v>41411</v>
          </cell>
          <cell r="S263">
            <v>35566</v>
          </cell>
        </row>
        <row r="264">
          <cell r="C264" t="str">
            <v>WITH4KVA.STAB</v>
          </cell>
          <cell r="D264">
            <v>2</v>
          </cell>
          <cell r="E264">
            <v>33324</v>
          </cell>
          <cell r="F264">
            <v>54000</v>
          </cell>
          <cell r="K264">
            <v>54000</v>
          </cell>
          <cell r="L264">
            <v>32909</v>
          </cell>
          <cell r="M264">
            <v>2781</v>
          </cell>
          <cell r="Q264">
            <v>35690</v>
          </cell>
          <cell r="R264">
            <v>21091</v>
          </cell>
          <cell r="S264">
            <v>18310</v>
          </cell>
        </row>
        <row r="266">
          <cell r="C266" t="str">
            <v>A C MACHINE .</v>
          </cell>
          <cell r="D266">
            <v>5</v>
          </cell>
          <cell r="E266" t="str">
            <v>31.12.86</v>
          </cell>
          <cell r="F266">
            <v>50901</v>
          </cell>
          <cell r="K266">
            <v>50901</v>
          </cell>
          <cell r="L266">
            <v>49249.46</v>
          </cell>
          <cell r="M266">
            <v>1651.54</v>
          </cell>
          <cell r="Q266">
            <v>50901</v>
          </cell>
          <cell r="R266">
            <v>1651.5400000000009</v>
          </cell>
          <cell r="S266">
            <v>0</v>
          </cell>
        </row>
        <row r="267">
          <cell r="C267" t="str">
            <v xml:space="preserve">REFRIGERATOR </v>
          </cell>
          <cell r="D267">
            <v>1</v>
          </cell>
          <cell r="E267" t="str">
            <v>23.09.82</v>
          </cell>
          <cell r="F267">
            <v>8300</v>
          </cell>
          <cell r="K267">
            <v>8300</v>
          </cell>
          <cell r="L267">
            <v>8299</v>
          </cell>
          <cell r="M267">
            <v>1</v>
          </cell>
          <cell r="Q267">
            <v>8300</v>
          </cell>
          <cell r="R267">
            <v>1</v>
          </cell>
          <cell r="S267">
            <v>0</v>
          </cell>
        </row>
        <row r="268">
          <cell r="C268" t="str">
            <v>A.C MACHINE .</v>
          </cell>
          <cell r="D268">
            <v>5</v>
          </cell>
          <cell r="E268" t="str">
            <v>01.09.90</v>
          </cell>
          <cell r="F268">
            <v>122858.5</v>
          </cell>
          <cell r="K268">
            <v>122858.5</v>
          </cell>
          <cell r="L268">
            <v>78034.17</v>
          </cell>
          <cell r="M268">
            <v>6327</v>
          </cell>
          <cell r="Q268">
            <v>84361.17</v>
          </cell>
          <cell r="R268">
            <v>44824.33</v>
          </cell>
          <cell r="S268">
            <v>38497.33</v>
          </cell>
        </row>
        <row r="269">
          <cell r="C269" t="str">
            <v>VOLT STABILIZERS</v>
          </cell>
          <cell r="D269">
            <v>5</v>
          </cell>
          <cell r="E269" t="str">
            <v>01.11.90</v>
          </cell>
          <cell r="F269">
            <v>6050</v>
          </cell>
          <cell r="K269">
            <v>6050</v>
          </cell>
          <cell r="L269">
            <v>2624.73</v>
          </cell>
          <cell r="M269">
            <v>312</v>
          </cell>
          <cell r="Q269">
            <v>2936.73</v>
          </cell>
          <cell r="R269">
            <v>3425.27</v>
          </cell>
          <cell r="S269">
            <v>3113.27</v>
          </cell>
        </row>
        <row r="270">
          <cell r="C270" t="str">
            <v xml:space="preserve">COLLING CABINETS </v>
          </cell>
          <cell r="D270">
            <v>1</v>
          </cell>
          <cell r="E270" t="str">
            <v>01.04.91</v>
          </cell>
          <cell r="F270">
            <v>26247</v>
          </cell>
          <cell r="K270">
            <v>26247</v>
          </cell>
          <cell r="L270">
            <v>15884.11</v>
          </cell>
          <cell r="M270">
            <v>1352</v>
          </cell>
          <cell r="Q270">
            <v>17236.11</v>
          </cell>
          <cell r="R270">
            <v>10362.89</v>
          </cell>
          <cell r="S270">
            <v>9010.89</v>
          </cell>
        </row>
        <row r="271">
          <cell r="C271" t="str">
            <v xml:space="preserve">A C MACHINE </v>
          </cell>
          <cell r="D271">
            <v>1</v>
          </cell>
          <cell r="E271" t="str">
            <v>18.03.93</v>
          </cell>
          <cell r="F271">
            <v>32500</v>
          </cell>
          <cell r="K271">
            <v>32500</v>
          </cell>
          <cell r="L271">
            <v>16458.810000000001</v>
          </cell>
          <cell r="M271">
            <v>1674</v>
          </cell>
          <cell r="Q271">
            <v>18132.810000000001</v>
          </cell>
          <cell r="R271">
            <v>16041.189999999999</v>
          </cell>
          <cell r="S271">
            <v>14367.189999999999</v>
          </cell>
        </row>
        <row r="272">
          <cell r="C272" t="str">
            <v xml:space="preserve">VOLTAGE STBL </v>
          </cell>
          <cell r="D272">
            <v>1</v>
          </cell>
          <cell r="E272" t="str">
            <v>18.03.93</v>
          </cell>
          <cell r="F272">
            <v>2750</v>
          </cell>
          <cell r="K272">
            <v>2750</v>
          </cell>
          <cell r="L272">
            <v>1393.99</v>
          </cell>
          <cell r="M272">
            <v>142</v>
          </cell>
          <cell r="Q272">
            <v>1535.99</v>
          </cell>
          <cell r="R272">
            <v>1356.01</v>
          </cell>
          <cell r="S272">
            <v>1214.01</v>
          </cell>
        </row>
        <row r="273">
          <cell r="C273" t="str">
            <v>WINDOW AC ONE NO.</v>
          </cell>
          <cell r="E273" t="str">
            <v>01/06/92</v>
          </cell>
          <cell r="F273">
            <v>5000</v>
          </cell>
          <cell r="K273">
            <v>5000</v>
          </cell>
          <cell r="L273">
            <v>2726.63</v>
          </cell>
          <cell r="M273">
            <v>258</v>
          </cell>
          <cell r="Q273">
            <v>2984.63</v>
          </cell>
          <cell r="R273">
            <v>2273.37</v>
          </cell>
          <cell r="S273">
            <v>2015.37</v>
          </cell>
        </row>
        <row r="274">
          <cell r="C274" t="str">
            <v>REFRIGERATOR ONE NO.</v>
          </cell>
          <cell r="E274" t="str">
            <v>04/02/82</v>
          </cell>
          <cell r="F274">
            <v>7501.66</v>
          </cell>
          <cell r="K274">
            <v>7501.66</v>
          </cell>
          <cell r="L274">
            <v>7500.66</v>
          </cell>
          <cell r="M274">
            <v>1</v>
          </cell>
          <cell r="Q274">
            <v>7501.66</v>
          </cell>
          <cell r="R274">
            <v>1</v>
          </cell>
          <cell r="S274">
            <v>0</v>
          </cell>
        </row>
        <row r="275">
          <cell r="C275" t="str">
            <v>REFRIGERATOR ONE NO.</v>
          </cell>
          <cell r="E275" t="str">
            <v>05/06/91</v>
          </cell>
          <cell r="F275">
            <v>10000</v>
          </cell>
          <cell r="K275">
            <v>10000</v>
          </cell>
          <cell r="L275">
            <v>5966.25</v>
          </cell>
          <cell r="M275">
            <v>515</v>
          </cell>
          <cell r="Q275">
            <v>6481.25</v>
          </cell>
          <cell r="R275">
            <v>4033.75</v>
          </cell>
          <cell r="S275">
            <v>3518.75</v>
          </cell>
        </row>
        <row r="276">
          <cell r="C276" t="str">
            <v>1 NO. WALK IN COOLER MODEL PC 750 B - PUNE</v>
          </cell>
          <cell r="E276" t="str">
            <v>06.06.96</v>
          </cell>
          <cell r="F276">
            <v>173314.52</v>
          </cell>
          <cell r="K276">
            <v>173314.52</v>
          </cell>
          <cell r="L276">
            <v>82119.47</v>
          </cell>
          <cell r="M276">
            <v>8926</v>
          </cell>
          <cell r="Q276">
            <v>91045.47</v>
          </cell>
          <cell r="R276">
            <v>91195.049999999988</v>
          </cell>
          <cell r="S276">
            <v>82269.049999999988</v>
          </cell>
        </row>
        <row r="277">
          <cell r="C277" t="str">
            <v>AIR CURTAIN TWO NOS</v>
          </cell>
          <cell r="E277" t="str">
            <v>12/11/93</v>
          </cell>
          <cell r="F277">
            <v>31000</v>
          </cell>
          <cell r="K277">
            <v>31000</v>
          </cell>
          <cell r="L277">
            <v>14633.88</v>
          </cell>
          <cell r="M277">
            <v>1597</v>
          </cell>
          <cell r="Q277">
            <v>16230.88</v>
          </cell>
          <cell r="R277">
            <v>16366.12</v>
          </cell>
          <cell r="S277">
            <v>14769.12</v>
          </cell>
        </row>
        <row r="278">
          <cell r="C278" t="str">
            <v>WINDOW AC ONE NO.</v>
          </cell>
          <cell r="E278" t="str">
            <v>15/03/78</v>
          </cell>
          <cell r="F278">
            <v>12363.25</v>
          </cell>
          <cell r="K278">
            <v>12363.25</v>
          </cell>
          <cell r="L278">
            <v>12362.25</v>
          </cell>
          <cell r="M278">
            <v>1</v>
          </cell>
          <cell r="Q278">
            <v>12363.25</v>
          </cell>
          <cell r="R278">
            <v>1</v>
          </cell>
          <cell r="S278">
            <v>0</v>
          </cell>
        </row>
        <row r="279">
          <cell r="C279" t="str">
            <v>WINDOW AC TEN NOS</v>
          </cell>
          <cell r="E279" t="str">
            <v>17/11/90</v>
          </cell>
          <cell r="F279">
            <v>258128.72</v>
          </cell>
          <cell r="K279">
            <v>258128.72</v>
          </cell>
          <cell r="L279">
            <v>161741.35</v>
          </cell>
          <cell r="M279">
            <v>13294</v>
          </cell>
          <cell r="Q279">
            <v>175035.35</v>
          </cell>
          <cell r="R279">
            <v>96387.37</v>
          </cell>
          <cell r="S279">
            <v>83093.37</v>
          </cell>
        </row>
        <row r="280">
          <cell r="C280" t="str">
            <v>WINDOW AC ONE NO.</v>
          </cell>
          <cell r="E280" t="str">
            <v>19/07/76</v>
          </cell>
          <cell r="F280">
            <v>7672.5</v>
          </cell>
          <cell r="K280">
            <v>7672.5</v>
          </cell>
          <cell r="L280">
            <v>7671.5</v>
          </cell>
          <cell r="M280">
            <v>1</v>
          </cell>
          <cell r="Q280">
            <v>7672.5</v>
          </cell>
          <cell r="R280">
            <v>1</v>
          </cell>
          <cell r="S280">
            <v>0</v>
          </cell>
        </row>
        <row r="281">
          <cell r="C281" t="str">
            <v>WINDOW AC ONE NO.</v>
          </cell>
          <cell r="E281" t="str">
            <v>25/07/88</v>
          </cell>
          <cell r="F281">
            <v>25071.65</v>
          </cell>
          <cell r="K281">
            <v>25071.65</v>
          </cell>
          <cell r="L281">
            <v>18722.37</v>
          </cell>
          <cell r="M281">
            <v>1291</v>
          </cell>
          <cell r="Q281">
            <v>20013.37</v>
          </cell>
          <cell r="R281">
            <v>6349.2800000000025</v>
          </cell>
          <cell r="S281">
            <v>5058.2800000000025</v>
          </cell>
        </row>
        <row r="282">
          <cell r="C282" t="str">
            <v>WINDOW AC THREE NO.</v>
          </cell>
          <cell r="E282" t="str">
            <v>25/07/88</v>
          </cell>
          <cell r="F282">
            <v>233074</v>
          </cell>
          <cell r="K282">
            <v>233074</v>
          </cell>
          <cell r="L282">
            <v>227010</v>
          </cell>
          <cell r="M282">
            <v>6064</v>
          </cell>
          <cell r="Q282">
            <v>233074</v>
          </cell>
          <cell r="R282">
            <v>6064</v>
          </cell>
          <cell r="S282">
            <v>0</v>
          </cell>
        </row>
        <row r="283">
          <cell r="C283" t="str">
            <v>WINDOW AC SIX NOS.</v>
          </cell>
          <cell r="E283" t="str">
            <v>30.10.90</v>
          </cell>
          <cell r="F283">
            <v>154877.28</v>
          </cell>
          <cell r="K283">
            <v>154877.28</v>
          </cell>
          <cell r="L283">
            <v>97707.67</v>
          </cell>
          <cell r="M283">
            <v>7976</v>
          </cell>
          <cell r="Q283">
            <v>105683.67</v>
          </cell>
          <cell r="R283">
            <v>57169.61</v>
          </cell>
          <cell r="S283">
            <v>49193.61</v>
          </cell>
        </row>
        <row r="284">
          <cell r="C284" t="str">
            <v>SPLIT UNIT ONE NO.</v>
          </cell>
          <cell r="E284" t="str">
            <v>30/09/91</v>
          </cell>
          <cell r="F284">
            <v>123000</v>
          </cell>
          <cell r="K284">
            <v>123000</v>
          </cell>
          <cell r="L284">
            <v>74960.38</v>
          </cell>
          <cell r="M284">
            <v>6335</v>
          </cell>
          <cell r="Q284">
            <v>81295.38</v>
          </cell>
          <cell r="R284">
            <v>48039.619999999995</v>
          </cell>
          <cell r="S284">
            <v>41704.619999999995</v>
          </cell>
        </row>
        <row r="285">
          <cell r="C285" t="str">
            <v>WALK IN COOLER ONE NO.</v>
          </cell>
          <cell r="E285" t="str">
            <v>30/09/93</v>
          </cell>
          <cell r="F285">
            <v>265585.77</v>
          </cell>
          <cell r="K285">
            <v>265585.77</v>
          </cell>
          <cell r="L285">
            <v>127658.71</v>
          </cell>
          <cell r="M285">
            <v>13678</v>
          </cell>
          <cell r="Q285">
            <v>141336.71000000002</v>
          </cell>
          <cell r="R285">
            <v>137927.06</v>
          </cell>
          <cell r="S285">
            <v>124249.06</v>
          </cell>
        </row>
        <row r="286">
          <cell r="C286" t="str">
            <v>WINDOW AC ONE NO.</v>
          </cell>
          <cell r="E286" t="str">
            <v>31/12/86</v>
          </cell>
          <cell r="F286">
            <v>38900</v>
          </cell>
          <cell r="K286">
            <v>38900</v>
          </cell>
          <cell r="L286">
            <v>34155.96</v>
          </cell>
          <cell r="M286">
            <v>2003</v>
          </cell>
          <cell r="Q286">
            <v>36158.959999999999</v>
          </cell>
          <cell r="R286">
            <v>4744.0400000000009</v>
          </cell>
          <cell r="S286">
            <v>2741.0400000000009</v>
          </cell>
        </row>
        <row r="287">
          <cell r="C287" t="str">
            <v>AC UNIT ONE NO.</v>
          </cell>
          <cell r="E287" t="str">
            <v>31/12/91</v>
          </cell>
          <cell r="F287">
            <v>46700</v>
          </cell>
          <cell r="K287">
            <v>46700</v>
          </cell>
          <cell r="L287">
            <v>26656.14</v>
          </cell>
          <cell r="M287">
            <v>2405</v>
          </cell>
          <cell r="Q287">
            <v>29061.14</v>
          </cell>
          <cell r="R287">
            <v>20043.86</v>
          </cell>
          <cell r="S287">
            <v>17638.86</v>
          </cell>
        </row>
        <row r="288">
          <cell r="C288" t="str">
            <v>TWO NO.1.5 TON A.C WINDOW TYPE</v>
          </cell>
          <cell r="E288" t="str">
            <v>06.06.88</v>
          </cell>
          <cell r="F288">
            <v>40300</v>
          </cell>
          <cell r="K288">
            <v>40300</v>
          </cell>
          <cell r="L288">
            <v>30265.74</v>
          </cell>
          <cell r="M288">
            <v>2075</v>
          </cell>
          <cell r="Q288">
            <v>32340.74</v>
          </cell>
          <cell r="R288">
            <v>10034.259999999998</v>
          </cell>
          <cell r="S288">
            <v>7959.2599999999984</v>
          </cell>
        </row>
        <row r="289">
          <cell r="C289" t="str">
            <v>ONE NO.1.5 TON A. C</v>
          </cell>
          <cell r="E289" t="str">
            <v>13.12.87</v>
          </cell>
          <cell r="F289">
            <v>14900</v>
          </cell>
          <cell r="K289">
            <v>14900</v>
          </cell>
          <cell r="L289">
            <v>13277.96</v>
          </cell>
          <cell r="M289">
            <v>767</v>
          </cell>
          <cell r="Q289">
            <v>14044.96</v>
          </cell>
          <cell r="R289">
            <v>1622.0400000000009</v>
          </cell>
          <cell r="S289">
            <v>855.04000000000087</v>
          </cell>
        </row>
        <row r="290">
          <cell r="C290" t="str">
            <v>TWO NO. 1.5 TON A-C WINDOW TYPE</v>
          </cell>
          <cell r="D290">
            <v>2</v>
          </cell>
          <cell r="E290" t="str">
            <v>08.08.92</v>
          </cell>
          <cell r="F290">
            <v>53100</v>
          </cell>
          <cell r="K290">
            <v>53100</v>
          </cell>
          <cell r="L290">
            <v>28486.54</v>
          </cell>
          <cell r="M290">
            <v>2735</v>
          </cell>
          <cell r="Q290">
            <v>31221.54</v>
          </cell>
          <cell r="R290">
            <v>24613.46</v>
          </cell>
          <cell r="S290">
            <v>21878.46</v>
          </cell>
        </row>
        <row r="292">
          <cell r="C292" t="str">
            <v>AIR CONDITIONER</v>
          </cell>
          <cell r="D292">
            <v>4</v>
          </cell>
          <cell r="F292">
            <v>82000</v>
          </cell>
          <cell r="K292">
            <v>82000</v>
          </cell>
          <cell r="L292">
            <v>49972.17</v>
          </cell>
          <cell r="M292">
            <v>4217.6000000000004</v>
          </cell>
          <cell r="Q292">
            <v>54189.77</v>
          </cell>
          <cell r="R292">
            <v>32027.83</v>
          </cell>
          <cell r="S292">
            <v>27810.230000000003</v>
          </cell>
        </row>
        <row r="293">
          <cell r="C293" t="str">
            <v>WATER COOLER</v>
          </cell>
          <cell r="D293">
            <v>1</v>
          </cell>
          <cell r="F293">
            <v>5911.85</v>
          </cell>
          <cell r="K293">
            <v>5911.85</v>
          </cell>
          <cell r="L293">
            <v>5910.8502749999998</v>
          </cell>
          <cell r="M293">
            <v>1</v>
          </cell>
          <cell r="Q293">
            <v>5911.8502749999998</v>
          </cell>
          <cell r="R293">
            <v>0.99972500000058062</v>
          </cell>
          <cell r="S293">
            <v>-2.7499999941937858E-4</v>
          </cell>
        </row>
        <row r="294">
          <cell r="C294" t="str">
            <v>AIR CONDITIONER</v>
          </cell>
          <cell r="D294" t="str">
            <v>1</v>
          </cell>
          <cell r="F294">
            <v>6231.17</v>
          </cell>
          <cell r="K294">
            <v>6231.17</v>
          </cell>
          <cell r="L294">
            <v>6129.7652162499999</v>
          </cell>
          <cell r="M294">
            <v>101.4</v>
          </cell>
          <cell r="Q294">
            <v>6231.1652162499995</v>
          </cell>
          <cell r="R294">
            <v>101.40478375000021</v>
          </cell>
          <cell r="S294">
            <v>4.783750000569853E-3</v>
          </cell>
        </row>
        <row r="295">
          <cell r="C295" t="str">
            <v>AIR CONDITIONER</v>
          </cell>
          <cell r="D295" t="str">
            <v>1</v>
          </cell>
          <cell r="F295">
            <v>14050</v>
          </cell>
          <cell r="K295">
            <v>14050</v>
          </cell>
          <cell r="L295">
            <v>12132.313749999999</v>
          </cell>
          <cell r="M295">
            <v>724</v>
          </cell>
          <cell r="Q295">
            <v>12856.313749999999</v>
          </cell>
          <cell r="R295">
            <v>1917.6862500000007</v>
          </cell>
          <cell r="S295">
            <v>1193.6862500000007</v>
          </cell>
        </row>
        <row r="296">
          <cell r="C296" t="str">
            <v>AIR CONDITIONER</v>
          </cell>
          <cell r="D296" t="str">
            <v>4</v>
          </cell>
          <cell r="F296">
            <v>77200</v>
          </cell>
          <cell r="K296">
            <v>77200</v>
          </cell>
          <cell r="L296">
            <v>54335.93</v>
          </cell>
          <cell r="M296">
            <v>3976</v>
          </cell>
          <cell r="Q296">
            <v>58311.93</v>
          </cell>
          <cell r="R296">
            <v>22864.07</v>
          </cell>
          <cell r="S296">
            <v>18888.07</v>
          </cell>
        </row>
        <row r="297">
          <cell r="C297" t="str">
            <v>VOLTAGE STABLIZER</v>
          </cell>
          <cell r="D297" t="str">
            <v>1</v>
          </cell>
          <cell r="F297">
            <v>2500</v>
          </cell>
          <cell r="K297">
            <v>2500</v>
          </cell>
          <cell r="L297">
            <v>1266.0416666666702</v>
          </cell>
          <cell r="M297">
            <v>129</v>
          </cell>
          <cell r="Q297">
            <v>1395.0416666666702</v>
          </cell>
          <cell r="R297">
            <v>1233.9583333333298</v>
          </cell>
          <cell r="S297">
            <v>1104.9583333333298</v>
          </cell>
        </row>
        <row r="298">
          <cell r="C298" t="str">
            <v xml:space="preserve">WALK IN COOLER BLUE STAR </v>
          </cell>
          <cell r="D298" t="str">
            <v>1</v>
          </cell>
          <cell r="F298">
            <v>168048.75</v>
          </cell>
          <cell r="K298">
            <v>168048.75</v>
          </cell>
          <cell r="L298">
            <v>85102.68468749999</v>
          </cell>
          <cell r="M298">
            <v>8655</v>
          </cell>
          <cell r="Q298">
            <v>93757.68468749999</v>
          </cell>
          <cell r="R298">
            <v>82946.06531250001</v>
          </cell>
          <cell r="S298">
            <v>74291.06531250001</v>
          </cell>
        </row>
        <row r="299">
          <cell r="C299" t="str">
            <v>EXHAUST FAN CROMPTON</v>
          </cell>
          <cell r="D299" t="str">
            <v>2</v>
          </cell>
          <cell r="F299">
            <v>2281.15</v>
          </cell>
          <cell r="K299">
            <v>2281.15</v>
          </cell>
          <cell r="L299">
            <v>2123.2155437500001</v>
          </cell>
          <cell r="M299">
            <v>117</v>
          </cell>
          <cell r="Q299">
            <v>2240.2155437500001</v>
          </cell>
          <cell r="R299">
            <v>157.93445625000004</v>
          </cell>
          <cell r="S299">
            <v>40.934456250000039</v>
          </cell>
        </row>
        <row r="300">
          <cell r="C300" t="str">
            <v>VOLTAGE STABLIZER</v>
          </cell>
          <cell r="D300" t="str">
            <v>1</v>
          </cell>
          <cell r="F300">
            <v>1800</v>
          </cell>
          <cell r="K300">
            <v>1800</v>
          </cell>
          <cell r="L300">
            <v>911.55</v>
          </cell>
          <cell r="M300">
            <v>93</v>
          </cell>
          <cell r="Q300">
            <v>1004.55</v>
          </cell>
          <cell r="R300">
            <v>888.45</v>
          </cell>
          <cell r="S300">
            <v>795.45</v>
          </cell>
        </row>
        <row r="301">
          <cell r="C301" t="str">
            <v>AIR CONDITIONER</v>
          </cell>
          <cell r="D301" t="str">
            <v>1</v>
          </cell>
          <cell r="F301">
            <v>5610</v>
          </cell>
          <cell r="K301">
            <v>5610</v>
          </cell>
          <cell r="L301">
            <v>5609.0012500000003</v>
          </cell>
          <cell r="M301">
            <v>1</v>
          </cell>
          <cell r="Q301">
            <v>5610.0012500000003</v>
          </cell>
          <cell r="R301">
            <v>0.99874999999974534</v>
          </cell>
          <cell r="S301">
            <v>-1.2500000002546585E-3</v>
          </cell>
        </row>
        <row r="302">
          <cell r="C302" t="str">
            <v>VOLTAGE STABLIZER 4.0 KVA NUTECH</v>
          </cell>
          <cell r="D302" t="str">
            <v>2</v>
          </cell>
          <cell r="F302">
            <v>1928.5</v>
          </cell>
          <cell r="K302">
            <v>1928.5</v>
          </cell>
          <cell r="L302">
            <v>1623.4670624999999</v>
          </cell>
          <cell r="M302">
            <v>99</v>
          </cell>
          <cell r="Q302">
            <v>1722.4670624999999</v>
          </cell>
          <cell r="R302">
            <v>305.03293750000012</v>
          </cell>
          <cell r="S302">
            <v>206.03293750000012</v>
          </cell>
        </row>
        <row r="303">
          <cell r="C303" t="str">
            <v>WATER COOLER 10 ltr</v>
          </cell>
          <cell r="D303" t="str">
            <v>1</v>
          </cell>
          <cell r="F303">
            <v>4840</v>
          </cell>
          <cell r="K303">
            <v>4840</v>
          </cell>
          <cell r="L303">
            <v>3738.9050000000007</v>
          </cell>
          <cell r="M303">
            <v>249</v>
          </cell>
          <cell r="Q303">
            <v>3987.9050000000007</v>
          </cell>
          <cell r="R303">
            <v>1101.0949999999993</v>
          </cell>
          <cell r="S303">
            <v>852.09499999999935</v>
          </cell>
        </row>
        <row r="304">
          <cell r="C304" t="str">
            <v xml:space="preserve">VOLTAGE STABLIZER </v>
          </cell>
          <cell r="D304" t="str">
            <v>1</v>
          </cell>
          <cell r="F304">
            <v>1100</v>
          </cell>
          <cell r="K304">
            <v>1100</v>
          </cell>
          <cell r="L304">
            <v>632.58749999999998</v>
          </cell>
          <cell r="M304">
            <v>57</v>
          </cell>
          <cell r="Q304">
            <v>689.58749999999998</v>
          </cell>
          <cell r="R304">
            <v>467.41250000000002</v>
          </cell>
          <cell r="S304">
            <v>410.41250000000002</v>
          </cell>
        </row>
        <row r="305">
          <cell r="C305" t="str">
            <v>AIR CONDITIONER CARRIER WITH STB 3 KV</v>
          </cell>
          <cell r="D305" t="str">
            <v>2</v>
          </cell>
          <cell r="F305">
            <v>25786.799999999999</v>
          </cell>
          <cell r="K305">
            <v>25786.799999999999</v>
          </cell>
          <cell r="L305">
            <v>20934.506150000001</v>
          </cell>
          <cell r="M305">
            <v>1328</v>
          </cell>
          <cell r="Q305">
            <v>22262.506150000001</v>
          </cell>
          <cell r="R305">
            <v>4852.2938499999982</v>
          </cell>
          <cell r="S305">
            <v>3524.2938499999982</v>
          </cell>
        </row>
        <row r="306">
          <cell r="C306" t="str">
            <v>DOUBLE DOOR REFRIGERATOR</v>
          </cell>
          <cell r="D306">
            <v>1</v>
          </cell>
          <cell r="F306">
            <v>27672.25</v>
          </cell>
          <cell r="K306">
            <v>27672.25</v>
          </cell>
          <cell r="L306">
            <v>18170.17678125</v>
          </cell>
          <cell r="M306">
            <v>1425</v>
          </cell>
          <cell r="Q306">
            <v>19595.17678125</v>
          </cell>
          <cell r="R306">
            <v>9502.0732187499998</v>
          </cell>
          <cell r="S306">
            <v>8077.0732187499998</v>
          </cell>
        </row>
        <row r="307">
          <cell r="C307" t="str">
            <v>REFRIGERATOR</v>
          </cell>
          <cell r="D307">
            <v>1</v>
          </cell>
          <cell r="F307">
            <v>13000</v>
          </cell>
          <cell r="K307">
            <v>13000</v>
          </cell>
          <cell r="L307">
            <v>7475.92</v>
          </cell>
          <cell r="M307">
            <v>670</v>
          </cell>
          <cell r="Q307">
            <v>8145.92</v>
          </cell>
          <cell r="R307">
            <v>5524.08</v>
          </cell>
          <cell r="S307">
            <v>4854.08</v>
          </cell>
        </row>
        <row r="309">
          <cell r="C309" t="str">
            <v>DEVIKA - HO</v>
          </cell>
          <cell r="F309">
            <v>408166.65769230772</v>
          </cell>
          <cell r="G309">
            <v>0</v>
          </cell>
          <cell r="H309">
            <v>0</v>
          </cell>
          <cell r="I309">
            <v>0</v>
          </cell>
          <cell r="J309">
            <v>0</v>
          </cell>
          <cell r="K309">
            <v>408166.65769230772</v>
          </cell>
          <cell r="L309">
            <v>298345.16125384625</v>
          </cell>
          <cell r="M309">
            <v>20590.990000000002</v>
          </cell>
          <cell r="N309">
            <v>0</v>
          </cell>
          <cell r="O309">
            <v>0</v>
          </cell>
          <cell r="P309">
            <v>0</v>
          </cell>
          <cell r="Q309">
            <v>318936.15125384618</v>
          </cell>
          <cell r="R309">
            <v>109821.49643846152</v>
          </cell>
          <cell r="S309">
            <v>89230.506438461525</v>
          </cell>
        </row>
        <row r="310">
          <cell r="C310" t="str">
            <v>DSD-EAST</v>
          </cell>
          <cell r="F310">
            <v>529915.56000000006</v>
          </cell>
          <cell r="G310">
            <v>0</v>
          </cell>
          <cell r="H310">
            <v>0</v>
          </cell>
          <cell r="I310">
            <v>0</v>
          </cell>
          <cell r="J310">
            <v>0</v>
          </cell>
          <cell r="K310">
            <v>529915.56000000006</v>
          </cell>
          <cell r="L310">
            <v>318881.94</v>
          </cell>
          <cell r="M310">
            <v>26227</v>
          </cell>
          <cell r="N310">
            <v>0</v>
          </cell>
          <cell r="O310">
            <v>0</v>
          </cell>
          <cell r="P310">
            <v>0</v>
          </cell>
          <cell r="Q310">
            <v>345108.94</v>
          </cell>
          <cell r="R310">
            <v>211033.62</v>
          </cell>
          <cell r="S310">
            <v>184806.62</v>
          </cell>
        </row>
        <row r="311">
          <cell r="C311" t="str">
            <v>DSD-SOUTH</v>
          </cell>
          <cell r="F311">
            <v>1427232.77</v>
          </cell>
          <cell r="G311">
            <v>0</v>
          </cell>
          <cell r="H311">
            <v>0</v>
          </cell>
          <cell r="I311">
            <v>0</v>
          </cell>
          <cell r="J311">
            <v>0</v>
          </cell>
          <cell r="K311">
            <v>1427232.77</v>
          </cell>
          <cell r="L311">
            <v>885268.59000000008</v>
          </cell>
          <cell r="M311">
            <v>70348</v>
          </cell>
          <cell r="N311">
            <v>0</v>
          </cell>
          <cell r="O311">
            <v>0</v>
          </cell>
          <cell r="P311">
            <v>0</v>
          </cell>
          <cell r="Q311">
            <v>955616.59000000008</v>
          </cell>
          <cell r="R311">
            <v>541964.17999999993</v>
          </cell>
          <cell r="S311">
            <v>471616.18</v>
          </cell>
        </row>
        <row r="312">
          <cell r="C312" t="str">
            <v>DSD-WEST</v>
          </cell>
          <cell r="F312">
            <v>1750095.85</v>
          </cell>
          <cell r="G312">
            <v>0</v>
          </cell>
          <cell r="H312">
            <v>0</v>
          </cell>
          <cell r="I312">
            <v>0</v>
          </cell>
          <cell r="J312">
            <v>0</v>
          </cell>
          <cell r="K312">
            <v>1750095.85</v>
          </cell>
          <cell r="L312">
            <v>1145567.73</v>
          </cell>
          <cell r="M312">
            <v>81381.540000000008</v>
          </cell>
          <cell r="N312">
            <v>0</v>
          </cell>
          <cell r="O312">
            <v>0</v>
          </cell>
          <cell r="P312">
            <v>0</v>
          </cell>
          <cell r="Q312">
            <v>1226949.27</v>
          </cell>
          <cell r="R312">
            <v>604528.12</v>
          </cell>
          <cell r="S312">
            <v>523146.57999999996</v>
          </cell>
        </row>
        <row r="313">
          <cell r="C313" t="str">
            <v>DSD-NORTH</v>
          </cell>
          <cell r="F313">
            <v>439960.47000000003</v>
          </cell>
          <cell r="G313">
            <v>0</v>
          </cell>
          <cell r="H313">
            <v>0</v>
          </cell>
          <cell r="I313">
            <v>0</v>
          </cell>
          <cell r="J313">
            <v>0</v>
          </cell>
          <cell r="K313">
            <v>439960.47000000003</v>
          </cell>
          <cell r="L313">
            <v>276069.08488291665</v>
          </cell>
          <cell r="M313">
            <v>21843</v>
          </cell>
          <cell r="N313">
            <v>0</v>
          </cell>
          <cell r="O313">
            <v>0</v>
          </cell>
          <cell r="P313">
            <v>0</v>
          </cell>
          <cell r="Q313">
            <v>297912.08488291665</v>
          </cell>
          <cell r="R313">
            <v>163891.38511708332</v>
          </cell>
          <cell r="S313">
            <v>142048.38511708335</v>
          </cell>
        </row>
        <row r="315">
          <cell r="C315" t="str">
            <v>OLD RATE</v>
          </cell>
          <cell r="E315">
            <v>5.1500000000000004E-2</v>
          </cell>
          <cell r="F315">
            <v>4555371.307692308</v>
          </cell>
          <cell r="G315">
            <v>0</v>
          </cell>
          <cell r="H315">
            <v>0</v>
          </cell>
          <cell r="I315">
            <v>0</v>
          </cell>
          <cell r="J315">
            <v>0</v>
          </cell>
          <cell r="K315">
            <v>4555371.307692308</v>
          </cell>
          <cell r="L315">
            <v>2924132.5061367629</v>
          </cell>
          <cell r="M315">
            <v>220390.53000000003</v>
          </cell>
          <cell r="N315">
            <v>0</v>
          </cell>
          <cell r="O315">
            <v>0</v>
          </cell>
          <cell r="P315">
            <v>0</v>
          </cell>
          <cell r="Q315">
            <v>3144523.0361367632</v>
          </cell>
          <cell r="R315">
            <v>1631238.8015555446</v>
          </cell>
          <cell r="S315">
            <v>1410848.2715555448</v>
          </cell>
        </row>
      </sheetData>
      <sheetData sheetId="5" refreshError="1"/>
      <sheetData sheetId="6" refreshError="1"/>
      <sheetData sheetId="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gins"/>
      <sheetName val="rural proportion and sales"/>
      <sheetName val="agriGDP vs rains"/>
      <sheetName val="det"/>
      <sheetName val="tea"/>
      <sheetName val="Sugar"/>
      <sheetName val="coffee"/>
      <sheetName val="palm"/>
      <sheetName val="PP"/>
      <sheetName val="LAB"/>
      <sheetName val="Tea- prop"/>
      <sheetName val="HLL Soap"/>
      <sheetName val="HLL regre"/>
      <sheetName val="tobacco"/>
      <sheetName val="cig prop"/>
      <sheetName val="CTV"/>
      <sheetName val="Cons Durables"/>
      <sheetName val="excise &amp; customs"/>
      <sheetName val="Pai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
          <cell r="A3" t="e">
            <v>#NAME?</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front page chart"/>
      <sheetName val="Steel                          "/>
      <sheetName val="International prices"/>
      <sheetName val="Monthly world production"/>
      <sheetName val="Landed and dom prices"/>
      <sheetName val="CRC vs. HRC"/>
      <sheetName val="Longs vs flats"/>
      <sheetName val="Steel - World cap and prod"/>
      <sheetName val="Monthly dom. prod."/>
      <sheetName val="flat prod. capacity,prod"/>
      <sheetName val="Aluminium                      "/>
      <sheetName val="LME inventories"/>
      <sheetName val="LME vs landed price"/>
      <sheetName val="Landed vs domestic price"/>
      <sheetName val="LME and landed prices"/>
      <sheetName val="Alumimium vs alumina"/>
      <sheetName val="US alu consumption"/>
      <sheetName val="US"/>
      <sheetName val="Monthly world prod"/>
      <sheetName val="Monthly India prod."/>
      <sheetName val="Domestic demand supply"/>
      <sheetName val="Caustic soda"/>
      <sheetName val="LME and Inventory"/>
      <sheetName val="TCRC and LME"/>
      <sheetName val="LME and landed price"/>
      <sheetName val="Landed and domestic price"/>
      <sheetName val="Annual production"/>
    </sheetNames>
    <sheetDataSet>
      <sheetData sheetId="0"/>
      <sheetData sheetId="1"/>
      <sheetData sheetId="2"/>
      <sheetData sheetId="3"/>
      <sheetData sheetId="4" refreshError="1">
        <row r="3">
          <cell r="A3">
            <v>34700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row r="3">
          <cell r="A3">
            <v>34486</v>
          </cell>
        </row>
      </sheetData>
      <sheetData sheetId="20"/>
      <sheetData sheetId="21"/>
      <sheetData sheetId="22"/>
      <sheetData sheetId="23"/>
      <sheetData sheetId="24"/>
      <sheetData sheetId="25"/>
      <sheetData sheetId="26"/>
      <sheetData sheetId="27"/>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ld steel production crude "/>
      <sheetName val="India crude steel prod"/>
      <sheetName val="Sheet3"/>
    </sheetNames>
    <sheetDataSet>
      <sheetData sheetId="0"/>
      <sheetData sheetId="1" refreshError="1">
        <row r="3">
          <cell r="A3">
            <v>34730</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6"/>
      <sheetName val="DKPL9811"/>
      <sheetName val="summ"/>
      <sheetName val="sheet1"/>
      <sheetName val="sheet2"/>
      <sheetName val="sheet4"/>
      <sheetName val="Sheet4a"/>
      <sheetName val="sheet5"/>
      <sheetName val="sheet7"/>
      <sheetName val="sheet8"/>
      <sheetName val="sheet9"/>
      <sheetName val="sheet10"/>
      <sheetName val="sheet11"/>
      <sheetName val="sheet12"/>
      <sheetName val="sheet13"/>
      <sheetName val="Sheet14"/>
      <sheetName val="Sheet15"/>
      <sheetName val="Sheet16"/>
      <sheetName val="Monthly"/>
      <sheetName val="Sheet3 (2)"/>
      <sheetName val="extra"/>
      <sheetName val="Partic"/>
      <sheetName val="pldt"/>
      <sheetName val="results"/>
      <sheetName val="P&amp;LDEC99"/>
      <sheetName val="Sheet18"/>
      <sheetName val="Sheet17"/>
      <sheetName val="SUMM1"/>
      <sheetName val="Sheet3"/>
      <sheetName val="Sheet31"/>
      <sheetName val="Sheet30"/>
      <sheetName val="Sheet29"/>
      <sheetName val="Sheet28"/>
      <sheetName val="Sheet27"/>
      <sheetName val="Sheet26"/>
      <sheetName val="Sheet25"/>
      <sheetName val="Sheet24"/>
      <sheetName val="Sheet23"/>
      <sheetName val="Sheet22"/>
      <sheetName val="Sheet21"/>
      <sheetName val="Sheet20"/>
      <sheetName val="Sheet19"/>
      <sheetName val="#REF"/>
      <sheetName val="FINDRDEC"/>
      <sheetName val="Earnings model"/>
      <sheetName val="C"/>
      <sheetName val="02"/>
      <sheetName val="03"/>
      <sheetName val="04"/>
      <sheetName val="01"/>
      <sheetName val="girder"/>
      <sheetName val="Rocker"/>
      <sheetName val="FitOutConfCentre"/>
      <sheetName val="Rate Analysis"/>
      <sheetName val="LBO"/>
      <sheetName val="Main"/>
      <sheetName val="Hot"/>
      <sheetName val="INI"/>
      <sheetName val="Assumptions"/>
      <sheetName val="Output"/>
      <sheetName val="Grand"/>
      <sheetName val="CRITERIA3"/>
      <sheetName val="CRITERIA1"/>
      <sheetName val="Excess Calc"/>
      <sheetName val="CASHFLOWS"/>
      <sheetName val="SUMMARY"/>
      <sheetName val="Materials Cost(PCC)"/>
      <sheetName val="Grouping Master"/>
      <sheetName val="Commission and Volume MOM(Chart"/>
      <sheetName val="Estimate for approval"/>
      <sheetName val="Lab"/>
      <sheetName val="A-D"/>
      <sheetName val="H"/>
      <sheetName val="BWR"/>
      <sheetName val="BLK2"/>
      <sheetName val="BLK3"/>
      <sheetName val="E &amp; R"/>
      <sheetName val="radar"/>
      <sheetName val="UG"/>
      <sheetName val="KG-DWN"/>
      <sheetName val="Stacking Plan &amp; LEP"/>
      <sheetName val="Sheet3_(2)"/>
      <sheetName val="% Collection Schedule"/>
      <sheetName val="Design"/>
      <sheetName val="98Price"/>
      <sheetName val="BHANDUP"/>
      <sheetName val="Set"/>
      <sheetName val="Code"/>
      <sheetName val="Legend"/>
      <sheetName val="1 Market"/>
      <sheetName val="Estimate_for_approval"/>
      <sheetName val="Sheet3_(2)1"/>
      <sheetName val="Estimate_for_approval1"/>
      <sheetName val="Sheet3_(2)2"/>
      <sheetName val="Estimate_for_approval2"/>
      <sheetName val="Sheet3_(2)3"/>
      <sheetName val="Estimate_for_approval3"/>
      <sheetName val="Sheet3_(2)4"/>
      <sheetName val="Estimate_for_approval4"/>
      <sheetName val="concrete"/>
      <sheetName val="office"/>
      <sheetName val="Key assumption"/>
      <sheetName val="beam-reinft-IIInd floor"/>
      <sheetName val="SPT vs PHI"/>
      <sheetName val="Materials Cost"/>
      <sheetName val="beam-reinft-machine rm"/>
      <sheetName val="jobhist"/>
      <sheetName val="R20_R30_work"/>
      <sheetName val="A5.201 Consol Profit &amp; Loss "/>
      <sheetName val="Consolidated Monthly"/>
      <sheetName val="Balance Sheet"/>
      <sheetName val="A5.202 Consol Balance Sheet "/>
      <sheetName val="BS"/>
      <sheetName val="Consolidated"/>
      <sheetName val="PB"/>
      <sheetName val="Fixed Assets"/>
      <sheetName val="Receivables"/>
      <sheetName val="Sheet 2"/>
      <sheetName val="Occ"/>
      <sheetName val="Demand"/>
      <sheetName val="MN T.B."/>
      <sheetName val="INDIGINEOUS ITEMS "/>
      <sheetName val="Apartments - 1st Mar"/>
      <sheetName val="BOQ-1"/>
      <sheetName val="JCF"/>
      <sheetName val="Multiple output"/>
      <sheetName val="유통망계획"/>
      <sheetName val="EXPENSES"/>
      <sheetName val="Currency"/>
      <sheetName val="Chembur 1"/>
      <sheetName val="WBS01"/>
      <sheetName val="WBS10"/>
      <sheetName val="WBS11"/>
      <sheetName val="WBS12"/>
      <sheetName val="WBS13"/>
      <sheetName val="WBS14"/>
      <sheetName val="WBS15"/>
      <sheetName val="WBS16"/>
      <sheetName val="WBS17"/>
      <sheetName val="WBS18"/>
      <sheetName val="WBS19"/>
      <sheetName val="WBS02"/>
      <sheetName val="WBS20"/>
      <sheetName val="WBS03"/>
      <sheetName val="WBS04"/>
      <sheetName val="WBS05"/>
      <sheetName val="WBS06"/>
      <sheetName val="WBS07"/>
      <sheetName val="WBS08"/>
      <sheetName val="WBS09"/>
      <sheetName val="Material List "/>
      <sheetName val="STAFFSCHED "/>
      <sheetName val="upa"/>
      <sheetName val="CGOI"/>
      <sheetName val="BKCSTOCKVAL"/>
      <sheetName val="Earnings_model"/>
      <sheetName val="vb 9&amp;10"/>
      <sheetName val="Felix Street Summary"/>
      <sheetName val="Newspapers"/>
      <sheetName val="AccDil"/>
      <sheetName val="tngst1"/>
      <sheetName val="Schedules"/>
      <sheetName val="B S-31-3-2006"/>
      <sheetName val="132417"/>
      <sheetName val="35 D Annex2"/>
      <sheetName val="CMA_Calculations"/>
      <sheetName val="H.O"/>
      <sheetName val="営業収益"/>
      <sheetName val="TRIAL BALANCE"/>
      <sheetName val="Keyratios"/>
      <sheetName val="Card nos."/>
      <sheetName val="YE-SW2"/>
      <sheetName val="Statistics {pbc}"/>
      <sheetName val="関係会社貸付金データ"/>
      <sheetName val="末残計画(四半期ベース)"/>
      <sheetName val="MISBS"/>
      <sheetName val="BOD PL NEW"/>
      <sheetName val="AFFI内訳"/>
      <sheetName val="Assumptions (2)"/>
      <sheetName val="Cntrl Sheet"/>
      <sheetName val="B S"/>
      <sheetName val="Project Cost"/>
      <sheetName val="CAS P"/>
      <sheetName val="194C"/>
      <sheetName val="ﾏﾁｭﾘﾃｨﾗﾀﾞｰ（月次ベース）"/>
      <sheetName val="ﾏﾁｭﾘﾃｨﾗﾀﾞｰ（四半期ベース）"/>
      <sheetName val="EXPENDITURE CYCLE"/>
      <sheetName val="Inputs"/>
      <sheetName val="海外WORK"/>
      <sheetName val="Facility"/>
      <sheetName val="Lrnet_Inftch"/>
      <sheetName val="Input"/>
      <sheetName val="deb"/>
      <sheetName val="FIN_EXPENSE"/>
      <sheetName val="43B"/>
      <sheetName val="DTPL"/>
      <sheetName val="Fixed Assets Top Sheet- Consol"/>
      <sheetName val="VIR CG"/>
      <sheetName val="業種小分類"/>
      <sheetName val="業種大分類"/>
      <sheetName val="Weighted Avg"/>
      <sheetName val="Interest"/>
      <sheetName val="Links"/>
      <sheetName val="m3&amp;4"/>
      <sheetName val="Assumptions (W)"/>
      <sheetName val="Misc"/>
      <sheetName val="PAP"/>
      <sheetName val="Masters"/>
      <sheetName val="P L"/>
      <sheetName val="総括（1～3Q）"/>
      <sheetName val="NKEL O&amp;M"/>
      <sheetName val="Data"/>
      <sheetName val="192"/>
      <sheetName val="GLED"/>
      <sheetName val="IRR"/>
      <sheetName val="CAPEX"/>
      <sheetName val="国内work"/>
      <sheetName val="その他"/>
      <sheetName val="SPR"/>
      <sheetName val="COMPUTATION"/>
      <sheetName val="ASSUMPTIONS 2"/>
      <sheetName val=" TARIFFS POST PCOD"/>
      <sheetName val="Valuation"/>
      <sheetName val="Workings"/>
      <sheetName val="TAX"/>
      <sheetName val="DCF Valuation - FCFF"/>
      <sheetName val="FAR"/>
      <sheetName val="FA Leadsheet &amp; Movement"/>
      <sheetName val="Profit &amp; Loss"/>
      <sheetName val="Summary - USD"/>
      <sheetName val="Yield-COB"/>
      <sheetName val="全体"/>
      <sheetName val="NFF"/>
      <sheetName val="1"/>
      <sheetName val="再ﾘｰｽ収益"/>
      <sheetName val="利息連結"/>
      <sheetName val="受取手数料"/>
      <sheetName val="有価証券残高（仮提出）"/>
      <sheetName val="発生連結"/>
      <sheetName val="関連会社明細"/>
      <sheetName val="売却可能公債"/>
      <sheetName val="3部提出用累計"/>
      <sheetName val="繰入連結"/>
      <sheetName val="諸原価連結"/>
      <sheetName val="四半期毎MICﾃﾞｰﾀ転記"/>
      <sheetName val="単体SGA"/>
      <sheetName val="販管連結"/>
      <sheetName val="平残連結"/>
      <sheetName val="TB"/>
      <sheetName val="Fee Rate Summary"/>
      <sheetName val="Costcal"/>
      <sheetName val="11-hsd"/>
      <sheetName val="13-septic"/>
      <sheetName val="7-ug"/>
      <sheetName val="2-utility"/>
      <sheetName val="Bin"/>
      <sheetName val="Main School Building"/>
      <sheetName val="Rate_Analysis"/>
      <sheetName val="E_&amp;_R"/>
      <sheetName val="JE10310X"/>
      <sheetName val="MAHSTOCKVAL"/>
      <sheetName val="FOIL"/>
      <sheetName val="Accounts"/>
      <sheetName val="sdrs_mar"/>
      <sheetName val="Summary_Local"/>
      <sheetName val="segment_topsheet"/>
      <sheetName val="Index"/>
      <sheetName val="FY16-17 Cashflow"/>
      <sheetName val="List"/>
      <sheetName val="RR"/>
      <sheetName val="Ten"/>
      <sheetName val="ES"/>
      <sheetName val="B-SHEET"/>
      <sheetName val="GrossMgn 98"/>
      <sheetName val="Roster"/>
      <sheetName val="FINAL"/>
      <sheetName val="Mar-06"/>
      <sheetName val="Jul-05"/>
      <sheetName val="SCHE-MARCH'04"/>
      <sheetName val="Bs_dft"/>
      <sheetName val="P&amp;l_dft"/>
      <sheetName val="Sch_dft"/>
      <sheetName val="SC"/>
      <sheetName val="Wall"/>
      <sheetName val="Sukuki CDR"/>
      <sheetName val="For_Trav-01"/>
      <sheetName val="Rent -01"/>
      <sheetName val="AV"/>
      <sheetName val="priority analysis"/>
      <sheetName val="standards trend"/>
      <sheetName val="service timing"/>
      <sheetName val="Product Problems"/>
      <sheetName val="Parts"/>
      <sheetName val="score trends"/>
      <sheetName val="Fix it First Time"/>
      <sheetName val="dashboard"/>
      <sheetName val="TOC"/>
      <sheetName val="Range"/>
      <sheetName val="Sample India"/>
      <sheetName val="Sample Indo"/>
      <sheetName val="Sample MY"/>
      <sheetName val="Sample PH"/>
      <sheetName val="Sample TH"/>
      <sheetName val="BQMPALOC"/>
      <sheetName val="TRX ADDITION"/>
      <sheetName val="Income Statements"/>
      <sheetName val="Rates"/>
      <sheetName val="Kontensalden"/>
      <sheetName val="CTbe tong"/>
      <sheetName val="CTDZ 0.4+cto"/>
      <sheetName val=" "/>
      <sheetName val="450 x 350"/>
      <sheetName val="Fill this out first..."/>
      <sheetName val="Approved MTD Proj #'s"/>
      <sheetName val="Labour Rate "/>
      <sheetName val="(M+L)"/>
      <sheetName val="DPR"/>
      <sheetName val="hist&amp;proj"/>
      <sheetName val="입찰내역 발주처 양식"/>
      <sheetName val="Customize Your Purchase Order"/>
      <sheetName val="VARIABLE"/>
      <sheetName val="ESCON"/>
      <sheetName val="NPV"/>
      <sheetName val="RATE ANALYSIS."/>
      <sheetName val="Raw DCF"/>
      <sheetName val="DCF_PPS"/>
      <sheetName val="DCF"/>
      <sheetName val="Sch 1,2,3"/>
      <sheetName val="Sch 14,15,16"/>
      <sheetName val="profit &amp; loss account"/>
      <sheetName val="Movement of Mutual Funds"/>
      <sheetName val="References"/>
      <sheetName val="Settings"/>
      <sheetName val="TDS Certificate-Format"/>
      <sheetName val="Sheet3_(2)5"/>
      <sheetName val="%_Collection_Schedule"/>
      <sheetName val="Rate_Analysis1"/>
      <sheetName val="Estimate_for_approval5"/>
      <sheetName val="E_&amp;_R1"/>
      <sheetName val="Earnings_model1"/>
      <sheetName val="Stacking_Plan_&amp;_LEP"/>
      <sheetName val="Materials_Cost(PCC)"/>
      <sheetName val="Excess_Calc"/>
      <sheetName val="beam-reinft-IIInd_floor"/>
      <sheetName val="SPT_vs_PHI"/>
      <sheetName val="Materials_Cost"/>
      <sheetName val="beam-reinft-machine_rm"/>
      <sheetName val="Grouping_Master"/>
      <sheetName val="Commission_and_Volume_MOM(Chart"/>
      <sheetName val="A5_201_Consol_Profit_&amp;_Loss_"/>
      <sheetName val="Consolidated_Monthly"/>
      <sheetName val="Balance_Sheet"/>
      <sheetName val="A5_202_Consol_Balance_Sheet_"/>
      <sheetName val="Fixed_Assets"/>
      <sheetName val="Sheet_2"/>
      <sheetName val="Key_assumption"/>
      <sheetName val="MN_T_B_"/>
      <sheetName val="INDIGINEOUS_ITEMS_"/>
      <sheetName val="Apartments_-_1st_Mar"/>
      <sheetName val="1_Market"/>
      <sheetName val="Material_List_"/>
      <sheetName val="STAFFSCHED_"/>
      <sheetName val="Fee_Rate_Summary"/>
      <sheetName val="Main_School_Building"/>
      <sheetName val="MFG"/>
      <sheetName val="Current Bill MB ref"/>
      <sheetName val="Mix Design"/>
      <sheetName val="std-rates"/>
      <sheetName val="Ins &amp; Bonds"/>
      <sheetName val="COLUMN"/>
      <sheetName val="dyes"/>
      <sheetName val="Costing"/>
      <sheetName val=" Vivante MAIN  INFRA  MAR 18"/>
      <sheetName val="col-reinft1"/>
      <sheetName val="Form 6"/>
      <sheetName val="Source Ref."/>
      <sheetName val="COMPLEXALL"/>
      <sheetName val="M-Book for Conc"/>
      <sheetName val="M-Book for FW"/>
      <sheetName val="Schedules PL"/>
      <sheetName val="Schedules BS"/>
      <sheetName val="Div"/>
      <sheetName val="ER10_Old"/>
      <sheetName val="B_S-31-3-2006"/>
      <sheetName val="35_D_Annex2"/>
      <sheetName val="H_O"/>
      <sheetName val="TRIAL_BALANCE"/>
      <sheetName val="Card_nos_"/>
      <sheetName val="Statistics_{pbc}"/>
      <sheetName val="BOD_PL_NEW"/>
      <sheetName val="Assumptions_(2)"/>
      <sheetName val="Cntrl_Sheet"/>
      <sheetName val="B_S"/>
      <sheetName val="Project_Cost"/>
      <sheetName val="CAS_P"/>
      <sheetName val="EXPENDITURE_CYCLE"/>
      <sheetName val="Fixed_Assets_Top_Sheet-_Consol"/>
      <sheetName val="VIR_CG"/>
      <sheetName val="Weighted_Avg"/>
      <sheetName val="Assumptions_(W)"/>
      <sheetName val="P_L"/>
      <sheetName val="NKEL_O&amp;M"/>
      <sheetName val="ASSUMPTIONS_2"/>
      <sheetName val="_TARIFFS_POST_PCOD"/>
      <sheetName val="DCF_Valuation_-_FCFF"/>
      <sheetName val="FA_Leadsheet_&amp;_Movement"/>
      <sheetName val="Profit_&amp;_Loss"/>
      <sheetName val="Summary_-_USD"/>
      <sheetName val="Multiple_output"/>
      <sheetName val="Config"/>
      <sheetName val="Database"/>
      <sheetName val="SCHEDULE"/>
      <sheetName val="schedule nos"/>
      <sheetName val="RA 1"/>
      <sheetName val="Outline Cost - Five star Hotel"/>
      <sheetName val="CC APR04"/>
      <sheetName val="CC MAY04"/>
      <sheetName val="CC JUNE04"/>
      <sheetName val="C1C2"/>
      <sheetName val="LIFE &amp; REP PROVN"/>
      <sheetName val="O&amp;M CREW"/>
      <sheetName val="A"/>
      <sheetName val="Intro"/>
      <sheetName val="Exp"/>
      <sheetName val="18-misc"/>
      <sheetName val="5-pipe"/>
      <sheetName val="Direct cost shed A-2 "/>
      <sheetName val="P&amp;L"/>
      <sheetName val="BALANCE-SHEET"/>
      <sheetName val="fixd1"/>
      <sheetName val="fixd2"/>
      <sheetName val="Item Master"/>
      <sheetName val="2007-01"/>
      <sheetName val="BS SCH A-D"/>
      <sheetName val="Pur"/>
      <sheetName val="Reconciliation of GL &amp; FAR"/>
      <sheetName val="Rent_-01"/>
      <sheetName val="Instructions"/>
      <sheetName val="Preside"/>
      <sheetName val="SP Break Up"/>
      <sheetName val="Control"/>
      <sheetName val="Blore"/>
      <sheetName val="factors"/>
      <sheetName val="VCH-SLC"/>
      <sheetName val="Supplier"/>
      <sheetName val="final abstract"/>
      <sheetName val="Product Details"/>
      <sheetName val="Cash2"/>
      <sheetName val="Z"/>
      <sheetName val="costing_ESDV"/>
      <sheetName val="costing_FE"/>
      <sheetName val="costing_Misc"/>
      <sheetName val="costing_MOV"/>
      <sheetName val="costing_Press"/>
      <sheetName val="Price Comparison"/>
      <sheetName val="Cover"/>
      <sheetName val="Leg 1-1"/>
      <sheetName val="Sheet3_(2)7"/>
      <sheetName val="%_Collection_Schedule2"/>
      <sheetName val="Rate_Analysis3"/>
      <sheetName val="Estimate_for_approval7"/>
      <sheetName val="E_&amp;_R3"/>
      <sheetName val="Earnings_model3"/>
      <sheetName val="Stacking_Plan_&amp;_LEP2"/>
      <sheetName val="Materials_Cost(PCC)2"/>
      <sheetName val="Excess_Calc2"/>
      <sheetName val="beam-reinft-IIInd_floor2"/>
      <sheetName val="SPT_vs_PHI2"/>
      <sheetName val="Materials_Cost2"/>
      <sheetName val="beam-reinft-machine_rm2"/>
      <sheetName val="Grouping_Master2"/>
      <sheetName val="Commission_and_Volume_MOM(Char2"/>
      <sheetName val="A5_201_Consol_Profit_&amp;_Loss_2"/>
      <sheetName val="Consolidated_Monthly2"/>
      <sheetName val="Balance_Sheet2"/>
      <sheetName val="A5_202_Consol_Balance_Sheet_2"/>
      <sheetName val="Fixed_Assets2"/>
      <sheetName val="Sheet_22"/>
      <sheetName val="Key_assumption2"/>
      <sheetName val="MN_T_B_2"/>
      <sheetName val="INDIGINEOUS_ITEMS_2"/>
      <sheetName val="Apartments_-_1st_Mar2"/>
      <sheetName val="1_Market2"/>
      <sheetName val="Material_List_2"/>
      <sheetName val="STAFFSCHED_2"/>
      <sheetName val="Fee_Rate_Summary2"/>
      <sheetName val="Main_School_Building2"/>
      <sheetName val="Sheet3_(2)6"/>
      <sheetName val="%_Collection_Schedule1"/>
      <sheetName val="Rate_Analysis2"/>
      <sheetName val="Estimate_for_approval6"/>
      <sheetName val="E_&amp;_R2"/>
      <sheetName val="Earnings_model2"/>
      <sheetName val="Stacking_Plan_&amp;_LEP1"/>
      <sheetName val="Materials_Cost(PCC)1"/>
      <sheetName val="Excess_Calc1"/>
      <sheetName val="beam-reinft-IIInd_floor1"/>
      <sheetName val="SPT_vs_PHI1"/>
      <sheetName val="Materials_Cost1"/>
      <sheetName val="beam-reinft-machine_rm1"/>
      <sheetName val="Grouping_Master1"/>
      <sheetName val="Commission_and_Volume_MOM(Char1"/>
      <sheetName val="A5_201_Consol_Profit_&amp;_Loss_1"/>
      <sheetName val="Consolidated_Monthly1"/>
      <sheetName val="Balance_Sheet1"/>
      <sheetName val="A5_202_Consol_Balance_Sheet_1"/>
      <sheetName val="Fixed_Assets1"/>
      <sheetName val="Sheet_21"/>
      <sheetName val="Key_assumption1"/>
      <sheetName val="MN_T_B_1"/>
      <sheetName val="INDIGINEOUS_ITEMS_1"/>
      <sheetName val="Apartments_-_1st_Mar1"/>
      <sheetName val="1_Market1"/>
      <sheetName val="Material_List_1"/>
      <sheetName val="STAFFSCHED_1"/>
      <sheetName val="Fee_Rate_Summary1"/>
      <sheetName val="Main_School_Building1"/>
      <sheetName val="Sheet3_(2)8"/>
      <sheetName val="%_Collection_Schedule3"/>
      <sheetName val="Rate_Analysis4"/>
      <sheetName val="Estimate_for_approval8"/>
      <sheetName val="E_&amp;_R4"/>
      <sheetName val="Earnings_model4"/>
      <sheetName val="Stacking_Plan_&amp;_LEP3"/>
      <sheetName val="Materials_Cost(PCC)3"/>
      <sheetName val="Excess_Calc3"/>
      <sheetName val="beam-reinft-IIInd_floor3"/>
      <sheetName val="SPT_vs_PHI3"/>
      <sheetName val="Materials_Cost3"/>
      <sheetName val="beam-reinft-machine_rm3"/>
      <sheetName val="Grouping_Master3"/>
      <sheetName val="Commission_and_Volume_MOM(Char3"/>
      <sheetName val="A5_201_Consol_Profit_&amp;_Loss_3"/>
      <sheetName val="Consolidated_Monthly3"/>
      <sheetName val="Balance_Sheet3"/>
      <sheetName val="A5_202_Consol_Balance_Sheet_3"/>
      <sheetName val="Fixed_Assets3"/>
      <sheetName val="Sheet_23"/>
      <sheetName val="Key_assumption3"/>
      <sheetName val="MN_T_B_3"/>
      <sheetName val="INDIGINEOUS_ITEMS_3"/>
      <sheetName val="Apartments_-_1st_Mar3"/>
      <sheetName val="1_Market3"/>
      <sheetName val="Material_List_3"/>
      <sheetName val="STAFFSCHED_3"/>
      <sheetName val="Fee_Rate_Summary3"/>
      <sheetName val="Main_School_Building3"/>
      <sheetName val="Note 9-13"/>
      <sheetName val="Sukuki_CDR"/>
      <sheetName val="priority_analysis"/>
      <sheetName val="standards_trend"/>
      <sheetName val="service_timing"/>
      <sheetName val="Product_Problems"/>
      <sheetName val="score_trends"/>
      <sheetName val="Fix_it_First_Time"/>
      <sheetName val="Sample_India"/>
      <sheetName val="Sample_Indo"/>
      <sheetName val="Sample_MY"/>
      <sheetName val="Sample_PH"/>
      <sheetName val="Sample_TH"/>
      <sheetName val="April'00"/>
      <sheetName val="gen ledger data"/>
      <sheetName val="DF"/>
      <sheetName val="pcQueryData"/>
      <sheetName val="_pcSlicerSheet1"/>
      <sheetName val="Rate analysis civil"/>
      <sheetName val="RA-markate"/>
      <sheetName val="opstat"/>
      <sheetName val="costs"/>
      <sheetName val="PROCTOR"/>
      <sheetName val="ANAL"/>
      <sheetName val="Basic Rate"/>
      <sheetName val="INFLUENCES ON GM"/>
      <sheetName val="ADD092001_Final"/>
      <sheetName val="TBEAM"/>
      <sheetName val="csd1"/>
      <sheetName val="csd2"/>
      <sheetName val="SAP EMP"/>
      <sheetName val="DIVBUD99"/>
      <sheetName val="Elect."/>
      <sheetName val="glsrpt129909e"/>
      <sheetName val="RF Vol"/>
      <sheetName val="ASP"/>
      <sheetName val="Ins_&amp;_Bonds"/>
      <sheetName val="Labour_Rate_"/>
      <sheetName val="Source_Ref_"/>
      <sheetName val="vb_9&amp;10"/>
      <sheetName val="입찰내역_발주처_양식"/>
      <sheetName val="Direct_cost_shed_A-2_"/>
      <sheetName val="check"/>
      <sheetName val="main1"/>
      <sheetName val="2nd "/>
      <sheetName val="Names&amp;Cases"/>
      <sheetName val="A.O.R."/>
      <sheetName val="Boq"/>
      <sheetName val="TBAL9697 -group wise  sdpl"/>
      <sheetName val="WBS"/>
      <sheetName val="Dep - SAP"/>
      <sheetName val="Project Budget Worksheet"/>
      <sheetName val="Builtup Area"/>
      <sheetName val="RF_Vol"/>
      <sheetName val="Annex - 8"/>
      <sheetName val="6 TRS"/>
      <sheetName val="PM"/>
      <sheetName val="validation"/>
      <sheetName val="Chembur_1"/>
      <sheetName val="Felix_Street_Summary"/>
      <sheetName val="FY16-17_Cashflow"/>
      <sheetName val="GrossMgn_98"/>
      <sheetName val="TRX_ADDITION"/>
      <sheetName val="TDS_Certificate-Format"/>
      <sheetName val="Income_Statements"/>
      <sheetName val="CTbe_tong"/>
      <sheetName val="CTDZ_0_4+cto"/>
      <sheetName val="_"/>
      <sheetName val="450_x_350"/>
      <sheetName val="Fill_this_out_first___"/>
      <sheetName val="Approved_MTD_Proj_#'s"/>
      <sheetName val="Customize_Your_Purchase_Order"/>
      <sheetName val="RATE_ANALYSIS_"/>
      <sheetName val="Raw_DCF"/>
      <sheetName val="Sch_1,2,3"/>
      <sheetName val="Sch_14,15,16"/>
      <sheetName val="profit_&amp;_loss_account"/>
      <sheetName val="Movement_of_Mutual_Funds"/>
      <sheetName val="Mix_Design"/>
      <sheetName val="_Vivante_MAIN__INFRA__MAR_18"/>
      <sheetName val="Current_Bill_MB_ref"/>
      <sheetName val="Form_6"/>
      <sheetName val="M-Book_for_Conc"/>
      <sheetName val="M-Book_for_FW"/>
      <sheetName val="Schedules_PL"/>
      <sheetName val="Schedules_BS"/>
      <sheetName val="RA_1"/>
      <sheetName val="Outline_Cost_-_Five_star_Hotel"/>
      <sheetName val="CC_APR04"/>
      <sheetName val="CC_MAY04"/>
      <sheetName val="CC_JUNE04"/>
      <sheetName val="LIFE_&amp;_REP_PROVN"/>
      <sheetName val="O&amp;M_CREW"/>
      <sheetName val="Headings"/>
      <sheetName val="Cap"/>
      <sheetName val="C_flow 95"/>
      <sheetName val="1201"/>
      <sheetName val="Capital leases"/>
      <sheetName val="FA TB 28-2-2006"/>
      <sheetName val="data 3A|6A"/>
      <sheetName val="B"/>
      <sheetName val="All Components Report"/>
      <sheetName val="Severity"/>
      <sheetName val="Assum"/>
      <sheetName val="TB WORLI"/>
      <sheetName val="TB APJ"/>
      <sheetName val="H.O."/>
      <sheetName val="Oct'19-Feb'20 base file"/>
      <sheetName val="Mar'20-base file"/>
      <sheetName val="April'20-Dec'20 Base File"/>
      <sheetName val="BUDLDD"/>
      <sheetName val="ICB"/>
      <sheetName val="wacc"/>
      <sheetName val="wdr bldg"/>
      <sheetName val="Admin "/>
      <sheetName val="Recovered_Sheet4"/>
      <sheetName val="Recovered_Sheet36"/>
      <sheetName val="Recovered_Sheet37"/>
      <sheetName val="Recovered_Sheet30"/>
      <sheetName val="Recovered_Sheet10"/>
      <sheetName val="Recovered_Sheet13"/>
      <sheetName val="Recovered_Sheet19"/>
      <sheetName val="Recovered_Sheet28"/>
      <sheetName val="Recovered_Sheet20"/>
      <sheetName val="Recovered_Sheet21"/>
      <sheetName val="Recovered_Sheet22"/>
      <sheetName val="Recovered_Sheet17"/>
      <sheetName val="Recovered_Sheet39"/>
      <sheetName val="Recovered_Sheet35"/>
      <sheetName val="Recovered_Sheet40"/>
      <sheetName val="Recovered_Sheet1"/>
      <sheetName val="Recovered_Sheet31"/>
      <sheetName val="Recovered_Sheet14"/>
      <sheetName val="Recovered_Sheet38"/>
      <sheetName val="Recovered_Sheet27"/>
      <sheetName val="Recovered_Sheet32"/>
      <sheetName val="Recovered_Sheet6"/>
      <sheetName val="Recovered_Sheet5"/>
      <sheetName val="Recovered_Sheet3"/>
      <sheetName val="Recovered_Sheet18"/>
      <sheetName val="rent paid details"/>
      <sheetName val="DGP-2002"/>
      <sheetName val="Provision base"/>
      <sheetName val="D.D"/>
      <sheetName val="Assmp"/>
      <sheetName val="BS-R"/>
      <sheetName val="Billing"/>
      <sheetName val="MNP"/>
      <sheetName val="ITT-R"/>
      <sheetName val="BSSchedules"/>
      <sheetName val="Labor abs-NMR"/>
      <sheetName val="_REF"/>
      <sheetName val="MASTER_RATE ANALYSIS"/>
      <sheetName val="Data Summary"/>
      <sheetName val="IO"/>
      <sheetName val="SCH4"/>
      <sheetName val="31 July 200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refreshError="1"/>
      <sheetData sheetId="548"/>
      <sheetData sheetId="549"/>
      <sheetData sheetId="550"/>
      <sheetData sheetId="551"/>
      <sheetData sheetId="552"/>
      <sheetData sheetId="553"/>
      <sheetData sheetId="554"/>
      <sheetData sheetId="555"/>
      <sheetData sheetId="556"/>
      <sheetData sheetId="557"/>
      <sheetData sheetId="558"/>
      <sheetData sheetId="559"/>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sheetData sheetId="601" refreshError="1"/>
      <sheetData sheetId="602" refreshError="1"/>
      <sheetData sheetId="603" refreshError="1"/>
      <sheetData sheetId="604" refreshError="1"/>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sheetData sheetId="70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atabase"/>
      <sheetName val="Trading Data"/>
      <sheetName val="Trading Update"/>
      <sheetName val="Sheet3"/>
      <sheetName val="9-Jan-96"/>
      <sheetName val="Bogus Links"/>
      <sheetName val="JrData"/>
      <sheetName val="#REF"/>
      <sheetName val="Output"/>
      <sheetName val="Candidate CDN"/>
      <sheetName val="Sheet2"/>
      <sheetName val="Data"/>
      <sheetName val="NAV bpg"/>
      <sheetName val="PV Data"/>
      <sheetName val="GAS (C$ 6-1 Gross) "/>
      <sheetName val=" US co HP"/>
      <sheetName val="Production"/>
      <sheetName val="Database2"/>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ME inventories"/>
      <sheetName val="US alu consumption"/>
      <sheetName val="Sheet3"/>
    </sheetNames>
    <sheetDataSet>
      <sheetData sheetId="0" refreshError="1"/>
      <sheetData sheetId="1"/>
      <sheetData sheetId="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row r="3">
          <cell r="A3">
            <v>36556</v>
          </cell>
        </row>
      </sheetData>
      <sheetData sheetId="1" refreshError="1"/>
      <sheetData sheetId="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GAS (C$ 10-1 Gross)"/>
      <sheetName val="GAS (C$ 6-1 Gross)"/>
      <sheetName val="Graph Data"/>
      <sheetName val="RLI-FWD Prod'n (10-1)"/>
      <sheetName val="RLI-FWD Prod'n (6-1)"/>
      <sheetName val="RLI-Current Prod'n (10-1)"/>
      <sheetName val="RLI-Current Prod'n (6-1)"/>
      <sheetName val="RLI-Reserves (10-1)"/>
      <sheetName val="RLI-Reserves (6-1)"/>
      <sheetName val="VAP"/>
      <sheetName val="special for Drew"/>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sheetData sheetId="1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1-2"/>
      <sheetName val="fig3"/>
      <sheetName val="fig16-17"/>
      <sheetName val="fig21"/>
      <sheetName val="fig24"/>
      <sheetName val="fig32"/>
      <sheetName val="implied nos"/>
      <sheetName val="Index Data"/>
      <sheetName val="G-sec"/>
      <sheetName val="Earnings discounting"/>
      <sheetName val="DDM"/>
      <sheetName val="dividend"/>
      <sheetName val="all prices"/>
      <sheetName val="I2Z"/>
      <sheetName val="A2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3">
          <cell r="AZ3">
            <v>34427</v>
          </cell>
          <cell r="BC3">
            <v>34427</v>
          </cell>
          <cell r="BF3">
            <v>34427</v>
          </cell>
          <cell r="BI3">
            <v>34427</v>
          </cell>
          <cell r="BU3">
            <v>34427</v>
          </cell>
          <cell r="BX3">
            <v>34427</v>
          </cell>
        </row>
        <row r="4">
          <cell r="BL4">
            <v>34434</v>
          </cell>
        </row>
        <row r="311">
          <cell r="BO311">
            <v>36583</v>
          </cell>
        </row>
      </sheetData>
      <sheetData sheetId="14" refreshError="1">
        <row r="305">
          <cell r="BI305">
            <v>36541</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bu biiling"/>
      <sheetName val="pac.1"/>
      <sheetName val="pac-ii"/>
      <sheetName val="dn singh"/>
      <sheetName val="excise refund"/>
      <sheetName val="excise-i"/>
      <sheetName val="excise-ii"/>
      <sheetName val="excise.iii"/>
      <sheetName val="dn singh-i"/>
      <sheetName val="erection bill"/>
      <sheetName val="Sheet19"/>
      <sheetName val="Sheet3"/>
      <sheetName val="mspares-bm"/>
      <sheetName val="star"/>
      <sheetName val="buget-i"/>
      <sheetName val="Sheet24"/>
      <sheetName val="erection-p"/>
      <sheetName val="list bm 1.4.99"/>
      <sheetName val="bbu.valve"/>
      <sheetName val="Sheet2"/>
      <sheetName val="Sheet28"/>
      <sheetName val="INFLOW _ OUTFLO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dition I.TAX"/>
      <sheetName val="addition"/>
      <sheetName val="YTD"/>
      <sheetName val="SUMMARY"/>
      <sheetName val="Assumptions US-Rev"/>
      <sheetName val="tables"/>
      <sheetName val="coa_ramco_168"/>
      <sheetName val="5(a)"/>
      <sheetName val="AG00060"/>
      <sheetName val="Assumptions"/>
      <sheetName val="Capex - Hry"/>
      <sheetName val="FORM-16"/>
      <sheetName val="Data"/>
      <sheetName val="Lead"/>
      <sheetName val="Fill this out first..."/>
      <sheetName val="Sheet2"/>
      <sheetName val="addition_I_TAX1"/>
      <sheetName val="addition_I_TAX"/>
      <sheetName val="TB APJ"/>
      <sheetName val="Purchase Order"/>
      <sheetName val="Directors"/>
      <sheetName val="Setting"/>
      <sheetName val="ScheduleE 0607"/>
      <sheetName val="FX Rate - Current Month Rates"/>
      <sheetName val="ICICI &amp; TMBL interest"/>
      <sheetName val="Pur"/>
      <sheetName val="Cash Flow-WSL Base Fcst"/>
      <sheetName val="Balancesheet"/>
      <sheetName val="dec01"/>
      <sheetName val="Volumes"/>
      <sheetName val="Material"/>
      <sheetName val="Reference"/>
      <sheetName val="USA"/>
      <sheetName val="WKSHEET"/>
      <sheetName val="CHANGES"/>
      <sheetName val="sapactivexlhiddensheet"/>
      <sheetName val="koersen"/>
      <sheetName val="SUM-wdv"/>
      <sheetName val="Settings"/>
      <sheetName val="IS01"/>
      <sheetName val="Improvements"/>
      <sheetName val="TRIAL BALANCE"/>
      <sheetName val="Page 2"/>
      <sheetName val="IE CWKT"/>
      <sheetName val="PL"/>
      <sheetName val="working"/>
      <sheetName val="Subscription"/>
      <sheetName val="4219020-SIE Advert"/>
      <sheetName val="Dont Alter"/>
      <sheetName val="Power &amp; Fuel (S)"/>
      <sheetName val="8-Liabilities"/>
      <sheetName val="INPUT"/>
      <sheetName val="Original format"/>
      <sheetName val="Material "/>
      <sheetName val="Labour &amp; Plant"/>
      <sheetName val="Rate Analysis"/>
      <sheetName val="form26"/>
      <sheetName val="bba"/>
      <sheetName val="Masters"/>
      <sheetName val="BAL RAW BS"/>
      <sheetName val="#REF"/>
      <sheetName val="Feb'10"/>
      <sheetName val="Power_&amp;_Fuel_(S)"/>
      <sheetName val="A91_97"/>
      <sheetName val="Deduction_and_Rebate"/>
      <sheetName val="words"/>
      <sheetName val="analysis"/>
      <sheetName val="BUDGET"/>
      <sheetName val="Tender Summary"/>
      <sheetName val="BOQ (2)"/>
    </sheetNames>
    <sheetDataSet>
      <sheetData sheetId="0" refreshError="1"/>
      <sheetData sheetId="1" refreshError="1"/>
      <sheetData sheetId="2" refreshError="1">
        <row r="2653">
          <cell r="A2653">
            <v>1</v>
          </cell>
        </row>
        <row r="2654">
          <cell r="A2654">
            <v>2</v>
          </cell>
        </row>
        <row r="2655">
          <cell r="A2655">
            <v>3</v>
          </cell>
        </row>
        <row r="2656">
          <cell r="A2656">
            <v>4</v>
          </cell>
        </row>
        <row r="2657">
          <cell r="A2657">
            <v>5</v>
          </cell>
        </row>
        <row r="2658">
          <cell r="A2658">
            <v>6</v>
          </cell>
        </row>
        <row r="2659">
          <cell r="A2659">
            <v>7</v>
          </cell>
        </row>
        <row r="2660">
          <cell r="A2660">
            <v>8</v>
          </cell>
        </row>
        <row r="2661">
          <cell r="A2661">
            <v>9</v>
          </cell>
        </row>
        <row r="2662">
          <cell r="A2662">
            <v>10</v>
          </cell>
        </row>
        <row r="2663">
          <cell r="A2663">
            <v>11</v>
          </cell>
        </row>
        <row r="2664">
          <cell r="A2664">
            <v>12</v>
          </cell>
        </row>
        <row r="2665">
          <cell r="A2665">
            <v>13</v>
          </cell>
        </row>
        <row r="2666">
          <cell r="A2666">
            <v>14</v>
          </cell>
        </row>
        <row r="2667">
          <cell r="A2667">
            <v>15</v>
          </cell>
        </row>
        <row r="2668">
          <cell r="A2668">
            <v>16</v>
          </cell>
        </row>
        <row r="2669">
          <cell r="A2669">
            <v>17</v>
          </cell>
        </row>
        <row r="2670">
          <cell r="A2670">
            <v>18</v>
          </cell>
        </row>
        <row r="2671">
          <cell r="A2671">
            <v>19</v>
          </cell>
        </row>
        <row r="2672">
          <cell r="A2672">
            <v>20</v>
          </cell>
        </row>
        <row r="2674">
          <cell r="A2674">
            <v>21</v>
          </cell>
        </row>
        <row r="2675">
          <cell r="A2675">
            <v>22</v>
          </cell>
        </row>
        <row r="2676">
          <cell r="A2676">
            <v>23</v>
          </cell>
        </row>
        <row r="2677">
          <cell r="A2677">
            <v>24</v>
          </cell>
        </row>
        <row r="2678">
          <cell r="A2678">
            <v>25</v>
          </cell>
        </row>
        <row r="2680">
          <cell r="A2680">
            <v>26</v>
          </cell>
        </row>
        <row r="2681">
          <cell r="A2681">
            <v>27</v>
          </cell>
        </row>
        <row r="2682">
          <cell r="A2682">
            <v>28</v>
          </cell>
        </row>
        <row r="2683">
          <cell r="A2683">
            <v>29</v>
          </cell>
        </row>
        <row r="2684">
          <cell r="A2684">
            <v>30</v>
          </cell>
        </row>
        <row r="2685">
          <cell r="A2685">
            <v>31</v>
          </cell>
        </row>
        <row r="2686">
          <cell r="A2686">
            <v>32</v>
          </cell>
        </row>
        <row r="2687">
          <cell r="A2687">
            <v>33</v>
          </cell>
        </row>
        <row r="2688">
          <cell r="A2688">
            <v>34</v>
          </cell>
        </row>
        <row r="2689">
          <cell r="A2689">
            <v>35</v>
          </cell>
        </row>
        <row r="2690">
          <cell r="A2690">
            <v>36</v>
          </cell>
        </row>
        <row r="2691">
          <cell r="A2691">
            <v>37</v>
          </cell>
        </row>
        <row r="2692">
          <cell r="A2692">
            <v>38</v>
          </cell>
        </row>
        <row r="2694">
          <cell r="A2694">
            <v>39</v>
          </cell>
        </row>
        <row r="2695">
          <cell r="A2695">
            <v>40</v>
          </cell>
        </row>
        <row r="2696">
          <cell r="A2696">
            <v>41</v>
          </cell>
        </row>
        <row r="2697">
          <cell r="A2697">
            <v>42</v>
          </cell>
        </row>
        <row r="2698">
          <cell r="A2698">
            <v>43</v>
          </cell>
        </row>
        <row r="2699">
          <cell r="A2699">
            <v>44</v>
          </cell>
        </row>
        <row r="2700">
          <cell r="A2700">
            <v>45</v>
          </cell>
        </row>
        <row r="2701">
          <cell r="A2701">
            <v>46</v>
          </cell>
        </row>
        <row r="2702">
          <cell r="A2702">
            <v>47</v>
          </cell>
        </row>
        <row r="2703">
          <cell r="A2703">
            <v>48</v>
          </cell>
        </row>
        <row r="2704">
          <cell r="A2704">
            <v>49</v>
          </cell>
        </row>
        <row r="2705">
          <cell r="A2705">
            <v>50</v>
          </cell>
        </row>
        <row r="2706">
          <cell r="A2706">
            <v>51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sheetData sheetId="55" refreshError="1"/>
      <sheetData sheetId="56" refreshError="1"/>
      <sheetData sheetId="57" refreshError="1"/>
      <sheetData sheetId="58" refreshError="1"/>
      <sheetData sheetId="59" refreshError="1"/>
      <sheetData sheetId="60" refreshError="1"/>
      <sheetData sheetId="61" refreshError="1"/>
      <sheetData sheetId="62"/>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 val="PL"/>
      <sheetName val="S-01-04"/>
      <sheetName val="S-05"/>
      <sheetName val="S-06-08"/>
      <sheetName val="S-09-11"/>
      <sheetName val="S-12-14"/>
      <sheetName val="S-15-17"/>
      <sheetName val="S-18-19"/>
      <sheetName val="AS 3"/>
      <sheetName val="GP-BS"/>
      <sheetName val="GP-PL"/>
      <sheetName val="PL-I "/>
      <sheetName val="QTY INFMN"/>
      <sheetName val="ABSTRACT"/>
      <sheetName val="W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mit2"/>
      <sheetName val="Limit1"/>
      <sheetName val="CostBrk"/>
      <sheetName val="Assump"/>
      <sheetName val="Assumptions"/>
      <sheetName val="Loan_Int Cal"/>
      <sheetName val="Op. Stat."/>
      <sheetName val="WC Assess"/>
      <sheetName val="MPBF"/>
      <sheetName val="BalSht"/>
      <sheetName val="Ratios"/>
      <sheetName val="FundFlw"/>
      <sheetName val="BS_P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isions"/>
      <sheetName val="korba"/>
      <sheetName val="trial bal(3)"/>
      <sheetName val="GROUPING"/>
      <sheetName val="misgrouping"/>
      <sheetName val="NOVexp"/>
      <sheetName val="accdec"/>
      <sheetName val="P&amp;L"/>
      <sheetName val="liabilities"/>
      <sheetName val="bs"/>
      <sheetName val="inventory"/>
      <sheetName val="SCHD BALSHEET"/>
      <sheetName val="TRIAL BAL"/>
      <sheetName val="All-Fab"/>
      <sheetName val="trial_bal(3)"/>
      <sheetName val="SCHD_BALSHEET"/>
      <sheetName val="TRIAL_BAL"/>
      <sheetName val="PUR"/>
      <sheetName val="Sheet3"/>
      <sheetName val="Goa+Orissa"/>
      <sheetName val="Links"/>
      <sheetName val="Confirm order"/>
      <sheetName val="operational performance power"/>
      <sheetName val="CONTANGO"/>
      <sheetName val="INDEX"/>
      <sheetName val="Detail_Apr"/>
      <sheetName val="Sum_Exp Delta"/>
      <sheetName val="month"/>
      <sheetName val="PRMT"/>
      <sheetName val="Control Tab"/>
      <sheetName val="NPV Calculations"/>
      <sheetName val="PRM"/>
      <sheetName val="Sum_Exp_Delta"/>
      <sheetName val="Control_Tab"/>
      <sheetName val="NPV_Calculations"/>
      <sheetName val="LedgerBudget"/>
      <sheetName val="Database"/>
      <sheetName val="P_UTL."/>
      <sheetName val="BASIS"/>
      <sheetName val="FG_DEC-00"/>
      <sheetName val="PPC_DTY"/>
      <sheetName val="RM"/>
      <sheetName val="Assmp"/>
      <sheetName val="Note"/>
      <sheetName val="OCT-2001"/>
      <sheetName val="LAPOR"/>
      <sheetName val="dbase_mc_utl_dty"/>
      <sheetName val="Cont_ Detail"/>
      <sheetName val="Cont_ Detail _2_"/>
      <sheetName val="8"/>
      <sheetName val="11"/>
      <sheetName val="12"/>
      <sheetName val="15"/>
      <sheetName val="51"/>
      <sheetName val="2"/>
      <sheetName val="Costing"/>
      <sheetName val="PROD SUMMARY-Jan 2011"/>
      <sheetName val="FG"/>
      <sheetName val="PRMT-04"/>
      <sheetName val="PRMT-11"/>
      <sheetName val="EXPENSES"/>
      <sheetName val="3A FA Record"/>
      <sheetName val="2266957"/>
      <sheetName val="DPT-PW"/>
      <sheetName val="DESIG"/>
      <sheetName val="compu(format)"/>
      <sheetName val="単体SGA"/>
      <sheetName val="TRX ADDITION"/>
      <sheetName val="trial_bal(3)1"/>
      <sheetName val="SCHD_BALSHEET1"/>
      <sheetName val="TRIAL_BAL1"/>
      <sheetName val="Confirm_order"/>
      <sheetName val="operational_performance_power"/>
      <sheetName val="Sum_Exp_Delta1"/>
      <sheetName val="Control_Tab1"/>
      <sheetName val="NPV_Calculations1"/>
      <sheetName val="P_UTL_"/>
      <sheetName val="Cont__Detail"/>
      <sheetName val="Cont__Detail__2_"/>
      <sheetName val="PROD_SUMMARY-Jan_2011"/>
      <sheetName val="3A_FA_Record"/>
      <sheetName val="DGR"/>
      <sheetName val="DR New"/>
      <sheetName val="DGR-NEW"/>
      <sheetName val="INPUT"/>
      <sheetName val="Daily report"/>
      <sheetName val="daily SHR"/>
      <sheetName val="Gen Loss Report"/>
      <sheetName val="HFO"/>
      <sheetName val="DESIGN SHR"/>
      <sheetName val="ABT reading"/>
      <sheetName val="Coal"/>
      <sheetName val="Data"/>
      <sheetName val="Data 2"/>
      <sheetName val="HFO-NEW"/>
      <sheetName val="Water &amp; Steam"/>
      <sheetName val="Report"/>
      <sheetName val="SHR - bunker lvl adjustment"/>
      <sheetName val="HSD-NEW"/>
      <sheetName val="LDO-NEW"/>
      <sheetName val="LDO"/>
      <sheetName val="HSD"/>
      <sheetName val="Remarks "/>
      <sheetName val="Sheet2"/>
      <sheetName val="Energy meter MF"/>
      <sheetName val="Sheet1"/>
      <sheetName val="____"/>
      <sheetName val="A"/>
      <sheetName val="CATV_E"/>
      <sheetName val="Presentation"/>
      <sheetName val="P &amp; L "/>
      <sheetName val="Mateiral03"/>
      <sheetName val="Dealer Sales"/>
      <sheetName val="C-1(WIP)"/>
      <sheetName val="Feriados"/>
      <sheetName val="GAS"/>
      <sheetName val="Plan1"/>
      <sheetName val="P_&amp;_L_"/>
      <sheetName val="10-1 Media"/>
      <sheetName val="10-cut"/>
      <sheetName val="bsnov01corr"/>
      <sheetName val="Home"/>
      <sheetName val="Daily"/>
      <sheetName val="Monthly"/>
      <sheetName val="Yearly"/>
      <sheetName val="Others"/>
      <sheetName val="NOA Data"/>
      <sheetName val="Global assumptions"/>
      <sheetName val="General"/>
      <sheetName val="Co. Snapshot"/>
      <sheetName val="Details"/>
      <sheetName val="Break up of RMcost"/>
      <sheetName val="PRODREV"/>
      <sheetName val="IO"/>
      <sheetName val="Jan 07 - MAR 07"/>
      <sheetName val="Summary "/>
      <sheetName val="ST"/>
      <sheetName val="cell rel"/>
      <sheetName val="5000"/>
      <sheetName val="Joint Cost"/>
      <sheetName val="Detail"/>
      <sheetName val="Raw Material"/>
      <sheetName val="Quantity"/>
      <sheetName val="10"/>
      <sheetName val="Export Sales"/>
      <sheetName val="Domestic Sales"/>
      <sheetName val="ChickOrder"/>
      <sheetName val="  Price formula"/>
      <sheetName val="Contol Sheet"/>
      <sheetName val="Preside"/>
      <sheetName val="YTD"/>
      <sheetName val="Different Dates"/>
      <sheetName val="Exp."/>
    </sheetNames>
    <sheetDataSet>
      <sheetData sheetId="0">
        <row r="444">
          <cell r="F444" t="str">
            <v>-</v>
          </cell>
        </row>
      </sheetData>
      <sheetData sheetId="1">
        <row r="444">
          <cell r="F444" t="str">
            <v>-</v>
          </cell>
        </row>
      </sheetData>
      <sheetData sheetId="2">
        <row r="444">
          <cell r="F444" t="str">
            <v>-</v>
          </cell>
        </row>
      </sheetData>
      <sheetData sheetId="3" refreshError="1">
        <row r="444">
          <cell r="F444" t="str">
            <v>-</v>
          </cell>
        </row>
        <row r="445">
          <cell r="F445">
            <v>0</v>
          </cell>
        </row>
        <row r="446">
          <cell r="F446" t="str">
            <v>-</v>
          </cell>
        </row>
        <row r="450">
          <cell r="B450" t="str">
            <v>0201</v>
          </cell>
          <cell r="F450">
            <v>0</v>
          </cell>
        </row>
        <row r="451">
          <cell r="B451" t="str">
            <v>0301</v>
          </cell>
        </row>
        <row r="452">
          <cell r="B452" t="str">
            <v>0301</v>
          </cell>
          <cell r="F452">
            <v>0</v>
          </cell>
        </row>
        <row r="453">
          <cell r="B453" t="str">
            <v>0202</v>
          </cell>
        </row>
        <row r="454">
          <cell r="B454" t="str">
            <v/>
          </cell>
          <cell r="F454" t="str">
            <v>-</v>
          </cell>
        </row>
        <row r="455">
          <cell r="F455">
            <v>0</v>
          </cell>
        </row>
        <row r="456">
          <cell r="F456" t="str">
            <v>-</v>
          </cell>
        </row>
        <row r="459">
          <cell r="F459">
            <v>0</v>
          </cell>
        </row>
        <row r="461">
          <cell r="F461" t="str">
            <v>-</v>
          </cell>
        </row>
        <row r="462">
          <cell r="F462">
            <v>0</v>
          </cell>
        </row>
        <row r="463">
          <cell r="F463" t="str">
            <v>-</v>
          </cell>
        </row>
        <row r="469">
          <cell r="F469">
            <v>0</v>
          </cell>
        </row>
        <row r="470">
          <cell r="F470" t="str">
            <v>-</v>
          </cell>
        </row>
        <row r="471">
          <cell r="F471">
            <v>0</v>
          </cell>
        </row>
        <row r="472">
          <cell r="F472" t="str">
            <v>-</v>
          </cell>
        </row>
        <row r="476">
          <cell r="B476" t="str">
            <v>0603</v>
          </cell>
          <cell r="F476">
            <v>0</v>
          </cell>
        </row>
        <row r="477">
          <cell r="B477" t="str">
            <v>0823</v>
          </cell>
        </row>
        <row r="478">
          <cell r="F478" t="str">
            <v>-</v>
          </cell>
        </row>
        <row r="479">
          <cell r="F479">
            <v>0</v>
          </cell>
        </row>
        <row r="480">
          <cell r="F480" t="str">
            <v>=</v>
          </cell>
        </row>
        <row r="485">
          <cell r="B485" t="str">
            <v>0601</v>
          </cell>
        </row>
        <row r="486">
          <cell r="B486" t="str">
            <v>0602</v>
          </cell>
        </row>
        <row r="487">
          <cell r="B487" t="str">
            <v>0604</v>
          </cell>
          <cell r="F487">
            <v>0</v>
          </cell>
        </row>
        <row r="488">
          <cell r="B488" t="str">
            <v>0605</v>
          </cell>
          <cell r="F488">
            <v>0</v>
          </cell>
        </row>
        <row r="489">
          <cell r="B489" t="str">
            <v>0606</v>
          </cell>
          <cell r="F489">
            <v>0</v>
          </cell>
        </row>
        <row r="491">
          <cell r="B491" t="str">
            <v>0607</v>
          </cell>
          <cell r="F491">
            <v>0</v>
          </cell>
        </row>
        <row r="493">
          <cell r="B493" t="str">
            <v>0608</v>
          </cell>
        </row>
        <row r="494">
          <cell r="B494">
            <v>616</v>
          </cell>
          <cell r="F494">
            <v>0</v>
          </cell>
        </row>
        <row r="495">
          <cell r="B495" t="str">
            <v>0610</v>
          </cell>
          <cell r="F495">
            <v>0</v>
          </cell>
        </row>
        <row r="496">
          <cell r="B496" t="str">
            <v>0612</v>
          </cell>
          <cell r="F496">
            <v>0</v>
          </cell>
        </row>
        <row r="497">
          <cell r="B497" t="str">
            <v>0613</v>
          </cell>
          <cell r="F497">
            <v>0</v>
          </cell>
        </row>
        <row r="499">
          <cell r="B499" t="str">
            <v>0614</v>
          </cell>
          <cell r="F499">
            <v>0</v>
          </cell>
        </row>
        <row r="500">
          <cell r="B500" t="str">
            <v/>
          </cell>
        </row>
        <row r="501">
          <cell r="B501" t="str">
            <v>0801</v>
          </cell>
          <cell r="F501">
            <v>0</v>
          </cell>
        </row>
        <row r="502">
          <cell r="B502" t="str">
            <v>0802</v>
          </cell>
          <cell r="F502">
            <v>0</v>
          </cell>
        </row>
        <row r="503">
          <cell r="B503" t="str">
            <v>0804</v>
          </cell>
          <cell r="F503">
            <v>0</v>
          </cell>
        </row>
        <row r="504">
          <cell r="B504" t="str">
            <v>0808</v>
          </cell>
          <cell r="F504">
            <v>0</v>
          </cell>
        </row>
        <row r="505">
          <cell r="B505" t="str">
            <v>0809</v>
          </cell>
        </row>
        <row r="506">
          <cell r="B506" t="str">
            <v>0810</v>
          </cell>
          <cell r="F506">
            <v>0</v>
          </cell>
        </row>
        <row r="507">
          <cell r="B507" t="str">
            <v>0811</v>
          </cell>
          <cell r="F507">
            <v>0</v>
          </cell>
        </row>
        <row r="508">
          <cell r="B508" t="str">
            <v>0822</v>
          </cell>
          <cell r="F508">
            <v>0</v>
          </cell>
        </row>
        <row r="509">
          <cell r="B509" t="str">
            <v>0823</v>
          </cell>
        </row>
        <row r="510">
          <cell r="B510" t="str">
            <v>0825</v>
          </cell>
          <cell r="F510">
            <v>0</v>
          </cell>
        </row>
        <row r="511">
          <cell r="B511" t="str">
            <v>0829</v>
          </cell>
          <cell r="F511">
            <v>0</v>
          </cell>
        </row>
        <row r="512">
          <cell r="B512" t="str">
            <v>0835</v>
          </cell>
          <cell r="F512">
            <v>0</v>
          </cell>
        </row>
        <row r="513">
          <cell r="B513" t="str">
            <v>0844</v>
          </cell>
          <cell r="F513">
            <v>0</v>
          </cell>
        </row>
        <row r="514">
          <cell r="B514" t="str">
            <v>0850</v>
          </cell>
          <cell r="F514">
            <v>0</v>
          </cell>
        </row>
        <row r="515">
          <cell r="B515" t="str">
            <v>0408</v>
          </cell>
          <cell r="F515">
            <v>0</v>
          </cell>
        </row>
        <row r="516">
          <cell r="B516" t="str">
            <v>0812</v>
          </cell>
          <cell r="F516">
            <v>0</v>
          </cell>
        </row>
        <row r="517">
          <cell r="B517" t="str">
            <v/>
          </cell>
          <cell r="F517" t="str">
            <v>-</v>
          </cell>
        </row>
        <row r="518">
          <cell r="F518">
            <v>0</v>
          </cell>
        </row>
        <row r="519">
          <cell r="B519" t="str">
            <v/>
          </cell>
          <cell r="F519" t="str">
            <v>=</v>
          </cell>
        </row>
        <row r="522">
          <cell r="B522" t="str">
            <v>0701</v>
          </cell>
        </row>
        <row r="524">
          <cell r="B524" t="str">
            <v>0702</v>
          </cell>
          <cell r="F524">
            <v>0</v>
          </cell>
        </row>
        <row r="526">
          <cell r="B526" t="str">
            <v>0703</v>
          </cell>
        </row>
        <row r="527">
          <cell r="B527" t="str">
            <v>0704</v>
          </cell>
          <cell r="F527">
            <v>0</v>
          </cell>
        </row>
        <row r="528">
          <cell r="B528" t="str">
            <v>0705</v>
          </cell>
          <cell r="F528">
            <v>0</v>
          </cell>
        </row>
        <row r="529">
          <cell r="B529" t="str">
            <v>0706</v>
          </cell>
          <cell r="F529">
            <v>0</v>
          </cell>
        </row>
        <row r="530">
          <cell r="B530" t="str">
            <v>0707</v>
          </cell>
          <cell r="F530">
            <v>0</v>
          </cell>
        </row>
        <row r="531">
          <cell r="B531" t="str">
            <v>0708</v>
          </cell>
          <cell r="F531">
            <v>0</v>
          </cell>
        </row>
        <row r="532">
          <cell r="B532" t="str">
            <v>0711</v>
          </cell>
          <cell r="F532">
            <v>0</v>
          </cell>
        </row>
        <row r="533">
          <cell r="B533" t="str">
            <v>0713</v>
          </cell>
          <cell r="F533">
            <v>0</v>
          </cell>
        </row>
        <row r="534">
          <cell r="B534" t="str">
            <v>0716</v>
          </cell>
        </row>
        <row r="535">
          <cell r="B535" t="str">
            <v>0718</v>
          </cell>
        </row>
        <row r="536">
          <cell r="B536" t="str">
            <v>0719</v>
          </cell>
          <cell r="F536">
            <v>0</v>
          </cell>
        </row>
        <row r="537">
          <cell r="B537" t="str">
            <v/>
          </cell>
          <cell r="F537" t="str">
            <v>-</v>
          </cell>
        </row>
        <row r="538">
          <cell r="F538">
            <v>0</v>
          </cell>
        </row>
        <row r="539">
          <cell r="B539" t="str">
            <v/>
          </cell>
          <cell r="F539" t="str">
            <v>=</v>
          </cell>
        </row>
        <row r="543">
          <cell r="B543" t="str">
            <v>0405</v>
          </cell>
          <cell r="F543">
            <v>0</v>
          </cell>
        </row>
        <row r="544">
          <cell r="B544" t="str">
            <v>0406</v>
          </cell>
          <cell r="F544">
            <v>0</v>
          </cell>
        </row>
        <row r="545">
          <cell r="B545" t="str">
            <v>0407</v>
          </cell>
          <cell r="F545">
            <v>0</v>
          </cell>
        </row>
        <row r="546">
          <cell r="B546" t="str">
            <v/>
          </cell>
          <cell r="F546" t="str">
            <v>-</v>
          </cell>
        </row>
        <row r="547">
          <cell r="F547">
            <v>0</v>
          </cell>
        </row>
        <row r="548">
          <cell r="B548" t="str">
            <v/>
          </cell>
          <cell r="F548" t="str">
            <v>=</v>
          </cell>
        </row>
        <row r="552">
          <cell r="B552" t="str">
            <v>0404</v>
          </cell>
          <cell r="F552">
            <v>0</v>
          </cell>
        </row>
        <row r="553">
          <cell r="F553" t="str">
            <v>=</v>
          </cell>
        </row>
        <row r="560">
          <cell r="B560">
            <v>855</v>
          </cell>
        </row>
        <row r="561">
          <cell r="F561" t="str">
            <v>-</v>
          </cell>
        </row>
        <row r="562">
          <cell r="F562">
            <v>0</v>
          </cell>
        </row>
        <row r="563">
          <cell r="F563" t="str">
            <v>=</v>
          </cell>
        </row>
        <row r="570">
          <cell r="B570" t="str">
            <v>0803</v>
          </cell>
          <cell r="F570">
            <v>0</v>
          </cell>
        </row>
        <row r="571">
          <cell r="B571" t="str">
            <v>0805</v>
          </cell>
          <cell r="F571">
            <v>0</v>
          </cell>
        </row>
        <row r="572">
          <cell r="B572" t="str">
            <v>0806</v>
          </cell>
          <cell r="F572">
            <v>0</v>
          </cell>
        </row>
        <row r="574">
          <cell r="B574" t="str">
            <v>0807</v>
          </cell>
        </row>
        <row r="575">
          <cell r="B575">
            <v>0</v>
          </cell>
        </row>
        <row r="576">
          <cell r="B576" t="str">
            <v>0813</v>
          </cell>
          <cell r="F576">
            <v>0</v>
          </cell>
        </row>
        <row r="577">
          <cell r="B577" t="str">
            <v>0814</v>
          </cell>
          <cell r="F577">
            <v>0</v>
          </cell>
        </row>
        <row r="578">
          <cell r="B578" t="str">
            <v>0816</v>
          </cell>
          <cell r="F578">
            <v>0</v>
          </cell>
        </row>
        <row r="579">
          <cell r="B579" t="str">
            <v>0817</v>
          </cell>
          <cell r="F579">
            <v>0</v>
          </cell>
        </row>
        <row r="580">
          <cell r="B580" t="str">
            <v>0818</v>
          </cell>
          <cell r="F580">
            <v>0</v>
          </cell>
        </row>
        <row r="581">
          <cell r="B581" t="str">
            <v>0819</v>
          </cell>
          <cell r="F581">
            <v>0</v>
          </cell>
        </row>
        <row r="582">
          <cell r="B582" t="str">
            <v>0820</v>
          </cell>
        </row>
        <row r="583">
          <cell r="B583" t="str">
            <v>0821</v>
          </cell>
          <cell r="F583">
            <v>0</v>
          </cell>
        </row>
        <row r="584">
          <cell r="B584" t="str">
            <v>0824</v>
          </cell>
        </row>
        <row r="585">
          <cell r="B585" t="str">
            <v>0828</v>
          </cell>
          <cell r="F585">
            <v>0</v>
          </cell>
        </row>
        <row r="586">
          <cell r="B586" t="str">
            <v>0830</v>
          </cell>
        </row>
        <row r="587">
          <cell r="B587" t="str">
            <v>0831</v>
          </cell>
        </row>
        <row r="588">
          <cell r="B588" t="str">
            <v>0832</v>
          </cell>
        </row>
        <row r="589">
          <cell r="B589" t="str">
            <v>0833</v>
          </cell>
        </row>
        <row r="590">
          <cell r="B590" t="str">
            <v>0834</v>
          </cell>
          <cell r="F590">
            <v>0</v>
          </cell>
        </row>
        <row r="591">
          <cell r="B591" t="str">
            <v>0836</v>
          </cell>
          <cell r="F591">
            <v>0</v>
          </cell>
        </row>
        <row r="592">
          <cell r="B592" t="str">
            <v>0837</v>
          </cell>
        </row>
        <row r="593">
          <cell r="B593" t="str">
            <v>0838</v>
          </cell>
        </row>
        <row r="595">
          <cell r="B595" t="str">
            <v>0840</v>
          </cell>
        </row>
        <row r="596">
          <cell r="B596" t="str">
            <v>0841</v>
          </cell>
        </row>
        <row r="598">
          <cell r="B598" t="str">
            <v>0845</v>
          </cell>
          <cell r="F598">
            <v>0</v>
          </cell>
        </row>
        <row r="599">
          <cell r="B599" t="str">
            <v>0846</v>
          </cell>
        </row>
        <row r="600">
          <cell r="B600" t="str">
            <v>0847</v>
          </cell>
        </row>
        <row r="601">
          <cell r="B601" t="str">
            <v>0848</v>
          </cell>
        </row>
        <row r="602">
          <cell r="B602" t="str">
            <v>0849</v>
          </cell>
        </row>
        <row r="603">
          <cell r="B603">
            <v>3931</v>
          </cell>
        </row>
        <row r="604">
          <cell r="B604" t="str">
            <v/>
          </cell>
        </row>
        <row r="605">
          <cell r="B605" t="str">
            <v/>
          </cell>
        </row>
        <row r="607">
          <cell r="B607" t="str">
            <v/>
          </cell>
        </row>
        <row r="608">
          <cell r="B608" t="str">
            <v>0851</v>
          </cell>
          <cell r="F608">
            <v>0</v>
          </cell>
        </row>
        <row r="609">
          <cell r="B609" t="str">
            <v/>
          </cell>
          <cell r="F609" t="str">
            <v>-</v>
          </cell>
        </row>
        <row r="610">
          <cell r="B610">
            <v>0</v>
          </cell>
          <cell r="F610">
            <v>0</v>
          </cell>
        </row>
        <row r="611">
          <cell r="B611" t="str">
            <v/>
          </cell>
          <cell r="F611" t="str">
            <v>=</v>
          </cell>
        </row>
        <row r="612">
          <cell r="F612">
            <v>0</v>
          </cell>
        </row>
        <row r="613">
          <cell r="F613" t="str">
            <v>*</v>
          </cell>
        </row>
        <row r="614">
          <cell r="B614" t="str">
            <v>0502</v>
          </cell>
        </row>
        <row r="615">
          <cell r="B615" t="str">
            <v>0508</v>
          </cell>
          <cell r="F615">
            <v>0</v>
          </cell>
        </row>
        <row r="616">
          <cell r="B616" t="str">
            <v>0507</v>
          </cell>
        </row>
        <row r="617">
          <cell r="B617" t="str">
            <v>0503</v>
          </cell>
          <cell r="F617">
            <v>0</v>
          </cell>
        </row>
        <row r="618">
          <cell r="B618" t="str">
            <v>0504</v>
          </cell>
          <cell r="F618">
            <v>0</v>
          </cell>
        </row>
        <row r="619">
          <cell r="B619">
            <v>501</v>
          </cell>
          <cell r="F619">
            <v>0</v>
          </cell>
        </row>
        <row r="620">
          <cell r="B620" t="str">
            <v>0506</v>
          </cell>
          <cell r="F620">
            <v>0</v>
          </cell>
        </row>
        <row r="621">
          <cell r="F621" t="str">
            <v>-</v>
          </cell>
        </row>
        <row r="622">
          <cell r="F622">
            <v>0</v>
          </cell>
        </row>
        <row r="623">
          <cell r="F623" t="str">
            <v>=</v>
          </cell>
        </row>
        <row r="625">
          <cell r="B625">
            <v>3123</v>
          </cell>
        </row>
        <row r="626">
          <cell r="B626">
            <v>9506</v>
          </cell>
        </row>
        <row r="627">
          <cell r="B627">
            <v>4017</v>
          </cell>
        </row>
        <row r="628">
          <cell r="B628">
            <v>4019</v>
          </cell>
        </row>
        <row r="629">
          <cell r="B629">
            <v>4003</v>
          </cell>
        </row>
        <row r="630">
          <cell r="B630">
            <v>4002</v>
          </cell>
        </row>
        <row r="631">
          <cell r="B631">
            <v>4020</v>
          </cell>
        </row>
        <row r="632">
          <cell r="B632">
            <v>3910</v>
          </cell>
        </row>
        <row r="633">
          <cell r="B633">
            <v>4806</v>
          </cell>
        </row>
        <row r="634">
          <cell r="B634">
            <v>4006</v>
          </cell>
        </row>
        <row r="635">
          <cell r="B635">
            <v>3919</v>
          </cell>
        </row>
        <row r="636">
          <cell r="B636">
            <v>4011</v>
          </cell>
        </row>
        <row r="637">
          <cell r="B637">
            <v>4005</v>
          </cell>
        </row>
        <row r="638">
          <cell r="B638">
            <v>4022</v>
          </cell>
        </row>
        <row r="641">
          <cell r="B641" t="str">
            <v>F0504</v>
          </cell>
        </row>
        <row r="642">
          <cell r="B642">
            <v>3121</v>
          </cell>
        </row>
        <row r="643">
          <cell r="B643">
            <v>3201</v>
          </cell>
        </row>
        <row r="644">
          <cell r="B644">
            <v>3221</v>
          </cell>
        </row>
        <row r="645">
          <cell r="B645">
            <v>3913</v>
          </cell>
        </row>
        <row r="647">
          <cell r="B647">
            <v>4001</v>
          </cell>
        </row>
        <row r="648">
          <cell r="B648">
            <v>3915</v>
          </cell>
        </row>
        <row r="649">
          <cell r="B649">
            <v>3915</v>
          </cell>
        </row>
        <row r="650">
          <cell r="B650">
            <v>3915</v>
          </cell>
        </row>
        <row r="653">
          <cell r="B653">
            <v>3906</v>
          </cell>
        </row>
        <row r="654">
          <cell r="B654">
            <v>3210</v>
          </cell>
        </row>
        <row r="655">
          <cell r="B655">
            <v>3503</v>
          </cell>
        </row>
        <row r="656">
          <cell r="B656" t="str">
            <v/>
          </cell>
        </row>
        <row r="657">
          <cell r="B657">
            <v>3503</v>
          </cell>
        </row>
        <row r="658">
          <cell r="B658">
            <v>3916</v>
          </cell>
        </row>
        <row r="659">
          <cell r="B659" t="str">
            <v>4802/4804</v>
          </cell>
        </row>
        <row r="660">
          <cell r="B660">
            <v>4008</v>
          </cell>
        </row>
        <row r="661">
          <cell r="B661">
            <v>4805</v>
          </cell>
        </row>
        <row r="662">
          <cell r="B662">
            <v>3803</v>
          </cell>
        </row>
        <row r="668">
          <cell r="F668" t="str">
            <v>-</v>
          </cell>
        </row>
        <row r="669">
          <cell r="F669">
            <v>0</v>
          </cell>
        </row>
        <row r="670">
          <cell r="F670" t="str">
            <v>=</v>
          </cell>
        </row>
        <row r="671">
          <cell r="F671">
            <v>0</v>
          </cell>
        </row>
        <row r="672">
          <cell r="F672" t="str">
            <v>*</v>
          </cell>
        </row>
        <row r="676">
          <cell r="F676">
            <v>0</v>
          </cell>
        </row>
        <row r="677">
          <cell r="F677" t="str">
            <v>=</v>
          </cell>
        </row>
        <row r="679">
          <cell r="F679" t="str">
            <v/>
          </cell>
        </row>
        <row r="680">
          <cell r="F680">
            <v>0</v>
          </cell>
        </row>
        <row r="681">
          <cell r="F681" t="str">
            <v>=</v>
          </cell>
        </row>
        <row r="683">
          <cell r="F683" t="str">
            <v/>
          </cell>
        </row>
        <row r="684">
          <cell r="B684">
            <v>4703</v>
          </cell>
          <cell r="F684">
            <v>0</v>
          </cell>
        </row>
        <row r="685">
          <cell r="F685" t="str">
            <v>=</v>
          </cell>
        </row>
        <row r="687">
          <cell r="F687" t="str">
            <v/>
          </cell>
        </row>
        <row r="693">
          <cell r="B693">
            <v>3111</v>
          </cell>
        </row>
        <row r="694">
          <cell r="B694" t="str">
            <v/>
          </cell>
        </row>
        <row r="695">
          <cell r="B695">
            <v>3120</v>
          </cell>
          <cell r="F695">
            <v>0</v>
          </cell>
        </row>
        <row r="696">
          <cell r="B696">
            <v>3121</v>
          </cell>
          <cell r="F696">
            <v>0</v>
          </cell>
        </row>
        <row r="697">
          <cell r="B697">
            <v>3201</v>
          </cell>
          <cell r="F697">
            <v>0</v>
          </cell>
        </row>
        <row r="698">
          <cell r="B698" t="str">
            <v/>
          </cell>
        </row>
        <row r="699">
          <cell r="B699">
            <v>3219</v>
          </cell>
          <cell r="F699">
            <v>0</v>
          </cell>
        </row>
        <row r="701">
          <cell r="B701">
            <v>3220</v>
          </cell>
          <cell r="F701">
            <v>0</v>
          </cell>
        </row>
        <row r="702">
          <cell r="B702">
            <v>3221</v>
          </cell>
          <cell r="F702">
            <v>0</v>
          </cell>
        </row>
        <row r="704">
          <cell r="F704" t="str">
            <v>-</v>
          </cell>
        </row>
        <row r="705">
          <cell r="F705">
            <v>0</v>
          </cell>
        </row>
        <row r="706">
          <cell r="F706" t="str">
            <v>-</v>
          </cell>
        </row>
        <row r="709">
          <cell r="B709">
            <v>3301</v>
          </cell>
        </row>
        <row r="710">
          <cell r="F710" t="str">
            <v>-</v>
          </cell>
        </row>
        <row r="713">
          <cell r="B713">
            <v>3503</v>
          </cell>
          <cell r="F713">
            <v>0</v>
          </cell>
        </row>
        <row r="714">
          <cell r="B714">
            <v>3503</v>
          </cell>
        </row>
        <row r="715">
          <cell r="F715" t="str">
            <v>-</v>
          </cell>
        </row>
        <row r="716">
          <cell r="F716">
            <v>0</v>
          </cell>
        </row>
        <row r="717">
          <cell r="F717" t="str">
            <v>-</v>
          </cell>
        </row>
        <row r="720">
          <cell r="B720">
            <v>3210</v>
          </cell>
          <cell r="F720">
            <v>0</v>
          </cell>
        </row>
        <row r="721">
          <cell r="B721">
            <v>3506</v>
          </cell>
          <cell r="F721">
            <v>0</v>
          </cell>
        </row>
        <row r="722">
          <cell r="B722">
            <v>3507</v>
          </cell>
          <cell r="F722">
            <v>0</v>
          </cell>
        </row>
        <row r="723">
          <cell r="B723" t="str">
            <v/>
          </cell>
        </row>
        <row r="724">
          <cell r="B724">
            <v>3508</v>
          </cell>
          <cell r="F724">
            <v>0</v>
          </cell>
        </row>
        <row r="726">
          <cell r="B726">
            <v>3804</v>
          </cell>
        </row>
        <row r="727">
          <cell r="F727" t="str">
            <v>-</v>
          </cell>
        </row>
        <row r="728">
          <cell r="F728">
            <v>0</v>
          </cell>
        </row>
        <row r="729">
          <cell r="F729" t="str">
            <v>-</v>
          </cell>
        </row>
        <row r="735">
          <cell r="B735">
            <v>3801</v>
          </cell>
          <cell r="F735" t="str">
            <v/>
          </cell>
        </row>
        <row r="737">
          <cell r="B737">
            <v>3803</v>
          </cell>
          <cell r="F737">
            <v>0</v>
          </cell>
        </row>
        <row r="738">
          <cell r="F738" t="str">
            <v>-</v>
          </cell>
        </row>
        <row r="739">
          <cell r="F739">
            <v>0</v>
          </cell>
        </row>
        <row r="740">
          <cell r="F740" t="str">
            <v>-</v>
          </cell>
        </row>
        <row r="743">
          <cell r="B743">
            <v>3202</v>
          </cell>
          <cell r="F743">
            <v>0</v>
          </cell>
        </row>
        <row r="744">
          <cell r="F744" t="str">
            <v>-</v>
          </cell>
        </row>
        <row r="747">
          <cell r="B747">
            <v>3103</v>
          </cell>
          <cell r="F747">
            <v>0</v>
          </cell>
        </row>
        <row r="749">
          <cell r="B749">
            <v>3108</v>
          </cell>
          <cell r="F749">
            <v>0</v>
          </cell>
        </row>
        <row r="751">
          <cell r="B751">
            <v>3109</v>
          </cell>
          <cell r="F751">
            <v>0</v>
          </cell>
        </row>
        <row r="752">
          <cell r="B752">
            <v>3203</v>
          </cell>
          <cell r="F752">
            <v>0</v>
          </cell>
        </row>
        <row r="754">
          <cell r="B754">
            <v>3208</v>
          </cell>
          <cell r="F754">
            <v>0</v>
          </cell>
        </row>
        <row r="756">
          <cell r="B756">
            <v>3209</v>
          </cell>
        </row>
        <row r="757">
          <cell r="F757" t="str">
            <v>-</v>
          </cell>
        </row>
        <row r="758">
          <cell r="F758">
            <v>0</v>
          </cell>
        </row>
        <row r="759">
          <cell r="F759" t="str">
            <v>-</v>
          </cell>
        </row>
        <row r="760">
          <cell r="B760">
            <v>3226</v>
          </cell>
          <cell r="F760">
            <v>0</v>
          </cell>
        </row>
        <row r="761">
          <cell r="B761">
            <v>3227</v>
          </cell>
          <cell r="F761">
            <v>0</v>
          </cell>
        </row>
        <row r="762">
          <cell r="B762">
            <v>3230</v>
          </cell>
          <cell r="F762">
            <v>0</v>
          </cell>
        </row>
        <row r="763">
          <cell r="F763">
            <v>0</v>
          </cell>
        </row>
        <row r="764">
          <cell r="F764" t="str">
            <v>-</v>
          </cell>
        </row>
        <row r="767">
          <cell r="B767">
            <v>3105</v>
          </cell>
          <cell r="F767">
            <v>0</v>
          </cell>
        </row>
        <row r="768">
          <cell r="B768">
            <v>3205</v>
          </cell>
          <cell r="F768">
            <v>0</v>
          </cell>
        </row>
        <row r="769">
          <cell r="B769">
            <v>5005</v>
          </cell>
        </row>
        <row r="771">
          <cell r="B771">
            <v>3117</v>
          </cell>
        </row>
        <row r="772">
          <cell r="F772" t="str">
            <v>-</v>
          </cell>
        </row>
        <row r="773">
          <cell r="F773">
            <v>0</v>
          </cell>
        </row>
        <row r="774">
          <cell r="F774" t="str">
            <v>-</v>
          </cell>
        </row>
        <row r="777">
          <cell r="B777">
            <v>3106</v>
          </cell>
        </row>
        <row r="778">
          <cell r="B778">
            <v>3206</v>
          </cell>
          <cell r="F778">
            <v>0</v>
          </cell>
        </row>
        <row r="779">
          <cell r="B779">
            <v>3215</v>
          </cell>
          <cell r="F779">
            <v>0</v>
          </cell>
        </row>
        <row r="780">
          <cell r="B780">
            <v>3216</v>
          </cell>
        </row>
        <row r="781">
          <cell r="B781">
            <v>8106</v>
          </cell>
        </row>
        <row r="782">
          <cell r="B782">
            <v>5006</v>
          </cell>
        </row>
        <row r="783">
          <cell r="F783" t="str">
            <v>-</v>
          </cell>
        </row>
        <row r="784">
          <cell r="F784">
            <v>0</v>
          </cell>
        </row>
        <row r="785">
          <cell r="F785" t="str">
            <v>-</v>
          </cell>
        </row>
        <row r="789">
          <cell r="B789">
            <v>3122</v>
          </cell>
          <cell r="F789">
            <v>0</v>
          </cell>
        </row>
        <row r="790">
          <cell r="B790">
            <v>3222</v>
          </cell>
          <cell r="F790">
            <v>0</v>
          </cell>
        </row>
        <row r="791">
          <cell r="F791" t="str">
            <v>-</v>
          </cell>
        </row>
        <row r="792">
          <cell r="F792">
            <v>0</v>
          </cell>
        </row>
        <row r="793">
          <cell r="F793" t="str">
            <v>-</v>
          </cell>
        </row>
        <row r="799">
          <cell r="B799">
            <v>3107</v>
          </cell>
          <cell r="F799">
            <v>0</v>
          </cell>
        </row>
        <row r="800">
          <cell r="B800">
            <v>3207</v>
          </cell>
          <cell r="F800">
            <v>0</v>
          </cell>
        </row>
        <row r="801">
          <cell r="B801">
            <v>3214</v>
          </cell>
          <cell r="F801">
            <v>0</v>
          </cell>
        </row>
        <row r="804">
          <cell r="B804">
            <v>3225</v>
          </cell>
          <cell r="F804">
            <v>0</v>
          </cell>
        </row>
        <row r="805">
          <cell r="F805" t="str">
            <v>-</v>
          </cell>
        </row>
        <row r="806">
          <cell r="F806">
            <v>0</v>
          </cell>
        </row>
        <row r="807">
          <cell r="F807" t="str">
            <v>-</v>
          </cell>
        </row>
        <row r="808">
          <cell r="F808">
            <v>0</v>
          </cell>
        </row>
        <row r="809">
          <cell r="F809" t="str">
            <v>=</v>
          </cell>
        </row>
        <row r="813">
          <cell r="B813">
            <v>3701</v>
          </cell>
          <cell r="F813">
            <v>0</v>
          </cell>
        </row>
        <row r="814">
          <cell r="B814">
            <v>3702</v>
          </cell>
          <cell r="F814">
            <v>0</v>
          </cell>
        </row>
        <row r="815">
          <cell r="B815">
            <v>3703</v>
          </cell>
          <cell r="F815">
            <v>0</v>
          </cell>
        </row>
        <row r="816">
          <cell r="B816">
            <v>4023</v>
          </cell>
          <cell r="F816">
            <v>0</v>
          </cell>
        </row>
        <row r="817">
          <cell r="F817" t="str">
            <v>-</v>
          </cell>
        </row>
        <row r="818">
          <cell r="F818">
            <v>0</v>
          </cell>
        </row>
        <row r="819">
          <cell r="F819" t="str">
            <v>=</v>
          </cell>
        </row>
        <row r="826">
          <cell r="B826">
            <v>3604</v>
          </cell>
          <cell r="F826">
            <v>0</v>
          </cell>
        </row>
        <row r="827">
          <cell r="B827">
            <v>3608</v>
          </cell>
          <cell r="F827">
            <v>0</v>
          </cell>
        </row>
        <row r="828">
          <cell r="B828">
            <v>3602</v>
          </cell>
          <cell r="F828">
            <v>0</v>
          </cell>
        </row>
        <row r="829">
          <cell r="F829" t="str">
            <v>-</v>
          </cell>
        </row>
        <row r="830">
          <cell r="F830">
            <v>0</v>
          </cell>
        </row>
        <row r="831">
          <cell r="F831" t="str">
            <v>-</v>
          </cell>
        </row>
        <row r="834">
          <cell r="B834">
            <v>3603</v>
          </cell>
        </row>
        <row r="835">
          <cell r="F835" t="str">
            <v>-</v>
          </cell>
        </row>
        <row r="838">
          <cell r="B838">
            <v>3611</v>
          </cell>
          <cell r="F838">
            <v>0</v>
          </cell>
        </row>
        <row r="839">
          <cell r="F839" t="str">
            <v>-</v>
          </cell>
        </row>
        <row r="840">
          <cell r="F840" t="str">
            <v/>
          </cell>
        </row>
        <row r="842">
          <cell r="B842">
            <v>3607</v>
          </cell>
          <cell r="F842">
            <v>0</v>
          </cell>
        </row>
        <row r="843">
          <cell r="F843" t="str">
            <v>-</v>
          </cell>
        </row>
        <row r="845">
          <cell r="F845" t="str">
            <v>-</v>
          </cell>
        </row>
        <row r="846">
          <cell r="B846">
            <v>3606</v>
          </cell>
        </row>
        <row r="847">
          <cell r="F847" t="str">
            <v>-</v>
          </cell>
        </row>
        <row r="850">
          <cell r="B850">
            <v>3605</v>
          </cell>
          <cell r="F850">
            <v>0</v>
          </cell>
        </row>
        <row r="851">
          <cell r="F851" t="str">
            <v>-</v>
          </cell>
        </row>
        <row r="852">
          <cell r="F852">
            <v>0</v>
          </cell>
        </row>
        <row r="853">
          <cell r="F853" t="str">
            <v>=</v>
          </cell>
        </row>
        <row r="857">
          <cell r="F857" t="str">
            <v/>
          </cell>
        </row>
        <row r="859">
          <cell r="B859">
            <v>3601</v>
          </cell>
          <cell r="F859">
            <v>0</v>
          </cell>
        </row>
        <row r="860">
          <cell r="F860" t="str">
            <v>-</v>
          </cell>
        </row>
        <row r="861">
          <cell r="F861">
            <v>0</v>
          </cell>
        </row>
        <row r="862">
          <cell r="F862" t="str">
            <v>=</v>
          </cell>
        </row>
        <row r="869">
          <cell r="B869">
            <v>3907</v>
          </cell>
          <cell r="F869">
            <v>0</v>
          </cell>
        </row>
        <row r="870">
          <cell r="B870">
            <v>3927</v>
          </cell>
          <cell r="F870">
            <v>0</v>
          </cell>
        </row>
        <row r="871">
          <cell r="F871" t="str">
            <v>-</v>
          </cell>
        </row>
        <row r="872">
          <cell r="F872">
            <v>0</v>
          </cell>
        </row>
        <row r="873">
          <cell r="F873" t="str">
            <v>-</v>
          </cell>
        </row>
        <row r="878">
          <cell r="B878">
            <v>3916</v>
          </cell>
          <cell r="F878">
            <v>0</v>
          </cell>
        </row>
        <row r="879">
          <cell r="B879">
            <v>3917</v>
          </cell>
          <cell r="F879">
            <v>0</v>
          </cell>
        </row>
        <row r="880">
          <cell r="B880">
            <v>4004</v>
          </cell>
        </row>
        <row r="881">
          <cell r="B881">
            <v>4008</v>
          </cell>
          <cell r="F881">
            <v>0</v>
          </cell>
        </row>
        <row r="882">
          <cell r="B882" t="str">
            <v>3913</v>
          </cell>
          <cell r="F882">
            <v>0</v>
          </cell>
        </row>
        <row r="883">
          <cell r="F883" t="str">
            <v>-</v>
          </cell>
        </row>
        <row r="884">
          <cell r="F884">
            <v>0</v>
          </cell>
        </row>
        <row r="885">
          <cell r="F885" t="str">
            <v>-</v>
          </cell>
        </row>
        <row r="887">
          <cell r="B887">
            <v>3915</v>
          </cell>
        </row>
        <row r="888">
          <cell r="B888">
            <v>3914</v>
          </cell>
          <cell r="F888">
            <v>0</v>
          </cell>
        </row>
        <row r="889">
          <cell r="B889">
            <v>3915</v>
          </cell>
          <cell r="F889">
            <v>0</v>
          </cell>
        </row>
        <row r="890">
          <cell r="B890">
            <v>4001</v>
          </cell>
          <cell r="F890">
            <v>0</v>
          </cell>
        </row>
        <row r="891">
          <cell r="B891">
            <v>4010</v>
          </cell>
        </row>
        <row r="892">
          <cell r="F892" t="str">
            <v>-</v>
          </cell>
        </row>
        <row r="893">
          <cell r="F893">
            <v>0</v>
          </cell>
        </row>
        <row r="894">
          <cell r="F894" t="str">
            <v>-</v>
          </cell>
        </row>
        <row r="899">
          <cell r="B899">
            <v>3908</v>
          </cell>
          <cell r="F899">
            <v>0</v>
          </cell>
        </row>
        <row r="900">
          <cell r="B900">
            <v>3909</v>
          </cell>
          <cell r="F900">
            <v>0</v>
          </cell>
        </row>
        <row r="901">
          <cell r="B901">
            <v>3923</v>
          </cell>
        </row>
        <row r="902">
          <cell r="F902" t="str">
            <v>-</v>
          </cell>
        </row>
        <row r="903">
          <cell r="F903">
            <v>0</v>
          </cell>
        </row>
        <row r="904">
          <cell r="F904" t="str">
            <v>-</v>
          </cell>
        </row>
        <row r="907">
          <cell r="B907">
            <v>3920</v>
          </cell>
          <cell r="F907">
            <v>0</v>
          </cell>
        </row>
        <row r="909">
          <cell r="F909" t="str">
            <v>-</v>
          </cell>
        </row>
        <row r="911">
          <cell r="B911" t="str">
            <v/>
          </cell>
        </row>
        <row r="912">
          <cell r="B912">
            <v>3901</v>
          </cell>
          <cell r="F912">
            <v>0</v>
          </cell>
        </row>
        <row r="913">
          <cell r="B913">
            <v>3902</v>
          </cell>
          <cell r="F913">
            <v>0</v>
          </cell>
        </row>
        <row r="914">
          <cell r="B914">
            <v>3903</v>
          </cell>
          <cell r="F914">
            <v>0</v>
          </cell>
        </row>
        <row r="915">
          <cell r="B915">
            <v>3904</v>
          </cell>
          <cell r="F915">
            <v>0</v>
          </cell>
        </row>
        <row r="916">
          <cell r="B916">
            <v>3905</v>
          </cell>
          <cell r="F916">
            <v>0</v>
          </cell>
        </row>
        <row r="917">
          <cell r="B917">
            <v>3906</v>
          </cell>
          <cell r="F917">
            <v>0</v>
          </cell>
        </row>
        <row r="918">
          <cell r="B918">
            <v>3926</v>
          </cell>
          <cell r="F918">
            <v>0</v>
          </cell>
        </row>
        <row r="919">
          <cell r="B919">
            <v>3928</v>
          </cell>
          <cell r="F919">
            <v>0</v>
          </cell>
        </row>
        <row r="920">
          <cell r="B920">
            <v>3924</v>
          </cell>
          <cell r="F920">
            <v>0</v>
          </cell>
        </row>
        <row r="921">
          <cell r="B921">
            <v>3925</v>
          </cell>
        </row>
        <row r="922">
          <cell r="B922">
            <v>3931</v>
          </cell>
          <cell r="F922">
            <v>0</v>
          </cell>
        </row>
        <row r="923">
          <cell r="B923">
            <v>4007</v>
          </cell>
          <cell r="F923">
            <v>0</v>
          </cell>
        </row>
        <row r="924">
          <cell r="B924">
            <v>4009</v>
          </cell>
          <cell r="F924">
            <v>0</v>
          </cell>
        </row>
        <row r="928">
          <cell r="F928">
            <v>0</v>
          </cell>
        </row>
        <row r="929">
          <cell r="F929" t="str">
            <v>-</v>
          </cell>
        </row>
        <row r="936">
          <cell r="B936">
            <v>3123</v>
          </cell>
          <cell r="F936">
            <v>0</v>
          </cell>
        </row>
        <row r="937">
          <cell r="B937">
            <v>3910</v>
          </cell>
          <cell r="F937">
            <v>0</v>
          </cell>
        </row>
        <row r="938">
          <cell r="B938">
            <v>3911</v>
          </cell>
        </row>
        <row r="939">
          <cell r="B939">
            <v>3912</v>
          </cell>
          <cell r="F939">
            <v>0</v>
          </cell>
        </row>
        <row r="940">
          <cell r="B940">
            <v>3918</v>
          </cell>
          <cell r="F940">
            <v>0</v>
          </cell>
        </row>
        <row r="941">
          <cell r="B941">
            <v>3919</v>
          </cell>
          <cell r="F941">
            <v>0</v>
          </cell>
        </row>
        <row r="942">
          <cell r="B942">
            <v>3921</v>
          </cell>
        </row>
        <row r="943">
          <cell r="B943">
            <v>4002</v>
          </cell>
          <cell r="F943">
            <v>0</v>
          </cell>
        </row>
        <row r="944">
          <cell r="B944">
            <v>4003</v>
          </cell>
          <cell r="F944">
            <v>0</v>
          </cell>
        </row>
        <row r="945">
          <cell r="B945">
            <v>4005</v>
          </cell>
          <cell r="F945">
            <v>0</v>
          </cell>
        </row>
        <row r="946">
          <cell r="B946">
            <v>4006</v>
          </cell>
          <cell r="F946">
            <v>0</v>
          </cell>
        </row>
        <row r="947">
          <cell r="B947">
            <v>4011</v>
          </cell>
          <cell r="F947">
            <v>0</v>
          </cell>
        </row>
        <row r="948">
          <cell r="B948">
            <v>4012</v>
          </cell>
          <cell r="F948">
            <v>0</v>
          </cell>
        </row>
        <row r="949">
          <cell r="B949">
            <v>4013</v>
          </cell>
        </row>
        <row r="950">
          <cell r="B950">
            <v>4014</v>
          </cell>
          <cell r="F950">
            <v>0</v>
          </cell>
        </row>
        <row r="951">
          <cell r="B951">
            <v>4026</v>
          </cell>
        </row>
        <row r="952">
          <cell r="B952">
            <v>4017</v>
          </cell>
          <cell r="F952">
            <v>0</v>
          </cell>
        </row>
        <row r="953">
          <cell r="B953">
            <v>4018</v>
          </cell>
          <cell r="F953">
            <v>0</v>
          </cell>
        </row>
        <row r="954">
          <cell r="B954">
            <v>4019</v>
          </cell>
          <cell r="F954">
            <v>0</v>
          </cell>
        </row>
        <row r="955">
          <cell r="B955">
            <v>4020</v>
          </cell>
          <cell r="F955">
            <v>0</v>
          </cell>
        </row>
        <row r="956">
          <cell r="B956">
            <v>4021</v>
          </cell>
          <cell r="F956">
            <v>0</v>
          </cell>
        </row>
        <row r="957">
          <cell r="B957">
            <v>4022</v>
          </cell>
          <cell r="F957">
            <v>0</v>
          </cell>
        </row>
        <row r="958">
          <cell r="B958" t="str">
            <v/>
          </cell>
        </row>
        <row r="959">
          <cell r="B959">
            <v>4025</v>
          </cell>
          <cell r="F959">
            <v>0</v>
          </cell>
        </row>
        <row r="960">
          <cell r="B960">
            <v>4801</v>
          </cell>
          <cell r="F960">
            <v>0</v>
          </cell>
        </row>
        <row r="962">
          <cell r="B962">
            <v>4802</v>
          </cell>
          <cell r="F962">
            <v>0</v>
          </cell>
        </row>
        <row r="963">
          <cell r="B963">
            <v>4803</v>
          </cell>
          <cell r="F963">
            <v>0</v>
          </cell>
        </row>
        <row r="964">
          <cell r="B964">
            <v>4804</v>
          </cell>
          <cell r="F964">
            <v>0</v>
          </cell>
        </row>
        <row r="965">
          <cell r="B965">
            <v>4805</v>
          </cell>
          <cell r="F965">
            <v>0</v>
          </cell>
        </row>
        <row r="966">
          <cell r="B966">
            <v>4806</v>
          </cell>
          <cell r="F966">
            <v>0</v>
          </cell>
        </row>
        <row r="967">
          <cell r="B967">
            <v>4807</v>
          </cell>
          <cell r="F967">
            <v>0</v>
          </cell>
        </row>
        <row r="968">
          <cell r="B968">
            <v>9506</v>
          </cell>
          <cell r="F968">
            <v>0</v>
          </cell>
        </row>
        <row r="969">
          <cell r="B969">
            <v>9505</v>
          </cell>
        </row>
        <row r="970">
          <cell r="B970">
            <v>9605</v>
          </cell>
          <cell r="F970">
            <v>0</v>
          </cell>
        </row>
        <row r="971">
          <cell r="B971">
            <v>9607</v>
          </cell>
          <cell r="F971">
            <v>0</v>
          </cell>
        </row>
        <row r="972">
          <cell r="B972">
            <v>924</v>
          </cell>
        </row>
        <row r="974">
          <cell r="B974" t="str">
            <v/>
          </cell>
        </row>
        <row r="975">
          <cell r="B975" t="str">
            <v/>
          </cell>
        </row>
        <row r="977">
          <cell r="F977" t="str">
            <v>-</v>
          </cell>
        </row>
        <row r="978">
          <cell r="F978">
            <v>0</v>
          </cell>
        </row>
        <row r="979">
          <cell r="F979" t="str">
            <v>-</v>
          </cell>
        </row>
        <row r="981">
          <cell r="F981" t="str">
            <v>-</v>
          </cell>
        </row>
        <row r="984">
          <cell r="B984">
            <v>4201</v>
          </cell>
          <cell r="F984">
            <v>0</v>
          </cell>
        </row>
        <row r="985">
          <cell r="B985">
            <v>4028</v>
          </cell>
        </row>
        <row r="986">
          <cell r="F986">
            <v>0</v>
          </cell>
        </row>
        <row r="990">
          <cell r="B990" t="str">
            <v/>
          </cell>
        </row>
        <row r="994">
          <cell r="B994">
            <v>3919</v>
          </cell>
        </row>
        <row r="995">
          <cell r="F995" t="str">
            <v>-</v>
          </cell>
        </row>
        <row r="996">
          <cell r="F996">
            <v>0</v>
          </cell>
        </row>
        <row r="997">
          <cell r="F997" t="str">
            <v>=</v>
          </cell>
        </row>
        <row r="998">
          <cell r="F998">
            <v>0</v>
          </cell>
        </row>
        <row r="999">
          <cell r="F999" t="str">
            <v>*</v>
          </cell>
        </row>
        <row r="1001">
          <cell r="B1001">
            <v>901</v>
          </cell>
          <cell r="F1001">
            <v>0</v>
          </cell>
        </row>
        <row r="1002">
          <cell r="B1002">
            <v>902</v>
          </cell>
          <cell r="F1002">
            <v>0</v>
          </cell>
        </row>
        <row r="1003">
          <cell r="B1003">
            <v>903</v>
          </cell>
          <cell r="F1003">
            <v>0</v>
          </cell>
        </row>
        <row r="1004">
          <cell r="B1004">
            <v>904</v>
          </cell>
          <cell r="F1004">
            <v>0</v>
          </cell>
        </row>
        <row r="1005">
          <cell r="B1005">
            <v>905</v>
          </cell>
          <cell r="F1005">
            <v>0</v>
          </cell>
        </row>
        <row r="1006">
          <cell r="B1006">
            <v>906</v>
          </cell>
          <cell r="F1006">
            <v>0</v>
          </cell>
        </row>
        <row r="1007">
          <cell r="B1007">
            <v>907</v>
          </cell>
          <cell r="F1007">
            <v>0</v>
          </cell>
        </row>
        <row r="1008">
          <cell r="B1008">
            <v>908</v>
          </cell>
          <cell r="F1008">
            <v>0</v>
          </cell>
        </row>
        <row r="1009">
          <cell r="B1009">
            <v>909</v>
          </cell>
          <cell r="F1009">
            <v>0</v>
          </cell>
        </row>
        <row r="1010">
          <cell r="B1010">
            <v>910</v>
          </cell>
          <cell r="F1010">
            <v>0</v>
          </cell>
        </row>
        <row r="1011">
          <cell r="B1011">
            <v>911</v>
          </cell>
        </row>
        <row r="1012">
          <cell r="B1012">
            <v>912</v>
          </cell>
          <cell r="F1012">
            <v>0</v>
          </cell>
        </row>
        <row r="1015">
          <cell r="B1015">
            <v>914</v>
          </cell>
        </row>
        <row r="1016">
          <cell r="B1016">
            <v>915</v>
          </cell>
          <cell r="F1016">
            <v>0</v>
          </cell>
        </row>
        <row r="1017">
          <cell r="B1017">
            <v>916</v>
          </cell>
          <cell r="F1017">
            <v>0</v>
          </cell>
        </row>
        <row r="1018">
          <cell r="B1018" t="str">
            <v>921/922</v>
          </cell>
        </row>
        <row r="1019">
          <cell r="B1019">
            <v>923</v>
          </cell>
          <cell r="F1019">
            <v>0</v>
          </cell>
        </row>
        <row r="1020">
          <cell r="B1020">
            <v>917</v>
          </cell>
          <cell r="F1020">
            <v>0</v>
          </cell>
        </row>
        <row r="1021">
          <cell r="B1021">
            <v>918</v>
          </cell>
          <cell r="F1021">
            <v>0</v>
          </cell>
        </row>
        <row r="1022">
          <cell r="F1022" t="str">
            <v>-</v>
          </cell>
        </row>
        <row r="1023">
          <cell r="F1023">
            <v>0</v>
          </cell>
        </row>
        <row r="1024">
          <cell r="F1024" t="str">
            <v>=</v>
          </cell>
        </row>
        <row r="1025">
          <cell r="F1025">
            <v>0</v>
          </cell>
        </row>
        <row r="1026">
          <cell r="F1026" t="str">
            <v>=</v>
          </cell>
        </row>
        <row r="1027">
          <cell r="F1027">
            <v>0</v>
          </cell>
        </row>
      </sheetData>
      <sheetData sheetId="4"/>
      <sheetData sheetId="5"/>
      <sheetData sheetId="6"/>
      <sheetData sheetId="7"/>
      <sheetData sheetId="8"/>
      <sheetData sheetId="9"/>
      <sheetData sheetId="10"/>
      <sheetData sheetId="11"/>
      <sheetData sheetId="12"/>
      <sheetData sheetId="13" refreshError="1"/>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ow r="444">
          <cell r="F444" t="str">
            <v>-</v>
          </cell>
        </row>
      </sheetData>
      <sheetData sheetId="69">
        <row r="444">
          <cell r="F444" t="str">
            <v>-</v>
          </cell>
        </row>
      </sheetData>
      <sheetData sheetId="70">
        <row r="444">
          <cell r="F444" t="str">
            <v>-</v>
          </cell>
        </row>
      </sheetData>
      <sheetData sheetId="71">
        <row r="444">
          <cell r="F444" t="str">
            <v>-</v>
          </cell>
        </row>
      </sheetData>
      <sheetData sheetId="72">
        <row r="444">
          <cell r="F444" t="str">
            <v>-</v>
          </cell>
        </row>
      </sheetData>
      <sheetData sheetId="73">
        <row r="444">
          <cell r="F444" t="str">
            <v>-</v>
          </cell>
        </row>
      </sheetData>
      <sheetData sheetId="74">
        <row r="444">
          <cell r="F444" t="str">
            <v>-</v>
          </cell>
        </row>
      </sheetData>
      <sheetData sheetId="75">
        <row r="444">
          <cell r="F444" t="str">
            <v>-</v>
          </cell>
        </row>
      </sheetData>
      <sheetData sheetId="76">
        <row r="444">
          <cell r="F444" t="str">
            <v>-</v>
          </cell>
        </row>
      </sheetData>
      <sheetData sheetId="77">
        <row r="444">
          <cell r="F444" t="str">
            <v>-</v>
          </cell>
        </row>
      </sheetData>
      <sheetData sheetId="78">
        <row r="444">
          <cell r="F444" t="str">
            <v>-</v>
          </cell>
        </row>
      </sheetData>
      <sheetData sheetId="79">
        <row r="444">
          <cell r="F444" t="str">
            <v>-</v>
          </cell>
        </row>
      </sheetData>
      <sheetData sheetId="80">
        <row r="444">
          <cell r="F444" t="str">
            <v>-</v>
          </cell>
        </row>
      </sheetData>
      <sheetData sheetId="81">
        <row r="444">
          <cell r="F444" t="str">
            <v>-</v>
          </cell>
        </row>
      </sheetData>
      <sheetData sheetId="82">
        <row r="444">
          <cell r="F444" t="str">
            <v>-</v>
          </cell>
        </row>
      </sheetData>
      <sheetData sheetId="83"/>
      <sheetData sheetId="84"/>
      <sheetData sheetId="85"/>
      <sheetData sheetId="86"/>
      <sheetData sheetId="87"/>
      <sheetData sheetId="88"/>
      <sheetData sheetId="89"/>
      <sheetData sheetId="90"/>
      <sheetData sheetId="91"/>
      <sheetData sheetId="92">
        <row r="444">
          <cell r="F444" t="str">
            <v>-</v>
          </cell>
        </row>
      </sheetData>
      <sheetData sheetId="93">
        <row r="444">
          <cell r="F444" t="str">
            <v>-</v>
          </cell>
        </row>
      </sheetData>
      <sheetData sheetId="94">
        <row r="444">
          <cell r="F444" t="str">
            <v>-</v>
          </cell>
        </row>
      </sheetData>
      <sheetData sheetId="95">
        <row r="444">
          <cell r="F444" t="str">
            <v>-</v>
          </cell>
        </row>
      </sheetData>
      <sheetData sheetId="96"/>
      <sheetData sheetId="97"/>
      <sheetData sheetId="98"/>
      <sheetData sheetId="99"/>
      <sheetData sheetId="100"/>
      <sheetData sheetId="101"/>
      <sheetData sheetId="102"/>
      <sheetData sheetId="103"/>
      <sheetData sheetId="104"/>
      <sheetData sheetId="105"/>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ow r="444">
          <cell r="F444" t="str">
            <v>-</v>
          </cell>
        </row>
      </sheetData>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損益分岐点"/>
      <sheetName val="laroux"/>
      <sheetName val="経常利益"/>
      <sheetName val="工場別損益"/>
      <sheetName val="差異分析"/>
      <sheetName val="Sheet1"/>
      <sheetName val="損益概要"/>
      <sheetName val="損益計算書"/>
      <sheetName val="合理化"/>
      <sheetName val="要員"/>
      <sheetName val="AC日程"/>
      <sheetName val="detail"/>
      <sheetName val="実績05-T"/>
      <sheetName val="mnsht"/>
      <sheetName val="manpwr"/>
      <sheetName val="pnl"/>
      <sheetName val="pnl dtl"/>
      <sheetName val="投資計画"/>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2)"/>
      <sheetName val="Sheet3 _2_"/>
      <sheetName val="DEPRE"/>
      <sheetName val="Calculation (2)"/>
      <sheetName val="QoQ Forecast"/>
      <sheetName val="Input"/>
      <sheetName val="Set"/>
      <sheetName val="Income Statements"/>
      <sheetName val="Main Sheet (MTD)"/>
      <sheetName val="Consl Daily Report"/>
      <sheetName val="Acc_10_5"/>
      <sheetName val="유통망계획"/>
      <sheetName val="CV"/>
      <sheetName val="ES(Kor)"/>
      <sheetName val="JCF"/>
      <sheetName val="Multiple output"/>
      <sheetName val="sheet6"/>
      <sheetName val="TIll_Q_sal"/>
      <sheetName val="tiller"/>
      <sheetName val="analysis"/>
      <sheetName val="BBEuros"/>
      <sheetName val="InvoiceList"/>
      <sheetName val="Income &amp; Occupancy Customer"/>
      <sheetName val="ABP inputs"/>
      <sheetName val="Synergy Sales Budget"/>
      <sheetName val="Project Budget Worksheet"/>
      <sheetName val="F1a-Pile"/>
      <sheetName val="Builtup Area"/>
      <sheetName val="INDIGINEOUS ITEMS "/>
      <sheetName val="fco"/>
      <sheetName val="Headings"/>
      <sheetName val="RCC,Ret. Wall"/>
      <sheetName val="BOQ T4B"/>
      <sheetName val="Summary"/>
      <sheetName val="노무비"/>
      <sheetName val="Formulas"/>
      <sheetName val="Material "/>
      <sheetName val="Labour &amp; Plant"/>
      <sheetName val="GBW"/>
      <sheetName val="Design"/>
      <sheetName val="BOQ"/>
      <sheetName val=" B3"/>
      <sheetName val=" B1"/>
      <sheetName val="CFForecast detail"/>
      <sheetName val="Site Dev BOQ"/>
      <sheetName val="Lead"/>
      <sheetName val="Main-Material"/>
      <sheetName val="Sheet1"/>
      <sheetName val="beam-reinft-IIInd floor"/>
      <sheetName val="FlashMgtMo"/>
      <sheetName val="FlashMgtYTD"/>
      <sheetName val="Sheet3_(2)"/>
      <sheetName val="Sheet3__2_"/>
      <sheetName val="download"/>
      <sheetName val="170810-lease tax"/>
      <sheetName val="Preside"/>
      <sheetName val="balance sheet"/>
      <sheetName val="LISTS"/>
      <sheetName val="Assumptions"/>
      <sheetName val="Occ"/>
      <sheetName val="Demand"/>
      <sheetName val="Inputs"/>
      <sheetName val="Ref"/>
      <sheetName val="Global Assm."/>
      <sheetName val="Summary Excise"/>
      <sheetName val="AOP13"/>
      <sheetName val="Break up Sheet"/>
      <sheetName val="MN T.B."/>
      <sheetName val="Approved MTD Proj #'s"/>
      <sheetName val="Sheet2"/>
      <sheetName val="van khuon"/>
      <sheetName val="Names"/>
      <sheetName val="Introduction"/>
      <sheetName val="IDC macro"/>
      <sheetName val="SALE"/>
      <sheetName val="Aladdin Macro1"/>
      <sheetName val="BalSht"/>
      <sheetName val="Acc_10.5"/>
      <sheetName val="q-details"/>
      <sheetName val="International"/>
      <sheetName val="Internet"/>
      <sheetName val="MAIN_MENU"/>
      <sheetName val="EBITDA"/>
      <sheetName val="Income_Statements"/>
      <sheetName val="QoQ_Forecast"/>
      <sheetName val="Portfolio Summary"/>
      <sheetName val="Depreciation"/>
      <sheetName val="MIS - kINR"/>
      <sheetName val="Vind-BtB"/>
      <sheetName val="Load Details-220kV"/>
      <sheetName val="Block A - BOQ"/>
      <sheetName val="ABP_inputs"/>
      <sheetName val="Synergy_Sales_Budget"/>
      <sheetName val="Project_Budget_Worksheet"/>
      <sheetName val="Income_&amp;_Occupancy_Customer"/>
      <sheetName val="RCC,Ret__Wall"/>
      <sheetName val="Calculation_(2)"/>
      <sheetName val="Multiple_output"/>
      <sheetName val="Builtup_Area"/>
      <sheetName val="BOQ_T4B"/>
      <sheetName val="INDIGINEOUS_ITEMS_"/>
      <sheetName val="Material_"/>
      <sheetName val="Labour_&amp;_Plant"/>
      <sheetName val="Approved_MTD_Proj_#'s"/>
      <sheetName val="_B3"/>
      <sheetName val="_B1"/>
      <sheetName val="beam-reinft-IIInd_floor"/>
      <sheetName val="Aladdin_Macro1"/>
      <sheetName val="Global_Assm_"/>
      <sheetName val="MN_T_B_"/>
      <sheetName val="CFForecast_detail"/>
      <sheetName val="Site_Dev_BOQ"/>
      <sheetName val="Break_up_Sheet"/>
      <sheetName val="Load_Details-220kV"/>
      <sheetName val="Block_A_-_BOQ"/>
      <sheetName val="Sheet3_(2)1"/>
      <sheetName val="ABP_inputs1"/>
      <sheetName val="Synergy_Sales_Budget1"/>
      <sheetName val="Project_Budget_Worksheet1"/>
      <sheetName val="QoQ_Forecast1"/>
      <sheetName val="Income_Statements1"/>
      <sheetName val="Sheet3__2_1"/>
      <sheetName val="Income_&amp;_Occupancy_Customer1"/>
      <sheetName val="RCC,Ret__Wall1"/>
      <sheetName val="Calculation_(2)1"/>
      <sheetName val="Multiple_output1"/>
      <sheetName val="Builtup_Area1"/>
      <sheetName val="BOQ_T4B1"/>
      <sheetName val="INDIGINEOUS_ITEMS_1"/>
      <sheetName val="Material_1"/>
      <sheetName val="Labour_&amp;_Plant1"/>
      <sheetName val="Approved_MTD_Proj_#'s1"/>
      <sheetName val="_B31"/>
      <sheetName val="_B11"/>
      <sheetName val="beam-reinft-IIInd_floor1"/>
      <sheetName val="Aladdin_Macro11"/>
      <sheetName val="Acc_10_51"/>
      <sheetName val="Global_Assm_1"/>
      <sheetName val="MN_T_B_1"/>
      <sheetName val="CFForecast_detail1"/>
      <sheetName val="Site_Dev_BOQ1"/>
      <sheetName val="Break_up_Sheet1"/>
      <sheetName val="Load_Details-220kV1"/>
      <sheetName val="Block_A_-_BOQ1"/>
      <sheetName val="Sheet3_(2)2"/>
      <sheetName val="ABP_inputs2"/>
      <sheetName val="Synergy_Sales_Budget2"/>
      <sheetName val="Project_Budget_Worksheet2"/>
      <sheetName val="QoQ_Forecast2"/>
      <sheetName val="Income_Statements2"/>
      <sheetName val="Sheet3__2_2"/>
      <sheetName val="Income_&amp;_Occupancy_Customer2"/>
      <sheetName val="RCC,Ret__Wall2"/>
      <sheetName val="Calculation_(2)2"/>
      <sheetName val="Multiple_output2"/>
      <sheetName val="Builtup_Area2"/>
      <sheetName val="BOQ_T4B2"/>
      <sheetName val="INDIGINEOUS_ITEMS_2"/>
      <sheetName val="Material_2"/>
      <sheetName val="Labour_&amp;_Plant2"/>
      <sheetName val="Approved_MTD_Proj_#'s2"/>
      <sheetName val="_B32"/>
      <sheetName val="_B12"/>
      <sheetName val="beam-reinft-IIInd_floor2"/>
      <sheetName val="Aladdin_Macro12"/>
      <sheetName val="Acc_10_52"/>
      <sheetName val="Global_Assm_2"/>
      <sheetName val="MN_T_B_2"/>
      <sheetName val="CFForecast_detail2"/>
      <sheetName val="Site_Dev_BOQ2"/>
      <sheetName val="Break_up_Sheet2"/>
      <sheetName val="Load_Details-220kV2"/>
      <sheetName val="Block_A_-_BOQ2"/>
      <sheetName val="strand"/>
      <sheetName val="CABLE DATA"/>
      <sheetName val="1st flr"/>
      <sheetName val="final abstract"/>
      <sheetName val="Rate analysis"/>
      <sheetName val="Rollup Summary"/>
      <sheetName val="CapitalOutlay"/>
      <sheetName val="Assum"/>
      <sheetName val="Sheet3_(2)3"/>
      <sheetName val="ABP_inputs3"/>
      <sheetName val="Synergy_Sales_Budget3"/>
      <sheetName val="Project_Budget_Worksheet3"/>
      <sheetName val="QoQ_Forecast3"/>
      <sheetName val="Income_Statements3"/>
      <sheetName val="Sheet3__2_3"/>
      <sheetName val="Income_&amp;_Occupancy_Customer3"/>
      <sheetName val="RCC,Ret__Wall3"/>
      <sheetName val="Calculation_(2)3"/>
      <sheetName val="Multiple_output3"/>
      <sheetName val="Builtup_Area3"/>
      <sheetName val="BOQ_T4B3"/>
      <sheetName val="INDIGINEOUS_ITEMS_3"/>
      <sheetName val="Material_3"/>
      <sheetName val="Labour_&amp;_Plant3"/>
      <sheetName val="Approved_MTD_Proj_#'s3"/>
      <sheetName val="_B33"/>
      <sheetName val="_B13"/>
      <sheetName val="beam-reinft-IIInd_floor3"/>
      <sheetName val="Aladdin_Macro13"/>
      <sheetName val="Acc_10_53"/>
      <sheetName val="Global_Assm_3"/>
      <sheetName val="MN_T_B_3"/>
      <sheetName val="CFForecast_detail3"/>
      <sheetName val="Site_Dev_BOQ3"/>
      <sheetName val="Break_up_Sheet3"/>
      <sheetName val="Load_Details-220kV3"/>
      <sheetName val="Block_A_-_BOQ3"/>
      <sheetName val="Sheet3_(2)4"/>
      <sheetName val="ABP_inputs4"/>
      <sheetName val="Synergy_Sales_Budget4"/>
      <sheetName val="Project_Budget_Worksheet4"/>
      <sheetName val="QoQ_Forecast4"/>
      <sheetName val="Income_Statements4"/>
      <sheetName val="Sheet3__2_4"/>
      <sheetName val="Income_&amp;_Occupancy_Customer4"/>
      <sheetName val="RCC,Ret__Wall4"/>
      <sheetName val="Calculation_(2)4"/>
      <sheetName val="Multiple_output4"/>
      <sheetName val="Builtup_Area4"/>
      <sheetName val="BOQ_T4B4"/>
      <sheetName val="INDIGINEOUS_ITEMS_4"/>
      <sheetName val="Material_4"/>
      <sheetName val="Labour_&amp;_Plant4"/>
      <sheetName val="Approved_MTD_Proj_#'s4"/>
      <sheetName val="_B34"/>
      <sheetName val="_B14"/>
      <sheetName val="beam-reinft-IIInd_floor4"/>
      <sheetName val="Aladdin_Macro14"/>
      <sheetName val="Acc_10_54"/>
      <sheetName val="Global_Assm_4"/>
      <sheetName val="MN_T_B_4"/>
      <sheetName val="CFForecast_detail4"/>
      <sheetName val="Site_Dev_BOQ4"/>
      <sheetName val="Break_up_Sheet4"/>
      <sheetName val="Load_Details-220kV4"/>
      <sheetName val="Block_A_-_BOQ4"/>
      <sheetName val="02"/>
      <sheetName val="03"/>
      <sheetName val="04"/>
      <sheetName val="01"/>
      <sheetName val="Civil Boq"/>
      <sheetName val="BS"/>
      <sheetName val="Other BS Sch 5-9"/>
      <sheetName val="Excess Calc"/>
      <sheetName val="Grouping Master"/>
      <sheetName val="Current Bill MB ref"/>
      <sheetName val="Meas.-Hotel Part"/>
      <sheetName val="March Analysts"/>
      <sheetName val="Company"/>
      <sheetName val="compu"/>
      <sheetName val="P &amp; L"/>
      <sheetName val="PLAN_FEB97"/>
      <sheetName val="Fin Sum"/>
      <sheetName val="QoQ In Lakhs"/>
      <sheetName val="Main workings"/>
      <sheetName val="02022005"/>
      <sheetName val="16022005"/>
      <sheetName val="05012005"/>
      <sheetName val="19012005"/>
      <sheetName val="02032005"/>
      <sheetName val="16032005"/>
      <sheetName val="30032005"/>
      <sheetName val="GENERAL2"/>
      <sheetName val="Factor_Sheet"/>
      <sheetName val="Sheet3_(2)5"/>
      <sheetName val="Sheet3__2_5"/>
      <sheetName val="Calculation_(2)5"/>
      <sheetName val="Multiple_output5"/>
      <sheetName val="170810-lease_tax"/>
      <sheetName val="QoQ_Forecast5"/>
      <sheetName val="Income_Statements5"/>
      <sheetName val="Income_&amp;_Occupancy_Customer5"/>
      <sheetName val="ABP_inputs5"/>
      <sheetName val="Synergy_Sales_Budget5"/>
      <sheetName val="Project_Budget_Worksheet5"/>
      <sheetName val="INDIGINEOUS_ITEMS_5"/>
      <sheetName val="Builtup_Area5"/>
      <sheetName val="RCC,Ret__Wall5"/>
      <sheetName val="BOQ_T4B5"/>
      <sheetName val="Material_5"/>
      <sheetName val="Labour_&amp;_Plant5"/>
      <sheetName val="_B35"/>
      <sheetName val="_B15"/>
      <sheetName val="CFForecast_detail5"/>
      <sheetName val="Site_Dev_BOQ5"/>
      <sheetName val="beam-reinft-IIInd_floor5"/>
      <sheetName val="Global_Assm_5"/>
      <sheetName val="Main_Sheet_(MTD)"/>
      <sheetName val="Consl_Daily_Report"/>
      <sheetName val="balance_sheet"/>
      <sheetName val="van_khuon"/>
      <sheetName val="IDC_macro"/>
      <sheetName val="Aladdin_Macro15"/>
      <sheetName val="Acc_10_55"/>
      <sheetName val="Portfolio_Summary"/>
      <sheetName val="MIS_-_kINR"/>
      <sheetName val="Break_up_Sheet5"/>
      <sheetName val="Approved_MTD_Proj_#'s5"/>
      <sheetName val="MN_T_B_5"/>
      <sheetName val="Load_Details-220kV5"/>
      <sheetName val="Block_A_-_BOQ5"/>
      <sheetName val="CABLE_DATA"/>
      <sheetName val="1st_flr"/>
      <sheetName val="final_abstract"/>
      <sheetName val="Rate_analysis"/>
      <sheetName val="Rollup_Summary"/>
      <sheetName val="Civil_Boq"/>
      <sheetName val="F"/>
      <sheetName val="EXHIBIT&quot; T&quot;"/>
      <sheetName val="Turnover"/>
      <sheetName val="SCH-E-1"/>
      <sheetName val="BIPR"/>
      <sheetName val="BPCA"/>
      <sheetName val="BBRS"/>
      <sheetName val="KPM DT"/>
      <sheetName val="M-2 Adjusted"/>
      <sheetName val="Master Price List"/>
      <sheetName val="reference"/>
      <sheetName val="new_data"/>
      <sheetName val="earnmodl"/>
      <sheetName val="Dom Cell (IS)"/>
      <sheetName val="sept-plan"/>
      <sheetName val="classes"/>
      <sheetName val="IT Block"/>
      <sheetName val="Location CODE"/>
      <sheetName val="Location TYPE"/>
      <sheetName val="sub class"/>
      <sheetName val=" sub Loc "/>
      <sheetName val=" Acc. Sched."/>
      <sheetName val="LBO"/>
      <sheetName val="IMPORT T12"/>
      <sheetName val="EDS  Bestshore Migration"/>
      <sheetName val="NewCo"/>
      <sheetName val="TB_FOR_MIS"/>
      <sheetName val="Area"/>
      <sheetName val="TB FOR MIS"/>
      <sheetName val="INPUT SHEET"/>
      <sheetName val="Summ"/>
      <sheetName val="Fossil_DCF"/>
      <sheetName val="SOPMA DD"/>
      <sheetName val="03 (2)"/>
      <sheetName val="WIng F(Typical)"/>
      <sheetName val="?????"/>
      <sheetName val="Budget Summary"/>
      <sheetName val="PERHW"/>
      <sheetName val="Loss 3004"/>
      <sheetName val="ANN.K"/>
      <sheetName val="CAP"/>
      <sheetName val="Recon"/>
      <sheetName val="Rates"/>
      <sheetName val="Index"/>
      <sheetName val="Balance Sheet "/>
      <sheetName val="RNT"/>
      <sheetName val="Combi"/>
      <sheetName val="Params"/>
      <sheetName val="ras"/>
      <sheetName val="CashFlow"/>
      <sheetName val="TB"/>
      <sheetName val="Training Deposits coding"/>
      <sheetName val="PLGroupings"/>
      <sheetName val="Results"/>
      <sheetName val="OpRes"/>
      <sheetName val="master"/>
      <sheetName val="Macro1"/>
      <sheetName val="Licences"/>
      <sheetName val="Current_Bill_MB_ref"/>
      <sheetName val="Meas_-Hotel_Part"/>
      <sheetName val="Fin_Sum"/>
      <sheetName val="Pay_Sep06"/>
      <sheetName val="Settings"/>
      <sheetName val="LBO Financials"/>
      <sheetName val="IMPORT_T12"/>
      <sheetName val="KPM_DT"/>
      <sheetName val="Task"/>
      <sheetName val="97-98"/>
      <sheetName val="SODA02"/>
      <sheetName val="Hot"/>
      <sheetName val="Mico"/>
      <sheetName val="Reconciliation of GL &amp; FAR"/>
      <sheetName val="FY2001-02"/>
      <sheetName val="CARO"/>
      <sheetName val="Control"/>
      <sheetName val=""/>
      <sheetName val="AOR"/>
      <sheetName val="MASTER_RATE ANALYSIS"/>
      <sheetName val="Valuation - block 2"/>
      <sheetName val="Rev Opt - Rollup"/>
      <sheetName val="FA"/>
      <sheetName val="ITEM  STUDY (2)"/>
      <sheetName val="EVA1"/>
      <sheetName val="Felix Street Summary"/>
      <sheetName val="Newspapers"/>
      <sheetName val="AccDil"/>
      <sheetName val="Currency"/>
      <sheetName val="IO"/>
      <sheetName val="Assumption"/>
      <sheetName val="Tyre1"/>
      <sheetName val="Auto"/>
      <sheetName val="EXPENSES"/>
      <sheetName val="TDS Certificate-Format"/>
      <sheetName val="Hardware"/>
      <sheetName val="TH"/>
      <sheetName val="Power &amp; Fuel (S)"/>
      <sheetName val="YTD"/>
      <sheetName val="RES-PLANNING"/>
      <sheetName val="Cost_any"/>
      <sheetName val="10. &amp; 11. Rate Code &amp; BQ"/>
      <sheetName val="FITZ MORT 94"/>
      <sheetName val="CSCCincSKR"/>
      <sheetName val="concrete"/>
      <sheetName val="HELP"/>
      <sheetName val="BS-2005"/>
      <sheetName val="exec summ"/>
      <sheetName val="Ins Erection"/>
      <sheetName val="269T(final)"/>
      <sheetName val="Data"/>
      <sheetName val="Contribution"/>
      <sheetName val="Rx"/>
      <sheetName val="Code"/>
      <sheetName val="Base Assumptions"/>
      <sheetName val="vb 9&amp;10"/>
      <sheetName val="GenAssump"/>
      <sheetName val="Commercial Research"/>
      <sheetName val="Goldberg Portfolio Combined"/>
      <sheetName val="9. Package split - Cost "/>
      <sheetName val="Leasing Commision"/>
      <sheetName val="#REF"/>
      <sheetName val="IO LIST"/>
      <sheetName val="Master list"/>
      <sheetName val="Labour List"/>
      <sheetName val="Material List"/>
      <sheetName val="Architectural Summary"/>
      <sheetName val="Legal Risk Analysis"/>
      <sheetName val="Labor abs-NMR"/>
      <sheetName val="Beam at Ground flr lvl(Steel)"/>
      <sheetName val="AREAS"/>
      <sheetName val="sumary"/>
      <sheetName val="1st -vpd"/>
      <sheetName val="conc-foot-gradeslab"/>
      <sheetName val="Material List "/>
      <sheetName val="SCHEDULE"/>
      <sheetName val="Database"/>
      <sheetName val="schedule nos"/>
      <sheetName val="WT-LIST"/>
      <sheetName val="Material"/>
      <sheetName val="Sensitivity"/>
      <sheetName val="Fill this out first..."/>
      <sheetName val="Intaccrual"/>
      <sheetName val="SBU"/>
      <sheetName val="Portfolio_Summary1"/>
      <sheetName val="Current_Bill_MB_ref1"/>
      <sheetName val="Meas_-Hotel_Part1"/>
      <sheetName val="A-Mum"/>
      <sheetName val="BKCSTOCKVAL"/>
      <sheetName val="MAHSTOCKVAL"/>
      <sheetName val="Operating Statistics"/>
      <sheetName val="Trial Balance"/>
      <sheetName val="horizontal"/>
      <sheetName val="Checks"/>
      <sheetName val="DET0900"/>
      <sheetName val="Theatre mgmt cont"/>
      <sheetName val="Menu"/>
      <sheetName val="Variables_x"/>
      <sheetName val="P.R. TAXES"/>
      <sheetName val="BILLING SUM"/>
      <sheetName val="Cover"/>
      <sheetName val="FA Schedule Dec 07"/>
      <sheetName val="Gen_Ass"/>
      <sheetName val="Op_Ass"/>
      <sheetName val="Staff Costs"/>
      <sheetName val="General_Assumptions"/>
      <sheetName val="OpTrack"/>
      <sheetName val="NEW-IDs Fun &amp; Group"/>
      <sheetName val="XZLC003_PART1"/>
      <sheetName val="15-21"/>
      <sheetName val="Service Invoice"/>
      <sheetName val="apr-aug"/>
      <sheetName val="MIS AC wise"/>
      <sheetName val="Cash Flow Working"/>
      <sheetName val="Retail Mall"/>
      <sheetName val="Sheet3"/>
      <sheetName val="CASHFLOWS"/>
      <sheetName val="drop-dwn list"/>
      <sheetName val="tngst1"/>
      <sheetName val="Boiler&amp;TG"/>
      <sheetName val="Timeline"/>
      <sheetName val="Kontensalden"/>
      <sheetName val="Estimate"/>
      <sheetName val="12-ACTPL"/>
      <sheetName val="Open Items-311208"/>
      <sheetName val="Variables"/>
      <sheetName val="Publicbuilding"/>
      <sheetName val="Non-Factory"/>
      <sheetName val="extra work elec bill "/>
      <sheetName val="Notes-pivot1 "/>
      <sheetName val="Scope"/>
      <sheetName val="Debtors analysis"/>
      <sheetName val="A1-Continuous"/>
      <sheetName val="pile Fabrication"/>
      <sheetName val="Improvements"/>
      <sheetName val="ES"/>
      <sheetName val="SEW4"/>
      <sheetName val="MFG"/>
      <sheetName val="Assump"/>
      <sheetName val="exp"/>
      <sheetName val="Sheet4"/>
      <sheetName val="RA"/>
      <sheetName val="A.O.R."/>
      <sheetName val="HBI NCD"/>
      <sheetName val="CUSTOM Jun99"/>
      <sheetName val="Misc. Master"/>
      <sheetName val="Capital Structure"/>
      <sheetName val="GROUPING"/>
      <sheetName val="Dep"/>
      <sheetName val="NOA Data"/>
      <sheetName val="Overheads"/>
      <sheetName val="Phasing"/>
      <sheetName val="Sale Charts"/>
      <sheetName val="Customize Your Invoice"/>
      <sheetName val="Night Shift"/>
      <sheetName val="macroDat"/>
      <sheetName val="Severity"/>
      <sheetName val="Pur"/>
      <sheetName val="mltc"/>
      <sheetName val="form26"/>
      <sheetName val="F29B"/>
      <sheetName val="EXIS-COMBINED"/>
      <sheetName val="Expansion"/>
      <sheetName val="cash_flow"/>
      <sheetName val="sales_value"/>
      <sheetName val="colaw_dep"/>
      <sheetName val="freight"/>
      <sheetName val="gm"/>
      <sheetName val="interest"/>
      <sheetName val="jb_cost"/>
      <sheetName val="c_flow_%"/>
      <sheetName val="consum_cost"/>
      <sheetName val="Tender Summary"/>
      <sheetName val="Bill 1-BOQ-Civil Works"/>
      <sheetName val="Related party - P&amp;L"/>
      <sheetName val="Base data Security Procedures"/>
      <sheetName val="PRECAST lightconc-II"/>
      <sheetName val="Standalone"/>
      <sheetName val="RATE LIST (2)"/>
      <sheetName val="Sheet3_(2)6"/>
      <sheetName val="Sheet3__2_6"/>
      <sheetName val="170810-lease_tax1"/>
      <sheetName val="Multiple_output6"/>
      <sheetName val="Calculation_(2)6"/>
      <sheetName val="QoQ_Forecast6"/>
      <sheetName val="Income_Statements6"/>
      <sheetName val="Income_&amp;_Occupancy_Customer6"/>
      <sheetName val="ABP_inputs6"/>
      <sheetName val="Synergy_Sales_Budget6"/>
      <sheetName val="Project_Budget_Worksheet6"/>
      <sheetName val="Builtup_Area6"/>
      <sheetName val="INDIGINEOUS_ITEMS_6"/>
      <sheetName val="RCC,Ret__Wall6"/>
      <sheetName val="BOQ_T4B6"/>
      <sheetName val="Main_Sheet_(MTD)1"/>
      <sheetName val="Consl_Daily_Report1"/>
      <sheetName val="balance_sheet1"/>
      <sheetName val="Global_Assm_6"/>
      <sheetName val="van_khuon1"/>
      <sheetName val="IDC_macro1"/>
      <sheetName val="Aladdin_Macro16"/>
      <sheetName val="Acc_10_56"/>
      <sheetName val="Summary_Excise"/>
      <sheetName val="Other_BS_Sch_5-9"/>
      <sheetName val="Excess_Calc"/>
      <sheetName val="Grouping_Master"/>
      <sheetName val="Material_6"/>
      <sheetName val="Labour_&amp;_Plant6"/>
      <sheetName val="_B36"/>
      <sheetName val="_B16"/>
      <sheetName val="beam-reinft-IIInd_floor6"/>
      <sheetName val="Approved_MTD_Proj_#'s6"/>
      <sheetName val="MN_T_B_6"/>
      <sheetName val="CFForecast_detail6"/>
      <sheetName val="Site_Dev_BOQ6"/>
      <sheetName val="Break_up_Sheet6"/>
      <sheetName val="Load_Details-220kV6"/>
      <sheetName val="Block_A_-_BOQ6"/>
      <sheetName val="March_Analysts"/>
      <sheetName val="P_&amp;_L"/>
      <sheetName val="QoQ_In_Lakhs"/>
      <sheetName val="Main_workings"/>
      <sheetName val="CABLE_DATA1"/>
      <sheetName val="1st_flr1"/>
      <sheetName val="final_abstract1"/>
      <sheetName val="Rate_analysis1"/>
      <sheetName val="Rollup_Summary1"/>
      <sheetName val="Civil_Boq1"/>
      <sheetName val="MIS_-_kINR1"/>
      <sheetName val="ANN_K"/>
      <sheetName val="IT_Block"/>
      <sheetName val="Location_CODE"/>
      <sheetName val="Location_TYPE"/>
      <sheetName val="sub_class"/>
      <sheetName val="_sub_Loc_"/>
      <sheetName val="_Acc__Sched_"/>
      <sheetName val="EDS__Bestshore_Migration"/>
      <sheetName val="TB_FOR_MIS1"/>
      <sheetName val="INPUT_SHEET"/>
      <sheetName val="SOPMA_DD"/>
      <sheetName val="03_(2)"/>
      <sheetName val="WIng_F(Typical)"/>
      <sheetName val="M-2_Adjusted"/>
      <sheetName val="EXHIBIT&quot;_T&quot;"/>
      <sheetName val="Master_Price_List"/>
      <sheetName val="Dom_Cell_(IS)"/>
      <sheetName val="Power_&amp;_Fuel_(S)"/>
      <sheetName val="Balance_Sheet_"/>
      <sheetName val="Budget_Summary"/>
      <sheetName val="Redelvery provision changed"/>
      <sheetName val="Sch5TO10"/>
      <sheetName val="Trial Balance_Format"/>
      <sheetName val="Overall Summary"/>
      <sheetName val="소상 &quot;1&quot;"/>
      <sheetName val="CrRajWMM"/>
      <sheetName val="Cost summary"/>
      <sheetName val="RCC Rates"/>
      <sheetName val="FORM7"/>
      <sheetName val="目录"/>
      <sheetName val="UNP-NCW "/>
      <sheetName val="4.4 External Plaster"/>
      <sheetName val="EAST"/>
      <sheetName val="YOEMAGUM"/>
      <sheetName val="Lease Expiry"/>
      <sheetName val="Base"/>
      <sheetName val="A-1"/>
      <sheetName val="I"/>
      <sheetName val="PL"/>
      <sheetName val="Annexure-I"/>
      <sheetName val="EMPMAST"/>
      <sheetName val="agrolist"/>
      <sheetName val="HOUSE RENT DEPO."/>
      <sheetName val="Graph (LGEN)"/>
      <sheetName val="out_prog"/>
      <sheetName val="선적schedule (2)"/>
      <sheetName val="steam outlet"/>
      <sheetName val="BOQ Distribution"/>
      <sheetName val="wordsdata"/>
      <sheetName val="GM &amp; TA"/>
      <sheetName val="Control Sheet"/>
      <sheetName val="crs"/>
      <sheetName val="PIMS"/>
      <sheetName val="SCH 10"/>
      <sheetName val="SAP EMP"/>
      <sheetName val="schedules"/>
      <sheetName val="Summary_Local"/>
      <sheetName val="details"/>
      <sheetName val="USB 1"/>
      <sheetName val="RA-markate"/>
      <sheetName val="BQ"/>
      <sheetName val="FIFO"/>
      <sheetName val="Links"/>
      <sheetName val="Costs"/>
      <sheetName val="P&amp;L"/>
      <sheetName val="Fin_Sum1"/>
      <sheetName val="KPM_DT1"/>
      <sheetName val="Loss_3004"/>
      <sheetName val="Reconciliation_of_GL_&amp;_FAR"/>
      <sheetName val="IMPORT_T121"/>
      <sheetName val="LBO_Financials"/>
      <sheetName val="Training_Deposits_coding"/>
      <sheetName val="exec_summ"/>
      <sheetName val="MASTER_RATE_ANALYSIS"/>
      <sheetName val="Valuation_-_block_2"/>
      <sheetName val="Rev_Opt_-_Rollup"/>
      <sheetName val="SCH4"/>
      <sheetName val="FixedAssets"/>
      <sheetName val="차수"/>
      <sheetName val="DIVBUD99"/>
      <sheetName val="ITEM__STUDY_(2)"/>
      <sheetName val="TDS_Certificate-Format"/>
      <sheetName val="Felix_Street_Summary"/>
      <sheetName val="10__&amp;_11__Rate_Code_&amp;_BQ"/>
      <sheetName val="vb_9&amp;10"/>
      <sheetName val="9__Package_split_-_Cost_"/>
      <sheetName val="FITZ_MORT_94"/>
      <sheetName val="Fill_this_out_first___"/>
      <sheetName val="Base_Assumptions"/>
      <sheetName val="PRECAST_lightconc-II"/>
      <sheetName val="Ins_Erection"/>
      <sheetName val="HOUSE_RENT_DEPO_"/>
      <sheetName val="Debtors_analysis"/>
      <sheetName val="Tender_Summary"/>
      <sheetName val="Bill_1-BOQ-Civil_Works"/>
      <sheetName val="drop-dwn_list"/>
      <sheetName val="Customize_Your_Invoice"/>
      <sheetName val="Sale_Charts"/>
      <sheetName val="Schedule v1"/>
      <sheetName val="Lease-rents"/>
      <sheetName val="Key Assumption"/>
      <sheetName val="Master Information"/>
      <sheetName val="GF Columns"/>
      <sheetName val="Approval"/>
      <sheetName val=" COP"/>
      <sheetName val="labour rates"/>
      <sheetName val="Timesheet"/>
      <sheetName val="Loads"/>
      <sheetName val="old_serial no."/>
      <sheetName val="tot_ass_9697"/>
      <sheetName val="Budget_CF - Overall"/>
      <sheetName val="공사비 내역 (가)"/>
      <sheetName val="4K - (6a) Non Manual Breakdown"/>
      <sheetName val="3. Elemental Summary"/>
      <sheetName val="Financials"/>
      <sheetName val="L"/>
      <sheetName val="p1-costg"/>
      <sheetName val="costing"/>
      <sheetName val="August TB"/>
      <sheetName val="0. Data Validation List"/>
      <sheetName val="Crest"/>
      <sheetName val="Pinnacle"/>
      <sheetName val="Zenith"/>
      <sheetName val="stacking sheet"/>
      <sheetName val="Debt"/>
      <sheetName val="SALES"/>
      <sheetName val="Basework"/>
      <sheetName val="Monthly Inputs"/>
      <sheetName val="2000-1 Monthly Cashflows"/>
      <sheetName val="2002-2 Monthly Cashflows"/>
      <sheetName val="Notes"/>
      <sheetName val="TMasterCurrency"/>
      <sheetName val="TMasterSeg"/>
      <sheetName val="ASSETS P&amp;M"/>
      <sheetName val="Assets Land &amp; Mise FA"/>
      <sheetName val="cl 14 Annex 7 "/>
      <sheetName val="Encl 7A"/>
      <sheetName val="wdr bldg"/>
      <sheetName val="Formated Trial Balance"/>
      <sheetName val="Molasses-FG"/>
      <sheetName val="grp "/>
      <sheetName val="전체현황"/>
      <sheetName val="FCIIHyperion"/>
      <sheetName val="final 061106"/>
      <sheetName val="SAB P&amp;L"/>
      <sheetName val="cash flow"/>
      <sheetName val="Feb_Prfl_28"/>
      <sheetName val=" "/>
      <sheetName val="S &amp; A"/>
      <sheetName val="Legal_Risk_Analysis"/>
      <sheetName val="Architectural_Summary"/>
      <sheetName val="IO_LIST"/>
      <sheetName val="Master_list"/>
      <sheetName val="Labour_List"/>
      <sheetName val="Material_List"/>
      <sheetName val="Labor_abs-NMR"/>
      <sheetName val="Beam_at_Ground_flr_lvl(Steel)"/>
      <sheetName val="1st_-vpd"/>
      <sheetName val="Material_List_"/>
      <sheetName val="schedule_nos"/>
      <sheetName val="p&amp;m"/>
      <sheetName val="Rollup"/>
      <sheetName val="FA(Apr 07)"/>
      <sheetName val="Reco O.S"/>
      <sheetName val="Accounts"/>
      <sheetName val="BOM"/>
      <sheetName val="Fin. Assumpt. - Sensitivities"/>
      <sheetName val="Fin"/>
      <sheetName val="Intro"/>
      <sheetName val="dlvoid"/>
      <sheetName val="OHT_Abs"/>
      <sheetName val="1"/>
      <sheetName val="Linked Lead"/>
      <sheetName val="hist&amp;proj"/>
      <sheetName val="TASKRSRC (2)"/>
      <sheetName val="TARGET"/>
      <sheetName val="BASELINE"/>
      <sheetName val="labour"/>
      <sheetName val="Basement Budget"/>
      <sheetName val="Portfolio_Summary2"/>
      <sheetName val="Current_Bill_MB_ref2"/>
      <sheetName val="Meas_-Hotel_Part2"/>
      <sheetName val="extra_work_elec_bill_"/>
      <sheetName val="NEW-IDs_Fun_&amp;_Group"/>
      <sheetName val="Elec Summ"/>
      <sheetName val="ELEC BOQ"/>
      <sheetName val="TRACK BUSWAY"/>
      <sheetName val="BBT"/>
      <sheetName val="LIGHTING"/>
      <sheetName val="LMS"/>
      <sheetName val="Collection"/>
      <sheetName val="B_S"/>
      <sheetName val="HSA"/>
      <sheetName val="WGSRL"/>
    </sheetNames>
    <sheetDataSet>
      <sheetData sheetId="0" refreshError="1">
        <row r="65">
          <cell r="A65" t="str">
            <v>(II)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ow r="65">
          <cell r="A65" t="str">
            <v>(II)</v>
          </cell>
        </row>
      </sheetData>
      <sheetData sheetId="84">
        <row r="65">
          <cell r="A65" t="str">
            <v>(II)</v>
          </cell>
        </row>
      </sheetData>
      <sheetData sheetId="85" refreshError="1"/>
      <sheetData sheetId="86" refreshError="1"/>
      <sheetData sheetId="87" refreshError="1"/>
      <sheetData sheetId="88" refreshError="1"/>
      <sheetData sheetId="89" refreshError="1"/>
      <sheetData sheetId="90" refreshError="1"/>
      <sheetData sheetId="91">
        <row r="65">
          <cell r="A65" t="str">
            <v>(II)</v>
          </cell>
        </row>
      </sheetData>
      <sheetData sheetId="92">
        <row r="65">
          <cell r="A65" t="str">
            <v>(II)</v>
          </cell>
        </row>
      </sheetData>
      <sheetData sheetId="93">
        <row r="65">
          <cell r="A65" t="str">
            <v>(II)</v>
          </cell>
        </row>
      </sheetData>
      <sheetData sheetId="94">
        <row r="65">
          <cell r="A65" t="str">
            <v>(II)</v>
          </cell>
        </row>
      </sheetData>
      <sheetData sheetId="95">
        <row r="65">
          <cell r="A65" t="str">
            <v>(II)</v>
          </cell>
        </row>
      </sheetData>
      <sheetData sheetId="96">
        <row r="65">
          <cell r="A65" t="str">
            <v>(II)</v>
          </cell>
        </row>
      </sheetData>
      <sheetData sheetId="97">
        <row r="65">
          <cell r="A65" t="str">
            <v>(II)</v>
          </cell>
        </row>
      </sheetData>
      <sheetData sheetId="98">
        <row r="65">
          <cell r="A65" t="str">
            <v>(II)</v>
          </cell>
        </row>
      </sheetData>
      <sheetData sheetId="99">
        <row r="65">
          <cell r="A65" t="str">
            <v>(II)</v>
          </cell>
        </row>
      </sheetData>
      <sheetData sheetId="100">
        <row r="65">
          <cell r="A65" t="str">
            <v>(II)</v>
          </cell>
        </row>
      </sheetData>
      <sheetData sheetId="101">
        <row r="65">
          <cell r="A65" t="str">
            <v>(II)</v>
          </cell>
        </row>
      </sheetData>
      <sheetData sheetId="102">
        <row r="65">
          <cell r="A65" t="str">
            <v>(II)</v>
          </cell>
        </row>
      </sheetData>
      <sheetData sheetId="103">
        <row r="65">
          <cell r="A65" t="str">
            <v>(II)</v>
          </cell>
        </row>
      </sheetData>
      <sheetData sheetId="104">
        <row r="65">
          <cell r="A65" t="str">
            <v>(II)</v>
          </cell>
        </row>
      </sheetData>
      <sheetData sheetId="105">
        <row r="65">
          <cell r="A65" t="str">
            <v>(II)</v>
          </cell>
        </row>
      </sheetData>
      <sheetData sheetId="106">
        <row r="65">
          <cell r="A65" t="str">
            <v>(II)</v>
          </cell>
        </row>
      </sheetData>
      <sheetData sheetId="107">
        <row r="65">
          <cell r="A65" t="str">
            <v>(II)</v>
          </cell>
        </row>
      </sheetData>
      <sheetData sheetId="108">
        <row r="65">
          <cell r="A65" t="str">
            <v>(II)</v>
          </cell>
        </row>
      </sheetData>
      <sheetData sheetId="109">
        <row r="65">
          <cell r="A65" t="str">
            <v>(II)</v>
          </cell>
        </row>
      </sheetData>
      <sheetData sheetId="110">
        <row r="65">
          <cell r="A65" t="str">
            <v>(II)</v>
          </cell>
        </row>
      </sheetData>
      <sheetData sheetId="111">
        <row r="65">
          <cell r="A65" t="str">
            <v>(II)</v>
          </cell>
        </row>
      </sheetData>
      <sheetData sheetId="112">
        <row r="65">
          <cell r="A65" t="str">
            <v>(II)</v>
          </cell>
        </row>
      </sheetData>
      <sheetData sheetId="113">
        <row r="65">
          <cell r="A65" t="str">
            <v>(II)</v>
          </cell>
        </row>
      </sheetData>
      <sheetData sheetId="114">
        <row r="65">
          <cell r="A65" t="str">
            <v>(II)</v>
          </cell>
        </row>
      </sheetData>
      <sheetData sheetId="115">
        <row r="65">
          <cell r="A65" t="str">
            <v>(II)</v>
          </cell>
        </row>
      </sheetData>
      <sheetData sheetId="116">
        <row r="65">
          <cell r="A65" t="str">
            <v>(II)</v>
          </cell>
        </row>
      </sheetData>
      <sheetData sheetId="117">
        <row r="65">
          <cell r="A65" t="str">
            <v>(II)</v>
          </cell>
        </row>
      </sheetData>
      <sheetData sheetId="118">
        <row r="65">
          <cell r="A65" t="str">
            <v>(II)</v>
          </cell>
        </row>
      </sheetData>
      <sheetData sheetId="119">
        <row r="65">
          <cell r="A65" t="str">
            <v>(II)</v>
          </cell>
        </row>
      </sheetData>
      <sheetData sheetId="120">
        <row r="65">
          <cell r="A65" t="str">
            <v>(II)</v>
          </cell>
        </row>
      </sheetData>
      <sheetData sheetId="121">
        <row r="65">
          <cell r="A65" t="str">
            <v>(II)</v>
          </cell>
        </row>
      </sheetData>
      <sheetData sheetId="122">
        <row r="65">
          <cell r="A65" t="str">
            <v>(II)</v>
          </cell>
        </row>
      </sheetData>
      <sheetData sheetId="123">
        <row r="65">
          <cell r="A65" t="str">
            <v>(II)</v>
          </cell>
        </row>
      </sheetData>
      <sheetData sheetId="124">
        <row r="65">
          <cell r="A65" t="str">
            <v>(II)</v>
          </cell>
        </row>
      </sheetData>
      <sheetData sheetId="125">
        <row r="65">
          <cell r="A65" t="str">
            <v>(II)</v>
          </cell>
        </row>
      </sheetData>
      <sheetData sheetId="126">
        <row r="65">
          <cell r="A65" t="str">
            <v>(II)</v>
          </cell>
        </row>
      </sheetData>
      <sheetData sheetId="127">
        <row r="65">
          <cell r="A65" t="str">
            <v>(II)</v>
          </cell>
        </row>
      </sheetData>
      <sheetData sheetId="128">
        <row r="65">
          <cell r="A65" t="str">
            <v>(II)</v>
          </cell>
        </row>
      </sheetData>
      <sheetData sheetId="129">
        <row r="65">
          <cell r="A65" t="str">
            <v>(II)</v>
          </cell>
        </row>
      </sheetData>
      <sheetData sheetId="130">
        <row r="65">
          <cell r="A65" t="str">
            <v>(II)</v>
          </cell>
        </row>
      </sheetData>
      <sheetData sheetId="131">
        <row r="65">
          <cell r="A65" t="str">
            <v>(II)</v>
          </cell>
        </row>
      </sheetData>
      <sheetData sheetId="132">
        <row r="65">
          <cell r="A65" t="str">
            <v>(II)</v>
          </cell>
        </row>
      </sheetData>
      <sheetData sheetId="133">
        <row r="65">
          <cell r="A65" t="str">
            <v>(II)</v>
          </cell>
        </row>
      </sheetData>
      <sheetData sheetId="134">
        <row r="65">
          <cell r="A65" t="str">
            <v>(II)</v>
          </cell>
        </row>
      </sheetData>
      <sheetData sheetId="135">
        <row r="65">
          <cell r="A65" t="str">
            <v>(II)</v>
          </cell>
        </row>
      </sheetData>
      <sheetData sheetId="136">
        <row r="65">
          <cell r="A65" t="str">
            <v>(II)</v>
          </cell>
        </row>
      </sheetData>
      <sheetData sheetId="137">
        <row r="65">
          <cell r="A65" t="str">
            <v>(II)</v>
          </cell>
        </row>
      </sheetData>
      <sheetData sheetId="138">
        <row r="65">
          <cell r="A65" t="str">
            <v>(II)</v>
          </cell>
        </row>
      </sheetData>
      <sheetData sheetId="139">
        <row r="65">
          <cell r="A65" t="str">
            <v>(II)</v>
          </cell>
        </row>
      </sheetData>
      <sheetData sheetId="140">
        <row r="65">
          <cell r="A65" t="str">
            <v>(II)</v>
          </cell>
        </row>
      </sheetData>
      <sheetData sheetId="141">
        <row r="65">
          <cell r="A65" t="str">
            <v>(II)</v>
          </cell>
        </row>
      </sheetData>
      <sheetData sheetId="142">
        <row r="65">
          <cell r="A65" t="str">
            <v>(II)</v>
          </cell>
        </row>
      </sheetData>
      <sheetData sheetId="143">
        <row r="65">
          <cell r="A65" t="str">
            <v>(II)</v>
          </cell>
        </row>
      </sheetData>
      <sheetData sheetId="144">
        <row r="65">
          <cell r="A65" t="str">
            <v>(II)</v>
          </cell>
        </row>
      </sheetData>
      <sheetData sheetId="145">
        <row r="65">
          <cell r="A65" t="str">
            <v>(II)</v>
          </cell>
        </row>
      </sheetData>
      <sheetData sheetId="146">
        <row r="65">
          <cell r="A65" t="str">
            <v>(II)</v>
          </cell>
        </row>
      </sheetData>
      <sheetData sheetId="147">
        <row r="65">
          <cell r="A65" t="str">
            <v>(II)</v>
          </cell>
        </row>
      </sheetData>
      <sheetData sheetId="148">
        <row r="65">
          <cell r="A65" t="str">
            <v>(II)</v>
          </cell>
        </row>
      </sheetData>
      <sheetData sheetId="149">
        <row r="65">
          <cell r="A65" t="str">
            <v>(II)</v>
          </cell>
        </row>
      </sheetData>
      <sheetData sheetId="150">
        <row r="65">
          <cell r="A65" t="str">
            <v>(II)</v>
          </cell>
        </row>
      </sheetData>
      <sheetData sheetId="151">
        <row r="65">
          <cell r="A65" t="str">
            <v>(II)</v>
          </cell>
        </row>
      </sheetData>
      <sheetData sheetId="152">
        <row r="65">
          <cell r="A65" t="str">
            <v>(II)</v>
          </cell>
        </row>
      </sheetData>
      <sheetData sheetId="153">
        <row r="65">
          <cell r="A65" t="str">
            <v>(II)</v>
          </cell>
        </row>
      </sheetData>
      <sheetData sheetId="154">
        <row r="65">
          <cell r="A65" t="str">
            <v>(II)</v>
          </cell>
        </row>
      </sheetData>
      <sheetData sheetId="155">
        <row r="65">
          <cell r="A65" t="str">
            <v>(II)</v>
          </cell>
        </row>
      </sheetData>
      <sheetData sheetId="156">
        <row r="65">
          <cell r="A65" t="str">
            <v>(II)</v>
          </cell>
        </row>
      </sheetData>
      <sheetData sheetId="157">
        <row r="65">
          <cell r="A65" t="str">
            <v>(II)</v>
          </cell>
        </row>
      </sheetData>
      <sheetData sheetId="158">
        <row r="65">
          <cell r="A65" t="str">
            <v>(II)</v>
          </cell>
        </row>
      </sheetData>
      <sheetData sheetId="159">
        <row r="65">
          <cell r="A65" t="str">
            <v>(II)</v>
          </cell>
        </row>
      </sheetData>
      <sheetData sheetId="160">
        <row r="65">
          <cell r="A65" t="str">
            <v>(II)</v>
          </cell>
        </row>
      </sheetData>
      <sheetData sheetId="161">
        <row r="65">
          <cell r="A65" t="str">
            <v>(II)</v>
          </cell>
        </row>
      </sheetData>
      <sheetData sheetId="162">
        <row r="65">
          <cell r="A65" t="str">
            <v>(II)</v>
          </cell>
        </row>
      </sheetData>
      <sheetData sheetId="163">
        <row r="65">
          <cell r="A65" t="str">
            <v>(II)</v>
          </cell>
        </row>
      </sheetData>
      <sheetData sheetId="164">
        <row r="65">
          <cell r="A65" t="str">
            <v>(II)</v>
          </cell>
        </row>
      </sheetData>
      <sheetData sheetId="165">
        <row r="65">
          <cell r="A65" t="str">
            <v>(II)</v>
          </cell>
        </row>
      </sheetData>
      <sheetData sheetId="166">
        <row r="65">
          <cell r="A65" t="str">
            <v>(II)</v>
          </cell>
        </row>
      </sheetData>
      <sheetData sheetId="167">
        <row r="65">
          <cell r="A65" t="str">
            <v>(II)</v>
          </cell>
        </row>
      </sheetData>
      <sheetData sheetId="168">
        <row r="65">
          <cell r="A65" t="str">
            <v>(II)</v>
          </cell>
        </row>
      </sheetData>
      <sheetData sheetId="169">
        <row r="65">
          <cell r="A65" t="str">
            <v>(II)</v>
          </cell>
        </row>
      </sheetData>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ow r="65">
          <cell r="A65" t="str">
            <v>(II)</v>
          </cell>
        </row>
      </sheetData>
      <sheetData sheetId="268">
        <row r="65">
          <cell r="A65" t="str">
            <v>(II)</v>
          </cell>
        </row>
      </sheetData>
      <sheetData sheetId="269">
        <row r="65">
          <cell r="A65" t="str">
            <v>(II)</v>
          </cell>
        </row>
      </sheetData>
      <sheetData sheetId="270">
        <row r="65">
          <cell r="A65" t="str">
            <v>(II)</v>
          </cell>
        </row>
      </sheetData>
      <sheetData sheetId="271">
        <row r="65">
          <cell r="A65" t="str">
            <v>(II)</v>
          </cell>
        </row>
      </sheetData>
      <sheetData sheetId="272">
        <row r="65">
          <cell r="A65" t="str">
            <v>(II)</v>
          </cell>
        </row>
      </sheetData>
      <sheetData sheetId="273">
        <row r="65">
          <cell r="A65" t="str">
            <v>(II)</v>
          </cell>
        </row>
      </sheetData>
      <sheetData sheetId="274">
        <row r="65">
          <cell r="A65" t="str">
            <v>(II)</v>
          </cell>
        </row>
      </sheetData>
      <sheetData sheetId="275">
        <row r="65">
          <cell r="A65" t="str">
            <v>(II)</v>
          </cell>
        </row>
      </sheetData>
      <sheetData sheetId="276">
        <row r="65">
          <cell r="A65" t="str">
            <v>(II)</v>
          </cell>
        </row>
      </sheetData>
      <sheetData sheetId="277">
        <row r="65">
          <cell r="A65" t="str">
            <v>(II)</v>
          </cell>
        </row>
      </sheetData>
      <sheetData sheetId="278">
        <row r="65">
          <cell r="A65" t="str">
            <v>(II)</v>
          </cell>
        </row>
      </sheetData>
      <sheetData sheetId="279">
        <row r="65">
          <cell r="A65" t="str">
            <v>(II)</v>
          </cell>
        </row>
      </sheetData>
      <sheetData sheetId="280">
        <row r="65">
          <cell r="A65" t="str">
            <v>(II)</v>
          </cell>
        </row>
      </sheetData>
      <sheetData sheetId="281">
        <row r="65">
          <cell r="A65" t="str">
            <v>(II)</v>
          </cell>
        </row>
      </sheetData>
      <sheetData sheetId="282">
        <row r="65">
          <cell r="A65" t="str">
            <v>(II)</v>
          </cell>
        </row>
      </sheetData>
      <sheetData sheetId="283">
        <row r="65">
          <cell r="A65" t="str">
            <v>(II)</v>
          </cell>
        </row>
      </sheetData>
      <sheetData sheetId="284">
        <row r="65">
          <cell r="A65" t="str">
            <v>(II)</v>
          </cell>
        </row>
      </sheetData>
      <sheetData sheetId="285">
        <row r="65">
          <cell r="A65" t="str">
            <v>(II)</v>
          </cell>
        </row>
      </sheetData>
      <sheetData sheetId="286">
        <row r="65">
          <cell r="A65" t="str">
            <v>(II)</v>
          </cell>
        </row>
      </sheetData>
      <sheetData sheetId="287">
        <row r="65">
          <cell r="A65" t="str">
            <v>(II)</v>
          </cell>
        </row>
      </sheetData>
      <sheetData sheetId="288">
        <row r="65">
          <cell r="A65" t="str">
            <v>(II)</v>
          </cell>
        </row>
      </sheetData>
      <sheetData sheetId="289">
        <row r="65">
          <cell r="A65" t="str">
            <v>(II)</v>
          </cell>
        </row>
      </sheetData>
      <sheetData sheetId="290">
        <row r="65">
          <cell r="A65" t="str">
            <v>(II)</v>
          </cell>
        </row>
      </sheetData>
      <sheetData sheetId="291">
        <row r="65">
          <cell r="A65" t="str">
            <v>(II)</v>
          </cell>
        </row>
      </sheetData>
      <sheetData sheetId="292">
        <row r="65">
          <cell r="A65" t="str">
            <v>(II)</v>
          </cell>
        </row>
      </sheetData>
      <sheetData sheetId="293">
        <row r="65">
          <cell r="A65" t="str">
            <v>(II)</v>
          </cell>
        </row>
      </sheetData>
      <sheetData sheetId="294">
        <row r="65">
          <cell r="A65" t="str">
            <v>(II)</v>
          </cell>
        </row>
      </sheetData>
      <sheetData sheetId="295">
        <row r="65">
          <cell r="A65" t="str">
            <v>(II)</v>
          </cell>
        </row>
      </sheetData>
      <sheetData sheetId="296">
        <row r="65">
          <cell r="A65" t="str">
            <v>(II)</v>
          </cell>
        </row>
      </sheetData>
      <sheetData sheetId="297">
        <row r="65">
          <cell r="A65" t="str">
            <v>(II)</v>
          </cell>
        </row>
      </sheetData>
      <sheetData sheetId="298">
        <row r="65">
          <cell r="A65" t="str">
            <v>(II)</v>
          </cell>
        </row>
      </sheetData>
      <sheetData sheetId="299">
        <row r="65">
          <cell r="A65" t="str">
            <v>(II)</v>
          </cell>
        </row>
      </sheetData>
      <sheetData sheetId="300">
        <row r="65">
          <cell r="A65" t="str">
            <v>(II)</v>
          </cell>
        </row>
      </sheetData>
      <sheetData sheetId="301">
        <row r="65">
          <cell r="A65" t="str">
            <v>(II)</v>
          </cell>
        </row>
      </sheetData>
      <sheetData sheetId="302">
        <row r="65">
          <cell r="A65" t="str">
            <v>(II)</v>
          </cell>
        </row>
      </sheetData>
      <sheetData sheetId="303">
        <row r="65">
          <cell r="A65" t="str">
            <v>(II)</v>
          </cell>
        </row>
      </sheetData>
      <sheetData sheetId="304">
        <row r="65">
          <cell r="A65" t="str">
            <v>(II)</v>
          </cell>
        </row>
      </sheetData>
      <sheetData sheetId="305">
        <row r="65">
          <cell r="A65" t="str">
            <v>(II)</v>
          </cell>
        </row>
      </sheetData>
      <sheetData sheetId="306">
        <row r="65">
          <cell r="A65" t="str">
            <v>(II)</v>
          </cell>
        </row>
      </sheetData>
      <sheetData sheetId="307">
        <row r="65">
          <cell r="A65" t="str">
            <v>(II)</v>
          </cell>
        </row>
      </sheetData>
      <sheetData sheetId="308">
        <row r="65">
          <cell r="A65" t="str">
            <v>(II)</v>
          </cell>
        </row>
      </sheetData>
      <sheetData sheetId="309">
        <row r="65">
          <cell r="A65" t="str">
            <v>(II)</v>
          </cell>
        </row>
      </sheetData>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ow r="65">
          <cell r="A65" t="str">
            <v>(II)</v>
          </cell>
        </row>
      </sheetData>
      <sheetData sheetId="453"/>
      <sheetData sheetId="454">
        <row r="65">
          <cell r="A65" t="str">
            <v>(II)</v>
          </cell>
        </row>
      </sheetData>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ow r="65">
          <cell r="A65" t="str">
            <v>(II)</v>
          </cell>
        </row>
      </sheetData>
      <sheetData sheetId="548">
        <row r="65">
          <cell r="A65" t="str">
            <v>(II)</v>
          </cell>
        </row>
      </sheetData>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row r="65">
          <cell r="A65" t="str">
            <v>(II)</v>
          </cell>
        </row>
      </sheetData>
      <sheetData sheetId="568">
        <row r="65">
          <cell r="A65" t="str">
            <v>(II)</v>
          </cell>
        </row>
      </sheetData>
      <sheetData sheetId="569"/>
      <sheetData sheetId="570"/>
      <sheetData sheetId="571"/>
      <sheetData sheetId="572"/>
      <sheetData sheetId="573">
        <row r="65">
          <cell r="A65" t="str">
            <v>(II)</v>
          </cell>
        </row>
      </sheetData>
      <sheetData sheetId="574">
        <row r="65">
          <cell r="A65" t="str">
            <v>(II)</v>
          </cell>
        </row>
      </sheetData>
      <sheetData sheetId="575"/>
      <sheetData sheetId="576"/>
      <sheetData sheetId="577"/>
      <sheetData sheetId="578"/>
      <sheetData sheetId="579"/>
      <sheetData sheetId="580"/>
      <sheetData sheetId="581"/>
      <sheetData sheetId="582"/>
      <sheetData sheetId="583"/>
      <sheetData sheetId="584"/>
      <sheetData sheetId="585">
        <row r="65">
          <cell r="A65" t="str">
            <v>(II)</v>
          </cell>
        </row>
      </sheetData>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row r="65">
          <cell r="A65" t="str">
            <v>(II)</v>
          </cell>
        </row>
      </sheetData>
      <sheetData sheetId="611"/>
      <sheetData sheetId="612">
        <row r="65">
          <cell r="A65" t="str">
            <v>(II)</v>
          </cell>
        </row>
      </sheetData>
      <sheetData sheetId="613"/>
      <sheetData sheetId="614"/>
      <sheetData sheetId="615"/>
      <sheetData sheetId="616"/>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sheetData sheetId="663"/>
      <sheetData sheetId="664"/>
      <sheetData sheetId="665"/>
      <sheetData sheetId="666"/>
      <sheetData sheetId="667"/>
      <sheetData sheetId="668"/>
      <sheetData sheetId="669"/>
      <sheetData sheetId="670"/>
      <sheetData sheetId="671"/>
      <sheetData sheetId="672"/>
      <sheetData sheetId="673">
        <row r="65">
          <cell r="A65" t="str">
            <v>(II)</v>
          </cell>
        </row>
      </sheetData>
      <sheetData sheetId="674">
        <row r="65">
          <cell r="A65" t="str">
            <v>(II)</v>
          </cell>
        </row>
      </sheetData>
      <sheetData sheetId="675" refreshError="1"/>
      <sheetData sheetId="676" refreshError="1"/>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sheetData sheetId="717"/>
      <sheetData sheetId="718"/>
      <sheetData sheetId="719"/>
      <sheetData sheetId="720"/>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sheetData sheetId="747"/>
      <sheetData sheetId="748"/>
      <sheetData sheetId="749"/>
      <sheetData sheetId="750"/>
      <sheetData sheetId="751"/>
      <sheetData sheetId="752"/>
      <sheetData sheetId="753"/>
      <sheetData sheetId="754"/>
      <sheetData sheetId="755"/>
      <sheetData sheetId="756"/>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sheetData sheetId="777"/>
      <sheetData sheetId="778"/>
      <sheetData sheetId="779"/>
      <sheetData sheetId="780"/>
      <sheetData sheetId="781"/>
      <sheetData sheetId="782"/>
      <sheetData sheetId="783"/>
      <sheetData sheetId="784"/>
      <sheetData sheetId="785"/>
      <sheetData sheetId="786"/>
      <sheetData sheetId="787" refreshError="1"/>
      <sheetData sheetId="788" refreshError="1"/>
      <sheetData sheetId="789" refreshError="1"/>
      <sheetData sheetId="79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atement of Profit and loss"/>
      <sheetName val="Statement of changes in equity"/>
      <sheetName val="Parameters"/>
    </sheetNames>
    <sheetDataSet>
      <sheetData sheetId="0"/>
      <sheetData sheetId="1"/>
      <sheetData sheetId="2"/>
      <sheetData sheetId="3"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ane Price and Stock as on 31"/>
    </sheetNames>
    <definedNames>
      <definedName name="Header1"/>
    </definedNames>
    <sheetDataSet>
      <sheetData sheetId="0" refreshError="1"/>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is"/>
      <sheetName val="summarywith exindia comparison"/>
      <sheetName val="datalcmar"/>
      <sheetName val="ex-india"/>
      <sheetName val="summary"/>
      <sheetName val="ebtreco"/>
      <sheetName val="DATA_INR"/>
      <sheetName val="Corp_EBTytd"/>
      <sheetName val="Global ytd"/>
      <sheetName val="Corp_Salesytd"/>
      <sheetName val="interco"/>
      <sheetName val="Sheet1"/>
      <sheetName val="Backup of global consolidation "/>
      <sheetName val="#REF"/>
      <sheetName val="YTD"/>
      <sheetName val="Amortization Table"/>
      <sheetName val="tables"/>
      <sheetName val="Dividend (Annex19)-FINAL"/>
      <sheetName val="TRIAL BALANCE"/>
      <sheetName val="UNIT-II"/>
      <sheetName val="val"/>
      <sheetName val="summarywith_exindia_comparison"/>
      <sheetName val="Global_ytd"/>
      <sheetName val="Backup_of_global_consolidation_"/>
      <sheetName val="summarywith_exindia_comparison1"/>
      <sheetName val="Global_ytd1"/>
      <sheetName val="Backup_of_global_consolidation1"/>
      <sheetName val="Balancesheet"/>
      <sheetName val="summarywith_exindia_comparison2"/>
      <sheetName val="Global_ytd2"/>
      <sheetName val="Backup_of_global_consolidation2"/>
      <sheetName val="KEY INPUTS"/>
      <sheetName val="BS, PL, Sch 5 to 9"/>
      <sheetName val="Audit"/>
      <sheetName val="Sch 13 Notes 13-16"/>
      <sheetName val="CVBUH2MONTHLY"/>
      <sheetName val="RECEIPT"/>
      <sheetName val="FX &amp; Hedge - Pacific Ltd"/>
      <sheetName val="15"/>
      <sheetName val="Charts"/>
      <sheetName val="Forecast %"/>
      <sheetName val="BS"/>
      <sheetName val="DURGESH"/>
      <sheetName val="working"/>
      <sheetName val="Dont Alter"/>
      <sheetName val="CURRENT MONTH"/>
      <sheetName val="ASSETS"/>
      <sheetName val="Ageing0305"/>
      <sheetName val="sdrs_mar"/>
      <sheetName val="expired"/>
      <sheetName val="diff bet phy &amp; stock"/>
      <sheetName val="BBHS RAW Balance Sheet"/>
      <sheetName val="Input"/>
      <sheetName val="koersen"/>
      <sheetName val="61750000 Consultancy Charges"/>
      <sheetName val="Steel-Circular"/>
      <sheetName val="guest charges"/>
      <sheetName val="Campus wise summary"/>
      <sheetName val="Business Centre-12 mths Revised"/>
      <sheetName val="Factors-overall"/>
      <sheetName val="summarywith_exindia_comparison3"/>
      <sheetName val="Global_ytd3"/>
      <sheetName val="Backup_of_global_consolidation3"/>
      <sheetName val="Amortization_Table"/>
      <sheetName val="Dividend_(Annex19)-FINAL"/>
      <sheetName val="TRIAL_BALANCE"/>
      <sheetName val="Forecast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sheetData sheetId="24"/>
      <sheetData sheetId="25"/>
      <sheetData sheetId="26"/>
      <sheetData sheetId="27" refreshError="1"/>
      <sheetData sheetId="28"/>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sheetData sheetId="61"/>
      <sheetData sheetId="62"/>
      <sheetData sheetId="63"/>
      <sheetData sheetId="64"/>
      <sheetData sheetId="65"/>
      <sheetData sheetId="66"/>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t"/>
      <sheetName val="REPAIR"/>
      <sheetName val="conjv"/>
      <sheetName val="CHART"/>
      <sheetName val="SUMMARY"/>
      <sheetName val="TECH DATA"/>
      <sheetName val="COST SHEET"/>
      <sheetName val="SPENDINGS"/>
      <sheetName val="64430"/>
      <sheetName val="cop"/>
      <sheetName val="MACH HR"/>
      <sheetName val="input data"/>
      <sheetName val="WAGES DETAILS"/>
      <sheetName val="POWER"/>
      <sheetName val="STEAM"/>
      <sheetName val="COST_SHEET"/>
      <sheetName val="TECH_DATA"/>
      <sheetName val="MACH_HR"/>
      <sheetName val="input_data"/>
      <sheetName val="WAGES_DETAILS"/>
      <sheetName val="cell rel"/>
      <sheetName val="Contract Details"/>
      <sheetName val="rawmat break up"/>
      <sheetName val="TB CPP"/>
      <sheetName val="Consol"/>
      <sheetName val="stores"/>
      <sheetName val="Sheet1"/>
      <sheetName val="C_flow 95"/>
      <sheetName val="Main Bs"/>
      <sheetName val="Ind AS entries-opening"/>
      <sheetName val="Description of Ind AS Adj"/>
      <sheetName val="Summ-Jan-Dec04-Revised"/>
      <sheetName val="Summ-Apr-Dec04_BLI"/>
      <sheetName val="Control"/>
      <sheetName val="MAT COST OF VEHICLES"/>
      <sheetName val="TECH_DATA1"/>
      <sheetName val="COST_SHEET1"/>
      <sheetName val="MACH_HR1"/>
      <sheetName val="input_data1"/>
      <sheetName val="WAGES_DETAILS1"/>
      <sheetName val="cell_rel"/>
      <sheetName val="Contract_Details"/>
      <sheetName val="rawmat_break_up"/>
      <sheetName val="TB_CPP"/>
      <sheetName val="C_flow_95"/>
      <sheetName val="Main_Bs"/>
      <sheetName val="Ind_AS_entries-opening"/>
      <sheetName val="Description_of_Ind_AS_Adj"/>
      <sheetName val="MAT_COST_OF_VEHIC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
      <sheetName val="MAIN"/>
      <sheetName val="DIV INC"/>
      <sheetName val="MGT INPUTS"/>
      <sheetName val="LBO Analysis"/>
      <sheetName val="Valuation"/>
      <sheetName val="PPT Sheet"/>
      <sheetName val="WACC"/>
      <sheetName val="S&amp;P"/>
      <sheetName val="EQ. IRR"/>
      <sheetName val="COVEN"/>
      <sheetName val="SUMMARY"/>
      <sheetName val="Reconciliations"/>
      <sheetName val="Developer Notes"/>
      <sheetName val="LTM"/>
      <sheetName val="CREDIT STATS"/>
      <sheetName val="Toggles"/>
      <sheetName val="Data"/>
      <sheetName val="dPrint"/>
      <sheetName val="DropZone"/>
      <sheetName val="mProcess"/>
      <sheetName val="mlError"/>
      <sheetName val="mGlobals"/>
      <sheetName val="mMain"/>
      <sheetName val="mToggles"/>
      <sheetName val="mcFunctions"/>
      <sheetName val="mMisc"/>
      <sheetName val="mdPrint"/>
      <sheetName val="EXPENSES"/>
    </sheetNames>
    <sheetDataSet>
      <sheetData sheetId="0" refreshError="1"/>
      <sheetData sheetId="1">
        <row r="11">
          <cell r="I11">
            <v>12</v>
          </cell>
        </row>
      </sheetData>
      <sheetData sheetId="2"/>
      <sheetData sheetId="3" refreshError="1"/>
      <sheetData sheetId="4"/>
      <sheetData sheetId="5" refreshError="1"/>
      <sheetData sheetId="6" refreshError="1"/>
      <sheetData sheetId="7"/>
      <sheetData sheetId="8"/>
      <sheetData sheetId="9"/>
      <sheetData sheetId="10"/>
      <sheetData sheetId="11"/>
      <sheetData sheetId="12" refreshError="1"/>
      <sheetData sheetId="13" refreshError="1"/>
      <sheetData sheetId="14">
        <row r="461">
          <cell r="G461">
            <v>0</v>
          </cell>
          <cell r="H461">
            <v>0</v>
          </cell>
          <cell r="I461">
            <v>0</v>
          </cell>
          <cell r="J461">
            <v>0</v>
          </cell>
          <cell r="L461">
            <v>0</v>
          </cell>
          <cell r="M461">
            <v>0</v>
          </cell>
          <cell r="N461">
            <v>0</v>
          </cell>
        </row>
        <row r="463">
          <cell r="G463">
            <v>0</v>
          </cell>
          <cell r="H463">
            <v>0</v>
          </cell>
          <cell r="I463">
            <v>0</v>
          </cell>
          <cell r="J463">
            <v>0</v>
          </cell>
          <cell r="L463">
            <v>0</v>
          </cell>
          <cell r="M463">
            <v>0</v>
          </cell>
          <cell r="N463">
            <v>0</v>
          </cell>
        </row>
        <row r="464">
          <cell r="G464">
            <v>0</v>
          </cell>
          <cell r="H464">
            <v>0</v>
          </cell>
          <cell r="I464">
            <v>0</v>
          </cell>
          <cell r="J464">
            <v>0</v>
          </cell>
          <cell r="L464">
            <v>0</v>
          </cell>
          <cell r="M464">
            <v>0</v>
          </cell>
          <cell r="N464">
            <v>0</v>
          </cell>
        </row>
        <row r="465">
          <cell r="G465" t="str">
            <v>______</v>
          </cell>
          <cell r="H465" t="str">
            <v>______</v>
          </cell>
          <cell r="I465" t="str">
            <v>______</v>
          </cell>
          <cell r="J465" t="str">
            <v>______</v>
          </cell>
          <cell r="L465" t="str">
            <v>______</v>
          </cell>
          <cell r="M465" t="str">
            <v>______</v>
          </cell>
          <cell r="N465" t="str">
            <v>______</v>
          </cell>
        </row>
        <row r="466">
          <cell r="G466">
            <v>0</v>
          </cell>
          <cell r="H466">
            <v>0</v>
          </cell>
          <cell r="I466">
            <v>0</v>
          </cell>
          <cell r="J466">
            <v>0</v>
          </cell>
          <cell r="L466">
            <v>0</v>
          </cell>
          <cell r="M466">
            <v>0</v>
          </cell>
          <cell r="N466">
            <v>0</v>
          </cell>
        </row>
        <row r="468">
          <cell r="G468">
            <v>0</v>
          </cell>
          <cell r="H468">
            <v>0</v>
          </cell>
          <cell r="I468">
            <v>0</v>
          </cell>
          <cell r="J468">
            <v>0</v>
          </cell>
          <cell r="L468">
            <v>0</v>
          </cell>
          <cell r="M468">
            <v>0</v>
          </cell>
          <cell r="N468">
            <v>0</v>
          </cell>
        </row>
        <row r="469">
          <cell r="G469">
            <v>0</v>
          </cell>
          <cell r="H469">
            <v>0</v>
          </cell>
          <cell r="I469">
            <v>0</v>
          </cell>
          <cell r="J469">
            <v>0</v>
          </cell>
          <cell r="L469">
            <v>0</v>
          </cell>
          <cell r="M469">
            <v>0</v>
          </cell>
          <cell r="N469">
            <v>0</v>
          </cell>
        </row>
        <row r="470">
          <cell r="G470" t="str">
            <v>______</v>
          </cell>
          <cell r="H470" t="str">
            <v>______</v>
          </cell>
          <cell r="I470" t="str">
            <v>______</v>
          </cell>
          <cell r="J470" t="str">
            <v>______</v>
          </cell>
          <cell r="L470" t="str">
            <v>______</v>
          </cell>
          <cell r="M470" t="str">
            <v>______</v>
          </cell>
          <cell r="N470" t="str">
            <v>______</v>
          </cell>
        </row>
        <row r="471">
          <cell r="G471">
            <v>0</v>
          </cell>
          <cell r="H471">
            <v>0</v>
          </cell>
          <cell r="I471">
            <v>0</v>
          </cell>
          <cell r="J471">
            <v>0</v>
          </cell>
          <cell r="L471">
            <v>0</v>
          </cell>
          <cell r="M471">
            <v>0</v>
          </cell>
          <cell r="N471">
            <v>0</v>
          </cell>
        </row>
        <row r="473">
          <cell r="G473">
            <v>0</v>
          </cell>
          <cell r="H473">
            <v>0</v>
          </cell>
          <cell r="I473">
            <v>0</v>
          </cell>
          <cell r="J473">
            <v>0</v>
          </cell>
          <cell r="L473">
            <v>0</v>
          </cell>
          <cell r="M473">
            <v>0</v>
          </cell>
          <cell r="N473">
            <v>0</v>
          </cell>
        </row>
        <row r="474">
          <cell r="G474">
            <v>0</v>
          </cell>
          <cell r="H474">
            <v>0</v>
          </cell>
          <cell r="I474">
            <v>0</v>
          </cell>
          <cell r="J474">
            <v>0</v>
          </cell>
          <cell r="L474">
            <v>0</v>
          </cell>
          <cell r="M474">
            <v>0</v>
          </cell>
          <cell r="N474">
            <v>0</v>
          </cell>
        </row>
        <row r="475">
          <cell r="G475">
            <v>0</v>
          </cell>
          <cell r="H475">
            <v>0</v>
          </cell>
          <cell r="I475">
            <v>0</v>
          </cell>
          <cell r="J475">
            <v>0</v>
          </cell>
          <cell r="L475">
            <v>0</v>
          </cell>
          <cell r="M475">
            <v>0</v>
          </cell>
          <cell r="N475">
            <v>0</v>
          </cell>
        </row>
        <row r="477">
          <cell r="G477">
            <v>0</v>
          </cell>
          <cell r="H477">
            <v>0</v>
          </cell>
          <cell r="I477">
            <v>0</v>
          </cell>
          <cell r="J477">
            <v>0</v>
          </cell>
          <cell r="L477">
            <v>0</v>
          </cell>
          <cell r="M477">
            <v>0</v>
          </cell>
          <cell r="N477">
            <v>0</v>
          </cell>
        </row>
        <row r="480">
          <cell r="G480">
            <v>0</v>
          </cell>
          <cell r="H480">
            <v>0</v>
          </cell>
          <cell r="I480">
            <v>0</v>
          </cell>
          <cell r="J480">
            <v>0</v>
          </cell>
          <cell r="L480">
            <v>0</v>
          </cell>
          <cell r="M480">
            <v>0</v>
          </cell>
          <cell r="N480">
            <v>0</v>
          </cell>
        </row>
        <row r="481">
          <cell r="G481" t="str">
            <v>______</v>
          </cell>
          <cell r="H481" t="str">
            <v>______</v>
          </cell>
          <cell r="I481" t="str">
            <v>______</v>
          </cell>
          <cell r="J481" t="str">
            <v>______</v>
          </cell>
          <cell r="L481" t="str">
            <v>______</v>
          </cell>
          <cell r="M481" t="str">
            <v>______</v>
          </cell>
          <cell r="N481" t="str">
            <v>______</v>
          </cell>
        </row>
        <row r="482">
          <cell r="G482">
            <v>0</v>
          </cell>
          <cell r="H482">
            <v>0</v>
          </cell>
          <cell r="I482">
            <v>0</v>
          </cell>
          <cell r="J482">
            <v>0</v>
          </cell>
          <cell r="L482">
            <v>0</v>
          </cell>
          <cell r="M482">
            <v>0</v>
          </cell>
          <cell r="N482">
            <v>0</v>
          </cell>
        </row>
        <row r="484">
          <cell r="G484">
            <v>0</v>
          </cell>
          <cell r="H484">
            <v>0</v>
          </cell>
          <cell r="I484">
            <v>0</v>
          </cell>
          <cell r="J484">
            <v>0</v>
          </cell>
          <cell r="L484">
            <v>0</v>
          </cell>
          <cell r="M484">
            <v>0</v>
          </cell>
          <cell r="N484">
            <v>0</v>
          </cell>
        </row>
        <row r="485">
          <cell r="G485">
            <v>0</v>
          </cell>
          <cell r="H485">
            <v>0</v>
          </cell>
          <cell r="I485">
            <v>0</v>
          </cell>
          <cell r="J485">
            <v>0</v>
          </cell>
          <cell r="L485">
            <v>0</v>
          </cell>
          <cell r="M485">
            <v>0</v>
          </cell>
          <cell r="N485">
            <v>0</v>
          </cell>
        </row>
        <row r="486">
          <cell r="G486" t="str">
            <v>______</v>
          </cell>
          <cell r="H486" t="str">
            <v>______</v>
          </cell>
          <cell r="I486" t="str">
            <v>______</v>
          </cell>
          <cell r="J486" t="str">
            <v>______</v>
          </cell>
          <cell r="L486" t="str">
            <v>______</v>
          </cell>
          <cell r="M486" t="str">
            <v>______</v>
          </cell>
          <cell r="N486" t="str">
            <v>______</v>
          </cell>
        </row>
        <row r="487">
          <cell r="G487">
            <v>0</v>
          </cell>
          <cell r="H487">
            <v>0</v>
          </cell>
          <cell r="I487">
            <v>0</v>
          </cell>
          <cell r="J487">
            <v>0</v>
          </cell>
          <cell r="L487">
            <v>0</v>
          </cell>
          <cell r="M487">
            <v>0</v>
          </cell>
          <cell r="N487">
            <v>0</v>
          </cell>
        </row>
        <row r="490">
          <cell r="G490">
            <v>0</v>
          </cell>
          <cell r="H490">
            <v>0</v>
          </cell>
          <cell r="I490">
            <v>0</v>
          </cell>
          <cell r="J490">
            <v>0</v>
          </cell>
          <cell r="L490">
            <v>0</v>
          </cell>
          <cell r="M490">
            <v>0</v>
          </cell>
          <cell r="N490">
            <v>0</v>
          </cell>
        </row>
        <row r="510">
          <cell r="G510" t="str">
            <v>______</v>
          </cell>
          <cell r="H510" t="str">
            <v>______</v>
          </cell>
          <cell r="I510" t="str">
            <v>______</v>
          </cell>
          <cell r="J510" t="str">
            <v>______</v>
          </cell>
          <cell r="L510" t="str">
            <v>______</v>
          </cell>
          <cell r="M510" t="str">
            <v>______</v>
          </cell>
          <cell r="N510" t="str">
            <v>______</v>
          </cell>
        </row>
        <row r="511">
          <cell r="G511">
            <v>0</v>
          </cell>
          <cell r="H511">
            <v>0</v>
          </cell>
          <cell r="I511">
            <v>0</v>
          </cell>
          <cell r="J511">
            <v>0</v>
          </cell>
          <cell r="L511">
            <v>0</v>
          </cell>
          <cell r="M511">
            <v>0</v>
          </cell>
          <cell r="N511">
            <v>0</v>
          </cell>
        </row>
        <row r="512">
          <cell r="G512">
            <v>0</v>
          </cell>
          <cell r="H512">
            <v>0</v>
          </cell>
          <cell r="I512">
            <v>0</v>
          </cell>
          <cell r="J512">
            <v>0</v>
          </cell>
          <cell r="L512">
            <v>0</v>
          </cell>
          <cell r="M512">
            <v>0</v>
          </cell>
          <cell r="N512">
            <v>0</v>
          </cell>
        </row>
        <row r="514">
          <cell r="G514">
            <v>0</v>
          </cell>
          <cell r="H514">
            <v>0</v>
          </cell>
          <cell r="I514">
            <v>0</v>
          </cell>
          <cell r="J514">
            <v>0</v>
          </cell>
          <cell r="L514">
            <v>0</v>
          </cell>
          <cell r="M514">
            <v>0</v>
          </cell>
          <cell r="N514">
            <v>0</v>
          </cell>
        </row>
        <row r="515">
          <cell r="G515">
            <v>0</v>
          </cell>
          <cell r="H515">
            <v>0</v>
          </cell>
          <cell r="I515">
            <v>0</v>
          </cell>
          <cell r="J515">
            <v>0</v>
          </cell>
          <cell r="L515">
            <v>0</v>
          </cell>
          <cell r="M515">
            <v>0</v>
          </cell>
          <cell r="N515">
            <v>0</v>
          </cell>
        </row>
        <row r="516">
          <cell r="G516">
            <v>0</v>
          </cell>
          <cell r="H516">
            <v>0</v>
          </cell>
          <cell r="I516">
            <v>0</v>
          </cell>
          <cell r="J516">
            <v>0</v>
          </cell>
          <cell r="L516">
            <v>0</v>
          </cell>
          <cell r="M516">
            <v>0</v>
          </cell>
          <cell r="N516">
            <v>0</v>
          </cell>
        </row>
        <row r="517">
          <cell r="G517">
            <v>0</v>
          </cell>
          <cell r="H517">
            <v>0</v>
          </cell>
          <cell r="I517">
            <v>0</v>
          </cell>
          <cell r="J517">
            <v>0</v>
          </cell>
          <cell r="L517">
            <v>0</v>
          </cell>
          <cell r="M517">
            <v>0</v>
          </cell>
          <cell r="N517">
            <v>0</v>
          </cell>
        </row>
        <row r="518">
          <cell r="G518">
            <v>0</v>
          </cell>
          <cell r="H518">
            <v>0</v>
          </cell>
          <cell r="I518">
            <v>0</v>
          </cell>
          <cell r="J518">
            <v>0</v>
          </cell>
          <cell r="L518">
            <v>0</v>
          </cell>
          <cell r="M518">
            <v>0</v>
          </cell>
          <cell r="N518">
            <v>0</v>
          </cell>
        </row>
        <row r="519">
          <cell r="G519" t="str">
            <v>______</v>
          </cell>
          <cell r="H519" t="str">
            <v>______</v>
          </cell>
          <cell r="I519" t="str">
            <v>______</v>
          </cell>
          <cell r="J519" t="str">
            <v>______</v>
          </cell>
          <cell r="L519" t="str">
            <v>______</v>
          </cell>
          <cell r="M519" t="str">
            <v>______</v>
          </cell>
          <cell r="N519" t="str">
            <v>______</v>
          </cell>
        </row>
        <row r="520">
          <cell r="G520">
            <v>0</v>
          </cell>
          <cell r="H520">
            <v>0</v>
          </cell>
          <cell r="I520">
            <v>0</v>
          </cell>
          <cell r="J520">
            <v>0</v>
          </cell>
          <cell r="L520">
            <v>0</v>
          </cell>
          <cell r="M520">
            <v>0</v>
          </cell>
          <cell r="N520">
            <v>0</v>
          </cell>
        </row>
        <row r="522">
          <cell r="G522">
            <v>1997</v>
          </cell>
          <cell r="H522">
            <v>1998</v>
          </cell>
          <cell r="I522">
            <v>1999</v>
          </cell>
          <cell r="J522">
            <v>2000</v>
          </cell>
          <cell r="L522">
            <v>2000</v>
          </cell>
          <cell r="M522">
            <v>2001</v>
          </cell>
          <cell r="N522">
            <v>2002</v>
          </cell>
        </row>
        <row r="525">
          <cell r="G525">
            <v>0</v>
          </cell>
          <cell r="H525">
            <v>0</v>
          </cell>
          <cell r="I525">
            <v>0</v>
          </cell>
          <cell r="J525">
            <v>0</v>
          </cell>
          <cell r="L525">
            <v>0</v>
          </cell>
          <cell r="M525">
            <v>0</v>
          </cell>
          <cell r="N525">
            <v>0</v>
          </cell>
        </row>
        <row r="526">
          <cell r="G526">
            <v>0</v>
          </cell>
          <cell r="H526">
            <v>0</v>
          </cell>
          <cell r="I526">
            <v>0</v>
          </cell>
          <cell r="J526">
            <v>0</v>
          </cell>
          <cell r="L526">
            <v>0</v>
          </cell>
          <cell r="M526">
            <v>0</v>
          </cell>
          <cell r="N526">
            <v>0</v>
          </cell>
        </row>
        <row r="527">
          <cell r="G527" t="str">
            <v>______</v>
          </cell>
          <cell r="H527" t="str">
            <v>______</v>
          </cell>
          <cell r="I527" t="str">
            <v>______</v>
          </cell>
          <cell r="J527" t="str">
            <v>______</v>
          </cell>
          <cell r="L527" t="str">
            <v>______</v>
          </cell>
          <cell r="M527" t="str">
            <v>______</v>
          </cell>
          <cell r="N527" t="str">
            <v>______</v>
          </cell>
        </row>
        <row r="528">
          <cell r="G528">
            <v>0</v>
          </cell>
          <cell r="H528">
            <v>0</v>
          </cell>
          <cell r="I528">
            <v>0</v>
          </cell>
          <cell r="J528">
            <v>0</v>
          </cell>
          <cell r="L528">
            <v>0</v>
          </cell>
          <cell r="M528">
            <v>0</v>
          </cell>
          <cell r="N528">
            <v>0</v>
          </cell>
        </row>
        <row r="529">
          <cell r="G529" t="str">
            <v>______</v>
          </cell>
          <cell r="H529" t="str">
            <v>______</v>
          </cell>
          <cell r="I529" t="str">
            <v>______</v>
          </cell>
          <cell r="J529" t="str">
            <v>______</v>
          </cell>
          <cell r="L529" t="str">
            <v>______</v>
          </cell>
          <cell r="M529" t="str">
            <v>______</v>
          </cell>
          <cell r="N529" t="str">
            <v>______</v>
          </cell>
        </row>
        <row r="530">
          <cell r="G530">
            <v>0</v>
          </cell>
          <cell r="H530">
            <v>0</v>
          </cell>
          <cell r="I530">
            <v>0</v>
          </cell>
          <cell r="J530">
            <v>0</v>
          </cell>
          <cell r="L530">
            <v>0</v>
          </cell>
          <cell r="M530">
            <v>0</v>
          </cell>
          <cell r="N530">
            <v>0</v>
          </cell>
        </row>
        <row r="532">
          <cell r="G532">
            <v>0</v>
          </cell>
          <cell r="H532">
            <v>0</v>
          </cell>
          <cell r="I532">
            <v>0</v>
          </cell>
          <cell r="J532">
            <v>0</v>
          </cell>
          <cell r="L532">
            <v>0</v>
          </cell>
          <cell r="M532">
            <v>0</v>
          </cell>
          <cell r="N532">
            <v>0</v>
          </cell>
        </row>
        <row r="533">
          <cell r="G533">
            <v>0</v>
          </cell>
          <cell r="H533">
            <v>0</v>
          </cell>
          <cell r="I533">
            <v>0</v>
          </cell>
          <cell r="J533">
            <v>0</v>
          </cell>
          <cell r="L533">
            <v>0</v>
          </cell>
          <cell r="M533">
            <v>0</v>
          </cell>
          <cell r="N533">
            <v>0</v>
          </cell>
        </row>
        <row r="534">
          <cell r="G534">
            <v>0</v>
          </cell>
          <cell r="H534">
            <v>0</v>
          </cell>
          <cell r="I534">
            <v>0</v>
          </cell>
          <cell r="J534">
            <v>0</v>
          </cell>
          <cell r="L534">
            <v>0</v>
          </cell>
          <cell r="M534">
            <v>0</v>
          </cell>
          <cell r="N534">
            <v>0</v>
          </cell>
        </row>
        <row r="535">
          <cell r="G535">
            <v>0</v>
          </cell>
          <cell r="H535">
            <v>0</v>
          </cell>
          <cell r="I535">
            <v>0</v>
          </cell>
          <cell r="J535">
            <v>0</v>
          </cell>
          <cell r="L535">
            <v>0</v>
          </cell>
          <cell r="M535">
            <v>0</v>
          </cell>
          <cell r="N535">
            <v>0</v>
          </cell>
        </row>
        <row r="536">
          <cell r="G536">
            <v>0</v>
          </cell>
          <cell r="H536">
            <v>0</v>
          </cell>
          <cell r="I536">
            <v>0</v>
          </cell>
          <cell r="J536">
            <v>0</v>
          </cell>
          <cell r="L536">
            <v>0</v>
          </cell>
          <cell r="M536">
            <v>0</v>
          </cell>
          <cell r="N536">
            <v>0</v>
          </cell>
        </row>
        <row r="537">
          <cell r="G537">
            <v>0</v>
          </cell>
          <cell r="H537">
            <v>0</v>
          </cell>
          <cell r="I537">
            <v>0</v>
          </cell>
          <cell r="J537">
            <v>0</v>
          </cell>
          <cell r="L537">
            <v>0</v>
          </cell>
          <cell r="M537">
            <v>0</v>
          </cell>
          <cell r="N537">
            <v>0</v>
          </cell>
        </row>
        <row r="538">
          <cell r="G538" t="str">
            <v>______</v>
          </cell>
          <cell r="H538" t="str">
            <v>______</v>
          </cell>
          <cell r="I538" t="str">
            <v>______</v>
          </cell>
          <cell r="J538" t="str">
            <v>______</v>
          </cell>
          <cell r="L538" t="str">
            <v>______</v>
          </cell>
          <cell r="M538" t="str">
            <v>______</v>
          </cell>
          <cell r="N538" t="str">
            <v>______</v>
          </cell>
        </row>
        <row r="539">
          <cell r="G539">
            <v>0</v>
          </cell>
          <cell r="H539">
            <v>0</v>
          </cell>
          <cell r="I539">
            <v>0</v>
          </cell>
          <cell r="J539">
            <v>0</v>
          </cell>
          <cell r="L539">
            <v>0</v>
          </cell>
          <cell r="M539">
            <v>0</v>
          </cell>
          <cell r="N539">
            <v>0</v>
          </cell>
        </row>
        <row r="548">
          <cell r="G548">
            <v>0</v>
          </cell>
          <cell r="H548">
            <v>0</v>
          </cell>
          <cell r="I548">
            <v>0</v>
          </cell>
          <cell r="J548">
            <v>0</v>
          </cell>
          <cell r="L548">
            <v>0</v>
          </cell>
          <cell r="M548">
            <v>0</v>
          </cell>
          <cell r="N548">
            <v>0</v>
          </cell>
        </row>
        <row r="550">
          <cell r="G550">
            <v>0</v>
          </cell>
          <cell r="H550">
            <v>0</v>
          </cell>
          <cell r="I550">
            <v>0</v>
          </cell>
          <cell r="J550">
            <v>0</v>
          </cell>
          <cell r="L550">
            <v>0</v>
          </cell>
          <cell r="M550">
            <v>0</v>
          </cell>
          <cell r="N550">
            <v>0</v>
          </cell>
        </row>
        <row r="551">
          <cell r="G551">
            <v>0</v>
          </cell>
          <cell r="H551">
            <v>0</v>
          </cell>
          <cell r="I551">
            <v>0</v>
          </cell>
          <cell r="J551">
            <v>0</v>
          </cell>
          <cell r="L551">
            <v>0</v>
          </cell>
          <cell r="M551">
            <v>0</v>
          </cell>
          <cell r="N551">
            <v>0</v>
          </cell>
        </row>
        <row r="552">
          <cell r="G552">
            <v>0</v>
          </cell>
          <cell r="H552">
            <v>0</v>
          </cell>
          <cell r="I552">
            <v>0</v>
          </cell>
          <cell r="J552">
            <v>0</v>
          </cell>
          <cell r="L552">
            <v>0</v>
          </cell>
          <cell r="M552">
            <v>0</v>
          </cell>
          <cell r="N552">
            <v>0</v>
          </cell>
        </row>
        <row r="553">
          <cell r="G553">
            <v>0</v>
          </cell>
          <cell r="H553">
            <v>0</v>
          </cell>
          <cell r="I553">
            <v>0</v>
          </cell>
          <cell r="J553">
            <v>0</v>
          </cell>
          <cell r="L553">
            <v>0</v>
          </cell>
          <cell r="M553">
            <v>0</v>
          </cell>
          <cell r="N553">
            <v>0</v>
          </cell>
        </row>
        <row r="554">
          <cell r="G554">
            <v>0</v>
          </cell>
          <cell r="H554">
            <v>0</v>
          </cell>
          <cell r="I554">
            <v>0</v>
          </cell>
          <cell r="J554">
            <v>0</v>
          </cell>
          <cell r="L554">
            <v>0</v>
          </cell>
          <cell r="M554">
            <v>0</v>
          </cell>
          <cell r="N554">
            <v>0</v>
          </cell>
        </row>
        <row r="555">
          <cell r="G555">
            <v>0</v>
          </cell>
          <cell r="H555">
            <v>0</v>
          </cell>
          <cell r="I555">
            <v>0</v>
          </cell>
          <cell r="J555">
            <v>0</v>
          </cell>
          <cell r="L555">
            <v>0</v>
          </cell>
          <cell r="M555">
            <v>0</v>
          </cell>
          <cell r="N555">
            <v>0</v>
          </cell>
        </row>
        <row r="556">
          <cell r="G556">
            <v>0</v>
          </cell>
          <cell r="H556">
            <v>0</v>
          </cell>
          <cell r="I556">
            <v>0</v>
          </cell>
          <cell r="J556">
            <v>0</v>
          </cell>
          <cell r="L556">
            <v>0</v>
          </cell>
          <cell r="M556">
            <v>0</v>
          </cell>
          <cell r="N556">
            <v>0</v>
          </cell>
        </row>
        <row r="557">
          <cell r="G557">
            <v>0</v>
          </cell>
          <cell r="H557">
            <v>0</v>
          </cell>
          <cell r="I557">
            <v>0</v>
          </cell>
          <cell r="J557">
            <v>0</v>
          </cell>
          <cell r="L557">
            <v>0</v>
          </cell>
          <cell r="M557">
            <v>0</v>
          </cell>
          <cell r="N557">
            <v>0</v>
          </cell>
        </row>
        <row r="558">
          <cell r="G558">
            <v>0</v>
          </cell>
          <cell r="H558">
            <v>0</v>
          </cell>
          <cell r="I558">
            <v>0</v>
          </cell>
          <cell r="J558">
            <v>0</v>
          </cell>
          <cell r="L558">
            <v>0</v>
          </cell>
          <cell r="M558">
            <v>0</v>
          </cell>
          <cell r="N558">
            <v>0</v>
          </cell>
        </row>
        <row r="559">
          <cell r="G559">
            <v>0</v>
          </cell>
          <cell r="H559">
            <v>0</v>
          </cell>
          <cell r="I559">
            <v>0</v>
          </cell>
          <cell r="J559">
            <v>0</v>
          </cell>
          <cell r="L559">
            <v>0</v>
          </cell>
          <cell r="M559">
            <v>0</v>
          </cell>
          <cell r="N559">
            <v>0</v>
          </cell>
        </row>
        <row r="560">
          <cell r="G560">
            <v>0</v>
          </cell>
          <cell r="H560">
            <v>0</v>
          </cell>
          <cell r="I560">
            <v>0</v>
          </cell>
          <cell r="J560">
            <v>0</v>
          </cell>
          <cell r="L560">
            <v>0</v>
          </cell>
          <cell r="M560">
            <v>0</v>
          </cell>
          <cell r="N560">
            <v>0</v>
          </cell>
        </row>
        <row r="561">
          <cell r="G561" t="str">
            <v>______</v>
          </cell>
          <cell r="H561" t="str">
            <v>______</v>
          </cell>
          <cell r="I561" t="str">
            <v>______</v>
          </cell>
          <cell r="J561" t="str">
            <v>______</v>
          </cell>
          <cell r="L561" t="str">
            <v>______</v>
          </cell>
          <cell r="M561" t="str">
            <v>______</v>
          </cell>
          <cell r="N561" t="str">
            <v>______</v>
          </cell>
        </row>
        <row r="562">
          <cell r="G562">
            <v>0</v>
          </cell>
          <cell r="H562">
            <v>0</v>
          </cell>
          <cell r="I562">
            <v>0</v>
          </cell>
          <cell r="J562">
            <v>0</v>
          </cell>
          <cell r="L562">
            <v>0</v>
          </cell>
          <cell r="M562">
            <v>0</v>
          </cell>
          <cell r="N562">
            <v>0</v>
          </cell>
        </row>
        <row r="565">
          <cell r="H565">
            <v>0</v>
          </cell>
          <cell r="I565">
            <v>0</v>
          </cell>
          <cell r="J565">
            <v>0</v>
          </cell>
          <cell r="M565">
            <v>0</v>
          </cell>
          <cell r="N565">
            <v>0</v>
          </cell>
        </row>
        <row r="566">
          <cell r="H566">
            <v>0</v>
          </cell>
          <cell r="I566">
            <v>0</v>
          </cell>
          <cell r="J566">
            <v>0</v>
          </cell>
          <cell r="M566">
            <v>0</v>
          </cell>
          <cell r="N566">
            <v>0</v>
          </cell>
        </row>
        <row r="567">
          <cell r="H567">
            <v>0</v>
          </cell>
          <cell r="I567">
            <v>0</v>
          </cell>
          <cell r="J567">
            <v>0</v>
          </cell>
          <cell r="M567">
            <v>0</v>
          </cell>
          <cell r="N567">
            <v>0</v>
          </cell>
        </row>
        <row r="568">
          <cell r="H568">
            <v>0</v>
          </cell>
          <cell r="I568">
            <v>0</v>
          </cell>
          <cell r="J568">
            <v>0</v>
          </cell>
          <cell r="M568">
            <v>0</v>
          </cell>
          <cell r="N568">
            <v>0</v>
          </cell>
        </row>
        <row r="569">
          <cell r="H569">
            <v>0</v>
          </cell>
          <cell r="I569">
            <v>0</v>
          </cell>
          <cell r="J569">
            <v>0</v>
          </cell>
          <cell r="M569">
            <v>0</v>
          </cell>
          <cell r="N569">
            <v>0</v>
          </cell>
        </row>
        <row r="570">
          <cell r="H570">
            <v>0</v>
          </cell>
          <cell r="I570">
            <v>0</v>
          </cell>
          <cell r="J570">
            <v>0</v>
          </cell>
          <cell r="M570">
            <v>0</v>
          </cell>
          <cell r="N570">
            <v>0</v>
          </cell>
        </row>
        <row r="571">
          <cell r="H571">
            <v>0</v>
          </cell>
          <cell r="I571">
            <v>0</v>
          </cell>
          <cell r="J571">
            <v>0</v>
          </cell>
          <cell r="M571">
            <v>0</v>
          </cell>
          <cell r="N571">
            <v>0</v>
          </cell>
        </row>
        <row r="572">
          <cell r="H572">
            <v>0</v>
          </cell>
          <cell r="I572">
            <v>0</v>
          </cell>
          <cell r="J572">
            <v>0</v>
          </cell>
          <cell r="M572">
            <v>0</v>
          </cell>
          <cell r="N572">
            <v>0</v>
          </cell>
        </row>
        <row r="573">
          <cell r="H573">
            <v>0</v>
          </cell>
          <cell r="I573">
            <v>0</v>
          </cell>
          <cell r="J573">
            <v>0</v>
          </cell>
          <cell r="M573">
            <v>0</v>
          </cell>
          <cell r="N573">
            <v>0</v>
          </cell>
        </row>
        <row r="574">
          <cell r="H574">
            <v>0</v>
          </cell>
          <cell r="I574">
            <v>0</v>
          </cell>
          <cell r="J574">
            <v>0</v>
          </cell>
          <cell r="M574">
            <v>0</v>
          </cell>
          <cell r="N574">
            <v>0</v>
          </cell>
        </row>
        <row r="575">
          <cell r="H575">
            <v>0</v>
          </cell>
          <cell r="I575">
            <v>0</v>
          </cell>
          <cell r="J575">
            <v>0</v>
          </cell>
          <cell r="M575">
            <v>0</v>
          </cell>
          <cell r="N575">
            <v>0</v>
          </cell>
        </row>
        <row r="576">
          <cell r="H576">
            <v>0</v>
          </cell>
          <cell r="I576">
            <v>0</v>
          </cell>
          <cell r="J576">
            <v>0</v>
          </cell>
          <cell r="M576">
            <v>0</v>
          </cell>
          <cell r="N576">
            <v>0</v>
          </cell>
        </row>
        <row r="577">
          <cell r="H577">
            <v>0</v>
          </cell>
          <cell r="I577">
            <v>0</v>
          </cell>
          <cell r="J577">
            <v>0</v>
          </cell>
          <cell r="M577">
            <v>0</v>
          </cell>
          <cell r="N577">
            <v>0</v>
          </cell>
        </row>
        <row r="578">
          <cell r="H578">
            <v>0</v>
          </cell>
          <cell r="I578">
            <v>0</v>
          </cell>
          <cell r="J578">
            <v>0</v>
          </cell>
          <cell r="M578">
            <v>0</v>
          </cell>
          <cell r="N578">
            <v>0</v>
          </cell>
        </row>
        <row r="579">
          <cell r="H579" t="str">
            <v>______</v>
          </cell>
          <cell r="I579" t="str">
            <v>______</v>
          </cell>
          <cell r="J579" t="str">
            <v>______</v>
          </cell>
          <cell r="M579" t="str">
            <v>______</v>
          </cell>
          <cell r="N579" t="str">
            <v>______</v>
          </cell>
        </row>
        <row r="580">
          <cell r="H580">
            <v>0</v>
          </cell>
          <cell r="I580">
            <v>0</v>
          </cell>
          <cell r="J580">
            <v>0</v>
          </cell>
          <cell r="M580">
            <v>0</v>
          </cell>
          <cell r="N580">
            <v>0</v>
          </cell>
        </row>
        <row r="581">
          <cell r="H581" t="str">
            <v>______</v>
          </cell>
          <cell r="I581" t="str">
            <v>______</v>
          </cell>
          <cell r="J581" t="str">
            <v>______</v>
          </cell>
          <cell r="M581" t="str">
            <v>______</v>
          </cell>
          <cell r="N581" t="str">
            <v>______</v>
          </cell>
        </row>
        <row r="582">
          <cell r="H582">
            <v>0</v>
          </cell>
          <cell r="I582">
            <v>0</v>
          </cell>
          <cell r="J582">
            <v>0</v>
          </cell>
          <cell r="M582">
            <v>0</v>
          </cell>
          <cell r="N582">
            <v>0</v>
          </cell>
        </row>
        <row r="584">
          <cell r="H584">
            <v>0</v>
          </cell>
          <cell r="I584">
            <v>0</v>
          </cell>
          <cell r="J584">
            <v>0</v>
          </cell>
          <cell r="M584">
            <v>0</v>
          </cell>
          <cell r="N584">
            <v>0</v>
          </cell>
        </row>
        <row r="585">
          <cell r="H585">
            <v>0</v>
          </cell>
          <cell r="I585">
            <v>0</v>
          </cell>
          <cell r="J585">
            <v>0</v>
          </cell>
          <cell r="M585">
            <v>0</v>
          </cell>
          <cell r="N585">
            <v>0</v>
          </cell>
        </row>
        <row r="586">
          <cell r="H586" t="str">
            <v>______</v>
          </cell>
          <cell r="I586" t="str">
            <v>______</v>
          </cell>
          <cell r="J586" t="str">
            <v>______</v>
          </cell>
          <cell r="M586" t="str">
            <v>______</v>
          </cell>
          <cell r="N586" t="str">
            <v>______</v>
          </cell>
        </row>
        <row r="587">
          <cell r="H587">
            <v>0</v>
          </cell>
          <cell r="I587">
            <v>0</v>
          </cell>
          <cell r="J587">
            <v>0</v>
          </cell>
          <cell r="M587">
            <v>0</v>
          </cell>
          <cell r="N587">
            <v>0</v>
          </cell>
        </row>
        <row r="590">
          <cell r="H590">
            <v>0</v>
          </cell>
          <cell r="I590">
            <v>0</v>
          </cell>
          <cell r="J590">
            <v>0</v>
          </cell>
          <cell r="M590">
            <v>0</v>
          </cell>
          <cell r="N590">
            <v>0</v>
          </cell>
        </row>
        <row r="591">
          <cell r="H591">
            <v>0</v>
          </cell>
          <cell r="I591">
            <v>0</v>
          </cell>
          <cell r="J591">
            <v>0</v>
          </cell>
          <cell r="M591">
            <v>0</v>
          </cell>
          <cell r="N591">
            <v>0</v>
          </cell>
        </row>
        <row r="593">
          <cell r="H593">
            <v>0</v>
          </cell>
          <cell r="I593">
            <v>0</v>
          </cell>
          <cell r="J593">
            <v>0</v>
          </cell>
          <cell r="M593">
            <v>0</v>
          </cell>
          <cell r="N593">
            <v>0</v>
          </cell>
        </row>
        <row r="594">
          <cell r="H594">
            <v>0</v>
          </cell>
          <cell r="I594">
            <v>0</v>
          </cell>
          <cell r="J594">
            <v>0</v>
          </cell>
          <cell r="M594">
            <v>0</v>
          </cell>
          <cell r="N594">
            <v>0</v>
          </cell>
        </row>
        <row r="595">
          <cell r="H595">
            <v>0</v>
          </cell>
          <cell r="I595">
            <v>0</v>
          </cell>
          <cell r="J595">
            <v>0</v>
          </cell>
          <cell r="M595">
            <v>0</v>
          </cell>
          <cell r="N595">
            <v>0</v>
          </cell>
        </row>
        <row r="596">
          <cell r="H596">
            <v>0</v>
          </cell>
          <cell r="I596">
            <v>0</v>
          </cell>
          <cell r="J596">
            <v>0</v>
          </cell>
          <cell r="M596">
            <v>0</v>
          </cell>
          <cell r="N596">
            <v>0</v>
          </cell>
        </row>
        <row r="597">
          <cell r="H597">
            <v>0</v>
          </cell>
          <cell r="I597">
            <v>0</v>
          </cell>
          <cell r="J597">
            <v>0</v>
          </cell>
          <cell r="M597">
            <v>0</v>
          </cell>
          <cell r="N597">
            <v>0</v>
          </cell>
        </row>
        <row r="598">
          <cell r="H598">
            <v>0</v>
          </cell>
          <cell r="I598">
            <v>0</v>
          </cell>
          <cell r="J598">
            <v>0</v>
          </cell>
          <cell r="M598">
            <v>0</v>
          </cell>
          <cell r="N598">
            <v>0</v>
          </cell>
        </row>
        <row r="599">
          <cell r="H599">
            <v>0</v>
          </cell>
          <cell r="I599">
            <v>0</v>
          </cell>
          <cell r="J599">
            <v>0</v>
          </cell>
          <cell r="M599">
            <v>0</v>
          </cell>
          <cell r="N599">
            <v>0</v>
          </cell>
        </row>
        <row r="600">
          <cell r="H600">
            <v>0</v>
          </cell>
          <cell r="I600">
            <v>0</v>
          </cell>
          <cell r="J600">
            <v>0</v>
          </cell>
          <cell r="M600">
            <v>0</v>
          </cell>
          <cell r="N600">
            <v>0</v>
          </cell>
        </row>
        <row r="601">
          <cell r="H601">
            <v>0</v>
          </cell>
          <cell r="I601">
            <v>0</v>
          </cell>
          <cell r="J601">
            <v>0</v>
          </cell>
          <cell r="M601">
            <v>0</v>
          </cell>
          <cell r="N601">
            <v>0</v>
          </cell>
        </row>
        <row r="602">
          <cell r="H602">
            <v>0</v>
          </cell>
          <cell r="I602">
            <v>0</v>
          </cell>
          <cell r="J602">
            <v>0</v>
          </cell>
          <cell r="M602">
            <v>0</v>
          </cell>
          <cell r="N602">
            <v>0</v>
          </cell>
        </row>
        <row r="603">
          <cell r="H603">
            <v>0</v>
          </cell>
          <cell r="I603">
            <v>0</v>
          </cell>
          <cell r="J603">
            <v>0</v>
          </cell>
          <cell r="M603">
            <v>0</v>
          </cell>
          <cell r="N603">
            <v>0</v>
          </cell>
        </row>
        <row r="604">
          <cell r="H604">
            <v>0</v>
          </cell>
          <cell r="I604">
            <v>0</v>
          </cell>
          <cell r="J604">
            <v>0</v>
          </cell>
          <cell r="M604">
            <v>0</v>
          </cell>
          <cell r="N604">
            <v>0</v>
          </cell>
        </row>
        <row r="605">
          <cell r="H605">
            <v>0</v>
          </cell>
          <cell r="I605">
            <v>0</v>
          </cell>
          <cell r="J605">
            <v>0</v>
          </cell>
          <cell r="M605">
            <v>0</v>
          </cell>
          <cell r="N605">
            <v>0</v>
          </cell>
        </row>
        <row r="606">
          <cell r="H606">
            <v>0</v>
          </cell>
          <cell r="I606">
            <v>0</v>
          </cell>
          <cell r="J606">
            <v>0</v>
          </cell>
          <cell r="M606">
            <v>0</v>
          </cell>
          <cell r="N606">
            <v>0</v>
          </cell>
        </row>
        <row r="608">
          <cell r="H608">
            <v>0</v>
          </cell>
          <cell r="I608">
            <v>0</v>
          </cell>
          <cell r="J608">
            <v>0</v>
          </cell>
          <cell r="M608">
            <v>0</v>
          </cell>
          <cell r="N608">
            <v>0</v>
          </cell>
        </row>
        <row r="614">
          <cell r="H614">
            <v>0</v>
          </cell>
          <cell r="I614">
            <v>0</v>
          </cell>
          <cell r="J614">
            <v>0</v>
          </cell>
          <cell r="M614">
            <v>0</v>
          </cell>
          <cell r="N614">
            <v>0</v>
          </cell>
        </row>
        <row r="632">
          <cell r="H632" t="str">
            <v>______</v>
          </cell>
          <cell r="I632" t="str">
            <v>______</v>
          </cell>
          <cell r="J632" t="str">
            <v>______</v>
          </cell>
          <cell r="M632" t="str">
            <v>______</v>
          </cell>
          <cell r="N632" t="str">
            <v>______</v>
          </cell>
        </row>
        <row r="633">
          <cell r="H633">
            <v>0</v>
          </cell>
          <cell r="I633">
            <v>0</v>
          </cell>
          <cell r="J633">
            <v>0</v>
          </cell>
          <cell r="M633">
            <v>0</v>
          </cell>
          <cell r="N633">
            <v>0</v>
          </cell>
        </row>
        <row r="635">
          <cell r="H635">
            <v>0</v>
          </cell>
          <cell r="I635">
            <v>0</v>
          </cell>
          <cell r="J635">
            <v>0</v>
          </cell>
          <cell r="M635">
            <v>0</v>
          </cell>
          <cell r="N635">
            <v>0</v>
          </cell>
        </row>
        <row r="636">
          <cell r="H636">
            <v>0</v>
          </cell>
          <cell r="I636">
            <v>0</v>
          </cell>
          <cell r="J636">
            <v>0</v>
          </cell>
          <cell r="M636">
            <v>0</v>
          </cell>
          <cell r="N636">
            <v>0</v>
          </cell>
        </row>
        <row r="637">
          <cell r="H637" t="str">
            <v>______</v>
          </cell>
          <cell r="I637" t="str">
            <v>______</v>
          </cell>
          <cell r="J637" t="str">
            <v>______</v>
          </cell>
          <cell r="M637" t="str">
            <v>______</v>
          </cell>
          <cell r="N637" t="str">
            <v>______</v>
          </cell>
        </row>
        <row r="665">
          <cell r="H665">
            <v>0</v>
          </cell>
          <cell r="I665">
            <v>0</v>
          </cell>
          <cell r="J665">
            <v>0</v>
          </cell>
          <cell r="M665">
            <v>0</v>
          </cell>
          <cell r="N665">
            <v>0</v>
          </cell>
        </row>
        <row r="667">
          <cell r="H667">
            <v>0</v>
          </cell>
          <cell r="I667">
            <v>0</v>
          </cell>
          <cell r="J667">
            <v>0</v>
          </cell>
          <cell r="M667">
            <v>0</v>
          </cell>
          <cell r="N667">
            <v>0</v>
          </cell>
        </row>
        <row r="676">
          <cell r="G676">
            <v>0</v>
          </cell>
          <cell r="H676">
            <v>0</v>
          </cell>
          <cell r="I676">
            <v>0</v>
          </cell>
          <cell r="J676">
            <v>0</v>
          </cell>
          <cell r="L676">
            <v>0</v>
          </cell>
          <cell r="M676">
            <v>0</v>
          </cell>
          <cell r="N676">
            <v>0</v>
          </cell>
        </row>
        <row r="677">
          <cell r="G677">
            <v>0</v>
          </cell>
          <cell r="H677">
            <v>0</v>
          </cell>
          <cell r="I677">
            <v>0</v>
          </cell>
          <cell r="J677">
            <v>0</v>
          </cell>
          <cell r="L677">
            <v>0</v>
          </cell>
          <cell r="M677">
            <v>0</v>
          </cell>
          <cell r="N677">
            <v>0</v>
          </cell>
        </row>
        <row r="678">
          <cell r="G678">
            <v>0</v>
          </cell>
          <cell r="H678">
            <v>0</v>
          </cell>
          <cell r="I678">
            <v>0</v>
          </cell>
          <cell r="J678">
            <v>0</v>
          </cell>
          <cell r="L678">
            <v>0</v>
          </cell>
          <cell r="M678">
            <v>0</v>
          </cell>
          <cell r="N678">
            <v>0</v>
          </cell>
        </row>
        <row r="679">
          <cell r="G679">
            <v>0</v>
          </cell>
          <cell r="H679">
            <v>0</v>
          </cell>
          <cell r="I679">
            <v>0</v>
          </cell>
          <cell r="J679">
            <v>0</v>
          </cell>
          <cell r="L679">
            <v>0</v>
          </cell>
          <cell r="M679">
            <v>0</v>
          </cell>
          <cell r="N679">
            <v>0</v>
          </cell>
        </row>
        <row r="680">
          <cell r="G680">
            <v>0</v>
          </cell>
          <cell r="H680">
            <v>0</v>
          </cell>
          <cell r="I680">
            <v>0</v>
          </cell>
          <cell r="J680">
            <v>0</v>
          </cell>
          <cell r="L680">
            <v>0</v>
          </cell>
          <cell r="M680">
            <v>0</v>
          </cell>
          <cell r="N680">
            <v>0</v>
          </cell>
        </row>
        <row r="681">
          <cell r="G681">
            <v>0</v>
          </cell>
          <cell r="H681">
            <v>0</v>
          </cell>
          <cell r="I681">
            <v>0</v>
          </cell>
          <cell r="J681">
            <v>0</v>
          </cell>
          <cell r="L681">
            <v>0</v>
          </cell>
          <cell r="M681">
            <v>0</v>
          </cell>
          <cell r="N681">
            <v>0</v>
          </cell>
        </row>
        <row r="682">
          <cell r="G682">
            <v>0</v>
          </cell>
          <cell r="H682">
            <v>0</v>
          </cell>
          <cell r="I682">
            <v>0</v>
          </cell>
          <cell r="J682">
            <v>0</v>
          </cell>
          <cell r="L682">
            <v>0</v>
          </cell>
          <cell r="M682">
            <v>0</v>
          </cell>
          <cell r="N682">
            <v>0</v>
          </cell>
        </row>
        <row r="683">
          <cell r="G683" t="str">
            <v>______</v>
          </cell>
          <cell r="H683" t="str">
            <v>______</v>
          </cell>
          <cell r="I683" t="str">
            <v>______</v>
          </cell>
          <cell r="J683" t="str">
            <v>______</v>
          </cell>
          <cell r="L683" t="str">
            <v>______</v>
          </cell>
          <cell r="M683" t="str">
            <v>______</v>
          </cell>
          <cell r="N683" t="str">
            <v>______</v>
          </cell>
        </row>
        <row r="684">
          <cell r="G684">
            <v>0</v>
          </cell>
          <cell r="H684">
            <v>0</v>
          </cell>
          <cell r="I684">
            <v>0</v>
          </cell>
          <cell r="J684">
            <v>0</v>
          </cell>
          <cell r="L684">
            <v>0</v>
          </cell>
          <cell r="M684">
            <v>0</v>
          </cell>
          <cell r="N684">
            <v>0</v>
          </cell>
        </row>
        <row r="686">
          <cell r="G686">
            <v>0</v>
          </cell>
          <cell r="H686">
            <v>0</v>
          </cell>
          <cell r="I686">
            <v>0</v>
          </cell>
          <cell r="J686">
            <v>0</v>
          </cell>
          <cell r="L686">
            <v>0</v>
          </cell>
          <cell r="M686">
            <v>0</v>
          </cell>
          <cell r="N686">
            <v>0</v>
          </cell>
        </row>
        <row r="688">
          <cell r="G688">
            <v>0</v>
          </cell>
          <cell r="H688">
            <v>0</v>
          </cell>
          <cell r="I688">
            <v>0</v>
          </cell>
          <cell r="J688">
            <v>0</v>
          </cell>
          <cell r="L688">
            <v>0</v>
          </cell>
          <cell r="M688">
            <v>0</v>
          </cell>
          <cell r="N688">
            <v>0</v>
          </cell>
        </row>
        <row r="689">
          <cell r="G689">
            <v>0</v>
          </cell>
          <cell r="H689">
            <v>0</v>
          </cell>
          <cell r="I689">
            <v>0</v>
          </cell>
          <cell r="J689">
            <v>0</v>
          </cell>
          <cell r="L689">
            <v>0</v>
          </cell>
          <cell r="M689">
            <v>0</v>
          </cell>
          <cell r="N689">
            <v>0</v>
          </cell>
        </row>
        <row r="690">
          <cell r="G690">
            <v>0</v>
          </cell>
          <cell r="H690">
            <v>0</v>
          </cell>
          <cell r="I690">
            <v>0</v>
          </cell>
          <cell r="J690">
            <v>0</v>
          </cell>
          <cell r="L690">
            <v>0</v>
          </cell>
          <cell r="M690">
            <v>0</v>
          </cell>
          <cell r="N690">
            <v>0</v>
          </cell>
        </row>
        <row r="691">
          <cell r="G691">
            <v>0</v>
          </cell>
          <cell r="H691">
            <v>0</v>
          </cell>
          <cell r="I691">
            <v>0</v>
          </cell>
          <cell r="J691">
            <v>0</v>
          </cell>
          <cell r="L691">
            <v>0</v>
          </cell>
          <cell r="M691">
            <v>0</v>
          </cell>
          <cell r="N691">
            <v>0</v>
          </cell>
        </row>
        <row r="692">
          <cell r="G692">
            <v>0</v>
          </cell>
          <cell r="H692">
            <v>0</v>
          </cell>
          <cell r="I692">
            <v>0</v>
          </cell>
          <cell r="J692">
            <v>0</v>
          </cell>
          <cell r="L692">
            <v>0</v>
          </cell>
          <cell r="M692">
            <v>0</v>
          </cell>
          <cell r="N692">
            <v>0</v>
          </cell>
        </row>
        <row r="693">
          <cell r="G693">
            <v>0</v>
          </cell>
          <cell r="H693">
            <v>0</v>
          </cell>
          <cell r="I693">
            <v>0</v>
          </cell>
          <cell r="J693">
            <v>0</v>
          </cell>
          <cell r="L693">
            <v>0</v>
          </cell>
          <cell r="M693">
            <v>0</v>
          </cell>
          <cell r="N693">
            <v>0</v>
          </cell>
        </row>
        <row r="694">
          <cell r="G694">
            <v>0</v>
          </cell>
          <cell r="H694">
            <v>0</v>
          </cell>
          <cell r="I694">
            <v>0</v>
          </cell>
          <cell r="J694">
            <v>0</v>
          </cell>
          <cell r="L694">
            <v>0</v>
          </cell>
          <cell r="M694">
            <v>0</v>
          </cell>
          <cell r="N694">
            <v>0</v>
          </cell>
        </row>
        <row r="696">
          <cell r="G696">
            <v>0</v>
          </cell>
          <cell r="H696">
            <v>0</v>
          </cell>
          <cell r="I696">
            <v>0</v>
          </cell>
          <cell r="J696">
            <v>0</v>
          </cell>
          <cell r="L696">
            <v>0</v>
          </cell>
          <cell r="M696">
            <v>0</v>
          </cell>
          <cell r="N696">
            <v>0</v>
          </cell>
        </row>
        <row r="699">
          <cell r="G699">
            <v>0</v>
          </cell>
          <cell r="H699">
            <v>0</v>
          </cell>
          <cell r="I699">
            <v>0</v>
          </cell>
          <cell r="J699">
            <v>0</v>
          </cell>
          <cell r="L699">
            <v>0</v>
          </cell>
          <cell r="M699">
            <v>0</v>
          </cell>
          <cell r="N699">
            <v>0</v>
          </cell>
        </row>
        <row r="700">
          <cell r="G700">
            <v>0</v>
          </cell>
          <cell r="H700">
            <v>0</v>
          </cell>
          <cell r="I700">
            <v>0</v>
          </cell>
          <cell r="J700">
            <v>0</v>
          </cell>
          <cell r="L700">
            <v>0</v>
          </cell>
          <cell r="M700">
            <v>0</v>
          </cell>
          <cell r="N700">
            <v>0</v>
          </cell>
        </row>
        <row r="701">
          <cell r="G701">
            <v>0</v>
          </cell>
          <cell r="H701">
            <v>0</v>
          </cell>
          <cell r="I701">
            <v>0</v>
          </cell>
          <cell r="J701">
            <v>0</v>
          </cell>
          <cell r="L701">
            <v>0</v>
          </cell>
          <cell r="M701">
            <v>0</v>
          </cell>
          <cell r="N701">
            <v>0</v>
          </cell>
        </row>
        <row r="702">
          <cell r="G702">
            <v>0</v>
          </cell>
          <cell r="H702">
            <v>0</v>
          </cell>
          <cell r="I702">
            <v>0</v>
          </cell>
          <cell r="J702">
            <v>0</v>
          </cell>
          <cell r="L702">
            <v>0</v>
          </cell>
          <cell r="M702">
            <v>0</v>
          </cell>
          <cell r="N702">
            <v>0</v>
          </cell>
        </row>
        <row r="703">
          <cell r="G703">
            <v>0</v>
          </cell>
          <cell r="H703">
            <v>0</v>
          </cell>
          <cell r="I703">
            <v>0</v>
          </cell>
          <cell r="J703">
            <v>0</v>
          </cell>
          <cell r="L703">
            <v>0</v>
          </cell>
          <cell r="M703">
            <v>0</v>
          </cell>
          <cell r="N703">
            <v>0</v>
          </cell>
        </row>
        <row r="704">
          <cell r="G704">
            <v>0</v>
          </cell>
          <cell r="H704">
            <v>0</v>
          </cell>
          <cell r="I704">
            <v>0</v>
          </cell>
          <cell r="J704">
            <v>0</v>
          </cell>
          <cell r="L704">
            <v>0</v>
          </cell>
          <cell r="M704">
            <v>0</v>
          </cell>
          <cell r="N704">
            <v>0</v>
          </cell>
        </row>
        <row r="705">
          <cell r="G705">
            <v>0</v>
          </cell>
          <cell r="H705">
            <v>0</v>
          </cell>
          <cell r="I705">
            <v>0</v>
          </cell>
          <cell r="J705">
            <v>0</v>
          </cell>
          <cell r="L705">
            <v>0</v>
          </cell>
          <cell r="M705">
            <v>0</v>
          </cell>
          <cell r="N705">
            <v>0</v>
          </cell>
        </row>
        <row r="706">
          <cell r="G706">
            <v>0</v>
          </cell>
          <cell r="H706">
            <v>0</v>
          </cell>
          <cell r="I706">
            <v>0</v>
          </cell>
          <cell r="J706">
            <v>0</v>
          </cell>
          <cell r="L706">
            <v>0</v>
          </cell>
          <cell r="M706">
            <v>0</v>
          </cell>
          <cell r="N706">
            <v>0</v>
          </cell>
        </row>
        <row r="707">
          <cell r="G707" t="str">
            <v>______</v>
          </cell>
          <cell r="H707" t="str">
            <v>______</v>
          </cell>
          <cell r="I707" t="str">
            <v>______</v>
          </cell>
          <cell r="J707" t="str">
            <v>______</v>
          </cell>
          <cell r="L707" t="str">
            <v>______</v>
          </cell>
          <cell r="M707" t="str">
            <v>______</v>
          </cell>
          <cell r="N707" t="str">
            <v>______</v>
          </cell>
        </row>
        <row r="708">
          <cell r="G708">
            <v>0</v>
          </cell>
          <cell r="H708">
            <v>0</v>
          </cell>
          <cell r="I708">
            <v>0</v>
          </cell>
          <cell r="J708">
            <v>0</v>
          </cell>
          <cell r="L708">
            <v>0</v>
          </cell>
          <cell r="M708">
            <v>0</v>
          </cell>
          <cell r="N708">
            <v>0</v>
          </cell>
        </row>
        <row r="710">
          <cell r="G710">
            <v>0</v>
          </cell>
          <cell r="H710">
            <v>0</v>
          </cell>
          <cell r="I710">
            <v>0</v>
          </cell>
          <cell r="J710">
            <v>0</v>
          </cell>
          <cell r="L710">
            <v>0</v>
          </cell>
          <cell r="M710">
            <v>0</v>
          </cell>
          <cell r="N710">
            <v>0</v>
          </cell>
        </row>
        <row r="711">
          <cell r="G711">
            <v>0</v>
          </cell>
          <cell r="H711">
            <v>0</v>
          </cell>
          <cell r="I711">
            <v>0</v>
          </cell>
          <cell r="J711">
            <v>0</v>
          </cell>
          <cell r="L711">
            <v>0</v>
          </cell>
          <cell r="M711">
            <v>0</v>
          </cell>
          <cell r="N711">
            <v>0</v>
          </cell>
        </row>
        <row r="712">
          <cell r="G712">
            <v>0</v>
          </cell>
          <cell r="H712">
            <v>0</v>
          </cell>
          <cell r="I712">
            <v>0</v>
          </cell>
          <cell r="J712">
            <v>0</v>
          </cell>
          <cell r="L712">
            <v>0</v>
          </cell>
          <cell r="M712">
            <v>0</v>
          </cell>
          <cell r="N712">
            <v>0</v>
          </cell>
        </row>
        <row r="713">
          <cell r="G713">
            <v>0</v>
          </cell>
          <cell r="H713">
            <v>0</v>
          </cell>
          <cell r="I713">
            <v>0</v>
          </cell>
          <cell r="J713">
            <v>0</v>
          </cell>
          <cell r="L713">
            <v>0</v>
          </cell>
          <cell r="M713">
            <v>0</v>
          </cell>
          <cell r="N713">
            <v>0</v>
          </cell>
        </row>
        <row r="714">
          <cell r="G714">
            <v>0</v>
          </cell>
          <cell r="H714">
            <v>0</v>
          </cell>
          <cell r="I714">
            <v>0</v>
          </cell>
          <cell r="J714">
            <v>0</v>
          </cell>
          <cell r="L714">
            <v>0</v>
          </cell>
          <cell r="M714">
            <v>0</v>
          </cell>
          <cell r="N714">
            <v>0</v>
          </cell>
        </row>
        <row r="717">
          <cell r="G717">
            <v>0</v>
          </cell>
          <cell r="H717">
            <v>0</v>
          </cell>
          <cell r="I717">
            <v>0</v>
          </cell>
          <cell r="J717">
            <v>0</v>
          </cell>
          <cell r="L717">
            <v>0</v>
          </cell>
          <cell r="M717">
            <v>0</v>
          </cell>
          <cell r="N717">
            <v>0</v>
          </cell>
        </row>
        <row r="718">
          <cell r="G718">
            <v>0</v>
          </cell>
          <cell r="H718">
            <v>0</v>
          </cell>
          <cell r="I718">
            <v>0</v>
          </cell>
          <cell r="J718">
            <v>0</v>
          </cell>
          <cell r="L718">
            <v>0</v>
          </cell>
          <cell r="M718">
            <v>0</v>
          </cell>
          <cell r="N718">
            <v>0</v>
          </cell>
        </row>
        <row r="719">
          <cell r="G719">
            <v>0</v>
          </cell>
          <cell r="H719">
            <v>0</v>
          </cell>
          <cell r="I719">
            <v>0</v>
          </cell>
          <cell r="J719">
            <v>0</v>
          </cell>
          <cell r="L719">
            <v>0</v>
          </cell>
          <cell r="M719">
            <v>0</v>
          </cell>
          <cell r="N719">
            <v>0</v>
          </cell>
        </row>
        <row r="720">
          <cell r="G720">
            <v>0</v>
          </cell>
          <cell r="H720">
            <v>0</v>
          </cell>
          <cell r="I720">
            <v>0</v>
          </cell>
          <cell r="J720">
            <v>0</v>
          </cell>
          <cell r="L720">
            <v>0</v>
          </cell>
          <cell r="M720">
            <v>0</v>
          </cell>
          <cell r="N720">
            <v>0</v>
          </cell>
        </row>
        <row r="721">
          <cell r="G721">
            <v>0</v>
          </cell>
          <cell r="H721">
            <v>0</v>
          </cell>
          <cell r="I721">
            <v>0</v>
          </cell>
          <cell r="J721">
            <v>0</v>
          </cell>
          <cell r="L721">
            <v>0</v>
          </cell>
          <cell r="M721">
            <v>0</v>
          </cell>
          <cell r="N721">
            <v>0</v>
          </cell>
        </row>
        <row r="722">
          <cell r="G722">
            <v>0</v>
          </cell>
          <cell r="H722">
            <v>0</v>
          </cell>
          <cell r="I722">
            <v>0</v>
          </cell>
          <cell r="J722">
            <v>0</v>
          </cell>
          <cell r="L722">
            <v>0</v>
          </cell>
          <cell r="M722">
            <v>0</v>
          </cell>
          <cell r="N722">
            <v>0</v>
          </cell>
        </row>
        <row r="723">
          <cell r="G723">
            <v>0</v>
          </cell>
          <cell r="H723">
            <v>0</v>
          </cell>
          <cell r="I723">
            <v>0</v>
          </cell>
          <cell r="J723">
            <v>0</v>
          </cell>
          <cell r="L723">
            <v>0</v>
          </cell>
          <cell r="M723">
            <v>0</v>
          </cell>
          <cell r="N723">
            <v>0</v>
          </cell>
        </row>
        <row r="724">
          <cell r="G724">
            <v>0</v>
          </cell>
          <cell r="H724">
            <v>0</v>
          </cell>
          <cell r="I724">
            <v>0</v>
          </cell>
          <cell r="J724">
            <v>0</v>
          </cell>
          <cell r="L724">
            <v>0</v>
          </cell>
          <cell r="M724">
            <v>0</v>
          </cell>
          <cell r="N724">
            <v>0</v>
          </cell>
        </row>
        <row r="725">
          <cell r="G725">
            <v>0</v>
          </cell>
          <cell r="H725">
            <v>0</v>
          </cell>
          <cell r="I725">
            <v>0</v>
          </cell>
          <cell r="J725">
            <v>0</v>
          </cell>
          <cell r="L725">
            <v>0</v>
          </cell>
          <cell r="M725">
            <v>0</v>
          </cell>
          <cell r="N725">
            <v>0</v>
          </cell>
        </row>
        <row r="726">
          <cell r="G726">
            <v>0</v>
          </cell>
          <cell r="H726">
            <v>0</v>
          </cell>
          <cell r="I726">
            <v>0</v>
          </cell>
          <cell r="J726">
            <v>0</v>
          </cell>
          <cell r="L726">
            <v>0</v>
          </cell>
          <cell r="M726">
            <v>0</v>
          </cell>
          <cell r="N726">
            <v>0</v>
          </cell>
        </row>
        <row r="727">
          <cell r="G727">
            <v>0</v>
          </cell>
          <cell r="H727">
            <v>0</v>
          </cell>
          <cell r="I727">
            <v>0</v>
          </cell>
          <cell r="J727">
            <v>0</v>
          </cell>
          <cell r="L727">
            <v>0</v>
          </cell>
          <cell r="M727">
            <v>0</v>
          </cell>
          <cell r="N727">
            <v>0</v>
          </cell>
        </row>
        <row r="728">
          <cell r="G728">
            <v>0</v>
          </cell>
          <cell r="H728">
            <v>0</v>
          </cell>
          <cell r="I728">
            <v>0</v>
          </cell>
          <cell r="J728">
            <v>0</v>
          </cell>
          <cell r="L728">
            <v>0</v>
          </cell>
          <cell r="M728">
            <v>0</v>
          </cell>
          <cell r="N728">
            <v>0</v>
          </cell>
        </row>
        <row r="729">
          <cell r="G729">
            <v>0</v>
          </cell>
          <cell r="H729">
            <v>0</v>
          </cell>
          <cell r="I729">
            <v>0</v>
          </cell>
          <cell r="J729">
            <v>0</v>
          </cell>
          <cell r="L729">
            <v>0</v>
          </cell>
          <cell r="M729">
            <v>0</v>
          </cell>
          <cell r="N729">
            <v>0</v>
          </cell>
        </row>
        <row r="730">
          <cell r="G730">
            <v>0</v>
          </cell>
          <cell r="H730">
            <v>0</v>
          </cell>
          <cell r="I730">
            <v>0</v>
          </cell>
          <cell r="J730">
            <v>0</v>
          </cell>
          <cell r="L730">
            <v>0</v>
          </cell>
          <cell r="M730">
            <v>0</v>
          </cell>
          <cell r="N730">
            <v>0</v>
          </cell>
        </row>
        <row r="731">
          <cell r="G731">
            <v>0</v>
          </cell>
          <cell r="H731">
            <v>0</v>
          </cell>
          <cell r="I731">
            <v>0</v>
          </cell>
          <cell r="J731">
            <v>0</v>
          </cell>
          <cell r="L731">
            <v>0</v>
          </cell>
          <cell r="M731">
            <v>0</v>
          </cell>
          <cell r="N731">
            <v>0</v>
          </cell>
        </row>
        <row r="732">
          <cell r="G732">
            <v>0</v>
          </cell>
          <cell r="H732">
            <v>0</v>
          </cell>
          <cell r="I732">
            <v>0</v>
          </cell>
          <cell r="J732">
            <v>0</v>
          </cell>
          <cell r="L732">
            <v>0</v>
          </cell>
          <cell r="M732">
            <v>0</v>
          </cell>
          <cell r="N732">
            <v>0</v>
          </cell>
        </row>
        <row r="733">
          <cell r="G733">
            <v>0</v>
          </cell>
          <cell r="H733">
            <v>0</v>
          </cell>
          <cell r="I733">
            <v>0</v>
          </cell>
          <cell r="J733">
            <v>0</v>
          </cell>
          <cell r="L733">
            <v>0</v>
          </cell>
          <cell r="M733">
            <v>0</v>
          </cell>
          <cell r="N733">
            <v>0</v>
          </cell>
        </row>
        <row r="734">
          <cell r="G734">
            <v>0</v>
          </cell>
          <cell r="H734">
            <v>0</v>
          </cell>
          <cell r="I734">
            <v>0</v>
          </cell>
          <cell r="J734">
            <v>0</v>
          </cell>
          <cell r="L734">
            <v>0</v>
          </cell>
          <cell r="M734">
            <v>0</v>
          </cell>
          <cell r="N734">
            <v>0</v>
          </cell>
        </row>
        <row r="735">
          <cell r="G735" t="str">
            <v>______</v>
          </cell>
          <cell r="H735" t="str">
            <v>______</v>
          </cell>
          <cell r="I735" t="str">
            <v>______</v>
          </cell>
          <cell r="J735" t="str">
            <v>______</v>
          </cell>
          <cell r="L735" t="str">
            <v>______</v>
          </cell>
          <cell r="M735" t="str">
            <v>______</v>
          </cell>
          <cell r="N735" t="str">
            <v>______</v>
          </cell>
        </row>
        <row r="736">
          <cell r="G736">
            <v>0</v>
          </cell>
          <cell r="H736">
            <v>0</v>
          </cell>
          <cell r="I736">
            <v>0</v>
          </cell>
          <cell r="J736">
            <v>0</v>
          </cell>
          <cell r="L736">
            <v>0</v>
          </cell>
          <cell r="M736">
            <v>0</v>
          </cell>
          <cell r="N736">
            <v>0</v>
          </cell>
        </row>
        <row r="738">
          <cell r="G738">
            <v>0</v>
          </cell>
          <cell r="H738">
            <v>0</v>
          </cell>
          <cell r="I738">
            <v>0</v>
          </cell>
          <cell r="J738">
            <v>0</v>
          </cell>
          <cell r="L738">
            <v>0</v>
          </cell>
          <cell r="M738">
            <v>0</v>
          </cell>
          <cell r="N738">
            <v>0</v>
          </cell>
        </row>
        <row r="740">
          <cell r="G740">
            <v>0</v>
          </cell>
          <cell r="H740">
            <v>0</v>
          </cell>
          <cell r="I740">
            <v>0</v>
          </cell>
          <cell r="J740">
            <v>0</v>
          </cell>
          <cell r="L740">
            <v>0</v>
          </cell>
          <cell r="M740">
            <v>0</v>
          </cell>
          <cell r="N740">
            <v>0</v>
          </cell>
        </row>
        <row r="742">
          <cell r="G742">
            <v>1997</v>
          </cell>
          <cell r="H742">
            <v>1998</v>
          </cell>
          <cell r="I742">
            <v>1999</v>
          </cell>
          <cell r="J742">
            <v>2000</v>
          </cell>
          <cell r="L742">
            <v>2000</v>
          </cell>
          <cell r="M742">
            <v>2001</v>
          </cell>
          <cell r="N742">
            <v>2002</v>
          </cell>
        </row>
        <row r="745">
          <cell r="G745">
            <v>0</v>
          </cell>
          <cell r="H745">
            <v>0</v>
          </cell>
          <cell r="I745">
            <v>0</v>
          </cell>
          <cell r="J745">
            <v>0</v>
          </cell>
          <cell r="L745">
            <v>0</v>
          </cell>
          <cell r="M745">
            <v>0</v>
          </cell>
          <cell r="N745">
            <v>0</v>
          </cell>
        </row>
        <row r="746">
          <cell r="G746">
            <v>0</v>
          </cell>
          <cell r="H746">
            <v>0</v>
          </cell>
          <cell r="I746">
            <v>0</v>
          </cell>
          <cell r="J746">
            <v>0</v>
          </cell>
          <cell r="L746">
            <v>0</v>
          </cell>
          <cell r="M746">
            <v>0</v>
          </cell>
          <cell r="N746">
            <v>0</v>
          </cell>
        </row>
        <row r="747">
          <cell r="G747">
            <v>0</v>
          </cell>
          <cell r="H747">
            <v>0</v>
          </cell>
          <cell r="I747">
            <v>0</v>
          </cell>
          <cell r="J747">
            <v>0</v>
          </cell>
          <cell r="L747">
            <v>0</v>
          </cell>
          <cell r="M747">
            <v>0</v>
          </cell>
          <cell r="N747">
            <v>0</v>
          </cell>
        </row>
        <row r="748">
          <cell r="G748">
            <v>0</v>
          </cell>
          <cell r="H748">
            <v>0</v>
          </cell>
          <cell r="I748">
            <v>0</v>
          </cell>
          <cell r="J748">
            <v>0</v>
          </cell>
          <cell r="L748">
            <v>0</v>
          </cell>
          <cell r="M748">
            <v>0</v>
          </cell>
          <cell r="N748">
            <v>0</v>
          </cell>
        </row>
        <row r="749">
          <cell r="G749">
            <v>0</v>
          </cell>
          <cell r="H749">
            <v>0</v>
          </cell>
          <cell r="I749">
            <v>0</v>
          </cell>
          <cell r="J749">
            <v>0</v>
          </cell>
          <cell r="L749">
            <v>0</v>
          </cell>
          <cell r="M749">
            <v>0</v>
          </cell>
          <cell r="N749">
            <v>0</v>
          </cell>
        </row>
        <row r="750">
          <cell r="G750">
            <v>0</v>
          </cell>
          <cell r="H750">
            <v>0</v>
          </cell>
          <cell r="I750">
            <v>0</v>
          </cell>
          <cell r="J750">
            <v>0</v>
          </cell>
          <cell r="L750">
            <v>0</v>
          </cell>
          <cell r="M750">
            <v>0</v>
          </cell>
          <cell r="N750">
            <v>0</v>
          </cell>
        </row>
        <row r="751">
          <cell r="G751">
            <v>0</v>
          </cell>
          <cell r="H751">
            <v>0</v>
          </cell>
          <cell r="I751">
            <v>0</v>
          </cell>
          <cell r="J751">
            <v>0</v>
          </cell>
          <cell r="L751">
            <v>0</v>
          </cell>
          <cell r="M751">
            <v>0</v>
          </cell>
          <cell r="N751">
            <v>0</v>
          </cell>
        </row>
        <row r="753">
          <cell r="G753">
            <v>0</v>
          </cell>
          <cell r="H753">
            <v>0</v>
          </cell>
          <cell r="I753">
            <v>0</v>
          </cell>
          <cell r="J753">
            <v>0</v>
          </cell>
          <cell r="L753">
            <v>0</v>
          </cell>
          <cell r="M753">
            <v>0</v>
          </cell>
          <cell r="N753">
            <v>0</v>
          </cell>
        </row>
        <row r="755">
          <cell r="G755">
            <v>0</v>
          </cell>
          <cell r="H755">
            <v>0</v>
          </cell>
          <cell r="I755">
            <v>0</v>
          </cell>
          <cell r="J755">
            <v>0</v>
          </cell>
          <cell r="L755">
            <v>0</v>
          </cell>
          <cell r="M755">
            <v>0</v>
          </cell>
          <cell r="N755">
            <v>0</v>
          </cell>
        </row>
        <row r="757">
          <cell r="G757">
            <v>0</v>
          </cell>
          <cell r="H757">
            <v>0</v>
          </cell>
          <cell r="I757">
            <v>0</v>
          </cell>
          <cell r="J757">
            <v>0</v>
          </cell>
          <cell r="L757">
            <v>0</v>
          </cell>
          <cell r="M757">
            <v>0</v>
          </cell>
          <cell r="N757">
            <v>0</v>
          </cell>
        </row>
        <row r="837">
          <cell r="L837">
            <v>0</v>
          </cell>
          <cell r="M837">
            <v>0</v>
          </cell>
          <cell r="N837">
            <v>0</v>
          </cell>
        </row>
        <row r="838">
          <cell r="L838">
            <v>0</v>
          </cell>
          <cell r="M838">
            <v>0</v>
          </cell>
          <cell r="N838">
            <v>0</v>
          </cell>
        </row>
        <row r="840">
          <cell r="G840">
            <v>0</v>
          </cell>
          <cell r="H840">
            <v>0</v>
          </cell>
          <cell r="I840">
            <v>0</v>
          </cell>
          <cell r="J840">
            <v>0</v>
          </cell>
          <cell r="L840">
            <v>0</v>
          </cell>
          <cell r="M840">
            <v>0</v>
          </cell>
          <cell r="N840">
            <v>0</v>
          </cell>
        </row>
        <row r="1266">
          <cell r="H1266">
            <v>0</v>
          </cell>
          <cell r="I1266">
            <v>0</v>
          </cell>
          <cell r="J1266">
            <v>0</v>
          </cell>
          <cell r="M1266">
            <v>0</v>
          </cell>
          <cell r="N1266">
            <v>0</v>
          </cell>
        </row>
        <row r="1267">
          <cell r="G1267">
            <v>0</v>
          </cell>
          <cell r="H1267">
            <v>0</v>
          </cell>
          <cell r="I1267">
            <v>0</v>
          </cell>
          <cell r="J1267">
            <v>0</v>
          </cell>
        </row>
        <row r="1454">
          <cell r="G1454">
            <v>0</v>
          </cell>
          <cell r="H1454">
            <v>0</v>
          </cell>
          <cell r="I1454">
            <v>0</v>
          </cell>
          <cell r="J1454">
            <v>0</v>
          </cell>
          <cell r="L1454">
            <v>0</v>
          </cell>
          <cell r="M1454">
            <v>0</v>
          </cell>
          <cell r="N1454">
            <v>0</v>
          </cell>
        </row>
        <row r="1455">
          <cell r="G1455">
            <v>0</v>
          </cell>
          <cell r="H1455">
            <v>0</v>
          </cell>
          <cell r="I1455">
            <v>0</v>
          </cell>
          <cell r="J1455">
            <v>0</v>
          </cell>
          <cell r="L1455">
            <v>0</v>
          </cell>
          <cell r="M1455">
            <v>0</v>
          </cell>
          <cell r="N1455">
            <v>0</v>
          </cell>
        </row>
        <row r="1456">
          <cell r="G1456">
            <v>0</v>
          </cell>
          <cell r="H1456">
            <v>0</v>
          </cell>
          <cell r="I1456">
            <v>0</v>
          </cell>
          <cell r="J1456">
            <v>0</v>
          </cell>
          <cell r="L1456">
            <v>0</v>
          </cell>
          <cell r="M1456">
            <v>0</v>
          </cell>
          <cell r="N1456">
            <v>0</v>
          </cell>
        </row>
        <row r="1457">
          <cell r="G1457">
            <v>0</v>
          </cell>
          <cell r="H1457">
            <v>0</v>
          </cell>
          <cell r="I1457">
            <v>0</v>
          </cell>
          <cell r="J1457">
            <v>0</v>
          </cell>
          <cell r="L1457">
            <v>0</v>
          </cell>
          <cell r="M1457">
            <v>0</v>
          </cell>
          <cell r="N1457">
            <v>0</v>
          </cell>
        </row>
        <row r="1458">
          <cell r="G1458">
            <v>0</v>
          </cell>
          <cell r="H1458">
            <v>0</v>
          </cell>
          <cell r="I1458">
            <v>0</v>
          </cell>
          <cell r="J1458">
            <v>0</v>
          </cell>
          <cell r="L1458">
            <v>0</v>
          </cell>
          <cell r="M1458">
            <v>0</v>
          </cell>
          <cell r="N1458">
            <v>0</v>
          </cell>
        </row>
        <row r="1459">
          <cell r="G1459">
            <v>0</v>
          </cell>
          <cell r="H1459">
            <v>0</v>
          </cell>
          <cell r="I1459">
            <v>0</v>
          </cell>
          <cell r="J1459">
            <v>0</v>
          </cell>
        </row>
        <row r="1460">
          <cell r="G1460">
            <v>0</v>
          </cell>
          <cell r="H1460">
            <v>0</v>
          </cell>
          <cell r="I1460">
            <v>0</v>
          </cell>
          <cell r="J1460">
            <v>0</v>
          </cell>
        </row>
        <row r="1461">
          <cell r="G1461">
            <v>0</v>
          </cell>
          <cell r="H1461">
            <v>0</v>
          </cell>
          <cell r="I1461">
            <v>0</v>
          </cell>
          <cell r="J1461">
            <v>0</v>
          </cell>
        </row>
        <row r="1462">
          <cell r="J1462">
            <v>0</v>
          </cell>
        </row>
        <row r="1463">
          <cell r="J1463">
            <v>0</v>
          </cell>
        </row>
        <row r="1464">
          <cell r="J1464">
            <v>0</v>
          </cell>
        </row>
        <row r="1465">
          <cell r="J1465">
            <v>0</v>
          </cell>
        </row>
        <row r="1468">
          <cell r="G1468">
            <v>0</v>
          </cell>
          <cell r="H1468">
            <v>0</v>
          </cell>
          <cell r="I1468">
            <v>0</v>
          </cell>
          <cell r="J1468">
            <v>0</v>
          </cell>
          <cell r="L1468">
            <v>0</v>
          </cell>
          <cell r="M1468">
            <v>0</v>
          </cell>
          <cell r="N1468">
            <v>0</v>
          </cell>
        </row>
        <row r="1469">
          <cell r="G1469">
            <v>0</v>
          </cell>
          <cell r="H1469">
            <v>0</v>
          </cell>
          <cell r="I1469">
            <v>0</v>
          </cell>
          <cell r="J1469">
            <v>0</v>
          </cell>
          <cell r="L1469">
            <v>0</v>
          </cell>
          <cell r="M1469">
            <v>0</v>
          </cell>
          <cell r="N1469">
            <v>0</v>
          </cell>
        </row>
      </sheetData>
      <sheetData sheetId="15">
        <row r="9">
          <cell r="B9" t="str">
            <v>Senior Debt*/EBITDA</v>
          </cell>
          <cell r="D9">
            <v>0</v>
          </cell>
          <cell r="E9">
            <v>0</v>
          </cell>
          <cell r="F9">
            <v>0</v>
          </cell>
          <cell r="G9">
            <v>0</v>
          </cell>
          <cell r="I9">
            <v>0</v>
          </cell>
          <cell r="J9">
            <v>0</v>
          </cell>
          <cell r="K9">
            <v>0</v>
          </cell>
        </row>
        <row r="10">
          <cell r="B10" t="str">
            <v>Total Debt/EBITDA</v>
          </cell>
          <cell r="D10">
            <v>0</v>
          </cell>
          <cell r="E10">
            <v>0</v>
          </cell>
          <cell r="F10">
            <v>0</v>
          </cell>
          <cell r="G10">
            <v>0</v>
          </cell>
          <cell r="I10">
            <v>0</v>
          </cell>
          <cell r="J10">
            <v>0</v>
          </cell>
          <cell r="K10">
            <v>0</v>
          </cell>
        </row>
        <row r="11">
          <cell r="B11" t="str">
            <v>Total Debt/(EBITDA-CAPEX)</v>
          </cell>
          <cell r="D11">
            <v>0</v>
          </cell>
          <cell r="E11">
            <v>0</v>
          </cell>
          <cell r="F11">
            <v>0</v>
          </cell>
          <cell r="G11">
            <v>0</v>
          </cell>
          <cell r="I11">
            <v>0</v>
          </cell>
          <cell r="J11">
            <v>0</v>
          </cell>
          <cell r="K11">
            <v>0</v>
          </cell>
          <cell r="O11" t="str">
            <v>EBITDA</v>
          </cell>
          <cell r="Q11">
            <v>0</v>
          </cell>
          <cell r="R11">
            <v>0</v>
          </cell>
          <cell r="S11">
            <v>0</v>
          </cell>
          <cell r="T11">
            <v>0</v>
          </cell>
          <cell r="V11">
            <v>0</v>
          </cell>
          <cell r="W11">
            <v>0</v>
          </cell>
          <cell r="X11">
            <v>0</v>
          </cell>
        </row>
        <row r="12">
          <cell r="O12" t="str">
            <v xml:space="preserve">      EBITDA Margin</v>
          </cell>
          <cell r="Q12">
            <v>0</v>
          </cell>
          <cell r="R12">
            <v>0</v>
          </cell>
          <cell r="S12">
            <v>0</v>
          </cell>
          <cell r="T12">
            <v>0</v>
          </cell>
          <cell r="V12">
            <v>0</v>
          </cell>
          <cell r="W12">
            <v>0</v>
          </cell>
          <cell r="X12">
            <v>0</v>
          </cell>
        </row>
        <row r="13">
          <cell r="O13" t="str">
            <v xml:space="preserve">      % Growth</v>
          </cell>
          <cell r="R13">
            <v>0</v>
          </cell>
          <cell r="S13">
            <v>0</v>
          </cell>
          <cell r="T13">
            <v>0</v>
          </cell>
          <cell r="W13">
            <v>0</v>
          </cell>
          <cell r="X13">
            <v>0</v>
          </cell>
        </row>
        <row r="14">
          <cell r="O14" t="str">
            <v>Depreciation &amp; Amortization</v>
          </cell>
          <cell r="Q14">
            <v>0</v>
          </cell>
          <cell r="R14">
            <v>0</v>
          </cell>
          <cell r="S14">
            <v>0</v>
          </cell>
          <cell r="T14">
            <v>0</v>
          </cell>
          <cell r="V14">
            <v>0</v>
          </cell>
          <cell r="W14">
            <v>0</v>
          </cell>
          <cell r="X14">
            <v>0</v>
          </cell>
        </row>
        <row r="25">
          <cell r="B25" t="str">
            <v>EBITDA</v>
          </cell>
          <cell r="D25">
            <v>0</v>
          </cell>
          <cell r="E25">
            <v>0</v>
          </cell>
          <cell r="F25">
            <v>0</v>
          </cell>
          <cell r="G25">
            <v>0</v>
          </cell>
          <cell r="I25">
            <v>0</v>
          </cell>
          <cell r="J25">
            <v>0</v>
          </cell>
          <cell r="K25">
            <v>0</v>
          </cell>
          <cell r="O25" t="str">
            <v>Total Cash &amp; Cash Equivalents</v>
          </cell>
          <cell r="Q25">
            <v>0</v>
          </cell>
          <cell r="R25">
            <v>0</v>
          </cell>
          <cell r="S25">
            <v>0</v>
          </cell>
          <cell r="T25">
            <v>0</v>
          </cell>
          <cell r="V25">
            <v>0</v>
          </cell>
          <cell r="W25">
            <v>0</v>
          </cell>
          <cell r="X25">
            <v>0</v>
          </cell>
        </row>
        <row r="26">
          <cell r="B26" t="str">
            <v xml:space="preserve">      Interest</v>
          </cell>
          <cell r="D26">
            <v>0</v>
          </cell>
          <cell r="E26">
            <v>0</v>
          </cell>
          <cell r="F26">
            <v>0</v>
          </cell>
          <cell r="G26">
            <v>0</v>
          </cell>
          <cell r="I26">
            <v>0</v>
          </cell>
          <cell r="J26">
            <v>0</v>
          </cell>
          <cell r="K26">
            <v>0</v>
          </cell>
          <cell r="O26" t="str">
            <v>Working Capital, Including Cash</v>
          </cell>
          <cell r="Q26">
            <v>0</v>
          </cell>
          <cell r="R26">
            <v>0</v>
          </cell>
          <cell r="S26">
            <v>0</v>
          </cell>
          <cell r="T26">
            <v>0</v>
          </cell>
          <cell r="V26">
            <v>0</v>
          </cell>
          <cell r="W26">
            <v>0</v>
          </cell>
          <cell r="X26">
            <v>0</v>
          </cell>
        </row>
        <row r="27">
          <cell r="B27" t="str">
            <v xml:space="preserve">      CAPEX</v>
          </cell>
          <cell r="D27">
            <v>0</v>
          </cell>
          <cell r="E27">
            <v>0</v>
          </cell>
          <cell r="F27">
            <v>0</v>
          </cell>
          <cell r="G27">
            <v>0</v>
          </cell>
          <cell r="I27">
            <v>0</v>
          </cell>
          <cell r="J27">
            <v>0</v>
          </cell>
          <cell r="K27">
            <v>0</v>
          </cell>
        </row>
        <row r="28">
          <cell r="B28" t="str">
            <v>EBITDA/Total Interest</v>
          </cell>
          <cell r="D28">
            <v>0</v>
          </cell>
          <cell r="E28">
            <v>0</v>
          </cell>
          <cell r="F28">
            <v>0</v>
          </cell>
          <cell r="G28">
            <v>0</v>
          </cell>
          <cell r="I28">
            <v>0</v>
          </cell>
          <cell r="J28">
            <v>0</v>
          </cell>
          <cell r="K28">
            <v>0</v>
          </cell>
        </row>
        <row r="29">
          <cell r="B29" t="str">
            <v>(EBITDA-CAPEX)/Total Interest</v>
          </cell>
          <cell r="D29">
            <v>0</v>
          </cell>
          <cell r="E29">
            <v>0</v>
          </cell>
          <cell r="F29">
            <v>0</v>
          </cell>
          <cell r="G29">
            <v>0</v>
          </cell>
          <cell r="I29">
            <v>0</v>
          </cell>
          <cell r="J29">
            <v>0</v>
          </cell>
          <cell r="K29">
            <v>0</v>
          </cell>
        </row>
        <row r="30">
          <cell r="B30" t="str">
            <v>EBIT/Total Interest</v>
          </cell>
          <cell r="D30">
            <v>0</v>
          </cell>
          <cell r="E30">
            <v>0</v>
          </cell>
          <cell r="F30">
            <v>0</v>
          </cell>
          <cell r="G30">
            <v>0</v>
          </cell>
          <cell r="I30">
            <v>0</v>
          </cell>
          <cell r="J30">
            <v>0</v>
          </cell>
          <cell r="K30">
            <v>0</v>
          </cell>
        </row>
      </sheetData>
      <sheetData sheetId="16"/>
      <sheetData sheetId="17"/>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b"/>
      <sheetName val="eff"/>
      <sheetName val="ptd"/>
      <sheetName val="bldg"/>
      <sheetName val="pres"/>
      <sheetName val="dt"/>
      <sheetName val="Module1"/>
      <sheetName val="VTP"/>
    </sheetNames>
    <sheetDataSet>
      <sheetData sheetId="0"/>
      <sheetData sheetId="1" refreshError="1"/>
      <sheetData sheetId="2" refreshError="1"/>
      <sheetData sheetId="3" refreshError="1"/>
      <sheetData sheetId="4" refreshError="1"/>
      <sheetData sheetId="5" refreshError="1"/>
      <sheetData sheetId="6" refreshError="1"/>
      <sheetData sheetId="7"/>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ibutor Index"/>
      <sheetName val="Covered Companies"/>
      <sheetName val="Covering Contributors"/>
      <sheetName val="Financials"/>
    </sheetNames>
    <sheetDataSet>
      <sheetData sheetId="0"/>
      <sheetData sheetId="1">
        <row r="9">
          <cell r="B9" t="str">
            <v>2U, Inc.</v>
          </cell>
          <cell r="C9" t="str">
            <v>NasdaqGS:TWOU</v>
          </cell>
          <cell r="D9" t="str">
            <v>IQ60414516</v>
          </cell>
          <cell r="E9" t="str">
            <v>Benjamin, Andre</v>
          </cell>
        </row>
        <row r="10">
          <cell r="B10" t="str">
            <v>3D Systems Corporation</v>
          </cell>
          <cell r="C10" t="str">
            <v>NYSE:DDD</v>
          </cell>
          <cell r="D10" t="str">
            <v>IQ308402</v>
          </cell>
          <cell r="E10" t="str">
            <v>Eisner, Samuel H.</v>
          </cell>
        </row>
        <row r="11">
          <cell r="B11" t="str">
            <v>3M Company</v>
          </cell>
          <cell r="C11" t="str">
            <v>NYSE:MMM</v>
          </cell>
          <cell r="D11" t="str">
            <v>IQ289194</v>
          </cell>
          <cell r="E11" t="str">
            <v>Ritchie, Joseph Alfred</v>
          </cell>
        </row>
        <row r="12">
          <cell r="B12" t="str">
            <v>58.com Inc.</v>
          </cell>
          <cell r="C12" t="str">
            <v>NYSE:WUBA</v>
          </cell>
          <cell r="D12" t="str">
            <v>IQ33018689</v>
          </cell>
          <cell r="E12" t="str">
            <v>Mubayi, Piyush</v>
          </cell>
        </row>
        <row r="13">
          <cell r="B13" t="str">
            <v>A.P. Møller - Mærsk A/S</v>
          </cell>
          <cell r="C13" t="str">
            <v>CPSE:MAERSK B</v>
          </cell>
          <cell r="D13" t="str">
            <v>IQ875418</v>
          </cell>
          <cell r="E13" t="str">
            <v>Creuset, Patrick</v>
          </cell>
        </row>
        <row r="14">
          <cell r="B14" t="str">
            <v>A2A S.p.A.</v>
          </cell>
          <cell r="C14" t="str">
            <v>BIT:A2A</v>
          </cell>
          <cell r="D14" t="str">
            <v>IQ883534</v>
          </cell>
          <cell r="E14" t="str">
            <v>Wilkens, Deborah</v>
          </cell>
        </row>
        <row r="15">
          <cell r="B15" t="str">
            <v>AA plc</v>
          </cell>
          <cell r="C15" t="str">
            <v>LSE:AA.</v>
          </cell>
          <cell r="D15" t="str">
            <v>IQ266763225</v>
          </cell>
          <cell r="E15" t="str">
            <v>Pollard, Monique</v>
          </cell>
        </row>
        <row r="16">
          <cell r="B16" t="str">
            <v>AAC Technologies Holdings Inc.</v>
          </cell>
          <cell r="C16" t="str">
            <v>SEHK:2018</v>
          </cell>
          <cell r="D16" t="str">
            <v>IQ23246399</v>
          </cell>
          <cell r="E16" t="str">
            <v>Chen, Wei</v>
          </cell>
        </row>
        <row r="17">
          <cell r="B17" t="str">
            <v>Aalberts Industries NV</v>
          </cell>
          <cell r="C17" t="str">
            <v>ENXTAM:AALB</v>
          </cell>
          <cell r="D17" t="str">
            <v>IQ881736</v>
          </cell>
          <cell r="E17" t="str">
            <v>Wyman, Will</v>
          </cell>
        </row>
        <row r="18">
          <cell r="B18" t="str">
            <v>AB SKF</v>
          </cell>
          <cell r="C18" t="str">
            <v>OM:SKF B</v>
          </cell>
          <cell r="D18" t="str">
            <v>IQ248270</v>
          </cell>
          <cell r="E18" t="str">
            <v>Costa, Daniela</v>
          </cell>
        </row>
        <row r="19">
          <cell r="B19" t="str">
            <v>AB Volvo</v>
          </cell>
          <cell r="C19" t="str">
            <v>OM:VOLV B</v>
          </cell>
          <cell r="D19" t="str">
            <v>IQ312375</v>
          </cell>
          <cell r="E19" t="str">
            <v>Kurian, Ashik</v>
          </cell>
        </row>
        <row r="20">
          <cell r="B20" t="str">
            <v>ABB Ltd.</v>
          </cell>
          <cell r="C20" t="str">
            <v>SWX:ABBN</v>
          </cell>
          <cell r="D20" t="str">
            <v>IQ18527</v>
          </cell>
          <cell r="E20" t="str">
            <v>Costa, Daniela</v>
          </cell>
        </row>
        <row r="21">
          <cell r="B21" t="str">
            <v>Abbott Laboratories</v>
          </cell>
          <cell r="C21" t="str">
            <v>NYSE:ABT</v>
          </cell>
          <cell r="D21" t="str">
            <v>IQ247483</v>
          </cell>
          <cell r="E21" t="str">
            <v>Roman, David H.</v>
          </cell>
        </row>
        <row r="22">
          <cell r="B22" t="str">
            <v>AbbVie Inc.</v>
          </cell>
          <cell r="C22" t="str">
            <v>NYSE:ABBV</v>
          </cell>
          <cell r="D22" t="str">
            <v>IQ141885706</v>
          </cell>
          <cell r="E22" t="str">
            <v>Rubin, Jami</v>
          </cell>
        </row>
        <row r="23">
          <cell r="B23" t="str">
            <v>ABC-Mart, Inc.</v>
          </cell>
          <cell r="C23" t="str">
            <v>TSE:2670</v>
          </cell>
          <cell r="D23" t="str">
            <v>IQ5685872</v>
          </cell>
          <cell r="E23" t="str">
            <v>Kawano, Sho</v>
          </cell>
        </row>
        <row r="24">
          <cell r="B24" t="str">
            <v>Abdullah Al-Othaim Markets Company</v>
          </cell>
          <cell r="C24" t="str">
            <v>SASE:4001</v>
          </cell>
          <cell r="D24" t="str">
            <v>IQ46695146</v>
          </cell>
          <cell r="E24" t="str">
            <v>(Analyst Name Not Reported)</v>
          </cell>
        </row>
        <row r="25">
          <cell r="B25" t="str">
            <v>Abercrombie &amp; Fitch Co.</v>
          </cell>
          <cell r="C25" t="str">
            <v>NYSE:ANF</v>
          </cell>
          <cell r="D25" t="str">
            <v>IQ353867</v>
          </cell>
          <cell r="E25" t="str">
            <v xml:space="preserve">Drucker Mann, Lindsay </v>
          </cell>
        </row>
        <row r="26">
          <cell r="B26" t="str">
            <v>Aberdeen Asset Management PLC</v>
          </cell>
          <cell r="C26" t="str">
            <v>LSE:ADN</v>
          </cell>
          <cell r="D26" t="str">
            <v>IQ137703</v>
          </cell>
          <cell r="E26" t="str">
            <v>Turner, Chris M.</v>
          </cell>
        </row>
        <row r="27">
          <cell r="B27" t="str">
            <v>Abu Dhabi Commercial Bank P.J.S.C.</v>
          </cell>
          <cell r="C27" t="str">
            <v>ADX:ADCB</v>
          </cell>
          <cell r="D27" t="str">
            <v>IQ9283851</v>
          </cell>
          <cell r="E27" t="str">
            <v>Mohsin, Waleed Malik</v>
          </cell>
        </row>
        <row r="28">
          <cell r="B28" t="str">
            <v>Acacia Mining plc</v>
          </cell>
          <cell r="C28" t="str">
            <v>LSE:ACA</v>
          </cell>
          <cell r="D28" t="str">
            <v>IQ98366417</v>
          </cell>
          <cell r="E28" t="str">
            <v>Chekunaeva, Yulia</v>
          </cell>
        </row>
        <row r="29">
          <cell r="B29" t="str">
            <v>ACC Limited</v>
          </cell>
          <cell r="C29" t="str">
            <v>NSEI:ACC</v>
          </cell>
          <cell r="D29" t="str">
            <v>IQ873802</v>
          </cell>
          <cell r="E29" t="str">
            <v>Gupta, Navin Kumar</v>
          </cell>
        </row>
        <row r="30">
          <cell r="B30" t="str">
            <v>Accelink Technologies Co., Ltd.</v>
          </cell>
          <cell r="C30" t="str">
            <v>SZSE:002281</v>
          </cell>
          <cell r="D30" t="str">
            <v>IQ33391541</v>
          </cell>
          <cell r="E30" t="str">
            <v>(Analyst Name Not Reported)</v>
          </cell>
        </row>
        <row r="31">
          <cell r="B31" t="str">
            <v>Accenture plc</v>
          </cell>
          <cell r="C31" t="str">
            <v>NYSE:ACN</v>
          </cell>
          <cell r="D31" t="str">
            <v>IQ972190</v>
          </cell>
          <cell r="E31" t="str">
            <v>Schneider, James</v>
          </cell>
        </row>
        <row r="32">
          <cell r="B32" t="str">
            <v>Access Midstream Partners, L.P.</v>
          </cell>
          <cell r="C32">
            <v>0</v>
          </cell>
          <cell r="D32" t="str">
            <v>IQ69189070</v>
          </cell>
          <cell r="E32" t="str">
            <v>Holder, Jerren</v>
          </cell>
        </row>
        <row r="33">
          <cell r="B33" t="str">
            <v>Acciona, S.A.</v>
          </cell>
          <cell r="C33" t="str">
            <v>CATS:ANA</v>
          </cell>
          <cell r="D33" t="str">
            <v>IQ876153</v>
          </cell>
          <cell r="E33" t="str">
            <v>Losa, Manuel</v>
          </cell>
        </row>
      </sheetData>
      <sheetData sheetId="2">
        <row r="7">
          <cell r="AE7" t="str">
            <v>(Capability Needed)</v>
          </cell>
          <cell r="AF7" t="str">
            <v>(Capability Needed)</v>
          </cell>
        </row>
      </sheetData>
      <sheetData sheetId="3">
        <row r="7">
          <cell r="CZ7" t="str">
            <v>(Capability Needed)</v>
          </cell>
        </row>
        <row r="8">
          <cell r="CZ8" t="str">
            <v>(Capability Needed)</v>
          </cell>
        </row>
        <row r="9">
          <cell r="CZ9" t="str">
            <v>(Capability Needed)</v>
          </cell>
        </row>
        <row r="10">
          <cell r="CZ10" t="str">
            <v>(Capability Needed)</v>
          </cell>
        </row>
        <row r="11">
          <cell r="CZ11" t="str">
            <v>(Capability Needed)</v>
          </cell>
        </row>
        <row r="12">
          <cell r="CZ12" t="str">
            <v>(Capability Needed)</v>
          </cell>
        </row>
        <row r="13">
          <cell r="CZ13" t="str">
            <v>(Capability Needed)</v>
          </cell>
        </row>
        <row r="14">
          <cell r="CZ14" t="str">
            <v>(Capability Needed)</v>
          </cell>
        </row>
        <row r="15">
          <cell r="CZ15" t="str">
            <v>(Capability Needed)</v>
          </cell>
        </row>
        <row r="16">
          <cell r="CZ16" t="str">
            <v>(Capability Needed)</v>
          </cell>
        </row>
        <row r="17">
          <cell r="CZ17" t="str">
            <v>(Capability Needed)</v>
          </cell>
        </row>
        <row r="18">
          <cell r="CZ18" t="str">
            <v>(Capability Needed)</v>
          </cell>
        </row>
        <row r="19">
          <cell r="CZ19" t="str">
            <v>(Capability Needed)</v>
          </cell>
        </row>
        <row r="20">
          <cell r="CZ20" t="str">
            <v>(Capability Needed)</v>
          </cell>
        </row>
        <row r="21">
          <cell r="CZ21" t="str">
            <v>(Capability Needed)</v>
          </cell>
        </row>
        <row r="22">
          <cell r="CZ22" t="str">
            <v>(Capability Needed)</v>
          </cell>
        </row>
        <row r="23">
          <cell r="CZ23" t="str">
            <v>(Capability Needed)</v>
          </cell>
        </row>
        <row r="24">
          <cell r="CZ24" t="str">
            <v>(Capability Needed)</v>
          </cell>
        </row>
        <row r="25">
          <cell r="CZ25" t="str">
            <v>(Capability Needed)</v>
          </cell>
        </row>
        <row r="26">
          <cell r="CZ26" t="str">
            <v>(Capability Needed)</v>
          </cell>
        </row>
        <row r="27">
          <cell r="CZ27" t="str">
            <v>(Capability Needed)</v>
          </cell>
        </row>
        <row r="28">
          <cell r="CZ28" t="str">
            <v>(Capability Needed)</v>
          </cell>
        </row>
        <row r="29">
          <cell r="CZ29" t="str">
            <v>(Capability Needed)</v>
          </cell>
        </row>
        <row r="30">
          <cell r="CZ30" t="str">
            <v>(Capability Needed)</v>
          </cell>
        </row>
        <row r="31">
          <cell r="CZ31" t="str">
            <v>(Capability Needed)</v>
          </cell>
        </row>
        <row r="32">
          <cell r="CZ32" t="str">
            <v>(Capability Needed)</v>
          </cell>
        </row>
        <row r="33">
          <cell r="CZ33" t="str">
            <v>(Capability Needed)</v>
          </cell>
        </row>
        <row r="34">
          <cell r="CZ34" t="str">
            <v>(Capability Needed)</v>
          </cell>
        </row>
        <row r="35">
          <cell r="CZ35" t="str">
            <v>(Capability Needed)</v>
          </cell>
        </row>
        <row r="36">
          <cell r="CZ36" t="str">
            <v>(Capability Needed)</v>
          </cell>
        </row>
        <row r="37">
          <cell r="CZ37" t="str">
            <v>(Capability Needed)</v>
          </cell>
        </row>
        <row r="38">
          <cell r="CZ38" t="str">
            <v>(Capability Needed)</v>
          </cell>
        </row>
        <row r="39">
          <cell r="CZ39" t="str">
            <v>(Capability Needed)</v>
          </cell>
        </row>
        <row r="40">
          <cell r="CZ40" t="str">
            <v>(Capability Needed)</v>
          </cell>
        </row>
        <row r="41">
          <cell r="CZ41" t="str">
            <v>(Capability Needed)</v>
          </cell>
        </row>
        <row r="42">
          <cell r="CZ42" t="str">
            <v>(Capability Needed)</v>
          </cell>
        </row>
        <row r="43">
          <cell r="CZ43" t="str">
            <v>(Capability Needed)</v>
          </cell>
        </row>
        <row r="44">
          <cell r="CZ44" t="str">
            <v>(Capability Needed)</v>
          </cell>
        </row>
        <row r="45">
          <cell r="CZ45" t="str">
            <v>(Capability Needed)</v>
          </cell>
        </row>
        <row r="46">
          <cell r="CZ46" t="str">
            <v>(Capability Needed)</v>
          </cell>
        </row>
        <row r="47">
          <cell r="CZ47" t="str">
            <v>(Capability Needed)</v>
          </cell>
        </row>
        <row r="48">
          <cell r="CZ48" t="str">
            <v>(Capability Needed)</v>
          </cell>
        </row>
        <row r="49">
          <cell r="CZ49" t="str">
            <v>(Capability Needed)</v>
          </cell>
        </row>
        <row r="50">
          <cell r="CZ50" t="str">
            <v>(Capability Needed)</v>
          </cell>
        </row>
        <row r="51">
          <cell r="CZ51" t="str">
            <v>(Capability Needed)</v>
          </cell>
        </row>
        <row r="52">
          <cell r="CZ52" t="str">
            <v>(Capability Needed)</v>
          </cell>
        </row>
        <row r="53">
          <cell r="CZ53" t="str">
            <v>(Capability Needed)</v>
          </cell>
        </row>
        <row r="54">
          <cell r="CZ54" t="str">
            <v>(Capability Needed)</v>
          </cell>
        </row>
        <row r="55">
          <cell r="CZ55" t="str">
            <v>(Capability Needed)</v>
          </cell>
        </row>
        <row r="56">
          <cell r="CZ56" t="str">
            <v>(Capability Needed)</v>
          </cell>
        </row>
        <row r="57">
          <cell r="CZ57" t="str">
            <v>(Capability Needed)</v>
          </cell>
        </row>
        <row r="58">
          <cell r="CZ58" t="str">
            <v>(Capability Needed)</v>
          </cell>
        </row>
        <row r="59">
          <cell r="CZ59" t="str">
            <v>(Capability Needed)</v>
          </cell>
        </row>
        <row r="60">
          <cell r="CZ60" t="str">
            <v>(Capability Needed)</v>
          </cell>
        </row>
        <row r="61">
          <cell r="CZ61" t="str">
            <v>(Capability Needed)</v>
          </cell>
        </row>
        <row r="62">
          <cell r="CZ62" t="str">
            <v>(Capability Needed)</v>
          </cell>
        </row>
        <row r="63">
          <cell r="CZ63" t="str">
            <v>(Capability Needed)</v>
          </cell>
        </row>
        <row r="64">
          <cell r="CZ64" t="str">
            <v>(Capability Needed)</v>
          </cell>
        </row>
        <row r="65">
          <cell r="CZ65" t="str">
            <v>(Capability Needed)</v>
          </cell>
        </row>
        <row r="66">
          <cell r="CZ66" t="str">
            <v>(Capability Needed)</v>
          </cell>
        </row>
        <row r="67">
          <cell r="CZ67" t="str">
            <v>(Capability Needed)</v>
          </cell>
        </row>
        <row r="68">
          <cell r="CZ68" t="str">
            <v>(Capability Needed)</v>
          </cell>
        </row>
        <row r="69">
          <cell r="CZ69" t="str">
            <v>(Capability Needed)</v>
          </cell>
        </row>
        <row r="70">
          <cell r="CZ70" t="str">
            <v>(Capability Needed)</v>
          </cell>
        </row>
        <row r="71">
          <cell r="CZ71" t="str">
            <v>(Capability Needed)</v>
          </cell>
        </row>
        <row r="72">
          <cell r="CZ72" t="str">
            <v>(Capability Needed)</v>
          </cell>
        </row>
        <row r="73">
          <cell r="CZ73" t="str">
            <v>(Capability Needed)</v>
          </cell>
        </row>
        <row r="74">
          <cell r="CZ74" t="str">
            <v>(Capability Needed)</v>
          </cell>
        </row>
        <row r="75">
          <cell r="CZ75" t="str">
            <v>(Capability Needed)</v>
          </cell>
        </row>
        <row r="76">
          <cell r="CZ76" t="str">
            <v>(Capability Needed)</v>
          </cell>
        </row>
        <row r="77">
          <cell r="CZ77" t="str">
            <v>(Capability Needed)</v>
          </cell>
        </row>
        <row r="78">
          <cell r="CZ78" t="str">
            <v>(Capability Needed)</v>
          </cell>
        </row>
        <row r="79">
          <cell r="CZ79" t="str">
            <v>(Capability Needed)</v>
          </cell>
        </row>
        <row r="80">
          <cell r="CZ80" t="str">
            <v>(Capability Needed)</v>
          </cell>
        </row>
        <row r="81">
          <cell r="CZ81" t="str">
            <v>(Capability Needed)</v>
          </cell>
        </row>
        <row r="82">
          <cell r="CZ82" t="str">
            <v>(Capability Needed)</v>
          </cell>
        </row>
        <row r="83">
          <cell r="CZ83" t="str">
            <v>(Capability Needed)</v>
          </cell>
        </row>
        <row r="84">
          <cell r="CZ84" t="str">
            <v>(Capability Needed)</v>
          </cell>
        </row>
        <row r="85">
          <cell r="CZ85" t="str">
            <v>(Capability Needed)</v>
          </cell>
        </row>
        <row r="86">
          <cell r="CZ86" t="str">
            <v>(Capability Needed)</v>
          </cell>
        </row>
        <row r="87">
          <cell r="CZ87" t="str">
            <v>(Capability Needed)</v>
          </cell>
        </row>
        <row r="88">
          <cell r="CZ88" t="str">
            <v>(Capability Needed)</v>
          </cell>
        </row>
        <row r="89">
          <cell r="CZ89" t="str">
            <v>(Capability Needed)</v>
          </cell>
        </row>
        <row r="90">
          <cell r="CZ90" t="str">
            <v>(Capability Needed)</v>
          </cell>
        </row>
        <row r="91">
          <cell r="CZ91" t="str">
            <v>(Capability Needed)</v>
          </cell>
        </row>
        <row r="92">
          <cell r="CZ92" t="str">
            <v>(Capability Needed)</v>
          </cell>
        </row>
        <row r="93">
          <cell r="CZ93" t="str">
            <v>(Capability Needed)</v>
          </cell>
        </row>
        <row r="94">
          <cell r="CZ94" t="str">
            <v>(Capability Needed)</v>
          </cell>
        </row>
        <row r="95">
          <cell r="CZ95" t="str">
            <v>(Capability Needed)</v>
          </cell>
        </row>
        <row r="96">
          <cell r="CZ96" t="str">
            <v>(Capability Needed)</v>
          </cell>
        </row>
        <row r="97">
          <cell r="CZ97" t="str">
            <v>(Capability Needed)</v>
          </cell>
        </row>
        <row r="98">
          <cell r="CZ98" t="str">
            <v>(Capability Needed)</v>
          </cell>
        </row>
        <row r="99">
          <cell r="CZ99" t="str">
            <v>(Capability Needed)</v>
          </cell>
        </row>
        <row r="100">
          <cell r="CZ100" t="str">
            <v>(Capability Needed)</v>
          </cell>
        </row>
        <row r="101">
          <cell r="CZ101" t="str">
            <v>(Capability Needed)</v>
          </cell>
        </row>
        <row r="102">
          <cell r="CZ102" t="str">
            <v>(Capability Needed)</v>
          </cell>
        </row>
        <row r="103">
          <cell r="CZ103" t="str">
            <v>(Capability Needed)</v>
          </cell>
        </row>
        <row r="104">
          <cell r="CZ104" t="str">
            <v>(Capability Needed)</v>
          </cell>
        </row>
        <row r="105">
          <cell r="CZ105" t="str">
            <v>(Capability Needed)</v>
          </cell>
        </row>
        <row r="106">
          <cell r="CZ106" t="str">
            <v>(Capability Needed)</v>
          </cell>
        </row>
        <row r="107">
          <cell r="CZ107" t="str">
            <v>(Capability Needed)</v>
          </cell>
        </row>
        <row r="108">
          <cell r="CZ108" t="str">
            <v>(Capability Needed)</v>
          </cell>
        </row>
        <row r="109">
          <cell r="CZ109" t="str">
            <v>(Capability Needed)</v>
          </cell>
        </row>
        <row r="110">
          <cell r="CZ110" t="str">
            <v>(Capability Needed)</v>
          </cell>
        </row>
        <row r="111">
          <cell r="CZ111" t="str">
            <v>(Capability Needed)</v>
          </cell>
        </row>
        <row r="112">
          <cell r="CZ112" t="str">
            <v>(Capability Needed)</v>
          </cell>
        </row>
        <row r="113">
          <cell r="CZ113" t="str">
            <v>(Capability Needed)</v>
          </cell>
        </row>
        <row r="114">
          <cell r="CZ114" t="str">
            <v>(Capability Needed)</v>
          </cell>
        </row>
        <row r="115">
          <cell r="CZ115" t="str">
            <v>(Capability Needed)</v>
          </cell>
        </row>
        <row r="116">
          <cell r="CZ116" t="str">
            <v>(Capability Needed)</v>
          </cell>
        </row>
        <row r="117">
          <cell r="CZ117" t="str">
            <v>(Capability Needed)</v>
          </cell>
        </row>
        <row r="118">
          <cell r="CZ118" t="str">
            <v>(Capability Needed)</v>
          </cell>
        </row>
        <row r="119">
          <cell r="CZ119" t="str">
            <v>(Capability Needed)</v>
          </cell>
        </row>
        <row r="120">
          <cell r="CZ120" t="str">
            <v>(Capability Needed)</v>
          </cell>
        </row>
        <row r="121">
          <cell r="CZ121" t="str">
            <v>(Capability Needed)</v>
          </cell>
        </row>
      </sheetData>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ES"/>
      <sheetName val="TITLES"/>
      <sheetName val="FLASH"/>
      <sheetName val="EFR "/>
      <sheetName val="PROFIT-PERF"/>
      <sheetName val="PVA"/>
      <sheetName val="BS"/>
      <sheetName val="C-FLOW"/>
      <sheetName val="CASHFLOW"/>
      <sheetName val="ASSET-WK"/>
      <sheetName val="ASSET-UT"/>
      <sheetName val="RECEIVABLES"/>
      <sheetName val="INVENTORY"/>
      <sheetName val="DISTRICT PRO"/>
      <sheetName val="OVERHEAD"/>
      <sheetName val="PERF"/>
      <sheetName val="EXP"/>
      <sheetName val="OHVAR"/>
      <sheetName val="OT"/>
      <sheetName val="FACTORY"/>
      <sheetName val="PRODN"/>
      <sheetName val="MANPOWER"/>
      <sheetName val="AFE"/>
      <sheetName val="VAR"/>
      <sheetName val="2002"/>
      <sheetName val="OH-SUM"/>
      <sheetName val="BAW(D)"/>
      <sheetName val="2005"/>
      <sheetName val="CONTROL"/>
      <sheetName val="adp-budget"/>
      <sheetName val="JAN"/>
      <sheetName val="Sheet1"/>
      <sheetName val="B&amp;S31-03-04"/>
      <sheetName val="Cover"/>
      <sheetName val="OPR-OCT"/>
      <sheetName val="Links"/>
      <sheetName val="PROD GRAPH"/>
      <sheetName val="#REF"/>
      <sheetName val="Kontensalden"/>
      <sheetName val="form26"/>
      <sheetName val="CON"/>
      <sheetName val="90-120"/>
      <sheetName val="90_120"/>
      <sheetName val="FINSUM"/>
      <sheetName val="11-INV"/>
      <sheetName val="4-PVA2"/>
      <sheetName val="3-PVA"/>
      <sheetName val="KHSX"/>
      <sheetName val="Comp equip"/>
      <sheetName val="Mach &amp; equip"/>
      <sheetName val="Building"/>
      <sheetName val="FFE"/>
      <sheetName val="MV"/>
      <sheetName val="Freezers"/>
      <sheetName val="Power &amp; Fuel (S)"/>
      <sheetName val="DEP99"/>
      <sheetName val="Data"/>
      <sheetName val="Lead"/>
      <sheetName val="15121005"/>
      <sheetName val="15211005"/>
      <sheetName val="EFR_"/>
      <sheetName val="DISTRICT_PRO"/>
      <sheetName val="Chiet tinh"/>
      <sheetName val="SALES-VAL"/>
      <sheetName val="C &amp; G RHS"/>
      <sheetName val="19-PERF"/>
      <sheetName val="Q2 YTD OG Sales Analysis"/>
      <sheetName val="data 3A|6A"/>
      <sheetName val="PointNo.5"/>
      <sheetName val="BS JUL"/>
      <sheetName val="Assumptions"/>
      <sheetName val="Masters"/>
      <sheetName val="contact_history_table"/>
      <sheetName val="TB_9_01"/>
      <sheetName val="RPK TB"/>
      <sheetName val="Stock"/>
      <sheetName val="TEL LINE INCENTIVES"/>
      <sheetName val="Sheet4"/>
      <sheetName val="Campus wise summary"/>
      <sheetName val="MODEL"/>
      <sheetName val="Basic_Information"/>
      <sheetName val="Assmp"/>
      <sheetName val="Maint Def Rev 03_04"/>
      <sheetName val="New_Growth Def Rev 03_04"/>
      <sheetName val="Perpetual Def Rev 03_04"/>
      <sheetName val="Renewal Def Rev 03_0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2)"/>
      <sheetName val="Sheet3 _2_"/>
      <sheetName val="DEPRE"/>
      <sheetName val="Set"/>
      <sheetName val="Income Statements"/>
      <sheetName val="Main Sheet (MTD)"/>
      <sheetName val="Consl Daily Report"/>
      <sheetName val="Calculation (2)"/>
      <sheetName val="QoQ Forecast"/>
      <sheetName val="Acc_10_5"/>
      <sheetName val="Introduction"/>
      <sheetName val="IDC macro"/>
      <sheetName val="SALE"/>
      <sheetName val="sheet6"/>
      <sheetName val="Analysis"/>
      <sheetName val="Sheet2"/>
      <sheetName val="van khuon"/>
      <sheetName val="Names"/>
      <sheetName val="BBEuros"/>
      <sheetName val="InvoiceList"/>
      <sheetName val="Income &amp; Occupancy Customer"/>
      <sheetName val="Summary"/>
      <sheetName val="노무비"/>
      <sheetName val="Aladdin Macro1"/>
      <sheetName val="BalSht"/>
      <sheetName val="Acc_10.5"/>
      <sheetName val="Global Assm."/>
      <sheetName val="Sheet3_(2)"/>
      <sheetName val="Sheet3__2_"/>
      <sheetName val="ABP inputs"/>
      <sheetName val="Synergy Sales Budget"/>
      <sheetName val="Project Budget Worksheet"/>
      <sheetName val="JCF"/>
      <sheetName val="Multiple output"/>
      <sheetName val="유통망계획"/>
      <sheetName val="Builtup Area"/>
      <sheetName val="Headings"/>
      <sheetName val="RCC,Ret. Wall"/>
      <sheetName val="BOQ T4B"/>
      <sheetName val="F1a-Pile"/>
      <sheetName val="CV"/>
      <sheetName val="ES(Kor)"/>
      <sheetName val="INDIGINEOUS ITEMS "/>
      <sheetName val="fco"/>
      <sheetName val="Formulas"/>
      <sheetName val="Material "/>
      <sheetName val="Labour &amp; Plant"/>
      <sheetName val="Lead"/>
      <sheetName val="Main-Material"/>
      <sheetName val="Sheet1"/>
      <sheetName val="Portfolio Summary"/>
      <sheetName val="compu"/>
      <sheetName val="Current Bill MB ref"/>
      <sheetName val="Meas.-Hotel Part"/>
      <sheetName val="Approved MTD Proj #'s"/>
      <sheetName val="PLAN_FEB97"/>
      <sheetName val="Fin Sum"/>
      <sheetName val="Company"/>
      <sheetName val="IMPORT T12"/>
      <sheetName val="SCH-E-1"/>
      <sheetName val="Inputs"/>
      <sheetName val="BIPR"/>
      <sheetName val="BPCA"/>
      <sheetName val="BBRS"/>
      <sheetName val="KPM DT"/>
      <sheetName val="Assumptions"/>
      <sheetName val="EBITDA"/>
      <sheetName val="Income_Statements"/>
      <sheetName val="QoQ_Forecast"/>
      <sheetName val="Depreciation"/>
      <sheetName val="Summary Excise"/>
      <sheetName val="BS"/>
      <sheetName val="Other BS Sch 5-9"/>
      <sheetName val="Excess Calc"/>
      <sheetName val="Grouping Master"/>
      <sheetName val="GBW"/>
      <sheetName val="Design"/>
      <sheetName val="BOQ"/>
      <sheetName val=" B3"/>
      <sheetName val=" B1"/>
      <sheetName val="beam-reinft-IIInd floor"/>
      <sheetName val="MN T.B."/>
      <sheetName val="CFForecast detail"/>
      <sheetName val="Site Dev BOQ"/>
      <sheetName val="Break up Sheet"/>
      <sheetName val="TIll_Q_sal"/>
      <sheetName val="tiller"/>
      <sheetName val="Load Details-220kV"/>
      <sheetName val="CapitalOutlay"/>
      <sheetName val="Assum"/>
      <sheetName val="Block A - BOQ"/>
      <sheetName val="March Analysts"/>
      <sheetName val="download"/>
      <sheetName val="170810-lease tax"/>
      <sheetName val="new_data"/>
      <sheetName val="earnmodl"/>
      <sheetName val="Dom Cell (IS)"/>
      <sheetName val="Occ"/>
      <sheetName val="Demand"/>
      <sheetName val="Ref"/>
      <sheetName val="Input"/>
      <sheetName val="Preside"/>
      <sheetName val="balance sheet"/>
      <sheetName val="P &amp; L"/>
      <sheetName val="strand"/>
      <sheetName val="Rollup Summary"/>
      <sheetName val="Vind-BtB"/>
      <sheetName val="ABP_inputs"/>
      <sheetName val="Synergy_Sales_Budget"/>
      <sheetName val="Project_Budget_Worksheet"/>
      <sheetName val="Income_&amp;_Occupancy_Customer"/>
      <sheetName val="RCC,Ret__Wall"/>
      <sheetName val="Calculation_(2)"/>
      <sheetName val="Multiple_output"/>
      <sheetName val="Builtup_Area"/>
      <sheetName val="BOQ_T4B"/>
      <sheetName val="INDIGINEOUS_ITEMS_"/>
      <sheetName val="Material_"/>
      <sheetName val="Labour_&amp;_Plant"/>
      <sheetName val="Approved_MTD_Proj_#'s"/>
      <sheetName val="_B3"/>
      <sheetName val="_B1"/>
      <sheetName val="beam-reinft-IIInd_floor"/>
      <sheetName val="Aladdin_Macro1"/>
      <sheetName val="Global_Assm_"/>
      <sheetName val="MN_T_B_"/>
      <sheetName val="CFForecast_detail"/>
      <sheetName val="Site_Dev_BOQ"/>
      <sheetName val="Break_up_Sheet"/>
      <sheetName val="Load_Details-220kV"/>
      <sheetName val="Block_A_-_BOQ"/>
      <sheetName val="Sheet3_(2)1"/>
      <sheetName val="ABP_inputs1"/>
      <sheetName val="Synergy_Sales_Budget1"/>
      <sheetName val="Project_Budget_Worksheet1"/>
      <sheetName val="QoQ_Forecast1"/>
      <sheetName val="Income_Statements1"/>
      <sheetName val="Sheet3__2_1"/>
      <sheetName val="Income_&amp;_Occupancy_Customer1"/>
      <sheetName val="RCC,Ret__Wall1"/>
      <sheetName val="Calculation_(2)1"/>
      <sheetName val="Multiple_output1"/>
      <sheetName val="Builtup_Area1"/>
      <sheetName val="BOQ_T4B1"/>
      <sheetName val="INDIGINEOUS_ITEMS_1"/>
      <sheetName val="Material_1"/>
      <sheetName val="Labour_&amp;_Plant1"/>
      <sheetName val="Approved_MTD_Proj_#'s1"/>
      <sheetName val="_B31"/>
      <sheetName val="_B11"/>
      <sheetName val="beam-reinft-IIInd_floor1"/>
      <sheetName val="Aladdin_Macro11"/>
      <sheetName val="Acc_10_51"/>
      <sheetName val="Global_Assm_1"/>
      <sheetName val="MN_T_B_1"/>
      <sheetName val="CFForecast_detail1"/>
      <sheetName val="Site_Dev_BOQ1"/>
      <sheetName val="Break_up_Sheet1"/>
      <sheetName val="Load_Details-220kV1"/>
      <sheetName val="Block_A_-_BOQ1"/>
      <sheetName val="Sheet3_(2)2"/>
      <sheetName val="ABP_inputs2"/>
      <sheetName val="Synergy_Sales_Budget2"/>
      <sheetName val="Project_Budget_Worksheet2"/>
      <sheetName val="QoQ_Forecast2"/>
      <sheetName val="Income_Statements2"/>
      <sheetName val="Sheet3__2_2"/>
      <sheetName val="Income_&amp;_Occupancy_Customer2"/>
      <sheetName val="RCC,Ret__Wall2"/>
      <sheetName val="Calculation_(2)2"/>
      <sheetName val="Multiple_output2"/>
      <sheetName val="Builtup_Area2"/>
      <sheetName val="BOQ_T4B2"/>
      <sheetName val="INDIGINEOUS_ITEMS_2"/>
      <sheetName val="Material_2"/>
      <sheetName val="Labour_&amp;_Plant2"/>
      <sheetName val="Approved_MTD_Proj_#'s2"/>
      <sheetName val="_B32"/>
      <sheetName val="_B12"/>
      <sheetName val="beam-reinft-IIInd_floor2"/>
      <sheetName val="Aladdin_Macro12"/>
      <sheetName val="Acc_10_52"/>
      <sheetName val="Global_Assm_2"/>
      <sheetName val="MN_T_B_2"/>
      <sheetName val="CFForecast_detail2"/>
      <sheetName val="Site_Dev_BOQ2"/>
      <sheetName val="Break_up_Sheet2"/>
      <sheetName val="Load_Details-220kV2"/>
      <sheetName val="Block_A_-_BOQ2"/>
      <sheetName val="Sheet3_(2)3"/>
      <sheetName val="ABP_inputs3"/>
      <sheetName val="Synergy_Sales_Budget3"/>
      <sheetName val="Project_Budget_Worksheet3"/>
      <sheetName val="QoQ_Forecast3"/>
      <sheetName val="Income_Statements3"/>
      <sheetName val="Sheet3__2_3"/>
      <sheetName val="Income_&amp;_Occupancy_Customer3"/>
      <sheetName val="RCC,Ret__Wall3"/>
      <sheetName val="Calculation_(2)3"/>
      <sheetName val="Multiple_output3"/>
      <sheetName val="Builtup_Area3"/>
      <sheetName val="BOQ_T4B3"/>
      <sheetName val="INDIGINEOUS_ITEMS_3"/>
      <sheetName val="Material_3"/>
      <sheetName val="Labour_&amp;_Plant3"/>
      <sheetName val="Approved_MTD_Proj_#'s3"/>
      <sheetName val="_B33"/>
      <sheetName val="_B13"/>
      <sheetName val="beam-reinft-IIInd_floor3"/>
      <sheetName val="Aladdin_Macro13"/>
      <sheetName val="Acc_10_53"/>
      <sheetName val="Global_Assm_3"/>
      <sheetName val="MN_T_B_3"/>
      <sheetName val="CFForecast_detail3"/>
      <sheetName val="Site_Dev_BOQ3"/>
      <sheetName val="Break_up_Sheet3"/>
      <sheetName val="Load_Details-220kV3"/>
      <sheetName val="Block_A_-_BOQ3"/>
      <sheetName val="Sheet3_(2)4"/>
      <sheetName val="ABP_inputs4"/>
      <sheetName val="Synergy_Sales_Budget4"/>
      <sheetName val="Project_Budget_Worksheet4"/>
      <sheetName val="QoQ_Forecast4"/>
      <sheetName val="Income_Statements4"/>
      <sheetName val="Sheet3__2_4"/>
      <sheetName val="Income_&amp;_Occupancy_Customer4"/>
      <sheetName val="RCC,Ret__Wall4"/>
      <sheetName val="Calculation_(2)4"/>
      <sheetName val="Multiple_output4"/>
      <sheetName val="Builtup_Area4"/>
      <sheetName val="BOQ_T4B4"/>
      <sheetName val="INDIGINEOUS_ITEMS_4"/>
      <sheetName val="Material_4"/>
      <sheetName val="Labour_&amp;_Plant4"/>
      <sheetName val="Approved_MTD_Proj_#'s4"/>
      <sheetName val="_B34"/>
      <sheetName val="_B14"/>
      <sheetName val="beam-reinft-IIInd_floor4"/>
      <sheetName val="Aladdin_Macro14"/>
      <sheetName val="Acc_10_54"/>
      <sheetName val="Global_Assm_4"/>
      <sheetName val="MN_T_B_4"/>
      <sheetName val="CFForecast_detail4"/>
      <sheetName val="Site_Dev_BOQ4"/>
      <sheetName val="Break_up_Sheet4"/>
      <sheetName val="Load_Details-220kV4"/>
      <sheetName val="Block_A_-_BOQ4"/>
      <sheetName val="CABLE DATA"/>
      <sheetName val="1st flr"/>
      <sheetName val="Civil Boq"/>
      <sheetName val="final abstract"/>
      <sheetName val="Rate analysis"/>
      <sheetName val="02"/>
      <sheetName val="03"/>
      <sheetName val="04"/>
      <sheetName val="01"/>
      <sheetName val="q-details"/>
      <sheetName val="Index"/>
      <sheetName val="PLGroupings"/>
      <sheetName val="Results"/>
      <sheetName val="ras"/>
      <sheetName val="Rates"/>
      <sheetName val="OpRes"/>
      <sheetName val="master"/>
      <sheetName val="03 (2)"/>
      <sheetName val="WIng F(Typical)"/>
      <sheetName val="CashFlow"/>
      <sheetName val="TB"/>
      <sheetName val="TB_FOR_MIS"/>
      <sheetName val="Area"/>
      <sheetName val="TB FOR MIS"/>
      <sheetName val="INPUT SHEET"/>
      <sheetName val="LISTS"/>
      <sheetName val="DET0900"/>
      <sheetName val="van_khuon"/>
      <sheetName val="IDC_macro"/>
      <sheetName val="IMPORT_T12"/>
      <sheetName val="KPM_DT"/>
      <sheetName val="Portfolio_Summary"/>
      <sheetName val="Current_Bill_MB_ref"/>
      <sheetName val="Meas_-Hotel_Part"/>
      <sheetName val="Fin_Sum"/>
      <sheetName val="Task"/>
      <sheetName val="M-2 Adjusted"/>
      <sheetName val="OpTrack"/>
      <sheetName val=" Acc. Sched."/>
      <sheetName val="EDS  Bestshore Migration"/>
      <sheetName val="NewCo"/>
      <sheetName val="sept-plan"/>
      <sheetName val="Pay_Sep06"/>
      <sheetName val="Gen_Ass"/>
      <sheetName val="Op_Ass"/>
      <sheetName val="Staff Costs"/>
      <sheetName val="General_Assumptions"/>
      <sheetName val="Balance Sheet "/>
      <sheetName val="Master Price List"/>
      <sheetName val="reference"/>
      <sheetName val="Main workings"/>
      <sheetName val="Factor_Sheet"/>
      <sheetName val="International"/>
      <sheetName val="Internet"/>
      <sheetName val="Macro1"/>
      <sheetName val="Licences"/>
      <sheetName val="classes"/>
      <sheetName val="IT Block"/>
      <sheetName val="Location CODE"/>
      <sheetName val="Location TYPE"/>
      <sheetName val="sub class"/>
      <sheetName val=" sub Loc "/>
      <sheetName val="LBO"/>
      <sheetName val="02022005"/>
      <sheetName val="16022005"/>
      <sheetName val="05012005"/>
      <sheetName val="19012005"/>
      <sheetName val="02032005"/>
      <sheetName val="16032005"/>
      <sheetName val="30032005"/>
      <sheetName val="Hot"/>
      <sheetName val="Mico"/>
      <sheetName val="F"/>
      <sheetName val="EXHIBIT&quot; T&quot;"/>
      <sheetName val="Turnover"/>
      <sheetName val="LBO Financials"/>
      <sheetName val="97-98"/>
      <sheetName val="MIS - kINR"/>
      <sheetName val="Sheet3_(2)5"/>
      <sheetName val="Sheet3__2_5"/>
      <sheetName val="Calculation_(2)5"/>
      <sheetName val="Multiple_output5"/>
      <sheetName val="170810-lease_tax"/>
      <sheetName val="QoQ_Forecast5"/>
      <sheetName val="Income_Statements5"/>
      <sheetName val="Income_&amp;_Occupancy_Customer5"/>
      <sheetName val="ABP_inputs5"/>
      <sheetName val="Synergy_Sales_Budget5"/>
      <sheetName val="Project_Budget_Worksheet5"/>
      <sheetName val="INDIGINEOUS_ITEMS_5"/>
      <sheetName val="Builtup_Area5"/>
      <sheetName val="RCC,Ret__Wall5"/>
      <sheetName val="BOQ_T4B5"/>
      <sheetName val="Material_5"/>
      <sheetName val="Labour_&amp;_Plant5"/>
      <sheetName val="_B35"/>
      <sheetName val="_B15"/>
      <sheetName val="CFForecast_detail5"/>
      <sheetName val="Site_Dev_BOQ5"/>
      <sheetName val="beam-reinft-IIInd_floor5"/>
      <sheetName val="Global_Assm_5"/>
      <sheetName val="Main_Sheet_(MTD)"/>
      <sheetName val="Consl_Daily_Report"/>
      <sheetName val="balance_sheet"/>
      <sheetName val="Aladdin_Macro15"/>
      <sheetName val="Acc_10_55"/>
      <sheetName val="MIS_-_kINR"/>
      <sheetName val="Break_up_Sheet5"/>
      <sheetName val="Approved_MTD_Proj_#'s5"/>
      <sheetName val="MN_T_B_5"/>
      <sheetName val="Load_Details-220kV5"/>
      <sheetName val="Block_A_-_BOQ5"/>
      <sheetName val="CABLE_DATA"/>
      <sheetName val="1st_flr"/>
      <sheetName val="final_abstract"/>
      <sheetName val="Rate_analysis"/>
      <sheetName val="Rollup_Summary"/>
      <sheetName val="Civil_Boq"/>
      <sheetName val="QoQ In Lakhs"/>
      <sheetName val="GENERAL2"/>
      <sheetName val="RNT"/>
      <sheetName val="Combi"/>
      <sheetName val="Summ"/>
      <sheetName val="Fossil_DCF"/>
      <sheetName val="SOPMA DD"/>
      <sheetName val="FlashMgtMo"/>
      <sheetName val="FlashMgtYTD"/>
      <sheetName val="?????"/>
      <sheetName val="Budget Summary"/>
      <sheetName val="Params"/>
      <sheetName val="Training Deposits coding"/>
      <sheetName val="Settings"/>
      <sheetName val="SODA02"/>
      <sheetName val="ANN.K"/>
      <sheetName val="CAP"/>
      <sheetName val="AOP13"/>
      <sheetName val="PERHW"/>
      <sheetName val="Loss 3004"/>
      <sheetName val="Reconciliation of GL &amp; FAR"/>
      <sheetName val="FY2001-02"/>
      <sheetName val="CARO"/>
      <sheetName val="Recon"/>
      <sheetName val="Control"/>
      <sheetName val=""/>
      <sheetName val="AOR"/>
      <sheetName val="MASTER_RATE ANALYSIS"/>
      <sheetName val="Valuation - block 2"/>
      <sheetName val="Rev Opt - Rollup"/>
      <sheetName val="269T(final)"/>
      <sheetName val="Data"/>
      <sheetName val="Contribution"/>
      <sheetName val="Rx"/>
      <sheetName val="Code"/>
      <sheetName val="Base Assumptions"/>
      <sheetName val="RES-PLANNING"/>
      <sheetName val="Cost_any"/>
      <sheetName val="10. &amp; 11. Rate Code &amp; BQ"/>
      <sheetName val="FITZ MORT 94"/>
      <sheetName val="YTD"/>
      <sheetName val="vb 9&amp;10"/>
      <sheetName val="GenAssump"/>
      <sheetName val="Commercial Research"/>
      <sheetName val="Goldberg Portfolio Combined"/>
      <sheetName val="9. Package split - Cost "/>
      <sheetName val="Leasing Commision"/>
      <sheetName val="#REF"/>
      <sheetName val="IO LIST"/>
      <sheetName val="Master list"/>
      <sheetName val="Labour List"/>
      <sheetName val="Material List"/>
      <sheetName val="Architectural Summary"/>
      <sheetName val="Legal Risk Analysis"/>
      <sheetName val="Labor abs-NMR"/>
      <sheetName val="Beam at Ground flr lvl(Steel)"/>
      <sheetName val="AREAS"/>
      <sheetName val="sumary"/>
      <sheetName val="1st -vpd"/>
      <sheetName val="conc-foot-gradeslab"/>
      <sheetName val="Material List "/>
      <sheetName val="SCHEDULE"/>
      <sheetName val="Database"/>
      <sheetName val="schedule nos"/>
      <sheetName val="WT-LIST"/>
      <sheetName val="Material"/>
      <sheetName val="Sensitivity"/>
      <sheetName val="Fill this out first..."/>
      <sheetName val="Intaccrual"/>
      <sheetName val="SBU"/>
      <sheetName val="Portfolio_Summary1"/>
      <sheetName val="Current_Bill_MB_ref1"/>
      <sheetName val="Meas_-Hotel_Part1"/>
      <sheetName val="A-Mum"/>
      <sheetName val="BKCSTOCKVAL"/>
      <sheetName val="MAHSTOCKVAL"/>
      <sheetName val="Operating Statistics"/>
      <sheetName val="Trial Balance"/>
      <sheetName val="horizontal"/>
      <sheetName val="Checks"/>
      <sheetName val="Theatre mgmt cont"/>
      <sheetName val="Menu"/>
      <sheetName val="Variables_x"/>
      <sheetName val="P.R. TAXES"/>
      <sheetName val="BILLING SUM"/>
      <sheetName val="Cover"/>
      <sheetName val="FA Schedule Dec 07"/>
      <sheetName val="NEW-IDs Fun &amp; Group"/>
      <sheetName val="XZLC003_PART1"/>
      <sheetName val="15-21"/>
      <sheetName val="Service Invoice"/>
      <sheetName val="Sheet3"/>
      <sheetName val="Kontensalden"/>
      <sheetName val="apr-aug"/>
      <sheetName val="MIS AC wise"/>
      <sheetName val="Cash Flow Working"/>
      <sheetName val="Retail Mall"/>
      <sheetName val="CASHFLOWS"/>
      <sheetName val="drop-dwn list"/>
      <sheetName val="tngst1"/>
      <sheetName val="Boiler&amp;TG"/>
      <sheetName val="Timeline"/>
      <sheetName val="Estimate"/>
      <sheetName val="12-ACTPL"/>
      <sheetName val="Open Items-311208"/>
      <sheetName val="Variables"/>
      <sheetName val="Publicbuilding"/>
      <sheetName val="Non-Factory"/>
      <sheetName val="extra work elec bill "/>
      <sheetName val="Notes-pivot1 "/>
      <sheetName val="Scope"/>
      <sheetName val="Debtors analysis"/>
      <sheetName val="A1-Continuous"/>
      <sheetName val="pile Fabrication"/>
      <sheetName val="Improvements"/>
      <sheetName val="ES"/>
      <sheetName val="SEW4"/>
      <sheetName val="MFG"/>
      <sheetName val="Assump"/>
      <sheetName val="exp"/>
      <sheetName val="Sheet4"/>
      <sheetName val="RA"/>
      <sheetName val="A.O.R."/>
      <sheetName val="HBI NCD"/>
      <sheetName val="CUSTOM Jun99"/>
      <sheetName val="Related party - P&amp;L"/>
      <sheetName val="CrRajWMM"/>
      <sheetName val="소상 &quot;1&quot;"/>
      <sheetName val="Cost summary"/>
      <sheetName val="RCC Rates"/>
      <sheetName val="FORM7"/>
      <sheetName val="目录"/>
      <sheetName val="PRECAST lightconc-II"/>
      <sheetName val="Tender Summary"/>
      <sheetName val="Bill 1-BOQ-Civil Works"/>
      <sheetName val="UNP-NCW "/>
      <sheetName val="4.4 External Plaster"/>
      <sheetName val="A-1"/>
      <sheetName val="Base"/>
      <sheetName val="Night Shift"/>
      <sheetName val="wdr bldg"/>
      <sheetName val="Formated Trial Balance"/>
      <sheetName val="ASSETS P&amp;M"/>
      <sheetName val="Assets Land &amp; Mise FA"/>
      <sheetName val="Basework"/>
      <sheetName val="Monthly Inputs"/>
      <sheetName val="2000-1 Monthly Cashflows"/>
      <sheetName val="2002-2 Monthly Cashflows"/>
      <sheetName val="Sources"/>
      <sheetName val="Cases"/>
      <sheetName val="MultipleSecurities"/>
      <sheetName val="Felix Street Summary"/>
      <sheetName val="Newspapers"/>
      <sheetName val="AccDil"/>
      <sheetName val="Overall Summary"/>
      <sheetName val="Ins Erection"/>
      <sheetName val="Debt"/>
      <sheetName val="cl 14 Annex 7 "/>
      <sheetName val="Encl 7A"/>
      <sheetName val="PROV_CONSOLIDATED"/>
      <sheetName val="SALES"/>
      <sheetName val="Notes"/>
      <sheetName val="Determination of Threshold"/>
      <sheetName val="FA(Apr 07)"/>
      <sheetName val="Reco O.S"/>
      <sheetName val="Accounts"/>
      <sheetName val="SAP downloaded schedule"/>
      <sheetName val="Transaction"/>
      <sheetName val="TH"/>
      <sheetName val="Assumption"/>
      <sheetName val="EVA1"/>
      <sheetName val="ITEM  STUDY (2)"/>
      <sheetName val="EXPENSES"/>
      <sheetName val="TDS Certificate-Format"/>
      <sheetName val="FA"/>
      <sheetName val="EAST"/>
      <sheetName val="YOEMAGUM"/>
      <sheetName val="Lease Expiry"/>
      <sheetName val="IO"/>
      <sheetName val="Customize Your Invoice"/>
      <sheetName val="HELP"/>
      <sheetName val="BS-2005"/>
      <sheetName val="MAIN_MENU"/>
      <sheetName val="exec summ"/>
      <sheetName val="Dep"/>
      <sheetName val="cash_flow"/>
      <sheetName val="sales_value"/>
      <sheetName val="colaw_dep"/>
      <sheetName val="freight"/>
      <sheetName val="gm"/>
      <sheetName val="interest"/>
      <sheetName val="jb_cost"/>
      <sheetName val="c_flow_%"/>
      <sheetName val="consum_cost"/>
      <sheetName val="form26"/>
      <sheetName val="F29B"/>
      <sheetName val="Base data Security Procedures"/>
      <sheetName val="register"/>
      <sheetName val="RA-markate"/>
      <sheetName val="Basement Budget"/>
      <sheetName val="labour"/>
      <sheetName val="currency"/>
      <sheetName val="TMasterCurrency"/>
      <sheetName val="TMasterSeg"/>
      <sheetName val="Portfolio_Summary2"/>
      <sheetName val="03_(2)"/>
      <sheetName val="Current_Bill_MB_ref2"/>
      <sheetName val="Meas_-Hotel_Part2"/>
      <sheetName val="WIng_F(Typical)"/>
      <sheetName val="Legal_Risk_Analysis"/>
      <sheetName val="SOPMA_DD"/>
      <sheetName val="Architectural_Summary"/>
      <sheetName val="TB_FOR_MIS1"/>
      <sheetName val="INPUT_SHEET"/>
      <sheetName val="March_Analysts"/>
      <sheetName val="EXHIBIT&quot;_T&quot;"/>
      <sheetName val="IO_LIST"/>
      <sheetName val="Fill_this_out_first___"/>
      <sheetName val="extra_work_elec_bill_"/>
      <sheetName val="_Acc__Sched_"/>
      <sheetName val="10__&amp;_11__Rate_Code_&amp;_BQ"/>
      <sheetName val="NEW-IDs_Fun_&amp;_Group"/>
      <sheetName val="Rollup"/>
      <sheetName val="BOM"/>
      <sheetName val="Graph (LGEN)"/>
      <sheetName val="out_prog"/>
      <sheetName val="선적schedule (2)"/>
      <sheetName val="BQ"/>
      <sheetName val="USB 1"/>
      <sheetName val="BOQ Distribution"/>
      <sheetName val="wordsdata"/>
      <sheetName val="GM &amp; TA"/>
      <sheetName val="steam outlet"/>
      <sheetName val="crs"/>
      <sheetName val="PIMS"/>
      <sheetName val="SCH 10"/>
      <sheetName val="SAP EMP"/>
      <sheetName val="I"/>
      <sheetName val="van_khuon1"/>
      <sheetName val="IDC_macro1"/>
      <sheetName val="P_&amp;_L"/>
      <sheetName val="Summary_Excise"/>
      <sheetName val="Other_BS_Sch_5-9"/>
      <sheetName val="Excess_Calc"/>
      <sheetName val="Grouping_Master"/>
      <sheetName val="Fin_Sum1"/>
      <sheetName val="Main_workings"/>
      <sheetName val="Balance_Sheet_"/>
      <sheetName val="IMPORT_T121"/>
      <sheetName val="KPM_DT1"/>
      <sheetName val="Dom_Cell_(IS)"/>
      <sheetName val="M-2_Adjusted"/>
      <sheetName val="Master_Price_List"/>
      <sheetName val="EDS__Bestshore_Migration"/>
      <sheetName val="IT_Block"/>
      <sheetName val="Location_CODE"/>
      <sheetName val="Location_TYPE"/>
      <sheetName val="sub_class"/>
      <sheetName val="_sub_Loc_"/>
      <sheetName val="Training_Deposits_coding"/>
      <sheetName val="Rev_Opt_-_Rollup"/>
      <sheetName val="MASTER_RATE_ANALYSIS"/>
      <sheetName val="Valuation_-_block_2"/>
      <sheetName val="XLR_NoRangeSheet"/>
      <sheetName val="CPR"/>
      <sheetName val="MARCH"/>
      <sheetName val="SEP "/>
      <sheetName val="0. Data Validation List"/>
      <sheetName val="Crest"/>
      <sheetName val="Pinnacle"/>
      <sheetName val="Zenith"/>
      <sheetName val="stacking sheet"/>
      <sheetName val="final 061106"/>
      <sheetName val="SAB P&amp;L"/>
      <sheetName val="cash flow"/>
      <sheetName val="WC analytics (+data pages)"/>
      <sheetName val="DYN PP"/>
      <sheetName val="TXN97"/>
      <sheetName val="June Reserve - Far East"/>
      <sheetName val="Sheet3_(2)6"/>
      <sheetName val="Sheet3__2_6"/>
      <sheetName val="Income_Statements6"/>
      <sheetName val="Main_Sheet_(MTD)1"/>
      <sheetName val="Consl_Daily_Report1"/>
      <sheetName val="Calculation_(2)6"/>
      <sheetName val="QoQ_Forecast6"/>
      <sheetName val="Income_&amp;_Occupancy_Customer6"/>
      <sheetName val="Rollup_Summary1"/>
      <sheetName val="Acc_10_56"/>
      <sheetName val="balance_sheet1"/>
      <sheetName val="170810-lease_tax1"/>
      <sheetName val="Multiple_output6"/>
      <sheetName val="Aladdin_Macro16"/>
      <sheetName val="Global_Assm_6"/>
      <sheetName val="ABP_inputs6"/>
      <sheetName val="Synergy_Sales_Budget6"/>
      <sheetName val="Project_Budget_Worksheet6"/>
      <sheetName val="Builtup_Area6"/>
      <sheetName val="RCC,Ret__Wall6"/>
      <sheetName val="BOQ_T4B6"/>
      <sheetName val="INDIGINEOUS_ITEMS_6"/>
      <sheetName val="Material_6"/>
      <sheetName val="Labour_&amp;_Plant6"/>
      <sheetName val="_B36"/>
      <sheetName val="_B16"/>
      <sheetName val="beam-reinft-IIInd_floor6"/>
      <sheetName val="Approved_MTD_Proj_#'s6"/>
      <sheetName val="MN_T_B_6"/>
      <sheetName val="CFForecast_detail6"/>
      <sheetName val="Site_Dev_BOQ6"/>
      <sheetName val="Break_up_Sheet6"/>
      <sheetName val="Load_Details-220kV6"/>
      <sheetName val="Block_A_-_BOQ6"/>
      <sheetName val="LBO_Financials"/>
      <sheetName val="CABLE_DATA1"/>
      <sheetName val="1st_flr1"/>
      <sheetName val="Civil_Boq1"/>
      <sheetName val="final_abstract1"/>
      <sheetName val="Rate_analysis1"/>
      <sheetName val="MIS_-_kINR1"/>
      <sheetName val="QoQ_In_Lakhs"/>
      <sheetName val="Theatre_mgmt_cont"/>
      <sheetName val="Open_Items-311208"/>
      <sheetName val="Account title"/>
      <sheetName val="Titel"/>
      <sheetName val="HRD1"/>
      <sheetName val="Taluka wise dealer (2)"/>
      <sheetName val="Cash_Flow_Working"/>
      <sheetName val="ANN_K"/>
      <sheetName val="Parameter"/>
      <sheetName val="Timesheet"/>
      <sheetName val="Loads"/>
      <sheetName val="p&amp;m"/>
      <sheetName val="S &amp; A"/>
      <sheetName val="Schedule v1"/>
      <sheetName val=" "/>
      <sheetName val="Phasing"/>
      <sheetName val="Master_list"/>
      <sheetName val="Labour_List"/>
      <sheetName val="Material_List"/>
      <sheetName val="Labor_abs-NMR"/>
      <sheetName val="Beam_at_Ground_flr_lvl(Steel)"/>
      <sheetName val="1st_-vpd"/>
      <sheetName val="Material_List_"/>
      <sheetName val="schedule_nos"/>
      <sheetName val="Debtors_analysis"/>
      <sheetName val="Standalone"/>
      <sheetName val="RATE LIST (2)"/>
      <sheetName val="Control Sheet"/>
      <sheetName val="Inv_Data"/>
      <sheetName val="Tyre1"/>
      <sheetName val="Auto"/>
      <sheetName val="Sale Charts"/>
      <sheetName val="EXIS-COMBINED"/>
      <sheetName val="HOUSE RENT DEPO."/>
      <sheetName val="CSCCincSKR"/>
      <sheetName val="concrete"/>
      <sheetName val="Redelvery provision changed"/>
      <sheetName val="Capital Structure"/>
      <sheetName val="GROUPING"/>
      <sheetName val="Sch5TO10"/>
      <sheetName val="macroDat"/>
      <sheetName val="Hardware"/>
      <sheetName val="Power &amp; Fuel (S)"/>
      <sheetName val="Expansion"/>
      <sheetName val="Multipliers &amp; KRA"/>
      <sheetName val="schedules"/>
      <sheetName val="Summary_Local"/>
      <sheetName val="details"/>
      <sheetName val="Trial_Balance"/>
      <sheetName val="MIS_AC_wise"/>
      <sheetName val="Base_Assumptions"/>
      <sheetName val="FITZ_MORT_94"/>
      <sheetName val="vb_9&amp;10"/>
      <sheetName val="Goldberg_Portfolio_Combined"/>
      <sheetName val="Commercial_Research"/>
      <sheetName val="9__Package_split_-_Cost_"/>
      <sheetName val="Operating_Statistics"/>
      <sheetName val="FA_Schedule_Dec_07"/>
      <sheetName val="P_R__TAXES"/>
      <sheetName val="BILLING_SUM"/>
      <sheetName val="Leasing_Commision"/>
      <sheetName val="Service_Invoice"/>
      <sheetName val="Retail_Mall"/>
      <sheetName val="Related_party_-_P&amp;L"/>
      <sheetName val="pile_Fabrication"/>
      <sheetName val="Notes-pivot1_"/>
      <sheetName val="ASSETS_P&amp;M"/>
      <sheetName val="Assets_Land_&amp;_Mise_FA"/>
      <sheetName val="drop-dwn_list"/>
      <sheetName val="소상_&quot;1&quot;"/>
      <sheetName val="Felix_Street_Summary"/>
      <sheetName val="Overall_Summary"/>
      <sheetName val="RCC_Rates"/>
      <sheetName val="Cost_summary"/>
      <sheetName val="PRECAST_lightconc-II"/>
      <sheetName val="Tender_Summary"/>
      <sheetName val="Bill_1-BOQ-Civil_Works"/>
      <sheetName val="UNP-NCW_"/>
      <sheetName val="4_4_External_Plaster"/>
      <sheetName val="HBI_NCD"/>
      <sheetName val="CUSTOM_Jun99"/>
      <sheetName val="A_O_R_"/>
      <sheetName val="Ins_Erection"/>
      <sheetName val="Staff_Costs"/>
      <sheetName val="0__Data_Validation_List"/>
      <sheetName val="stacking_sheet"/>
      <sheetName val="Basement_Budget"/>
      <sheetName val="Night_Shift"/>
      <sheetName val="ITEM__STUDY_(2)"/>
      <sheetName val="TDS_Certificate-Format"/>
      <sheetName val="Quotation"/>
      <sheetName val="RCC_Ret_ Wall"/>
      <sheetName val="NGS Data Sheet"/>
      <sheetName val="SGS Data Sheet"/>
      <sheetName val="Approval"/>
      <sheetName val="Rs in lacs"/>
      <sheetName val="800CC_FR_HOSE"/>
      <sheetName val="Esteem Rear"/>
      <sheetName val="FCIIHyperion"/>
      <sheetName val="Classification"/>
      <sheetName val="XREF"/>
      <sheetName val="Income"/>
      <sheetName val="EPS"/>
      <sheetName val="currency (2)"/>
      <sheetName val="Companies"/>
      <sheetName val="People"/>
      <sheetName val="NW RTU"/>
      <sheetName val="Clause 9"/>
      <sheetName val="Audit"/>
      <sheetName val="Earnings"/>
      <sheetName val="Fin"/>
      <sheetName val="Intro"/>
      <sheetName val="Tickmarks"/>
      <sheetName val="Check Register"/>
      <sheetName val="EBITDA Bridge"/>
      <sheetName val="Detailed"/>
      <sheetName val="2003 Budget-PL-case1"/>
      <sheetName val="STATSUM"/>
      <sheetName val="TB9899"/>
      <sheetName val="Misc. Master"/>
      <sheetName val="Lease-rents"/>
      <sheetName val="Key Assumption"/>
      <sheetName val="Master Information"/>
      <sheetName val="Collection"/>
      <sheetName val="HIDDEN"/>
      <sheetName val="DEP99"/>
      <sheetName val="IGAAP"/>
      <sheetName val="INI"/>
      <sheetName val="Output"/>
      <sheetName val="meeting rectification control"/>
      <sheetName val="Loan Data"/>
      <sheetName val="Challan"/>
      <sheetName val="Standalone seg"/>
      <sheetName val="现金流量分析表"/>
      <sheetName val="边际贡献分析表"/>
      <sheetName val="TBAL9697 -group wise  sdpl"/>
      <sheetName val="Coalmine"/>
      <sheetName val="dlvoid"/>
      <sheetName val="Micro"/>
      <sheetName val="Macro"/>
      <sheetName val="Scaff-Rose"/>
      <sheetName val="Fin. Assumpt. - Sensitivities"/>
      <sheetName val="ADV-TK-HORT"/>
      <sheetName val="NEES"/>
      <sheetName val="COST-MTRS"/>
      <sheetName val="FLASH"/>
      <sheetName val="Annexure"/>
      <sheetName val="Schedules 3-8"/>
      <sheetName val="RELACION REFERENCIAS"/>
      <sheetName val="Power_&amp;_Fuel_(S)"/>
      <sheetName val="Budget_Summary"/>
      <sheetName val="차수"/>
      <sheetName val="P&amp;L"/>
      <sheetName val="DIVBUD99"/>
      <sheetName val="Main"/>
      <sheetName val="COSTMAR"/>
      <sheetName val="Jun 2000"/>
      <sheetName val="Sheet2 (2)"/>
      <sheetName val="3-dep"/>
    </sheetNames>
    <sheetDataSet>
      <sheetData sheetId="0" refreshError="1">
        <row r="65">
          <cell r="A65" t="str">
            <v>(II)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ow r="65">
          <cell r="A65" t="str">
            <v>(II)</v>
          </cell>
        </row>
      </sheetData>
      <sheetData sheetId="107">
        <row r="65">
          <cell r="A65" t="str">
            <v>(II)</v>
          </cell>
        </row>
      </sheetData>
      <sheetData sheetId="108">
        <row r="65">
          <cell r="A65" t="str">
            <v>(II)</v>
          </cell>
        </row>
      </sheetData>
      <sheetData sheetId="109">
        <row r="65">
          <cell r="A65" t="str">
            <v>(II)</v>
          </cell>
        </row>
      </sheetData>
      <sheetData sheetId="110">
        <row r="65">
          <cell r="A65" t="str">
            <v>(II)</v>
          </cell>
        </row>
      </sheetData>
      <sheetData sheetId="111">
        <row r="65">
          <cell r="A65" t="str">
            <v>(II)</v>
          </cell>
        </row>
      </sheetData>
      <sheetData sheetId="112">
        <row r="65">
          <cell r="A65" t="str">
            <v>(II)</v>
          </cell>
        </row>
      </sheetData>
      <sheetData sheetId="113">
        <row r="65">
          <cell r="A65" t="str">
            <v>(II)</v>
          </cell>
        </row>
      </sheetData>
      <sheetData sheetId="114">
        <row r="65">
          <cell r="A65" t="str">
            <v>(II)</v>
          </cell>
        </row>
      </sheetData>
      <sheetData sheetId="115">
        <row r="65">
          <cell r="A65" t="str">
            <v>(II)</v>
          </cell>
        </row>
      </sheetData>
      <sheetData sheetId="116">
        <row r="65">
          <cell r="A65" t="str">
            <v>(II)</v>
          </cell>
        </row>
      </sheetData>
      <sheetData sheetId="117">
        <row r="65">
          <cell r="A65" t="str">
            <v>(II)</v>
          </cell>
        </row>
      </sheetData>
      <sheetData sheetId="118">
        <row r="65">
          <cell r="A65" t="str">
            <v>(II)</v>
          </cell>
        </row>
      </sheetData>
      <sheetData sheetId="119">
        <row r="65">
          <cell r="A65" t="str">
            <v>(II)</v>
          </cell>
        </row>
      </sheetData>
      <sheetData sheetId="120">
        <row r="65">
          <cell r="A65" t="str">
            <v>(II)</v>
          </cell>
        </row>
      </sheetData>
      <sheetData sheetId="121">
        <row r="65">
          <cell r="A65" t="str">
            <v>(II)</v>
          </cell>
        </row>
      </sheetData>
      <sheetData sheetId="122">
        <row r="65">
          <cell r="A65" t="str">
            <v>(II)</v>
          </cell>
        </row>
      </sheetData>
      <sheetData sheetId="123">
        <row r="65">
          <cell r="A65" t="str">
            <v>(II)</v>
          </cell>
        </row>
      </sheetData>
      <sheetData sheetId="124">
        <row r="65">
          <cell r="A65" t="str">
            <v>(II)</v>
          </cell>
        </row>
      </sheetData>
      <sheetData sheetId="125">
        <row r="65">
          <cell r="A65" t="str">
            <v>(II)</v>
          </cell>
        </row>
      </sheetData>
      <sheetData sheetId="126">
        <row r="65">
          <cell r="A65" t="str">
            <v>(II)</v>
          </cell>
        </row>
      </sheetData>
      <sheetData sheetId="127">
        <row r="65">
          <cell r="A65" t="str">
            <v>(II)</v>
          </cell>
        </row>
      </sheetData>
      <sheetData sheetId="128">
        <row r="65">
          <cell r="A65" t="str">
            <v>(II)</v>
          </cell>
        </row>
      </sheetData>
      <sheetData sheetId="129">
        <row r="65">
          <cell r="A65" t="str">
            <v>(II)</v>
          </cell>
        </row>
      </sheetData>
      <sheetData sheetId="130">
        <row r="65">
          <cell r="A65" t="str">
            <v>(II)</v>
          </cell>
        </row>
      </sheetData>
      <sheetData sheetId="131">
        <row r="65">
          <cell r="A65" t="str">
            <v>(II)</v>
          </cell>
        </row>
      </sheetData>
      <sheetData sheetId="132">
        <row r="65">
          <cell r="A65" t="str">
            <v>(II)</v>
          </cell>
        </row>
      </sheetData>
      <sheetData sheetId="133">
        <row r="65">
          <cell r="A65" t="str">
            <v>(II)</v>
          </cell>
        </row>
      </sheetData>
      <sheetData sheetId="134">
        <row r="65">
          <cell r="A65" t="str">
            <v>(II)</v>
          </cell>
        </row>
      </sheetData>
      <sheetData sheetId="135">
        <row r="65">
          <cell r="A65" t="str">
            <v>(II)</v>
          </cell>
        </row>
      </sheetData>
      <sheetData sheetId="136">
        <row r="65">
          <cell r="A65" t="str">
            <v>(II)</v>
          </cell>
        </row>
      </sheetData>
      <sheetData sheetId="137">
        <row r="65">
          <cell r="A65" t="str">
            <v>(II)</v>
          </cell>
        </row>
      </sheetData>
      <sheetData sheetId="138">
        <row r="65">
          <cell r="A65" t="str">
            <v>(II)</v>
          </cell>
        </row>
      </sheetData>
      <sheetData sheetId="139">
        <row r="65">
          <cell r="A65" t="str">
            <v>(II)</v>
          </cell>
        </row>
      </sheetData>
      <sheetData sheetId="140">
        <row r="65">
          <cell r="A65" t="str">
            <v>(II)</v>
          </cell>
        </row>
      </sheetData>
      <sheetData sheetId="141">
        <row r="65">
          <cell r="A65" t="str">
            <v>(II)</v>
          </cell>
        </row>
      </sheetData>
      <sheetData sheetId="142">
        <row r="65">
          <cell r="A65" t="str">
            <v>(II)</v>
          </cell>
        </row>
      </sheetData>
      <sheetData sheetId="143">
        <row r="65">
          <cell r="A65" t="str">
            <v>(II)</v>
          </cell>
        </row>
      </sheetData>
      <sheetData sheetId="144">
        <row r="65">
          <cell r="A65" t="str">
            <v>(II)</v>
          </cell>
        </row>
      </sheetData>
      <sheetData sheetId="145">
        <row r="65">
          <cell r="A65" t="str">
            <v>(II)</v>
          </cell>
        </row>
      </sheetData>
      <sheetData sheetId="146">
        <row r="65">
          <cell r="A65" t="str">
            <v>(II)</v>
          </cell>
        </row>
      </sheetData>
      <sheetData sheetId="147">
        <row r="65">
          <cell r="A65" t="str">
            <v>(II)</v>
          </cell>
        </row>
      </sheetData>
      <sheetData sheetId="148">
        <row r="65">
          <cell r="A65" t="str">
            <v>(II)</v>
          </cell>
        </row>
      </sheetData>
      <sheetData sheetId="149">
        <row r="65">
          <cell r="A65" t="str">
            <v>(II)</v>
          </cell>
        </row>
      </sheetData>
      <sheetData sheetId="150">
        <row r="65">
          <cell r="A65" t="str">
            <v>(II)</v>
          </cell>
        </row>
      </sheetData>
      <sheetData sheetId="151">
        <row r="65">
          <cell r="A65" t="str">
            <v>(II)</v>
          </cell>
        </row>
      </sheetData>
      <sheetData sheetId="152">
        <row r="65">
          <cell r="A65" t="str">
            <v>(II)</v>
          </cell>
        </row>
      </sheetData>
      <sheetData sheetId="153">
        <row r="65">
          <cell r="A65" t="str">
            <v>(II)</v>
          </cell>
        </row>
      </sheetData>
      <sheetData sheetId="154">
        <row r="65">
          <cell r="A65" t="str">
            <v>(II)</v>
          </cell>
        </row>
      </sheetData>
      <sheetData sheetId="155">
        <row r="65">
          <cell r="A65" t="str">
            <v>(II)</v>
          </cell>
        </row>
      </sheetData>
      <sheetData sheetId="156">
        <row r="65">
          <cell r="A65" t="str">
            <v>(II)</v>
          </cell>
        </row>
      </sheetData>
      <sheetData sheetId="157">
        <row r="65">
          <cell r="A65" t="str">
            <v>(II)</v>
          </cell>
        </row>
      </sheetData>
      <sheetData sheetId="158">
        <row r="65">
          <cell r="A65" t="str">
            <v>(II)</v>
          </cell>
        </row>
      </sheetData>
      <sheetData sheetId="159">
        <row r="65">
          <cell r="A65" t="str">
            <v>(II)</v>
          </cell>
        </row>
      </sheetData>
      <sheetData sheetId="160">
        <row r="65">
          <cell r="A65" t="str">
            <v>(II)</v>
          </cell>
        </row>
      </sheetData>
      <sheetData sheetId="161">
        <row r="65">
          <cell r="A65" t="str">
            <v>(II)</v>
          </cell>
        </row>
      </sheetData>
      <sheetData sheetId="162">
        <row r="65">
          <cell r="A65" t="str">
            <v>(II)</v>
          </cell>
        </row>
      </sheetData>
      <sheetData sheetId="163">
        <row r="65">
          <cell r="A65" t="str">
            <v>(II)</v>
          </cell>
        </row>
      </sheetData>
      <sheetData sheetId="164">
        <row r="65">
          <cell r="A65" t="str">
            <v>(II)</v>
          </cell>
        </row>
      </sheetData>
      <sheetData sheetId="165">
        <row r="65">
          <cell r="A65" t="str">
            <v>(II)</v>
          </cell>
        </row>
      </sheetData>
      <sheetData sheetId="166">
        <row r="65">
          <cell r="A65" t="str">
            <v>(II)</v>
          </cell>
        </row>
      </sheetData>
      <sheetData sheetId="167">
        <row r="65">
          <cell r="A65" t="str">
            <v>(II)</v>
          </cell>
        </row>
      </sheetData>
      <sheetData sheetId="168">
        <row r="65">
          <cell r="A65" t="str">
            <v>(II)</v>
          </cell>
        </row>
      </sheetData>
      <sheetData sheetId="169">
        <row r="65">
          <cell r="A65" t="str">
            <v>(II)</v>
          </cell>
        </row>
      </sheetData>
      <sheetData sheetId="170">
        <row r="65">
          <cell r="A65" t="str">
            <v>(II)</v>
          </cell>
        </row>
      </sheetData>
      <sheetData sheetId="171">
        <row r="65">
          <cell r="A65" t="str">
            <v>(II)</v>
          </cell>
        </row>
      </sheetData>
      <sheetData sheetId="172">
        <row r="65">
          <cell r="A65" t="str">
            <v>(II)</v>
          </cell>
        </row>
      </sheetData>
      <sheetData sheetId="173">
        <row r="65">
          <cell r="A65" t="str">
            <v>(II)</v>
          </cell>
        </row>
      </sheetData>
      <sheetData sheetId="174">
        <row r="65">
          <cell r="A65" t="str">
            <v>(II)</v>
          </cell>
        </row>
      </sheetData>
      <sheetData sheetId="175">
        <row r="65">
          <cell r="A65" t="str">
            <v>(II)</v>
          </cell>
        </row>
      </sheetData>
      <sheetData sheetId="176">
        <row r="65">
          <cell r="A65" t="str">
            <v>(II)</v>
          </cell>
        </row>
      </sheetData>
      <sheetData sheetId="177">
        <row r="65">
          <cell r="A65" t="str">
            <v>(II)</v>
          </cell>
        </row>
      </sheetData>
      <sheetData sheetId="178">
        <row r="65">
          <cell r="A65" t="str">
            <v>(II)</v>
          </cell>
        </row>
      </sheetData>
      <sheetData sheetId="179">
        <row r="65">
          <cell r="A65" t="str">
            <v>(II)</v>
          </cell>
        </row>
      </sheetData>
      <sheetData sheetId="180">
        <row r="65">
          <cell r="A65" t="str">
            <v>(II)</v>
          </cell>
        </row>
      </sheetData>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ow r="65">
          <cell r="A65" t="str">
            <v>(II)</v>
          </cell>
        </row>
      </sheetData>
      <sheetData sheetId="275">
        <row r="65">
          <cell r="A65" t="str">
            <v>(II)</v>
          </cell>
        </row>
      </sheetData>
      <sheetData sheetId="276" refreshError="1"/>
      <sheetData sheetId="277" refreshError="1"/>
      <sheetData sheetId="278">
        <row r="65">
          <cell r="A65" t="str">
            <v>(II)</v>
          </cell>
        </row>
      </sheetData>
      <sheetData sheetId="279">
        <row r="65">
          <cell r="A65" t="str">
            <v>(II)</v>
          </cell>
        </row>
      </sheetData>
      <sheetData sheetId="280">
        <row r="65">
          <cell r="A65" t="str">
            <v>(II)</v>
          </cell>
        </row>
      </sheetData>
      <sheetData sheetId="281">
        <row r="65">
          <cell r="A65" t="str">
            <v>(II)</v>
          </cell>
        </row>
      </sheetData>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ow r="65">
          <cell r="A65" t="str">
            <v>(II)</v>
          </cell>
        </row>
      </sheetData>
      <sheetData sheetId="326">
        <row r="65">
          <cell r="A65" t="str">
            <v>(II)</v>
          </cell>
        </row>
      </sheetData>
      <sheetData sheetId="327">
        <row r="65">
          <cell r="A65" t="str">
            <v>(II)</v>
          </cell>
        </row>
      </sheetData>
      <sheetData sheetId="328">
        <row r="65">
          <cell r="A65" t="str">
            <v>(II)</v>
          </cell>
        </row>
      </sheetData>
      <sheetData sheetId="329">
        <row r="65">
          <cell r="A65" t="str">
            <v>(II)</v>
          </cell>
        </row>
      </sheetData>
      <sheetData sheetId="330">
        <row r="65">
          <cell r="A65" t="str">
            <v>(II)</v>
          </cell>
        </row>
      </sheetData>
      <sheetData sheetId="331">
        <row r="65">
          <cell r="A65" t="str">
            <v>(II)</v>
          </cell>
        </row>
      </sheetData>
      <sheetData sheetId="332">
        <row r="65">
          <cell r="A65" t="str">
            <v>(II)</v>
          </cell>
        </row>
      </sheetData>
      <sheetData sheetId="333">
        <row r="65">
          <cell r="A65" t="str">
            <v>(II)</v>
          </cell>
        </row>
      </sheetData>
      <sheetData sheetId="334">
        <row r="65">
          <cell r="A65" t="str">
            <v>(II)</v>
          </cell>
        </row>
      </sheetData>
      <sheetData sheetId="335">
        <row r="65">
          <cell r="A65" t="str">
            <v>(II)</v>
          </cell>
        </row>
      </sheetData>
      <sheetData sheetId="336">
        <row r="65">
          <cell r="A65" t="str">
            <v>(II)</v>
          </cell>
        </row>
      </sheetData>
      <sheetData sheetId="337">
        <row r="65">
          <cell r="A65" t="str">
            <v>(II)</v>
          </cell>
        </row>
      </sheetData>
      <sheetData sheetId="338">
        <row r="65">
          <cell r="A65" t="str">
            <v>(II)</v>
          </cell>
        </row>
      </sheetData>
      <sheetData sheetId="339">
        <row r="65">
          <cell r="A65" t="str">
            <v>(II)</v>
          </cell>
        </row>
      </sheetData>
      <sheetData sheetId="340">
        <row r="65">
          <cell r="A65" t="str">
            <v>(II)</v>
          </cell>
        </row>
      </sheetData>
      <sheetData sheetId="341">
        <row r="65">
          <cell r="A65" t="str">
            <v>(II)</v>
          </cell>
        </row>
      </sheetData>
      <sheetData sheetId="342">
        <row r="65">
          <cell r="A65" t="str">
            <v>(II)</v>
          </cell>
        </row>
      </sheetData>
      <sheetData sheetId="343">
        <row r="65">
          <cell r="A65" t="str">
            <v>(II)</v>
          </cell>
        </row>
      </sheetData>
      <sheetData sheetId="344">
        <row r="65">
          <cell r="A65" t="str">
            <v>(II)</v>
          </cell>
        </row>
      </sheetData>
      <sheetData sheetId="345">
        <row r="65">
          <cell r="A65" t="str">
            <v>(II)</v>
          </cell>
        </row>
      </sheetData>
      <sheetData sheetId="346">
        <row r="65">
          <cell r="A65" t="str">
            <v>(II)</v>
          </cell>
        </row>
      </sheetData>
      <sheetData sheetId="347">
        <row r="65">
          <cell r="A65" t="str">
            <v>(II)</v>
          </cell>
        </row>
      </sheetData>
      <sheetData sheetId="348">
        <row r="65">
          <cell r="A65" t="str">
            <v>(II)</v>
          </cell>
        </row>
      </sheetData>
      <sheetData sheetId="349">
        <row r="65">
          <cell r="A65" t="str">
            <v>(II)</v>
          </cell>
        </row>
      </sheetData>
      <sheetData sheetId="350">
        <row r="65">
          <cell r="A65" t="str">
            <v>(II)</v>
          </cell>
        </row>
      </sheetData>
      <sheetData sheetId="351">
        <row r="65">
          <cell r="A65" t="str">
            <v>(II)</v>
          </cell>
        </row>
      </sheetData>
      <sheetData sheetId="352">
        <row r="65">
          <cell r="A65" t="str">
            <v>(II)</v>
          </cell>
        </row>
      </sheetData>
      <sheetData sheetId="353">
        <row r="65">
          <cell r="A65" t="str">
            <v>(II)</v>
          </cell>
        </row>
      </sheetData>
      <sheetData sheetId="354">
        <row r="65">
          <cell r="A65" t="str">
            <v>(II)</v>
          </cell>
        </row>
      </sheetData>
      <sheetData sheetId="355">
        <row r="65">
          <cell r="A65" t="str">
            <v>(II)</v>
          </cell>
        </row>
      </sheetData>
      <sheetData sheetId="356">
        <row r="65">
          <cell r="A65" t="str">
            <v>(II)</v>
          </cell>
        </row>
      </sheetData>
      <sheetData sheetId="357">
        <row r="65">
          <cell r="A65" t="str">
            <v>(II)</v>
          </cell>
        </row>
      </sheetData>
      <sheetData sheetId="358">
        <row r="65">
          <cell r="A65" t="str">
            <v>(II)</v>
          </cell>
        </row>
      </sheetData>
      <sheetData sheetId="359">
        <row r="65">
          <cell r="A65" t="str">
            <v>(II)</v>
          </cell>
        </row>
      </sheetData>
      <sheetData sheetId="360">
        <row r="65">
          <cell r="A65" t="str">
            <v>(II)</v>
          </cell>
        </row>
      </sheetData>
      <sheetData sheetId="361">
        <row r="65">
          <cell r="A65" t="str">
            <v>(II)</v>
          </cell>
        </row>
      </sheetData>
      <sheetData sheetId="362">
        <row r="65">
          <cell r="A65" t="str">
            <v>(II)</v>
          </cell>
        </row>
      </sheetData>
      <sheetData sheetId="363">
        <row r="65">
          <cell r="A65" t="str">
            <v>(II)</v>
          </cell>
        </row>
      </sheetData>
      <sheetData sheetId="364">
        <row r="65">
          <cell r="A65" t="str">
            <v>(II)</v>
          </cell>
        </row>
      </sheetData>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ow r="65">
          <cell r="A65" t="str">
            <v>(II)</v>
          </cell>
        </row>
      </sheetData>
      <sheetData sheetId="436">
        <row r="65">
          <cell r="A65" t="str">
            <v>(II)</v>
          </cell>
        </row>
      </sheetData>
      <sheetData sheetId="437">
        <row r="65">
          <cell r="A65" t="str">
            <v>(II)</v>
          </cell>
        </row>
      </sheetData>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sheetData sheetId="570">
        <row r="65">
          <cell r="A65" t="str">
            <v>(II)</v>
          </cell>
        </row>
      </sheetData>
      <sheetData sheetId="571">
        <row r="65">
          <cell r="A65" t="str">
            <v>(II)</v>
          </cell>
        </row>
      </sheetData>
      <sheetData sheetId="572"/>
      <sheetData sheetId="573"/>
      <sheetData sheetId="574"/>
      <sheetData sheetId="575"/>
      <sheetData sheetId="576"/>
      <sheetData sheetId="577"/>
      <sheetData sheetId="578"/>
      <sheetData sheetId="579">
        <row r="65">
          <cell r="A65" t="str">
            <v>(II)</v>
          </cell>
        </row>
      </sheetData>
      <sheetData sheetId="580"/>
      <sheetData sheetId="581"/>
      <sheetData sheetId="582"/>
      <sheetData sheetId="583"/>
      <sheetData sheetId="584"/>
      <sheetData sheetId="585"/>
      <sheetData sheetId="586"/>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sheetData sheetId="604"/>
      <sheetData sheetId="605"/>
      <sheetData sheetId="606"/>
      <sheetData sheetId="607">
        <row r="65">
          <cell r="A65" t="str">
            <v>(II)</v>
          </cell>
        </row>
      </sheetData>
      <sheetData sheetId="608"/>
      <sheetData sheetId="609">
        <row r="65">
          <cell r="A65" t="str">
            <v>(II)</v>
          </cell>
        </row>
      </sheetData>
      <sheetData sheetId="610"/>
      <sheetData sheetId="611">
        <row r="65">
          <cell r="A65" t="str">
            <v>(II)</v>
          </cell>
        </row>
      </sheetData>
      <sheetData sheetId="612"/>
      <sheetData sheetId="613"/>
      <sheetData sheetId="614"/>
      <sheetData sheetId="615"/>
      <sheetData sheetId="616">
        <row r="65">
          <cell r="A65" t="str">
            <v>(II)</v>
          </cell>
        </row>
      </sheetData>
      <sheetData sheetId="617"/>
      <sheetData sheetId="618"/>
      <sheetData sheetId="619"/>
      <sheetData sheetId="620"/>
      <sheetData sheetId="621"/>
      <sheetData sheetId="622"/>
      <sheetData sheetId="623"/>
      <sheetData sheetId="624"/>
      <sheetData sheetId="625"/>
      <sheetData sheetId="626"/>
      <sheetData sheetId="627"/>
      <sheetData sheetId="628" refreshError="1"/>
      <sheetData sheetId="629" refreshError="1"/>
      <sheetData sheetId="630" refreshError="1"/>
      <sheetData sheetId="631" refreshError="1"/>
      <sheetData sheetId="632"/>
      <sheetData sheetId="633"/>
      <sheetData sheetId="634"/>
      <sheetData sheetId="635"/>
      <sheetData sheetId="636"/>
      <sheetData sheetId="637" refreshError="1"/>
      <sheetData sheetId="638" refreshError="1"/>
      <sheetData sheetId="639" refreshError="1"/>
      <sheetData sheetId="640" refreshError="1"/>
      <sheetData sheetId="641" refreshError="1"/>
      <sheetData sheetId="642" refreshError="1"/>
      <sheetData sheetId="643" refreshError="1"/>
      <sheetData sheetId="644">
        <row r="65">
          <cell r="A65" t="str">
            <v>(II)</v>
          </cell>
        </row>
      </sheetData>
      <sheetData sheetId="645"/>
      <sheetData sheetId="646"/>
      <sheetData sheetId="647"/>
      <sheetData sheetId="648"/>
      <sheetData sheetId="649"/>
      <sheetData sheetId="650"/>
      <sheetData sheetId="651"/>
      <sheetData sheetId="652"/>
      <sheetData sheetId="653"/>
      <sheetData sheetId="654"/>
      <sheetData sheetId="655"/>
      <sheetData sheetId="656"/>
      <sheetData sheetId="657">
        <row r="65">
          <cell r="A65" t="str">
            <v>(II)</v>
          </cell>
        </row>
      </sheetData>
      <sheetData sheetId="658"/>
      <sheetData sheetId="659"/>
      <sheetData sheetId="660"/>
      <sheetData sheetId="661"/>
      <sheetData sheetId="662"/>
      <sheetData sheetId="663"/>
      <sheetData sheetId="664"/>
      <sheetData sheetId="665"/>
      <sheetData sheetId="666">
        <row r="65">
          <cell r="A65" t="str">
            <v>(II)</v>
          </cell>
        </row>
      </sheetData>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row r="65">
          <cell r="A65" t="str">
            <v>(II)</v>
          </cell>
        </row>
      </sheetData>
      <sheetData sheetId="681"/>
      <sheetData sheetId="682"/>
      <sheetData sheetId="683"/>
      <sheetData sheetId="684"/>
      <sheetData sheetId="685"/>
      <sheetData sheetId="686"/>
      <sheetData sheetId="687"/>
      <sheetData sheetId="688" refreshError="1"/>
      <sheetData sheetId="689" refreshError="1"/>
      <sheetData sheetId="690" refreshError="1"/>
      <sheetData sheetId="691" refreshError="1"/>
      <sheetData sheetId="692"/>
      <sheetData sheetId="693"/>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sheetData sheetId="703"/>
      <sheetData sheetId="704"/>
      <sheetData sheetId="705"/>
      <sheetData sheetId="706"/>
      <sheetData sheetId="707"/>
      <sheetData sheetId="708"/>
      <sheetData sheetId="709"/>
      <sheetData sheetId="710"/>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sheetData sheetId="735"/>
      <sheetData sheetId="736"/>
      <sheetData sheetId="737">
        <row r="65">
          <cell r="A65" t="str">
            <v>(II)</v>
          </cell>
        </row>
      </sheetData>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sheetData sheetId="836"/>
      <sheetData sheetId="837"/>
      <sheetData sheetId="838"/>
      <sheetData sheetId="839"/>
      <sheetData sheetId="840" refreshError="1"/>
      <sheetData sheetId="841" refreshError="1"/>
      <sheetData sheetId="842" refreshError="1"/>
      <sheetData sheetId="843" refreshError="1"/>
      <sheetData sheetId="84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trag"/>
      <sheetName val="Prämissen1"/>
      <sheetName val="Prämissen2"/>
      <sheetName val="Prämissen3"/>
      <sheetName val="Ausgabenplan"/>
      <sheetName val="kalkAbschreib"/>
      <sheetName val="Seite 1"/>
      <sheetName val="Seite 2"/>
      <sheetName val="Seite 3"/>
      <sheetName val="Modul1"/>
    </sheetNames>
    <sheetDataSet>
      <sheetData sheetId="0" refreshError="1">
        <row r="32">
          <cell r="E32">
            <v>1</v>
          </cell>
          <cell r="F32">
            <v>2</v>
          </cell>
          <cell r="G32">
            <v>3</v>
          </cell>
          <cell r="H32">
            <v>4</v>
          </cell>
          <cell r="I32">
            <v>5</v>
          </cell>
          <cell r="J32">
            <v>6</v>
          </cell>
          <cell r="K32">
            <v>7</v>
          </cell>
          <cell r="L32">
            <v>8</v>
          </cell>
          <cell r="M32">
            <v>9</v>
          </cell>
          <cell r="N32">
            <v>10</v>
          </cell>
          <cell r="O32">
            <v>11</v>
          </cell>
          <cell r="P32">
            <v>12</v>
          </cell>
          <cell r="Q32">
            <v>13</v>
          </cell>
          <cell r="R32">
            <v>14</v>
          </cell>
          <cell r="S32">
            <v>15</v>
          </cell>
          <cell r="T32">
            <v>16</v>
          </cell>
          <cell r="U32">
            <v>17</v>
          </cell>
          <cell r="V32">
            <v>18</v>
          </cell>
          <cell r="W32">
            <v>19</v>
          </cell>
          <cell r="X32">
            <v>20</v>
          </cell>
        </row>
        <row r="77">
          <cell r="E77">
            <v>-3.2223499999999996</v>
          </cell>
          <cell r="F77">
            <v>-0.94346499999999922</v>
          </cell>
          <cell r="G77">
            <v>1.7632630000000009</v>
          </cell>
          <cell r="H77">
            <v>4.6448224900000001</v>
          </cell>
          <cell r="I77">
            <v>7.7085514772000021</v>
          </cell>
          <cell r="J77">
            <v>10.962154964641002</v>
          </cell>
          <cell r="K77">
            <v>14.413723303861483</v>
          </cell>
          <cell r="L77">
            <v>18.071751465272641</v>
          </cell>
          <cell r="M77">
            <v>21.945159272140902</v>
          </cell>
          <cell r="N77">
            <v>26.043312646360715</v>
          </cell>
          <cell r="O77">
            <v>0</v>
          </cell>
          <cell r="P77">
            <v>0</v>
          </cell>
          <cell r="Q77">
            <v>0</v>
          </cell>
          <cell r="R77">
            <v>0</v>
          </cell>
          <cell r="S77">
            <v>0</v>
          </cell>
          <cell r="T77">
            <v>0</v>
          </cell>
          <cell r="U77">
            <v>0</v>
          </cell>
          <cell r="V77">
            <v>0</v>
          </cell>
          <cell r="W77">
            <v>0</v>
          </cell>
          <cell r="X77">
            <v>0</v>
          </cell>
        </row>
        <row r="78">
          <cell r="E78">
            <v>-4.4196174999999993</v>
          </cell>
          <cell r="F78">
            <v>-3.2562527499999998</v>
          </cell>
          <cell r="G78">
            <v>-1.9431429499999995</v>
          </cell>
          <cell r="H78">
            <v>-0.56884212849999949</v>
          </cell>
          <cell r="I78">
            <v>0.86921801702000079</v>
          </cell>
          <cell r="J78">
            <v>2.3737342376243507</v>
          </cell>
          <cell r="K78">
            <v>3.9475381563515186</v>
          </cell>
          <cell r="L78">
            <v>5.5936030128454242</v>
          </cell>
          <cell r="M78">
            <v>7.315050745249315</v>
          </cell>
          <cell r="N78">
            <v>9.1151594262262474</v>
          </cell>
          <cell r="O78">
            <v>0</v>
          </cell>
          <cell r="P78">
            <v>0</v>
          </cell>
          <cell r="Q78">
            <v>0</v>
          </cell>
          <cell r="R78">
            <v>0</v>
          </cell>
          <cell r="S78">
            <v>0</v>
          </cell>
          <cell r="T78">
            <v>0</v>
          </cell>
          <cell r="U78">
            <v>0</v>
          </cell>
          <cell r="V78">
            <v>0</v>
          </cell>
          <cell r="W78">
            <v>0</v>
          </cell>
          <cell r="X78">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oup financial statements"/>
      <sheetName val="MS Parameters"/>
    </sheetNames>
    <sheetDataSet>
      <sheetData sheetId="0">
        <row r="8">
          <cell r="F8">
            <v>312.76753609571767</v>
          </cell>
        </row>
        <row r="33">
          <cell r="D33" t="str">
            <v>in €m</v>
          </cell>
          <cell r="E33">
            <v>0</v>
          </cell>
          <cell r="F33" t="str">
            <v>FY09Act</v>
          </cell>
          <cell r="G33" t="str">
            <v>FY10Act</v>
          </cell>
          <cell r="H33" t="str">
            <v>FY11Act</v>
          </cell>
          <cell r="I33" t="str">
            <v>FY12Act</v>
          </cell>
          <cell r="J33" t="str">
            <v>FY13Plan</v>
          </cell>
          <cell r="K33" t="str">
            <v>FY14Plan</v>
          </cell>
          <cell r="L33" t="str">
            <v>FY15Plan</v>
          </cell>
        </row>
        <row r="34">
          <cell r="D34" t="str">
            <v>Net income</v>
          </cell>
          <cell r="E34">
            <v>0</v>
          </cell>
          <cell r="F34">
            <v>110.58056811539936</v>
          </cell>
          <cell r="G34">
            <v>76.49416385937306</v>
          </cell>
          <cell r="H34">
            <v>86.454433349478691</v>
          </cell>
          <cell r="I34">
            <v>27.871415059724406</v>
          </cell>
          <cell r="J34">
            <v>54.899425326496669</v>
          </cell>
          <cell r="K34">
            <v>75.261607983067307</v>
          </cell>
          <cell r="L34">
            <v>69.277451824391491</v>
          </cell>
        </row>
        <row r="35">
          <cell r="D35" t="str">
            <v>Extraordinary Non-Cash Effective Earnings</v>
          </cell>
          <cell r="E35">
            <v>0</v>
          </cell>
          <cell r="F35">
            <v>-134.6</v>
          </cell>
          <cell r="G35">
            <v>-4.5999999999999996</v>
          </cell>
          <cell r="H35">
            <v>-17.399999999999999</v>
          </cell>
          <cell r="I35">
            <v>0</v>
          </cell>
          <cell r="J35">
            <v>-4.8899999999999997</v>
          </cell>
          <cell r="K35">
            <v>0</v>
          </cell>
          <cell r="L35">
            <v>0</v>
          </cell>
        </row>
        <row r="36">
          <cell r="D36" t="str">
            <v>Depreciation</v>
          </cell>
          <cell r="E36">
            <v>0</v>
          </cell>
          <cell r="F36">
            <v>17.5</v>
          </cell>
          <cell r="G36">
            <v>29.8</v>
          </cell>
          <cell r="H36">
            <v>42.8</v>
          </cell>
          <cell r="I36">
            <v>35.409501198793613</v>
          </cell>
          <cell r="J36">
            <v>29.786104755472259</v>
          </cell>
          <cell r="K36">
            <v>27.122802786627883</v>
          </cell>
          <cell r="L36">
            <v>27.122802786627883</v>
          </cell>
        </row>
        <row r="37">
          <cell r="D37" t="str">
            <v>Interest Result</v>
          </cell>
          <cell r="E37">
            <v>0</v>
          </cell>
          <cell r="F37">
            <v>18</v>
          </cell>
          <cell r="G37">
            <v>5.4</v>
          </cell>
          <cell r="H37">
            <v>9.1</v>
          </cell>
          <cell r="I37">
            <v>6.8639541718331438</v>
          </cell>
          <cell r="J37">
            <v>13.536722299971595</v>
          </cell>
          <cell r="K37">
            <v>2.4633520159197113</v>
          </cell>
          <cell r="L37">
            <v>11.15535080261302</v>
          </cell>
        </row>
        <row r="38">
          <cell r="D38" t="str">
            <v>Trade Working Capital</v>
          </cell>
          <cell r="E38">
            <v>0</v>
          </cell>
          <cell r="F38">
            <v>31.4</v>
          </cell>
          <cell r="G38">
            <v>-0.4</v>
          </cell>
          <cell r="H38">
            <v>4.2</v>
          </cell>
          <cell r="I38">
            <v>-4.0646223065940177</v>
          </cell>
          <cell r="J38">
            <v>-30.760931224162473</v>
          </cell>
          <cell r="K38">
            <v>-4.6811288143415153</v>
          </cell>
          <cell r="L38">
            <v>-1.6027486354790246</v>
          </cell>
        </row>
        <row r="39">
          <cell r="D39" t="str">
            <v>Provisions / Tax</v>
          </cell>
          <cell r="E39">
            <v>0</v>
          </cell>
          <cell r="F39">
            <v>18.899999999999999</v>
          </cell>
          <cell r="G39">
            <v>-10.199999999999999</v>
          </cell>
          <cell r="H39">
            <v>-13.7</v>
          </cell>
          <cell r="I39">
            <v>-3.7</v>
          </cell>
          <cell r="J39">
            <v>0</v>
          </cell>
          <cell r="K39">
            <v>0</v>
          </cell>
          <cell r="L39">
            <v>0</v>
          </cell>
        </row>
        <row r="40">
          <cell r="D40" t="str">
            <v>Others Working Capital</v>
          </cell>
          <cell r="E40">
            <v>0</v>
          </cell>
          <cell r="F40">
            <v>0</v>
          </cell>
          <cell r="G40">
            <v>0</v>
          </cell>
          <cell r="H40">
            <v>0</v>
          </cell>
          <cell r="I40">
            <v>30.080813628732678</v>
          </cell>
          <cell r="J40">
            <v>-2.027539813694375</v>
          </cell>
          <cell r="K40">
            <v>-1.532985987812272</v>
          </cell>
          <cell r="L40">
            <v>-1.7612920446153839</v>
          </cell>
        </row>
        <row r="41">
          <cell r="D41" t="str">
            <v>Cash Flow from Operations</v>
          </cell>
          <cell r="E41">
            <v>0</v>
          </cell>
          <cell r="F41">
            <v>61.780568115399362</v>
          </cell>
          <cell r="G41">
            <v>96.49416385937306</v>
          </cell>
          <cell r="H41">
            <v>111.45443334947869</v>
          </cell>
          <cell r="I41">
            <v>92.461061752489826</v>
          </cell>
          <cell r="J41">
            <v>60.543781344083683</v>
          </cell>
          <cell r="K41">
            <v>98.633647983461117</v>
          </cell>
          <cell r="L41">
            <v>104.19156473353797</v>
          </cell>
        </row>
        <row r="42">
          <cell r="D42" t="str">
            <v>Capex including Disposal</v>
          </cell>
          <cell r="E42">
            <v>0</v>
          </cell>
          <cell r="F42">
            <v>-25.585923644905595</v>
          </cell>
          <cell r="G42">
            <v>-33.659087919946906</v>
          </cell>
          <cell r="H42">
            <v>-69.302279884303744</v>
          </cell>
          <cell r="I42">
            <v>-8.0016991391018895</v>
          </cell>
          <cell r="J42">
            <v>-18.520067106778797</v>
          </cell>
          <cell r="K42">
            <v>-21.922643816298013</v>
          </cell>
          <cell r="L42">
            <v>-17.544</v>
          </cell>
        </row>
        <row r="43">
          <cell r="D43" t="str">
            <v>Cash Flow from Investments</v>
          </cell>
          <cell r="E43">
            <v>0</v>
          </cell>
          <cell r="F43">
            <v>-25.585923644905595</v>
          </cell>
          <cell r="G43">
            <v>-33.659087919946906</v>
          </cell>
          <cell r="H43">
            <v>-69.302279884303744</v>
          </cell>
          <cell r="I43">
            <v>-8.0016991391018895</v>
          </cell>
          <cell r="J43">
            <v>-18.520067106778797</v>
          </cell>
          <cell r="K43">
            <v>-21.922643816298013</v>
          </cell>
          <cell r="L43">
            <v>-17.544</v>
          </cell>
        </row>
        <row r="44">
          <cell r="D44" t="str">
            <v xml:space="preserve">Free Cash Flow </v>
          </cell>
          <cell r="E44">
            <v>0</v>
          </cell>
          <cell r="F44">
            <v>36.19464447049377</v>
          </cell>
          <cell r="G44">
            <v>62.835075939426154</v>
          </cell>
          <cell r="H44">
            <v>42.152153465174948</v>
          </cell>
          <cell r="I44">
            <v>84.459362613387938</v>
          </cell>
          <cell r="J44">
            <v>42.023714237304887</v>
          </cell>
          <cell r="K44">
            <v>76.711004167163111</v>
          </cell>
          <cell r="L44">
            <v>86.647564733537976</v>
          </cell>
        </row>
      </sheetData>
      <sheetData sheetId="1"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ISBL"/>
      <sheetName val="OSBL"/>
      <sheetName val="PGW"/>
      <sheetName val="EW"/>
      <sheetName val="TOWNSHIP"/>
      <sheetName val="FREE"/>
      <sheetName val="Sheet2"/>
      <sheetName val="Sheet1"/>
      <sheetName val="PROC"/>
      <sheetName val="ADMN."/>
      <sheetName val="CASHFLOW"/>
      <sheetName val="COMP"/>
    </sheetNames>
    <sheetDataSet>
      <sheetData sheetId="0" refreshError="1"/>
      <sheetData sheetId="1"/>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XX"/>
      <sheetName val="bsvertical"/>
      <sheetName val="sch1"/>
      <sheetName val="Sheet1"/>
      <sheetName val="sch2"/>
      <sheetName val="sch3"/>
      <sheetName val="sch4"/>
      <sheetName val="sch5"/>
      <sheetName val="sch6-btd"/>
      <sheetName val="sch8,9,10,11"/>
      <sheetName val="sch12,13,14"/>
      <sheetName val="B Sheet"/>
      <sheetName val="PreOp"/>
      <sheetName val="DET0900"/>
      <sheetName val="Loa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_Assets Sold"/>
      <sheetName val="Depreciation (2)"/>
      <sheetName val="Assets Sales"/>
      <sheetName val="Depreciation"/>
      <sheetName val="FurnFixt"/>
      <sheetName val="FF Equip."/>
      <sheetName val="Fact.Equip."/>
      <sheetName val="Electr.l Instll."/>
      <sheetName val="Dies &amp; Molds"/>
      <sheetName val="Office Equip."/>
      <sheetName val="Vehicles"/>
      <sheetName val="Compu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M April to June "/>
      <sheetName val="WM Apr to Jun 01"/>
      <sheetName val="RKL MAR 02 "/>
      <sheetName val="RKL FEB 02"/>
      <sheetName val="RKL JAN 02"/>
      <sheetName val="Sheet2"/>
      <sheetName val="Sheet1"/>
      <sheetName val="RKL DEC 01 "/>
      <sheetName val="RKL NOV 01"/>
      <sheetName val="RKL OCT 01"/>
      <sheetName val="RKL Sept 01"/>
      <sheetName val="RKL AUG 01"/>
      <sheetName val="RKL JULY 01"/>
      <sheetName val=" RKL April to Jun 01"/>
      <sheetName val="RK Apr to Dec 01"/>
      <sheetName val="RK JAN Mar 01"/>
      <sheetName val="RKL Jan to March 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日程"/>
      <sheetName val="決算出日"/>
      <sheetName val="９月次日程"/>
      <sheetName val="10月次日程"/>
      <sheetName val="8月次日程"/>
      <sheetName val="4月次日程"/>
      <sheetName val="10月決算日程"/>
      <sheetName val="決算出日 (2)"/>
      <sheetName val="88KI Q4 ECU 15.12.11  CHANGe"/>
      <sheetName val="detail"/>
      <sheetName val="Sheet1"/>
      <sheetName val="決算出日_(2)"/>
      <sheetName val="日程表"/>
      <sheetName val="Bal_Gr"/>
      <sheetName val="YSS31"/>
      <sheetName val="Financials_toggle"/>
    </sheetNames>
    <sheetDataSet>
      <sheetData sheetId="0">
        <row r="1">
          <cell r="E1" t="str">
            <v>平成９年１０月３０日</v>
          </cell>
        </row>
      </sheetData>
      <sheetData sheetId="1" refreshError="1">
        <row r="5">
          <cell r="B5" t="str">
            <v>各事業所責任者殿 経由 担当者殿</v>
          </cell>
          <cell r="H5" t="str">
            <v xml:space="preserve">      H9年 9月24日</v>
          </cell>
        </row>
        <row r="6">
          <cell r="H6" t="str">
            <v xml:space="preserve">      第　二　経　理　課</v>
          </cell>
        </row>
        <row r="11">
          <cell r="N11" t="str">
            <v>_x001B_［９７年９月期（５７上期）決算日程_x001B_]</v>
          </cell>
        </row>
        <row r="12">
          <cell r="C12" t="str">
            <v>　いつもお世話になります。</v>
          </cell>
        </row>
        <row r="13">
          <cell r="C13" t="str">
            <v xml:space="preserve">  早速ですが､ 第57上期決算日程､ 留意事項をご連絡致しますので</v>
          </cell>
          <cell r="L13" t="str">
            <v>NO</v>
          </cell>
          <cell r="M13" t="str">
            <v>伝票名</v>
          </cell>
          <cell r="O13" t="str">
            <v>対象期間</v>
          </cell>
          <cell r="P13" t="str">
            <v>一次締切日</v>
          </cell>
          <cell r="Q13" t="str">
            <v>対象期間</v>
          </cell>
          <cell r="R13" t="str">
            <v xml:space="preserve">         最終提出日</v>
          </cell>
        </row>
        <row r="14">
          <cell r="C14" t="str">
            <v xml:space="preserve">  下記項目に留意され、日程通り速やかに処理して頂きます様</v>
          </cell>
        </row>
        <row r="15">
          <cell r="C15" t="str">
            <v xml:space="preserve">  お願い申しあげます。</v>
          </cell>
          <cell r="L15">
            <v>1</v>
          </cell>
          <cell r="M15" t="str">
            <v>　現預金入出金</v>
          </cell>
          <cell r="O15" t="str">
            <v xml:space="preserve"> 1日～20日</v>
          </cell>
          <cell r="P15" t="str">
            <v>9/26(金)定時</v>
          </cell>
          <cell r="Q15" t="str">
            <v>21日～30日</v>
          </cell>
          <cell r="R15" t="str">
            <v>10/1(水)定時迄に 狭山総務小野迄提出</v>
          </cell>
        </row>
        <row r="16">
          <cell r="M16" t="str">
            <v xml:space="preserve">  会計伝票</v>
          </cell>
          <cell r="R16" t="str">
            <v xml:space="preserve"> 鈴鹿は10/3（金）着 第二経理目黒迄提出</v>
          </cell>
        </row>
        <row r="17">
          <cell r="E17" t="str">
            <v>　　記</v>
          </cell>
          <cell r="M17" t="str">
            <v>　購買支払伝票</v>
          </cell>
          <cell r="R17" t="str">
            <v>事務用品.包装材等の伝票は10/1午前中</v>
          </cell>
        </row>
        <row r="18">
          <cell r="L18">
            <v>2</v>
          </cell>
          <cell r="M18" t="str">
            <v xml:space="preserve">   ･購買伝票</v>
          </cell>
          <cell r="O18" t="str">
            <v xml:space="preserve"> 1日～20日</v>
          </cell>
          <cell r="P18" t="str">
            <v>9/26(金)定時</v>
          </cell>
          <cell r="Q18" t="str">
            <v>21日～30日</v>
          </cell>
          <cell r="R18" t="str">
            <v>委託作業費の伝票は10/1定時迄。ただし</v>
          </cell>
        </row>
        <row r="19">
          <cell r="C19" t="str">
            <v>1.決算日　　平成9年9月30日</v>
          </cell>
          <cell r="R19" t="str">
            <v>鈴鹿は10/2迄。提出は狭山直材長山迄</v>
          </cell>
        </row>
        <row r="21">
          <cell r="C21" t="str">
            <v>2.対象期間  平成 9年 4月 1日～平成 9年 9月30日</v>
          </cell>
          <cell r="L21">
            <v>3</v>
          </cell>
          <cell r="M21" t="str">
            <v xml:space="preserve">  小口定期支払</v>
          </cell>
          <cell r="O21" t="str">
            <v xml:space="preserve">  10/3(金)定時迄に  狭山総務小野迄提出</v>
          </cell>
        </row>
        <row r="22">
          <cell r="M22" t="str">
            <v xml:space="preserve"> (未払費用計上)</v>
          </cell>
          <cell r="O22" t="str">
            <v xml:space="preserve">  鈴鹿は10/6（月）着 第二経理目黒迄提出</v>
          </cell>
        </row>
        <row r="23">
          <cell r="C23" t="str">
            <v>3.小口現金について</v>
          </cell>
        </row>
        <row r="24">
          <cell r="C24" t="str">
            <v xml:space="preserve">  原則的にゼロにする。残高は銀行預金へ入金すること。</v>
          </cell>
          <cell r="L24">
            <v>4</v>
          </cell>
          <cell r="M24" t="str">
            <v xml:space="preserve">  費用振替伝票</v>
          </cell>
          <cell r="O24" t="str">
            <v xml:space="preserve"> 1日～20日</v>
          </cell>
          <cell r="P24" t="str">
            <v>9/26(金)定時</v>
          </cell>
          <cell r="Q24" t="str">
            <v>21日～30日</v>
          </cell>
          <cell r="R24" t="str">
            <v xml:space="preserve">  10/2(水)定時迄に</v>
          </cell>
        </row>
        <row r="25">
          <cell r="M25" t="str">
            <v xml:space="preserve"> (部門間振替)</v>
          </cell>
          <cell r="R25" t="str">
            <v xml:space="preserve">  狭山総務小野迄提出</v>
          </cell>
        </row>
        <row r="26">
          <cell r="C26" t="str">
            <v>4.銀行預金について</v>
          </cell>
        </row>
        <row r="27">
          <cell r="C27" t="str">
            <v xml:space="preserve">  期末日の本社への送金は必要ありません。</v>
          </cell>
          <cell r="L27">
            <v>5</v>
          </cell>
          <cell r="M27" t="str">
            <v xml:space="preserve"> 補償申請書</v>
          </cell>
          <cell r="O27" t="str">
            <v>10/1(水)定時迄に  狭山直材課迄提出</v>
          </cell>
        </row>
        <row r="29">
          <cell r="C29" t="str">
            <v>5.出張旅費について</v>
          </cell>
        </row>
        <row r="30">
          <cell r="C30" t="str">
            <v xml:space="preserve"> (1)9/30までに帰着している場合は全て精算する。 9/30に現金入出金出来な</v>
          </cell>
          <cell r="L30">
            <v>6</v>
          </cell>
          <cell r="M30" t="str">
            <v xml:space="preserve"> 支払調整伝票-B</v>
          </cell>
          <cell r="O30" t="str">
            <v>10/1(水)午前中迄に  栃木購買二課提出</v>
          </cell>
        </row>
        <row r="31">
          <cell r="C31" t="str">
            <v xml:space="preserve">  　かった場合は未収入金, 未払費用計上して下さい。</v>
          </cell>
          <cell r="M31" t="str">
            <v xml:space="preserve"> ｸﾚ-ﾑ伝票,直材ﾊﾝﾄﾞ伝票</v>
          </cell>
        </row>
        <row r="32">
          <cell r="C32" t="str">
            <v xml:space="preserve"> (2)10/1以降に帰着した場合で仮払している時は仮払金を計上して下さい。</v>
          </cell>
        </row>
        <row r="33">
          <cell r="L33">
            <v>7</v>
          </cell>
          <cell r="M33" t="str">
            <v xml:space="preserve"> 部品振替伝票</v>
          </cell>
          <cell r="O33" t="str">
            <v xml:space="preserve"> 原票は10/ 1(水) 迄 第二経理目黒宛提出願います。</v>
          </cell>
        </row>
        <row r="34">
          <cell r="C34" t="str">
            <v xml:space="preserve">  ＊仮払10,000円の時は10,000円で</v>
          </cell>
          <cell r="M34" t="str">
            <v xml:space="preserve">  （内部消費分）</v>
          </cell>
        </row>
        <row r="35">
          <cell r="C35" t="str">
            <v>　  仮払金(1990)/旅費交通費(9500,7580)で計上。</v>
          </cell>
        </row>
        <row r="36">
          <cell r="L36">
            <v>8</v>
          </cell>
          <cell r="M36" t="str">
            <v xml:space="preserve"> 社内再検伝票</v>
          </cell>
          <cell r="O36" t="str">
            <v xml:space="preserve"> 10/2(木) 迄 第二経理目黒迄提出</v>
          </cell>
        </row>
        <row r="37">
          <cell r="C37" t="str">
            <v>6.仮払金について</v>
          </cell>
          <cell r="O37" t="str">
            <v xml:space="preserve">  鈴鹿は10/3（金）着 第二経理目黒迄提出</v>
          </cell>
        </row>
        <row r="38">
          <cell r="C38" t="str">
            <v>　決算日までに精算する。</v>
          </cell>
          <cell r="M38" t="str">
            <v>＊上記提出日程に間に合わない場合は第二経理課担当者まで連絡して下さい。</v>
          </cell>
        </row>
        <row r="39">
          <cell r="M39" t="str">
            <v>尚、購買伝票については購買部経由第二経理課の締切が、稼働３日目となっておりますので</v>
          </cell>
        </row>
        <row r="40">
          <cell r="C40" t="str">
            <v>7.小口定期支払について</v>
          </cell>
          <cell r="M40" t="str">
            <v>日程厳守でお願い致します。</v>
          </cell>
        </row>
        <row r="41">
          <cell r="C41" t="str">
            <v xml:space="preserve">  飲食代等で9/30までに利用又は購入分で10/1以降の支払分は</v>
          </cell>
        </row>
        <row r="42">
          <cell r="C42" t="str">
            <v>　必ず未払費用計上して下さい。</v>
          </cell>
        </row>
        <row r="43">
          <cell r="C43" t="str">
            <v>8.内訳調書について(用紙は別便にて送付致します）</v>
          </cell>
        </row>
        <row r="44">
          <cell r="C44" t="str">
            <v xml:space="preserve"> 　(1)現金　残高ゼロで記入して下さい。</v>
          </cell>
        </row>
        <row r="45">
          <cell r="C45" t="str">
            <v>　　　　　　責任者の証明を入れて下さい。</v>
          </cell>
        </row>
        <row r="46">
          <cell r="D46" t="str">
            <v>　　『上記の通り相違ない事を証明致します。』</v>
          </cell>
        </row>
        <row r="47">
          <cell r="D47" t="str">
            <v>　　　　　平成9年9月30日</v>
          </cell>
        </row>
        <row r="48">
          <cell r="D48" t="str">
            <v>　　　ＸＸ事業所 　　　○○○○　印</v>
          </cell>
        </row>
        <row r="49">
          <cell r="D49" t="str">
            <v>　　＊印鑑は個人印を捺印して下さい。</v>
          </cell>
        </row>
        <row r="51">
          <cell r="C51" t="str">
            <v xml:space="preserve">   (2)銀行預金</v>
          </cell>
        </row>
        <row r="52">
          <cell r="C52" t="str">
            <v xml:space="preserve">      残高証明書を添付する。----１部 (銀行指定の用紙を使用)</v>
          </cell>
        </row>
        <row r="54">
          <cell r="C54" t="str">
            <v xml:space="preserve">   (3)未払費用</v>
          </cell>
        </row>
        <row r="55">
          <cell r="C55" t="str">
            <v>　　　定期支払一覧表より記入して下さい。</v>
          </cell>
        </row>
        <row r="57">
          <cell r="C57" t="str">
            <v xml:space="preserve">   (4)内訳調書の提出日 10/ 3(金)</v>
          </cell>
        </row>
        <row r="58">
          <cell r="AC58">
            <v>1.9135802469135805</v>
          </cell>
          <cell r="AD58">
            <v>1.1111111111111112</v>
          </cell>
        </row>
        <row r="115">
          <cell r="O115" t="str">
            <v>_x001B_[９月度決算日程_x001B_]</v>
          </cell>
        </row>
        <row r="116">
          <cell r="L116" t="str">
            <v>NO</v>
          </cell>
          <cell r="M116" t="str">
            <v>伝票名</v>
          </cell>
          <cell r="O116" t="str">
            <v>対象期間</v>
          </cell>
          <cell r="P116" t="str">
            <v>一次締切日</v>
          </cell>
          <cell r="Q116" t="str">
            <v>対象期間</v>
          </cell>
          <cell r="R116" t="str">
            <v xml:space="preserve">         最終提出日</v>
          </cell>
        </row>
        <row r="118">
          <cell r="L118">
            <v>1</v>
          </cell>
          <cell r="M118" t="str">
            <v>　現預金入出金</v>
          </cell>
          <cell r="O118" t="str">
            <v xml:space="preserve"> 1日～22日</v>
          </cell>
          <cell r="P118" t="str">
            <v>9/25(水)定時</v>
          </cell>
          <cell r="Q118" t="str">
            <v>23日～30日</v>
          </cell>
          <cell r="R118" t="str">
            <v xml:space="preserve">  10/2(水)定時迄に</v>
          </cell>
        </row>
        <row r="119">
          <cell r="M119" t="str">
            <v xml:space="preserve">  会計伝票Ａ</v>
          </cell>
          <cell r="R119" t="str">
            <v xml:space="preserve">          狭山総務上村迄提出</v>
          </cell>
        </row>
        <row r="120">
          <cell r="M120" t="str">
            <v>　購買支払伝票</v>
          </cell>
        </row>
        <row r="121">
          <cell r="L121">
            <v>2</v>
          </cell>
          <cell r="M121" t="str">
            <v xml:space="preserve">   ･購買伝票</v>
          </cell>
          <cell r="O121" t="str">
            <v xml:space="preserve"> 1日～22日</v>
          </cell>
          <cell r="P121" t="str">
            <v>9/25(水)定時</v>
          </cell>
          <cell r="Q121" t="str">
            <v>23日～30日</v>
          </cell>
          <cell r="R121" t="str">
            <v xml:space="preserve"> 10/ 1(火)</v>
          </cell>
        </row>
        <row r="122">
          <cell r="M122" t="str">
            <v xml:space="preserve">   ･支払調整伝票-B</v>
          </cell>
          <cell r="R122" t="str">
            <v xml:space="preserve"> 但、鈴鹿は 10/ 2(水)</v>
          </cell>
        </row>
        <row r="124">
          <cell r="L124">
            <v>3</v>
          </cell>
          <cell r="M124" t="str">
            <v xml:space="preserve">  小口定期支払</v>
          </cell>
          <cell r="O124" t="str">
            <v xml:space="preserve">  10/3(木)定時迄に  狭山総務上村迄提出</v>
          </cell>
        </row>
        <row r="125">
          <cell r="M125" t="str">
            <v xml:space="preserve"> (未払費用計上)</v>
          </cell>
        </row>
        <row r="127">
          <cell r="L127">
            <v>4</v>
          </cell>
          <cell r="M127" t="str">
            <v xml:space="preserve">  費用振替伝票</v>
          </cell>
          <cell r="O127" t="str">
            <v xml:space="preserve"> 1日～22日</v>
          </cell>
          <cell r="P127" t="str">
            <v>9/25(水)定時</v>
          </cell>
          <cell r="Q127" t="str">
            <v>23日～30日</v>
          </cell>
          <cell r="R127" t="str">
            <v xml:space="preserve">  10/2(水)定時迄に</v>
          </cell>
        </row>
        <row r="128">
          <cell r="M128" t="str">
            <v xml:space="preserve"> (部門間振替)</v>
          </cell>
          <cell r="R128" t="str">
            <v xml:space="preserve">          狭山総務上村迄提出</v>
          </cell>
        </row>
        <row r="130">
          <cell r="L130">
            <v>5</v>
          </cell>
          <cell r="M130" t="str">
            <v xml:space="preserve">  関係会社請求伝票</v>
          </cell>
          <cell r="O130" t="str">
            <v xml:space="preserve"> 10/2(水)定時迄に  狭山総務上村迄提出</v>
          </cell>
        </row>
        <row r="131">
          <cell r="M131" t="str">
            <v xml:space="preserve">  (HADから請求)</v>
          </cell>
        </row>
        <row r="133">
          <cell r="L133">
            <v>6</v>
          </cell>
          <cell r="M133" t="str">
            <v xml:space="preserve">  関係会社請求伝票</v>
          </cell>
          <cell r="O133" t="str">
            <v xml:space="preserve"> 10/4(金)定時迄に  狭山総務上村迄提出</v>
          </cell>
        </row>
        <row r="134">
          <cell r="M134" t="str">
            <v xml:space="preserve"> (HM各社から請求)</v>
          </cell>
          <cell r="O134" t="str">
            <v>　＊ＦＡＸにて承認の連絡お願いします。</v>
          </cell>
        </row>
        <row r="135">
          <cell r="O135" t="str">
            <v xml:space="preserve">  1日・19日の定期送金は送金日の稼働４日前に</v>
          </cell>
        </row>
        <row r="136">
          <cell r="L136">
            <v>7</v>
          </cell>
          <cell r="O136" t="str">
            <v xml:space="preserve">  緊急送金は送金日の稼働３日前に</v>
          </cell>
        </row>
        <row r="137">
          <cell r="O137" t="str">
            <v xml:space="preserve">  HAD-H 経理部迄ＦＡＸをお願いします。</v>
          </cell>
        </row>
        <row r="138">
          <cell r="M138" t="str">
            <v>　直材支払伝票</v>
          </cell>
        </row>
        <row r="139">
          <cell r="L139">
            <v>8</v>
          </cell>
          <cell r="M139" t="str">
            <v xml:space="preserve"> ･支払調整伝票-B</v>
          </cell>
          <cell r="O139" t="str">
            <v xml:space="preserve"> 1日～22日</v>
          </cell>
          <cell r="P139" t="str">
            <v>9/25(水)定時</v>
          </cell>
          <cell r="Q139" t="str">
            <v>23日～30日</v>
          </cell>
          <cell r="R139" t="str">
            <v xml:space="preserve"> 10/ 1(火)定時迄</v>
          </cell>
        </row>
        <row r="140">
          <cell r="M140" t="str">
            <v xml:space="preserve"> ･補償申請書.ﾊﾝﾄﾞ伝</v>
          </cell>
        </row>
        <row r="141">
          <cell r="M141" t="str">
            <v>・雑品伝票</v>
          </cell>
          <cell r="O141" t="str">
            <v xml:space="preserve">  原票は 9/30(月) 午前中迄</v>
          </cell>
        </row>
        <row r="142">
          <cell r="L142">
            <v>9</v>
          </cell>
          <cell r="M142" t="str">
            <v>・部品振替伝票</v>
          </cell>
          <cell r="O142" t="str">
            <v xml:space="preserve">  遅れるものは10/1(火)朝一番に</v>
          </cell>
        </row>
        <row r="143">
          <cell r="M143" t="str">
            <v>　　　(売上計上分)</v>
          </cell>
          <cell r="O143" t="str">
            <v xml:space="preserve">  狭山総務上村宛連絡願います。</v>
          </cell>
        </row>
        <row r="145">
          <cell r="L145">
            <v>10</v>
          </cell>
          <cell r="M145" t="str">
            <v xml:space="preserve">  内部消費検収分</v>
          </cell>
          <cell r="O145" t="str">
            <v xml:space="preserve"> 10/4(金)定時迄に  狭山総務上村迄提出</v>
          </cell>
        </row>
        <row r="146">
          <cell r="M146" t="str">
            <v xml:space="preserve">  会計伝票 </v>
          </cell>
        </row>
        <row r="148">
          <cell r="M148" t="str">
            <v>上記提出日程に間に合わない場合は経理部担当者まで連絡して下さい。</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Assumptions"/>
      <sheetName val="Schedules Bucket 1"/>
      <sheetName val="Cash Flows Bucket 1"/>
      <sheetName val="Capital Structure Bucket 1"/>
      <sheetName val="Tax Bucket 1"/>
      <sheetName val="Schedules"/>
      <sheetName val="Cash Flows"/>
      <sheetName val="Tax"/>
      <sheetName val="Capital Structure"/>
      <sheetName val="Return Matrices"/>
      <sheetName val="PPT View of Lenders"/>
      <sheetName val="Output - Scenarios"/>
      <sheetName val="Pre_Post_Debt Summary"/>
      <sheetName val="Workings"/>
      <sheetName val="Bridge"/>
      <sheetName val="List of Creditors_BSL"/>
      <sheetName val="BSL Debt File-Input Tab"/>
      <sheetName val="Sheet1"/>
      <sheetName val="Disclaimer"/>
      <sheetName val="Contents"/>
      <sheetName val="ValsY"/>
      <sheetName val="FSY"/>
      <sheetName val="FSQ"/>
      <sheetName val="Ratios"/>
      <sheetName val="InputsM"/>
      <sheetName val="InputsQ"/>
      <sheetName val="ConstFundingM"/>
      <sheetName val="DebtEquityQ"/>
      <sheetName val="FADepQ"/>
      <sheetName val="Gen"/>
      <sheetName val="Rev"/>
      <sheetName val="Exp"/>
      <sheetName val="TariffCalc"/>
      <sheetName val="Wcap"/>
      <sheetName val="Checks"/>
      <sheetName val="Circularity"/>
      <sheetName val="Timelines"/>
      <sheetName val="Template"/>
      <sheetName val="BabandhThermal_v29_v2_(b)"/>
    </sheetNames>
    <sheetDataSet>
      <sheetData sheetId="0"/>
      <sheetData sheetId="1"/>
      <sheetData sheetId="2"/>
      <sheetData sheetId="3"/>
      <sheetData sheetId="4"/>
      <sheetData sheetId="5"/>
      <sheetData sheetId="6"/>
      <sheetData sheetId="7">
        <row r="11">
          <cell r="F11">
            <v>3739.3535766221794</v>
          </cell>
        </row>
      </sheetData>
      <sheetData sheetId="8" refreshError="1"/>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row r="7">
          <cell r="A7" t="str">
            <v>All Checks are OK</v>
          </cell>
        </row>
        <row r="11">
          <cell r="F11">
            <v>0.01</v>
          </cell>
        </row>
      </sheetData>
      <sheetData sheetId="36" refreshError="1"/>
      <sheetData sheetId="37" refreshError="1"/>
      <sheetData sheetId="38" refreshError="1"/>
      <sheetData sheetId="39"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ory Count Sheet "/>
      <sheetName val="Tickmarks"/>
      <sheetName val="Scope"/>
      <sheetName val="XREF"/>
      <sheetName val="QTY. PROV.LAB"/>
      <sheetName val="PGW-ACCOUNTS"/>
      <sheetName val="XL4Poppy"/>
      <sheetName val="Additions"/>
      <sheetName val="Summary"/>
      <sheetName val="TOD- Additions"/>
      <sheetName val="Company"/>
      <sheetName val="Summary-TDS"/>
      <sheetName val="Int on STDeposit"/>
      <sheetName val="SCH4 to 6"/>
      <sheetName val="PL"/>
      <sheetName val="Sch - 13"/>
      <sheetName val="Sch 10 to 12"/>
      <sheetName val="B S"/>
      <sheetName val="SCH 7 to 9"/>
      <sheetName val="SC1,2"/>
      <sheetName val="Lead Sheet"/>
      <sheetName val="3.Summary"/>
      <sheetName val="TAB 1"/>
      <sheetName val="2.Control Sheet"/>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1. Instructions"/>
      <sheetName val="2.Control Sheet"/>
      <sheetName val="TAB 1"/>
      <sheetName val="TAB 2"/>
      <sheetName val="TAB 3"/>
      <sheetName val="TAB 4"/>
      <sheetName val="TAB 5"/>
      <sheetName val="TAB 6"/>
      <sheetName val="TAB 7"/>
      <sheetName val="TAB 8"/>
      <sheetName val="TAB 9"/>
      <sheetName val="TAB 10"/>
      <sheetName val="TAB 11"/>
      <sheetName val="TAB 12"/>
      <sheetName val="TAB 13"/>
      <sheetName val="TAB 14"/>
      <sheetName val="TAB 15"/>
      <sheetName val="TAB 16"/>
      <sheetName val="TAB 17"/>
      <sheetName val="TAB 18"/>
      <sheetName val="19. Decentralised Sites"/>
      <sheetName val="Tickmarks"/>
      <sheetName val="TAB 19"/>
      <sheetName val="TAB 20"/>
      <sheetName val="TAB 21"/>
      <sheetName val="TAB 22"/>
      <sheetName val="TAB 23"/>
      <sheetName val="Decentralised Sites"/>
      <sheetName val="XREF"/>
      <sheetName val="20. Listing"/>
      <sheetName val="P &amp; l"/>
      <sheetName val="Inventory Count Sheet "/>
      <sheetName val="wip FG"/>
      <sheetName val="pa-mtly"/>
      <sheetName val="Links"/>
      <sheetName val="Lead"/>
      <sheetName val="Commerica"/>
      <sheetName val="Power &amp; Fuel (S)"/>
      <sheetName val="FA Schedule"/>
      <sheetName val="Analytical"/>
      <sheetName val="Additions"/>
      <sheetName val="Instructions"/>
      <sheetName val="Balance Sheet"/>
      <sheetName val="P&amp;L"/>
      <sheetName val="Schedule"/>
      <sheetName val="lead sheet"/>
      <sheetName val="SCH4 to 6"/>
      <sheetName val="PL"/>
      <sheetName val="Sch - 13"/>
      <sheetName val="Sch 10 to 12"/>
      <sheetName val="B S"/>
      <sheetName val="SCH 7 to 9"/>
      <sheetName val="SC1,2"/>
      <sheetName val="Company"/>
      <sheetName val="TopSheet"/>
      <sheetName val="Resignation"/>
      <sheetName val="Int on STDeposit"/>
      <sheetName val="GL"/>
      <sheetName val="ecc_res"/>
      <sheetName val="WDV Workings"/>
      <sheetName val="Seide Customer wise "/>
      <sheetName val="Filati Customer wise"/>
      <sheetName val="Consl LS"/>
      <sheetName val="Seide LS"/>
      <sheetName val="Filati LS"/>
      <sheetName val="gratuity expense"/>
      <sheetName val="PF ARP"/>
      <sheetName val="ESIC ARP"/>
      <sheetName val="leave salary- expense"/>
      <sheetName val="SCH 10"/>
      <sheetName val="Sheet1"/>
      <sheetName val="Monthly Variance 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1. Instructions"/>
      <sheetName val="2.Testing of Crs."/>
      <sheetName val="3. Breakup"/>
      <sheetName val="4.CMA"/>
      <sheetName val="5.Crs. TB"/>
      <sheetName val="6. Confirmation"/>
      <sheetName val="7.Dr balance"/>
      <sheetName val="8. TB-Control chart"/>
      <sheetName val="9. Artist TB"/>
      <sheetName val="10. cameramen TB"/>
      <sheetName val="11. contract emp TB"/>
      <sheetName val="12. control accounts TB"/>
      <sheetName val="13. directors TB"/>
      <sheetName val="14. employee TB"/>
      <sheetName val="15. loc hire TB"/>
      <sheetName val="16. rent TB"/>
      <sheetName val="17. technicians TB"/>
      <sheetName val="18. telecasting fess TB"/>
      <sheetName val="19. Purchases TB"/>
      <sheetName val="20. Films TB"/>
      <sheetName val="XREF"/>
      <sheetName val="Tickmarks"/>
      <sheetName val="2.1. Claimed Not Ack as debts"/>
      <sheetName val="2.2. Unitech Contingent"/>
      <sheetName val="2.4. Service Tax Contingent"/>
      <sheetName val="6. Auditor Payment"/>
      <sheetName val="7. Pauling Joint Venture"/>
      <sheetName val="8. Non Provision"/>
      <sheetName val="5. MR"/>
      <sheetName val="31. EPS"/>
      <sheetName val="13. Finance Lease"/>
      <sheetName val="18. Earnings"/>
      <sheetName val="Inventory Count Sheet "/>
      <sheetName val="HBI NCD"/>
      <sheetName val="6120 Creditors Analysis workboo"/>
      <sheetName val="1__Instructions"/>
      <sheetName val="2_Testing_of_Crs_"/>
      <sheetName val="3__Breakup"/>
      <sheetName val="4_CMA"/>
      <sheetName val="5_Crs__TB"/>
      <sheetName val="6__Confirmation"/>
      <sheetName val="7_Dr_balance"/>
      <sheetName val="8__TB-Control_chart"/>
      <sheetName val="9__Artist_TB"/>
      <sheetName val="10__cameramen_TB"/>
      <sheetName val="11__contract_emp_TB"/>
      <sheetName val="12__control_accounts_TB"/>
      <sheetName val="13__directors_TB"/>
      <sheetName val="14__employee_TB"/>
      <sheetName val="15__loc_hire_TB"/>
      <sheetName val="16__rent_TB"/>
      <sheetName val="17__technicians_TB"/>
      <sheetName val="18__telecasting_fess_TB"/>
      <sheetName val="19__Purchases_TB"/>
      <sheetName val="20__Films_TB"/>
      <sheetName val="2_1__Claimed_Not_Ack_as_debts"/>
      <sheetName val="2_2__Unitech_Contingent"/>
      <sheetName val="2_4__Service_Tax_Contingent"/>
      <sheetName val="6__Auditor_Payment"/>
      <sheetName val="7__Pauling_Joint_Venture"/>
      <sheetName val="8__Non_Provision"/>
      <sheetName val="5__MR"/>
      <sheetName val="31__EPS"/>
      <sheetName val="13__Finance_Lease"/>
      <sheetName val="18__Earnings"/>
      <sheetName val="Inventory_Count_Sheet_"/>
      <sheetName val="6120_Creditors_Analysis_workboo"/>
      <sheetName val="HBI_NCD"/>
      <sheetName val="1__Instructions1"/>
      <sheetName val="2_Testing_of_Crs_1"/>
      <sheetName val="3__Breakup1"/>
      <sheetName val="4_CMA1"/>
      <sheetName val="5_Crs__TB1"/>
      <sheetName val="6__Confirmation1"/>
      <sheetName val="7_Dr_balance1"/>
      <sheetName val="8__TB-Control_chart1"/>
      <sheetName val="9__Artist_TB1"/>
      <sheetName val="10__cameramen_TB1"/>
      <sheetName val="11__contract_emp_TB1"/>
      <sheetName val="12__control_accounts_TB1"/>
      <sheetName val="13__directors_TB1"/>
      <sheetName val="14__employee_TB1"/>
      <sheetName val="15__loc_hire_TB1"/>
      <sheetName val="16__rent_TB1"/>
      <sheetName val="17__technicians_TB1"/>
      <sheetName val="18__telecasting_fess_TB1"/>
      <sheetName val="19__Purchases_TB1"/>
      <sheetName val="20__Films_TB1"/>
      <sheetName val="2_1__Claimed_Not_Ack_as_debts1"/>
      <sheetName val="2_2__Unitech_Contingent1"/>
      <sheetName val="2_4__Service_Tax_Contingent1"/>
      <sheetName val="6__Auditor_Payment1"/>
      <sheetName val="7__Pauling_Joint_Venture1"/>
      <sheetName val="8__Non_Provision1"/>
      <sheetName val="5__MR1"/>
      <sheetName val="31__EPS1"/>
      <sheetName val="13__Finance_Lease1"/>
      <sheetName val="18__Earnings1"/>
      <sheetName val="Inventory_Count_Sheet_1"/>
      <sheetName val="6120_Creditors_Analysis_workbo1"/>
      <sheetName val="HBI_NCD1"/>
      <sheetName val="1__Instructions2"/>
      <sheetName val="2_Testing_of_Crs_2"/>
      <sheetName val="3__Breakup2"/>
      <sheetName val="4_CMA2"/>
      <sheetName val="5_Crs__TB2"/>
      <sheetName val="6__Confirmation2"/>
      <sheetName val="7_Dr_balance2"/>
      <sheetName val="8__TB-Control_chart2"/>
      <sheetName val="9__Artist_TB2"/>
      <sheetName val="10__cameramen_TB2"/>
      <sheetName val="11__contract_emp_TB2"/>
      <sheetName val="12__control_accounts_TB2"/>
      <sheetName val="13__directors_TB2"/>
      <sheetName val="14__employee_TB2"/>
      <sheetName val="15__loc_hire_TB2"/>
      <sheetName val="16__rent_TB2"/>
      <sheetName val="17__technicians_TB2"/>
      <sheetName val="18__telecasting_fess_TB2"/>
      <sheetName val="19__Purchases_TB2"/>
      <sheetName val="20__Films_TB2"/>
      <sheetName val="2_1__Claimed_Not_Ack_as_debts2"/>
      <sheetName val="2_2__Unitech_Contingent2"/>
      <sheetName val="2_4__Service_Tax_Contingent2"/>
      <sheetName val="6__Auditor_Payment2"/>
      <sheetName val="7__Pauling_Joint_Venture2"/>
      <sheetName val="8__Non_Provision2"/>
      <sheetName val="5__MR2"/>
      <sheetName val="31__EPS2"/>
      <sheetName val="13__Finance_Lease2"/>
      <sheetName val="18__Earnings2"/>
      <sheetName val="Inventory_Count_Sheet_2"/>
      <sheetName val="6120_Creditors_Analysis_workbo2"/>
      <sheetName val="HBI_NCD2"/>
      <sheetName val="TAB 1"/>
      <sheetName val="2.Control Sheet"/>
      <sheetName val="DET0900"/>
      <sheetName val="Proforma"/>
      <sheetName val="Summary"/>
      <sheetName val="SCH4 to 6"/>
      <sheetName val="PL"/>
      <sheetName val="Sch - 13"/>
      <sheetName val="Sch 10 to 12"/>
      <sheetName val="B S"/>
      <sheetName val="SCH 7 to 9"/>
      <sheetName val="SC1,2"/>
      <sheetName val="Sept 06"/>
      <sheetName val="Current tax"/>
      <sheetName val="Deprn IT"/>
      <sheetName val="3.Summa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ES"/>
      <sheetName val="TITLES"/>
      <sheetName val="FLASH"/>
      <sheetName val="EFR "/>
      <sheetName val="PROFIT-PERF"/>
      <sheetName val="PVA"/>
      <sheetName val="BS"/>
      <sheetName val="C-FLOW"/>
      <sheetName val="CASHFLOW"/>
      <sheetName val="ASSET-WK"/>
      <sheetName val="ASSET-UT"/>
      <sheetName val="RECEIVABLES"/>
      <sheetName val="INVENTORY"/>
      <sheetName val="DISTRICT PRO"/>
      <sheetName val="OVERHEAD"/>
      <sheetName val="PERF"/>
      <sheetName val="EXP"/>
      <sheetName val="OHVAR"/>
      <sheetName val="OT"/>
      <sheetName val="FACTORY"/>
      <sheetName val="PRODN"/>
      <sheetName val="MANPOWER"/>
      <sheetName val="AFE"/>
      <sheetName val="VAR"/>
      <sheetName val="JAN"/>
      <sheetName val="Sheet1"/>
      <sheetName val="B&amp;S31-03-04"/>
      <sheetName val="OH-SUM"/>
      <sheetName val="BAW(D)"/>
      <sheetName val="2005"/>
      <sheetName val="CONTROL"/>
      <sheetName val="adp-budget"/>
      <sheetName val="OPR-OCT"/>
      <sheetName val="Comp equip"/>
      <sheetName val="Mach &amp; equip"/>
      <sheetName val="Building"/>
      <sheetName val="FFE"/>
      <sheetName val="MV"/>
      <sheetName val="Freezers"/>
      <sheetName val="Links"/>
      <sheetName val="Power &amp; Fuel (S)"/>
      <sheetName val="C &amp; G RHS"/>
      <sheetName val="19-PERF"/>
      <sheetName val="Q2 YTD OG Sales Analysis"/>
      <sheetName val="data 3A|6A"/>
      <sheetName val="EFR_"/>
      <sheetName val="DISTRICT_PRO"/>
      <sheetName val="PROD GRAPH"/>
      <sheetName val="#REF"/>
      <sheetName val="Kontensalden"/>
      <sheetName val="Cover"/>
      <sheetName val="DEP99"/>
      <sheetName val="BS JUL"/>
      <sheetName val="Assumptions"/>
      <sheetName val="form26"/>
      <sheetName val="CON"/>
      <sheetName val="90-120"/>
      <sheetName val="90_120"/>
      <sheetName val="FINSUM"/>
      <sheetName val="11-INV"/>
      <sheetName val="4-PVA2"/>
      <sheetName val="3-PVA"/>
      <sheetName val="KHSX"/>
      <sheetName val="PointNo.5"/>
      <sheetName val="Data"/>
      <sheetName val="Lead"/>
      <sheetName val="15121005"/>
      <sheetName val="15211005"/>
      <sheetName val="Chiet tinh"/>
      <sheetName val="SALES-VAL"/>
      <sheetName val="Stock"/>
      <sheetName val="TEL LINE INCENTIVES"/>
      <sheetName val="contact_history_table"/>
      <sheetName val="TB_9_01"/>
      <sheetName val="Masters"/>
      <sheetName val="Sheet4"/>
      <sheetName val="RPK TB"/>
      <sheetName val="MODEL"/>
      <sheetName val="Campus wise summary"/>
      <sheetName val="EXP LINE"/>
      <sheetName val="DATA 91-9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REF"/>
      <sheetName val="LOAN_SUM"/>
      <sheetName val="TERMLOANS "/>
      <sheetName val="UN_SECU.LOANS"/>
      <sheetName val="cur lia &amp; prov"/>
      <sheetName val="1611A.01 Overall Position (PBC)"/>
      <sheetName val="1611A.01a DHS op bal.-DUE"/>
      <sheetName val="1611A.01b DHS op bal - not due"/>
      <sheetName val="1611A.02 IDBI-FCL"/>
      <sheetName val="1611A.02a IDBI -FCL RATES comp "/>
      <sheetName val="1611A.03 IDBI_RTL"/>
      <sheetName val="1611A.03a IDBIRTL - Recomp DHS"/>
      <sheetName val="Summary ICICI - DHS"/>
      <sheetName val="icici fcl- dhs - "/>
      <sheetName val="1611A.04 ICICI-FCL"/>
      <sheetName val="icici con rtl - dhs"/>
      <sheetName val="1611A.05 ICICI conv.rtl"/>
      <sheetName val="icicifitl 30.09.04"/>
      <sheetName val="icici rtl - dhs"/>
      <sheetName val="ICICI_RTL"/>
      <sheetName val="icici stl - dhs"/>
      <sheetName val="icici- stl(niep)"/>
      <sheetName val="icici fitl"/>
      <sheetName val="IFCI_RTL"/>
      <sheetName val="IFCI-FCL"/>
      <sheetName val="IFCI_FITL"/>
      <sheetName val="lic"/>
      <sheetName val="oic rtl"/>
      <sheetName val="nic rtl "/>
      <sheetName val="nia rtl "/>
      <sheetName val="UII RTL"/>
      <sheetName val="gic rtl"/>
      <sheetName val="BANKS"/>
      <sheetName val="coffee-break"/>
      <sheetName val="libor"/>
      <sheetName val="oic rtl "/>
      <sheetName val="icici -fitl"/>
      <sheetName val="TOTAL INTT"/>
      <sheetName val="prov"/>
      <sheetName val="fitl -ifci dtl"/>
      <sheetName val="gic rtl paid 31_12_01"/>
      <sheetName val="gic rtl 31_12_01"/>
      <sheetName val="oic rtl apr'00"/>
      <sheetName val="oic rtl Mar'02 "/>
      <sheetName val="UII PAID 31.3.00"/>
      <sheetName val="repaid"/>
      <sheetName val="Sheet4"/>
      <sheetName val="edc reco"/>
      <sheetName val="Edc-reco"/>
      <sheetName val="Sheet1"/>
      <sheetName val="Sheet2"/>
      <sheetName val="Sheet3"/>
      <sheetName val="total- intt"/>
      <sheetName val="Intt accrued &amp; due "/>
      <sheetName val="intt accrued - not due"/>
      <sheetName val="total- intt (InstwISE)"/>
      <sheetName val="ICICI-FCL old"/>
      <sheetName val="conv.rtl (old)"/>
      <sheetName val="conv.rtl (22.10)"/>
      <sheetName val="NIEP-FCL"/>
      <sheetName val="aNALATICAL"/>
      <sheetName val="icici-reco"/>
      <sheetName val="icicifitl dhs (2)"/>
      <sheetName val="Tickmarks"/>
      <sheetName val="TERMLOANS_"/>
      <sheetName val="UN_SECU_LOANS"/>
      <sheetName val="cur_lia_&amp;_prov"/>
      <sheetName val="1611A_01_Overall_Position_(PBC)"/>
      <sheetName val="1611A_01a_DHS_op_bal_-DUE"/>
      <sheetName val="1611A_01b_DHS_op_bal_-_not_due"/>
      <sheetName val="1611A_02_IDBI-FCL"/>
      <sheetName val="1611A_02a_IDBI_-FCL_RATES_comp_"/>
      <sheetName val="1611A_03_IDBI_RTL"/>
      <sheetName val="1611A_03a_IDBIRTL_-_Recomp_DHS"/>
      <sheetName val="Summary_ICICI_-_DHS"/>
      <sheetName val="icici_fcl-_dhs_-_"/>
      <sheetName val="1611A_04_ICICI-FCL"/>
      <sheetName val="icici_con_rtl_-_dhs"/>
      <sheetName val="1611A_05_ICICI_conv_rtl"/>
      <sheetName val="icicifitl_30_09_04"/>
      <sheetName val="icici_rtl_-_dhs"/>
      <sheetName val="icici_stl_-_dhs"/>
      <sheetName val="icici-_stl(niep)"/>
      <sheetName val="icici_fitl"/>
      <sheetName val="oic_rtl"/>
      <sheetName val="nic_rtl_"/>
      <sheetName val="nia_rtl_"/>
      <sheetName val="UII_RTL"/>
      <sheetName val="gic_rtl"/>
      <sheetName val="oic_rtl_"/>
      <sheetName val="icici_-fitl"/>
      <sheetName val="TOTAL_INTT"/>
      <sheetName val="fitl_-ifci_dtl"/>
      <sheetName val="gic_rtl_paid_31_12_01"/>
      <sheetName val="gic_rtl_31_12_01"/>
      <sheetName val="oic_rtl_apr'00"/>
      <sheetName val="oic_rtl_Mar'02_"/>
      <sheetName val="UII_PAID_31_3_00"/>
      <sheetName val="edc_reco"/>
      <sheetName val="total-_intt"/>
      <sheetName val="Intt_accrued_&amp;_due_"/>
      <sheetName val="intt_accrued_-_not_due"/>
      <sheetName val="total-_intt_(InstwISE)"/>
      <sheetName val="ICICI-FCL_old"/>
      <sheetName val="conv_rtl_(old)"/>
      <sheetName val="conv_rtl_(22_10)"/>
      <sheetName val="icicifitl_dhs_(2)"/>
      <sheetName val="SCH IV"/>
      <sheetName val="SCH VIII"/>
      <sheetName val="TERMLOANS_1"/>
      <sheetName val="UN_SECU_LOANS1"/>
      <sheetName val="cur_lia_&amp;_prov1"/>
      <sheetName val="1611A_01_Overall_Position_(PBC1"/>
      <sheetName val="1611A_01a_DHS_op_bal_-DUE1"/>
      <sheetName val="1611A_01b_DHS_op_bal_-_not_due1"/>
      <sheetName val="1611A_02_IDBI-FCL1"/>
      <sheetName val="1611A_02a_IDBI_-FCL_RATES_comp1"/>
      <sheetName val="1611A_03_IDBI_RTL1"/>
      <sheetName val="1611A_03a_IDBIRTL_-_Recomp_DHS1"/>
      <sheetName val="Summary_ICICI_-_DHS1"/>
      <sheetName val="icici_fcl-_dhs_-_1"/>
      <sheetName val="1611A_04_ICICI-FCL1"/>
      <sheetName val="icici_con_rtl_-_dhs1"/>
      <sheetName val="1611A_05_ICICI_conv_rtl1"/>
      <sheetName val="icicifitl_30_09_041"/>
      <sheetName val="icici_rtl_-_dhs1"/>
      <sheetName val="icici_stl_-_dhs1"/>
      <sheetName val="icici-_stl(niep)1"/>
      <sheetName val="icici_fitl1"/>
      <sheetName val="oic_rtl1"/>
      <sheetName val="nic_rtl_1"/>
      <sheetName val="nia_rtl_1"/>
      <sheetName val="UII_RTL1"/>
      <sheetName val="gic_rtl1"/>
      <sheetName val="oic_rtl_1"/>
      <sheetName val="icici_-fitl1"/>
      <sheetName val="TOTAL_INTT1"/>
      <sheetName val="fitl_-ifci_dtl1"/>
      <sheetName val="gic_rtl_paid_31_12_011"/>
      <sheetName val="gic_rtl_31_12_011"/>
      <sheetName val="oic_rtl_apr'001"/>
      <sheetName val="oic_rtl_Mar'02_1"/>
      <sheetName val="UII_PAID_31_3_001"/>
      <sheetName val="edc_reco1"/>
      <sheetName val="total-_intt1"/>
      <sheetName val="Intt_accrued_&amp;_due_1"/>
      <sheetName val="intt_accrued_-_not_due1"/>
      <sheetName val="total-_intt_(InstwISE)1"/>
      <sheetName val="ICICI-FCL_old1"/>
      <sheetName val="conv_rtl_(old)1"/>
      <sheetName val="conv_rtl_(22_10)1"/>
      <sheetName val="icicifitl_dhs_(2)1"/>
      <sheetName val="SCH_IV"/>
      <sheetName val="SCH_VIII"/>
      <sheetName val="TERMLOANS_2"/>
      <sheetName val="UN_SECU_LOANS2"/>
      <sheetName val="cur_lia_&amp;_prov2"/>
      <sheetName val="1611A_01_Overall_Position_(PBC2"/>
      <sheetName val="1611A_01a_DHS_op_bal_-DUE2"/>
      <sheetName val="1611A_01b_DHS_op_bal_-_not_due2"/>
      <sheetName val="1611A_02_IDBI-FCL2"/>
      <sheetName val="1611A_02a_IDBI_-FCL_RATES_comp2"/>
      <sheetName val="1611A_03_IDBI_RTL2"/>
      <sheetName val="1611A_03a_IDBIRTL_-_Recomp_DHS2"/>
      <sheetName val="Summary_ICICI_-_DHS2"/>
      <sheetName val="icici_fcl-_dhs_-_2"/>
      <sheetName val="1611A_04_ICICI-FCL2"/>
      <sheetName val="icici_con_rtl_-_dhs2"/>
      <sheetName val="1611A_05_ICICI_conv_rtl2"/>
      <sheetName val="icicifitl_30_09_042"/>
      <sheetName val="icici_rtl_-_dhs2"/>
      <sheetName val="icici_stl_-_dhs2"/>
      <sheetName val="icici-_stl(niep)2"/>
      <sheetName val="icici_fitl2"/>
      <sheetName val="oic_rtl2"/>
      <sheetName val="nic_rtl_2"/>
      <sheetName val="nia_rtl_2"/>
      <sheetName val="UII_RTL2"/>
      <sheetName val="gic_rtl2"/>
      <sheetName val="oic_rtl_2"/>
      <sheetName val="icici_-fitl2"/>
      <sheetName val="TOTAL_INTT2"/>
      <sheetName val="fitl_-ifci_dtl2"/>
      <sheetName val="gic_rtl_paid_31_12_012"/>
      <sheetName val="gic_rtl_31_12_012"/>
      <sheetName val="oic_rtl_apr'002"/>
      <sheetName val="oic_rtl_Mar'02_2"/>
      <sheetName val="UII_PAID_31_3_002"/>
      <sheetName val="edc_reco2"/>
      <sheetName val="total-_intt2"/>
      <sheetName val="Intt_accrued_&amp;_due_2"/>
      <sheetName val="intt_accrued_-_not_due2"/>
      <sheetName val="total-_intt_(InstwISE)2"/>
      <sheetName val="ICICI-FCL_old2"/>
      <sheetName val="conv_rtl_(old)2"/>
      <sheetName val="conv_rtl_(22_10)2"/>
      <sheetName val="icicifitl_dhs_(2)2"/>
      <sheetName val="SCH_IV1"/>
      <sheetName val="SCH_VIII1"/>
      <sheetName val="1612.01AL - INT AM&amp;NIEP"/>
      <sheetName val="Commerica"/>
      <sheetName val="Adjustments"/>
      <sheetName val="PGW"/>
      <sheetName val="1611A INTEREST ACCRUED ON LOANS"/>
      <sheetName val="TAB 1"/>
      <sheetName val="5.Crs. TB"/>
      <sheetName val="TERMLOANS_3"/>
      <sheetName val="UN_SECU_LOANS3"/>
      <sheetName val="cur_lia_&amp;_prov3"/>
      <sheetName val="1611A_01_Overall_Position_(PBC3"/>
      <sheetName val="1611A_01a_DHS_op_bal_-DUE3"/>
      <sheetName val="1611A_01b_DHS_op_bal_-_not_due3"/>
      <sheetName val="1611A_02_IDBI-FCL3"/>
      <sheetName val="1611A_02a_IDBI_-FCL_RATES_comp3"/>
      <sheetName val="1611A_03_IDBI_RTL3"/>
      <sheetName val="1611A_03a_IDBIRTL_-_Recomp_DHS3"/>
      <sheetName val="Summary_ICICI_-_DHS3"/>
      <sheetName val="icici_fcl-_dhs_-_3"/>
      <sheetName val="1611A_04_ICICI-FCL3"/>
      <sheetName val="icici_con_rtl_-_dhs3"/>
      <sheetName val="1611A_05_ICICI_conv_rtl3"/>
      <sheetName val="icicifitl_30_09_043"/>
      <sheetName val="icici_rtl_-_dhs3"/>
      <sheetName val="icici_stl_-_dhs3"/>
      <sheetName val="icici-_stl(niep)3"/>
      <sheetName val="icici_fitl3"/>
      <sheetName val="oic_rtl3"/>
      <sheetName val="nic_rtl_3"/>
      <sheetName val="nia_rtl_3"/>
      <sheetName val="UII_RTL3"/>
      <sheetName val="gic_rtl3"/>
      <sheetName val="oic_rtl_3"/>
      <sheetName val="icici_-fitl3"/>
      <sheetName val="TOTAL_INTT3"/>
      <sheetName val="fitl_-ifci_dtl3"/>
      <sheetName val="gic_rtl_paid_31_12_013"/>
      <sheetName val="gic_rtl_31_12_013"/>
      <sheetName val="oic_rtl_apr'003"/>
      <sheetName val="oic_rtl_Mar'02_3"/>
      <sheetName val="UII_PAID_31_3_003"/>
      <sheetName val="edc_reco3"/>
      <sheetName val="total-_intt3"/>
      <sheetName val="Intt_accrued_&amp;_due_3"/>
      <sheetName val="intt_accrued_-_not_due3"/>
      <sheetName val="total-_intt_(InstwISE)3"/>
      <sheetName val="ICICI-FCL_old3"/>
      <sheetName val="conv_rtl_(old)3"/>
      <sheetName val="conv_rtl_(22_10)3"/>
      <sheetName val="icicifitl_dhs_(2)3"/>
      <sheetName val="SCH_IV2"/>
      <sheetName val="SCH_VIII2"/>
      <sheetName val="1612_01AL_-_INT_AM&amp;NIEP"/>
      <sheetName val="1611A_INTEREST_ACCRUED_ON_LOANS"/>
      <sheetName val="Sheet3 (2)"/>
      <sheetName val="TERMLOANS_4"/>
      <sheetName val="UN_SECU_LOANS4"/>
      <sheetName val="cur_lia_&amp;_prov4"/>
      <sheetName val="1611A_01_Overall_Position_(PBC4"/>
      <sheetName val="1611A_01a_DHS_op_bal_-DUE4"/>
      <sheetName val="1611A_01b_DHS_op_bal_-_not_due4"/>
      <sheetName val="1611A_02_IDBI-FCL4"/>
      <sheetName val="1611A_02a_IDBI_-FCL_RATES_comp4"/>
      <sheetName val="1611A_03_IDBI_RTL4"/>
      <sheetName val="1611A_03a_IDBIRTL_-_Recomp_DHS4"/>
      <sheetName val="Summary_ICICI_-_DHS4"/>
      <sheetName val="icici_fcl-_dhs_-_4"/>
      <sheetName val="1611A_04_ICICI-FCL4"/>
      <sheetName val="icici_con_rtl_-_dhs4"/>
      <sheetName val="1611A_05_ICICI_conv_rtl4"/>
      <sheetName val="icicifitl_30_09_044"/>
      <sheetName val="icici_rtl_-_dhs4"/>
      <sheetName val="icici_stl_-_dhs4"/>
      <sheetName val="icici-_stl(niep)4"/>
      <sheetName val="icici_fitl4"/>
      <sheetName val="oic_rtl4"/>
      <sheetName val="nic_rtl_4"/>
      <sheetName val="nia_rtl_4"/>
      <sheetName val="UII_RTL4"/>
      <sheetName val="gic_rtl4"/>
      <sheetName val="oic_rtl_4"/>
      <sheetName val="icici_-fitl4"/>
      <sheetName val="TOTAL_INTT4"/>
      <sheetName val="fitl_-ifci_dtl4"/>
      <sheetName val="gic_rtl_paid_31_12_014"/>
      <sheetName val="gic_rtl_31_12_014"/>
      <sheetName val="oic_rtl_apr'004"/>
      <sheetName val="oic_rtl_Mar'02_4"/>
      <sheetName val="UII_PAID_31_3_004"/>
      <sheetName val="edc_reco4"/>
      <sheetName val="total-_intt4"/>
      <sheetName val="Intt_accrued_&amp;_due_4"/>
      <sheetName val="intt_accrued_-_not_due4"/>
      <sheetName val="total-_intt_(InstwISE)4"/>
      <sheetName val="ICICI-FCL_old4"/>
      <sheetName val="conv_rtl_(old)4"/>
      <sheetName val="conv_rtl_(22_10)4"/>
      <sheetName val="icicifitl_dhs_(2)4"/>
      <sheetName val="SCH_IV3"/>
      <sheetName val="SCH_VIII3"/>
      <sheetName val="1612_01AL_-_INT_AM&amp;NIEP1"/>
      <sheetName val="1611A_INTEREST_ACCRUED_ON_LOAN1"/>
      <sheetName val="TAB_1"/>
      <sheetName val="5_Crs__TB"/>
      <sheetName val="TERMLOANS_5"/>
      <sheetName val="UN_SECU_LOANS5"/>
      <sheetName val="cur_lia_&amp;_prov5"/>
      <sheetName val="1611A_01_Overall_Position_(PBC5"/>
      <sheetName val="1611A_01a_DHS_op_bal_-DUE5"/>
      <sheetName val="1611A_01b_DHS_op_bal_-_not_due5"/>
      <sheetName val="1611A_02_IDBI-FCL5"/>
      <sheetName val="1611A_02a_IDBI_-FCL_RATES_comp5"/>
      <sheetName val="1611A_03_IDBI_RTL5"/>
      <sheetName val="1611A_03a_IDBIRTL_-_Recomp_DHS5"/>
      <sheetName val="Summary_ICICI_-_DHS5"/>
      <sheetName val="icici_fcl-_dhs_-_5"/>
      <sheetName val="1611A_04_ICICI-FCL5"/>
      <sheetName val="icici_con_rtl_-_dhs5"/>
      <sheetName val="1611A_05_ICICI_conv_rtl5"/>
      <sheetName val="icicifitl_30_09_045"/>
      <sheetName val="icici_rtl_-_dhs5"/>
      <sheetName val="icici_stl_-_dhs5"/>
      <sheetName val="icici-_stl(niep)5"/>
      <sheetName val="icici_fitl5"/>
      <sheetName val="oic_rtl5"/>
      <sheetName val="nic_rtl_5"/>
      <sheetName val="nia_rtl_5"/>
      <sheetName val="UII_RTL5"/>
      <sheetName val="gic_rtl5"/>
      <sheetName val="oic_rtl_5"/>
      <sheetName val="icici_-fitl5"/>
      <sheetName val="TOTAL_INTT5"/>
      <sheetName val="fitl_-ifci_dtl5"/>
      <sheetName val="gic_rtl_paid_31_12_015"/>
      <sheetName val="gic_rtl_31_12_015"/>
      <sheetName val="oic_rtl_apr'005"/>
      <sheetName val="oic_rtl_Mar'02_5"/>
      <sheetName val="UII_PAID_31_3_005"/>
      <sheetName val="edc_reco5"/>
      <sheetName val="total-_intt5"/>
      <sheetName val="Intt_accrued_&amp;_due_5"/>
      <sheetName val="intt_accrued_-_not_due5"/>
      <sheetName val="total-_intt_(InstwISE)5"/>
      <sheetName val="ICICI-FCL_old5"/>
      <sheetName val="conv_rtl_(old)5"/>
      <sheetName val="conv_rtl_(22_10)5"/>
      <sheetName val="icicifitl_dhs_(2)5"/>
      <sheetName val="SCH_IV4"/>
      <sheetName val="SCH_VIII4"/>
      <sheetName val="1612_01AL_-_INT_AM&amp;NIEP2"/>
      <sheetName val="1611A_INTEREST_ACCRUED_ON_LOAN2"/>
      <sheetName val="TAB_11"/>
      <sheetName val="5_Crs__TB1"/>
      <sheetName val="2.Control Sheet"/>
      <sheetName val="Inventory Count Sheet "/>
      <sheetName val="1611A_INTEREST_A윦낺䭥ﺚ抺拺抪抺️扬ꑝ읅ⱑ膺伍"/>
      <sheetName val="Sept 06"/>
      <sheetName val="Current tax"/>
      <sheetName val="Deprn IT"/>
      <sheetName val="3.Summary"/>
      <sheetName val="TERMLOANS_6"/>
      <sheetName val="UN_SECU_LOANS6"/>
      <sheetName val="cur_lia_&amp;_prov6"/>
      <sheetName val="1611A_01_Overall_Position_(PBC6"/>
      <sheetName val="1611A_01a_DHS_op_bal_-DUE6"/>
      <sheetName val="1611A_01b_DHS_op_bal_-_not_due6"/>
      <sheetName val="1611A_02_IDBI-FCL6"/>
      <sheetName val="1611A_02a_IDBI_-FCL_RATES_comp6"/>
      <sheetName val="1611A_03_IDBI_RTL6"/>
      <sheetName val="1611A_03a_IDBIRTL_-_Recomp_DHS6"/>
      <sheetName val="Summary_ICICI_-_DHS6"/>
      <sheetName val="icici_fcl-_dhs_-_6"/>
      <sheetName val="1611A_04_ICICI-FCL6"/>
      <sheetName val="icici_con_rtl_-_dhs6"/>
      <sheetName val="1611A_05_ICICI_conv_rtl6"/>
      <sheetName val="icicifitl_30_09_046"/>
      <sheetName val="icici_rtl_-_dhs6"/>
      <sheetName val="icici_stl_-_dhs6"/>
      <sheetName val="icici-_stl(niep)6"/>
      <sheetName val="icici_fitl6"/>
      <sheetName val="oic_rtl6"/>
      <sheetName val="nic_rtl_6"/>
      <sheetName val="nia_rtl_6"/>
      <sheetName val="UII_RTL6"/>
      <sheetName val="gic_rtl6"/>
      <sheetName val="oic_rtl_6"/>
      <sheetName val="icici_-fitl6"/>
      <sheetName val="TOTAL_INTT6"/>
      <sheetName val="fitl_-ifci_dtl6"/>
      <sheetName val="gic_rtl_paid_31_12_016"/>
      <sheetName val="gic_rtl_31_12_016"/>
      <sheetName val="oic_rtl_apr'006"/>
      <sheetName val="oic_rtl_Mar'02_6"/>
      <sheetName val="UII_PAID_31_3_006"/>
      <sheetName val="edc_reco6"/>
      <sheetName val="total-_intt6"/>
      <sheetName val="Intt_accrued_&amp;_due_6"/>
      <sheetName val="intt_accrued_-_not_due6"/>
      <sheetName val="total-_intt_(InstwISE)6"/>
      <sheetName val="ICICI-FCL_old6"/>
      <sheetName val="conv_rtl_(old)6"/>
      <sheetName val="conv_rtl_(22_10)6"/>
      <sheetName val="icicifitl_dhs_(2)6"/>
      <sheetName val="SCH_IV5"/>
      <sheetName val="SCH_VIII5"/>
      <sheetName val="1612_01AL_-_INT_AM&amp;NIEP3"/>
      <sheetName val="1611A_INTEREST_ACCRUED_ON_LOAN3"/>
      <sheetName val="TAB_12"/>
      <sheetName val="5_Crs__TB2"/>
      <sheetName val="Sheet3_(2)"/>
      <sheetName val="BS Schedu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refreshError="1"/>
      <sheetData sheetId="200" refreshError="1"/>
      <sheetData sheetId="201" refreshError="1"/>
      <sheetData sheetId="202" refreshError="1"/>
      <sheetData sheetId="203" refreshError="1"/>
      <sheetData sheetId="204" refreshError="1"/>
      <sheetData sheetId="205" refreshError="1"/>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refreshError="1"/>
      <sheetData sheetId="254" refreshError="1"/>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refreshError="1"/>
      <sheetData sheetId="353" refreshError="1"/>
      <sheetData sheetId="354"/>
      <sheetData sheetId="355" refreshError="1"/>
      <sheetData sheetId="356" refreshError="1"/>
      <sheetData sheetId="357" refreshError="1"/>
      <sheetData sheetId="358" refreshError="1"/>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is"/>
      <sheetName val="summarywith exindia comparison"/>
      <sheetName val="datalcmar"/>
      <sheetName val="ex-india"/>
      <sheetName val="summary"/>
      <sheetName val="ebtreco"/>
      <sheetName val="DATA_INR"/>
      <sheetName val="Corp_EBTytd"/>
      <sheetName val="Global ytd"/>
      <sheetName val="Corp_Salesytd"/>
      <sheetName val="interco"/>
      <sheetName val="Sheet1"/>
      <sheetName val="Backup of global consolidation "/>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PVARBUD YTD MAY"/>
      <sheetName val="GPVARBUD2000 "/>
      <sheetName val="FINSUM"/>
      <sheetName val="EXP"/>
      <sheetName val="OH"/>
      <sheetName val="OI MT"/>
      <sheetName val="OIRSLACS"/>
      <sheetName val="SHIP MT"/>
      <sheetName val="SHIP RS LACS"/>
      <sheetName val="BL MT"/>
      <sheetName val="BL RS LACS"/>
      <sheetName val="MPOWER"/>
      <sheetName val="BSHEET"/>
      <sheetName val="CSFLOW"/>
      <sheetName val="INV"/>
      <sheetName val="VSE"/>
      <sheetName val="19-PERF"/>
      <sheetName val="SHRS LACS"/>
      <sheetName val="SH RS LACS -MT"/>
      <sheetName val="GPGM"/>
      <sheetName val="OHR"/>
      <sheetName val="OPM%"/>
      <sheetName val="FC"/>
      <sheetName val="NPRS LACS"/>
      <sheetName val="WC"/>
      <sheetName val="INV (2)"/>
      <sheetName val="MC%S"/>
      <sheetName val="ROCE"/>
      <sheetName val="OPM"/>
      <sheetName val="SAL%"/>
      <sheetName val="ADVRS LACS"/>
      <sheetName val="OIEMP"/>
      <sheetName val="SPEMP"/>
      <sheetName val="OPEMP"/>
      <sheetName val="OTP%LC"/>
      <sheetName val="19_PERF"/>
      <sheetName val="Annexures (2)"/>
      <sheetName val="Workings"/>
      <sheetName val="Nov 02 &amp; Dec 02 sal"/>
      <sheetName val="YAAS"/>
      <sheetName val="Page1"/>
      <sheetName val="Assumptions"/>
      <sheetName val="Fcst vs Budgets"/>
      <sheetName val="Financial statements"/>
      <sheetName val="accumdeprn"/>
      <sheetName val="5-F-PAR"/>
      <sheetName val="GRP"/>
      <sheetName val="Settings"/>
      <sheetName val="Sheet1"/>
      <sheetName val="EXP LINE"/>
      <sheetName val="DTCT"/>
      <sheetName val="Exhibit-1"/>
      <sheetName val="POV"/>
      <sheetName val="OUVC"/>
      <sheetName val="120RECV"/>
      <sheetName val="GPVARBUD_YTD_MAY"/>
      <sheetName val="GPVARBUD2000_"/>
      <sheetName val="OI_MT"/>
      <sheetName val="SHIP_MT"/>
      <sheetName val="SHIP_RS_LACS"/>
      <sheetName val="BL_MT"/>
      <sheetName val="BL_RS_LACS"/>
      <sheetName val="SHRS_LACS"/>
      <sheetName val="SH_RS_LACS_-MT"/>
      <sheetName val="NPRS_LACS"/>
      <sheetName val="INV_(2)"/>
      <sheetName val="ADVRS_LACS"/>
      <sheetName val="gl asset &amp; liabilities"/>
      <sheetName val="Lists"/>
      <sheetName val="Sheet3 (2)"/>
      <sheetName val="UNIT-II"/>
      <sheetName val="XREF"/>
      <sheetName val="Inventory Count Sheet "/>
      <sheetName val="TRIAL BALANCE"/>
      <sheetName val="SA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1">
          <cell r="B1" t="str">
            <v>KIRBY INDIA</v>
          </cell>
        </row>
        <row r="2">
          <cell r="B2" t="str">
            <v>BUSINESS PLAN 2000</v>
          </cell>
        </row>
        <row r="3">
          <cell r="B3" t="str">
            <v>MEASUREMENT</v>
          </cell>
          <cell r="G3" t="str">
            <v>BUD 2000</v>
          </cell>
          <cell r="P3" t="str">
            <v>BUD 2000</v>
          </cell>
        </row>
        <row r="4">
          <cell r="B4" t="str">
            <v>CRITERIA</v>
          </cell>
          <cell r="C4" t="str">
            <v>JAN-MAY 00</v>
          </cell>
          <cell r="E4" t="str">
            <v>2000 F</v>
          </cell>
          <cell r="F4" t="str">
            <v>2000B</v>
          </cell>
          <cell r="G4" t="str">
            <v>Q1 2000</v>
          </cell>
          <cell r="I4" t="str">
            <v>Q2 2000</v>
          </cell>
          <cell r="K4" t="str">
            <v>Q3 2000</v>
          </cell>
          <cell r="M4" t="str">
            <v>Q4 2000</v>
          </cell>
          <cell r="P4" t="str">
            <v>JAN</v>
          </cell>
          <cell r="R4" t="str">
            <v>FEB</v>
          </cell>
          <cell r="T4" t="str">
            <v>MAR</v>
          </cell>
          <cell r="V4" t="str">
            <v>APR</v>
          </cell>
          <cell r="X4" t="str">
            <v>MAY</v>
          </cell>
          <cell r="Z4" t="str">
            <v>JUN</v>
          </cell>
          <cell r="AB4" t="str">
            <v>JUL</v>
          </cell>
          <cell r="AD4" t="str">
            <v>AUG</v>
          </cell>
          <cell r="AF4" t="str">
            <v>SEP</v>
          </cell>
          <cell r="AH4" t="str">
            <v>OCT</v>
          </cell>
          <cell r="AJ4" t="str">
            <v>NOV</v>
          </cell>
          <cell r="AL4" t="str">
            <v>DEC</v>
          </cell>
        </row>
        <row r="6">
          <cell r="B6" t="str">
            <v>FINANCIAL</v>
          </cell>
        </row>
        <row r="7">
          <cell r="B7" t="str">
            <v>MATERIAL COST % OF SALES</v>
          </cell>
        </row>
        <row r="8">
          <cell r="B8" t="str">
            <v>MATERIAL COST % OF SALES</v>
          </cell>
        </row>
        <row r="9">
          <cell r="B9" t="str">
            <v xml:space="preserve">    INCL. PROD. SUPPL.</v>
          </cell>
        </row>
        <row r="10">
          <cell r="B10" t="str">
            <v>RETURN ON SALES</v>
          </cell>
        </row>
        <row r="11">
          <cell r="B11" t="str">
            <v>RETURN ON CAPITAL  EMPLOYED</v>
          </cell>
        </row>
        <row r="12">
          <cell r="B12" t="str">
            <v>ASSET UTILISATION</v>
          </cell>
        </row>
        <row r="13">
          <cell r="B13" t="str">
            <v>GROSS MARGIN % ON SHIPMENTS</v>
          </cell>
        </row>
        <row r="14">
          <cell r="B14" t="str">
            <v>OPERATING MARGIN %</v>
          </cell>
        </row>
        <row r="15">
          <cell r="B15" t="str">
            <v>OVER HEAD AS % OF SALES</v>
          </cell>
        </row>
        <row r="16">
          <cell r="B16" t="str">
            <v>SALARY AND RELATED COST AS</v>
          </cell>
        </row>
        <row r="17">
          <cell r="B17" t="str">
            <v xml:space="preserve">   % OF SALES</v>
          </cell>
        </row>
        <row r="18">
          <cell r="B18" t="str">
            <v>ADVT. EXPENSES AS % OF SALES</v>
          </cell>
        </row>
        <row r="19">
          <cell r="B19" t="str">
            <v>ADVT. EXPENSES RS LACS</v>
          </cell>
        </row>
        <row r="20">
          <cell r="B20" t="str">
            <v>SALES/EMP /MTH RS LACS</v>
          </cell>
        </row>
        <row r="21">
          <cell r="B21" t="str">
            <v>SALES/EMP/MTH DIRECT RS LACS</v>
          </cell>
        </row>
        <row r="22">
          <cell r="B22" t="str">
            <v>SALES/EMP/MTH INDIRECT RS LAC</v>
          </cell>
        </row>
        <row r="23">
          <cell r="B23" t="str">
            <v>ORDER INTAKE/EMP/MTH RS LACS</v>
          </cell>
        </row>
        <row r="24">
          <cell r="B24" t="str">
            <v>OPERATING PROFIT / EMP RS LACS</v>
          </cell>
        </row>
        <row r="25">
          <cell r="B25" t="str">
            <v>ACCOUNT RECV. - DAYS</v>
          </cell>
        </row>
        <row r="26">
          <cell r="B26" t="str">
            <v>OT PREMIUM AS % OF NET SALES</v>
          </cell>
        </row>
        <row r="27">
          <cell r="B27" t="str">
            <v>OT PREMIUM AS % OF LABOR</v>
          </cell>
        </row>
        <row r="29">
          <cell r="B29" t="str">
            <v>NON FINANCIAL</v>
          </cell>
        </row>
        <row r="31">
          <cell r="B31" t="str">
            <v>QUOT.TRN.ARND CYCLES-DAYS</v>
          </cell>
        </row>
        <row r="32">
          <cell r="B32" t="str">
            <v>CYCLE TIME FOR APP DRAWINGS,</v>
          </cell>
        </row>
        <row r="33">
          <cell r="B33" t="str">
            <v>DELIVERY,ANCHOR BOLTS ETC</v>
          </cell>
        </row>
        <row r="34">
          <cell r="B34" t="str">
            <v>MACHINE UPTIME %</v>
          </cell>
        </row>
        <row r="35">
          <cell r="B35" t="str">
            <v>MANUFACTURE MH/MT ( GROSS )</v>
          </cell>
        </row>
        <row r="36">
          <cell r="B36" t="str">
            <v>MANUFACTURING MH/MT ( NET )</v>
          </cell>
        </row>
        <row r="37">
          <cell r="B37" t="str">
            <v>ENGN. +DRAFT.  MH/MT</v>
          </cell>
        </row>
        <row r="38">
          <cell r="B38" t="str">
            <v xml:space="preserve">     GROSS</v>
          </cell>
        </row>
        <row r="39">
          <cell r="B39" t="str">
            <v xml:space="preserve">     NET</v>
          </cell>
        </row>
        <row r="40">
          <cell r="B40" t="str">
            <v>TRADE PAYABLE DAYS</v>
          </cell>
        </row>
        <row r="41">
          <cell r="B41" t="str">
            <v>INVENTORY COVER</v>
          </cell>
        </row>
        <row r="42">
          <cell r="B42" t="str">
            <v xml:space="preserve">DIRECT TO INDIRECT </v>
          </cell>
        </row>
        <row r="43">
          <cell r="B43" t="str">
            <v xml:space="preserve">    MANPOWER RATIO</v>
          </cell>
        </row>
        <row r="44">
          <cell r="B44" t="str">
            <v>CLAIMS AS % OF SALES</v>
          </cell>
        </row>
        <row r="45">
          <cell r="B45" t="str">
            <v>CLAIMS  RS LACS</v>
          </cell>
        </row>
        <row r="46">
          <cell r="B46" t="str">
            <v>QUALITY INDEX</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realis with ladle"/>
      <sheetName val="DETAILED BUDGET PLAN"/>
      <sheetName val="19-PERF"/>
      <sheetName val="Working Capital"/>
      <sheetName val="P&amp;L-PTA"/>
      <sheetName val="Inventory-PTA"/>
      <sheetName val="P&amp;L-DMT"/>
      <sheetName val="Raw Material Cost"/>
      <sheetName val="Sales"/>
      <sheetName val="Inventory-DMT"/>
    </sheetNames>
    <sheetDataSet>
      <sheetData sheetId="0" refreshError="1">
        <row r="7">
          <cell r="F7">
            <v>62308</v>
          </cell>
        </row>
        <row r="10">
          <cell r="E10">
            <v>11823</v>
          </cell>
          <cell r="F10">
            <v>51023.78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xed expense (2)"/>
      <sheetName val="Fixed expense -Dixit"/>
      <sheetName val="Fixed expense"/>
      <sheetName val="Rev.bgt_to_Trgt"/>
      <sheetName val="q4.trgt.bgt."/>
      <sheetName val="recon.dec"/>
      <sheetName val="pl_vs"/>
      <sheetName val="pl_dec04"/>
      <sheetName val="PL.dec_Summary"/>
      <sheetName val="plntwise pl"/>
      <sheetName val="de_jan._bgt"/>
      <sheetName val="de_wrkg_bgt"/>
      <sheetName val="Variance-dec."/>
      <sheetName val="VarFE"/>
      <sheetName val="Others_exp."/>
      <sheetName val="dec act"/>
      <sheetName val="SLC-STK-DEC'04"/>
      <sheetName val="Summary_contr."/>
      <sheetName val="var"/>
      <sheetName val="RM "/>
      <sheetName val="rej_overs_exprt"/>
      <sheetName val="no.of days holding"/>
      <sheetName val="Plantwise"/>
      <sheetName val="SLB_PROD"/>
      <sheetName val="Sales Qty"/>
      <sheetName val="Pkg matr"/>
      <sheetName val="Page 1"/>
      <sheetName val="Payment_oa"/>
      <sheetName val="4yrs fixed exps"/>
      <sheetName val="Manpower_impact"/>
      <sheetName val="FC_Gain"/>
      <sheetName val="summary "/>
      <sheetName val="Working 2 "/>
      <sheetName val="Working"/>
      <sheetName val="Page 4 "/>
      <sheetName val="Page 3 "/>
      <sheetName val="Page 2"/>
      <sheetName val="de_dec._trgt"/>
      <sheetName val="de_wrkg_trgt"/>
      <sheetName val="Q.E Dec Summary"/>
      <sheetName val="power units"/>
      <sheetName val="Mar"/>
      <sheetName val="Sheet1"/>
      <sheetName val="per m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
          <cell r="A1" t="str">
            <v>url adrs'!A1</v>
          </cell>
        </row>
        <row r="3">
          <cell r="A3" t="str">
            <v>S A L E A B L E       P R O D U C T I O N           2004-05  (F I G U R E S   I N   MT)</v>
          </cell>
        </row>
        <row r="5">
          <cell r="B5" t="str">
            <v>Fireclay</v>
          </cell>
          <cell r="L5" t="str">
            <v>Basic Burnt</v>
          </cell>
          <cell r="AB5" t="str">
            <v>Silica Bricks</v>
          </cell>
          <cell r="AH5" t="str">
            <v>Silica Mortar</v>
          </cell>
          <cell r="AK5" t="str">
            <v>Bricks-Saleable</v>
          </cell>
          <cell r="AL5" t="str">
            <v>BricksRejection from overs</v>
          </cell>
          <cell r="AM5" t="str">
            <v>Net Saleable Production</v>
          </cell>
          <cell r="AN5" t="str">
            <v>Total Mortar</v>
          </cell>
          <cell r="AO5" t="str">
            <v>Grand Total</v>
          </cell>
          <cell r="AP5" t="str">
            <v>Gross Production</v>
          </cell>
        </row>
        <row r="6">
          <cell r="B6" t="str">
            <v>Fire Bricks (Others)</v>
          </cell>
          <cell r="D6" t="str">
            <v>Fire Bricks (HAAF)</v>
          </cell>
          <cell r="F6" t="str">
            <v>CONCAST</v>
          </cell>
          <cell r="H6" t="str">
            <v>CASTABEL BRICKS</v>
          </cell>
          <cell r="J6" t="str">
            <v>Castable - Mortar</v>
          </cell>
          <cell r="K6" t="str">
            <v>F/C -Mortar</v>
          </cell>
          <cell r="L6" t="str">
            <v>BASIC BRICKS (OTHERS)</v>
          </cell>
          <cell r="Q6" t="str">
            <v>BASIC BRICKS (BHT)</v>
          </cell>
          <cell r="U6" t="str">
            <v>SGP</v>
          </cell>
          <cell r="W6" t="str">
            <v>MGC</v>
          </cell>
          <cell r="Y6" t="str">
            <v>CBB</v>
          </cell>
          <cell r="AA6" t="str">
            <v>Basic Mortar</v>
          </cell>
          <cell r="AB6" t="str">
            <v>Silica I &amp; II</v>
          </cell>
          <cell r="AD6" t="str">
            <v>SILICA III</v>
          </cell>
          <cell r="AF6" t="str">
            <v>SLC IN F/C</v>
          </cell>
          <cell r="AH6" t="str">
            <v>Silica I &amp; II</v>
          </cell>
          <cell r="AI6" t="str">
            <v>Silica III</v>
          </cell>
          <cell r="AJ6" t="str">
            <v>Slc in F/c</v>
          </cell>
        </row>
        <row r="7">
          <cell r="L7" t="str">
            <v>Saleable</v>
          </cell>
          <cell r="M7" t="str">
            <v>Rejection From Overs</v>
          </cell>
          <cell r="Q7" t="str">
            <v>Saleable</v>
          </cell>
          <cell r="R7" t="str">
            <v>Rejection from Overs</v>
          </cell>
        </row>
        <row r="8">
          <cell r="B8" t="str">
            <v>Saleable</v>
          </cell>
          <cell r="C8" t="str">
            <v>Rej. fromOVers</v>
          </cell>
          <cell r="D8" t="str">
            <v>Saleable</v>
          </cell>
          <cell r="E8" t="str">
            <v>Rej. fromOVers</v>
          </cell>
          <cell r="F8" t="str">
            <v>Saleable</v>
          </cell>
          <cell r="G8" t="str">
            <v>Rej. fromOVers</v>
          </cell>
          <cell r="H8" t="str">
            <v>Saleable</v>
          </cell>
          <cell r="I8" t="str">
            <v>Rej. fromOVers</v>
          </cell>
          <cell r="M8" t="str">
            <v>Magzir</v>
          </cell>
          <cell r="N8" t="str">
            <v>CH</v>
          </cell>
          <cell r="O8" t="str">
            <v>Mixed-Others</v>
          </cell>
          <cell r="P8" t="str">
            <v>MGT-Others</v>
          </cell>
          <cell r="R8" t="str">
            <v>TIM</v>
          </cell>
          <cell r="S8" t="str">
            <v>Mixed - BHT</v>
          </cell>
          <cell r="T8" t="str">
            <v>MGT - BHT</v>
          </cell>
          <cell r="U8" t="str">
            <v>Saleable</v>
          </cell>
          <cell r="V8" t="str">
            <v>Rej. fromOVers</v>
          </cell>
          <cell r="W8" t="str">
            <v>Saleable</v>
          </cell>
          <cell r="X8" t="str">
            <v>Rej. From OVers</v>
          </cell>
          <cell r="Y8" t="str">
            <v>Saleable</v>
          </cell>
          <cell r="Z8" t="str">
            <v>Rej. fromOVers</v>
          </cell>
          <cell r="AB8" t="str">
            <v>Saleable</v>
          </cell>
          <cell r="AC8" t="str">
            <v>Rej. fromOVers</v>
          </cell>
          <cell r="AD8" t="str">
            <v>Saleable</v>
          </cell>
          <cell r="AE8" t="str">
            <v>Rej. fromOVers</v>
          </cell>
          <cell r="AF8" t="str">
            <v>Saleable</v>
          </cell>
          <cell r="AG8" t="str">
            <v>Rej. fromOVers</v>
          </cell>
          <cell r="AP8" t="str">
            <v>Gross Production</v>
          </cell>
        </row>
        <row r="9">
          <cell r="A9">
            <v>38078</v>
          </cell>
        </row>
        <row r="10">
          <cell r="A10">
            <v>38108</v>
          </cell>
        </row>
        <row r="11">
          <cell r="A11">
            <v>38139</v>
          </cell>
        </row>
        <row r="12">
          <cell r="A12">
            <v>38169</v>
          </cell>
        </row>
        <row r="13">
          <cell r="A13">
            <v>38200</v>
          </cell>
        </row>
        <row r="14">
          <cell r="A14">
            <v>38231</v>
          </cell>
        </row>
        <row r="15">
          <cell r="A15">
            <v>38261</v>
          </cell>
        </row>
        <row r="16">
          <cell r="A16">
            <v>38292</v>
          </cell>
        </row>
        <row r="17">
          <cell r="A17">
            <v>38322</v>
          </cell>
        </row>
        <row r="18">
          <cell r="A18">
            <v>38353</v>
          </cell>
        </row>
        <row r="19">
          <cell r="A19">
            <v>38384</v>
          </cell>
        </row>
        <row r="20">
          <cell r="A20">
            <v>38412</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EXALL"/>
      <sheetName val="gVL"/>
      <sheetName val="Bi_Week_20_02_11"/>
      <sheetName val="Bi_Weekly"/>
      <sheetName val="Assumptions"/>
      <sheetName val="Assmpns"/>
      <sheetName val="Input"/>
      <sheetName val="fco"/>
      <sheetName val="Equipment"/>
      <sheetName val="DETAIL_SHEET"/>
      <sheetName val="NLD_-_Assum"/>
      <sheetName val="Const QMS Dash Board"/>
      <sheetName val="1_PROGRESS_BY_LOCATION_FINAL"/>
      <sheetName val="1_PROGRESS_FINAL"/>
      <sheetName val="narrative"/>
      <sheetName val="Invoices"/>
      <sheetName val="Evaluate"/>
      <sheetName val="Nature"/>
      <sheetName val="Data Valid"/>
      <sheetName val="Const_QMS_Dash_Board"/>
      <sheetName val="Data_Valid"/>
      <sheetName val="MAG1 tracker"/>
      <sheetName val="NLD AG1"/>
      <sheetName val="Valid Inputs"/>
      <sheetName val="Sheet2"/>
      <sheetName val="Reasons"/>
      <sheetName val="Site Findings Status Sheet"/>
      <sheetName val="daywork- Tham khao"/>
      <sheetName val="Const_QMS_Dash_Board1"/>
      <sheetName val="Data_Valid1"/>
      <sheetName val="MAG1_tracker"/>
      <sheetName val="NLD_AG1"/>
      <sheetName val="Valid_Inputs"/>
      <sheetName val="Droupdown"/>
    </sheetNames>
    <sheetDataSet>
      <sheetData sheetId="0" refreshError="1"/>
      <sheetData sheetId="1" refreshError="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sheetData sheetId="31"/>
      <sheetData sheetId="32"/>
      <sheetData sheetId="3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USTIC"/>
      <sheetName val="Domprice"/>
      <sheetName val="Share Price Data  (2) (2)"/>
      <sheetName val="Paint"/>
      <sheetName val="SPT vs PHI"/>
      <sheetName val="Справочник"/>
      <sheetName val="Sheet1"/>
      <sheetName val="Index"/>
      <sheetName val="Inter Co Balances"/>
      <sheetName val="Material List "/>
      <sheetName val="BALANCE-IOTL "/>
      <sheetName val="CSR budget 2016-17"/>
      <sheetName val="Final"/>
      <sheetName val="SALES"/>
      <sheetName val="M.I.S."/>
      <sheetName val="Stock &amp;D"/>
      <sheetName val="PVC FBD"/>
      <sheetName val="RM DHR"/>
      <sheetName val="base sheet"/>
      <sheetName val="Summary"/>
      <sheetName val="Main"/>
      <sheetName val="data"/>
      <sheetName val="Graph"/>
      <sheetName val="GER IFO vs Const"/>
      <sheetName val="Europe sales Graph"/>
      <sheetName val="EU Ind vs EU Cons"/>
      <sheetName val="Balance Sheet Details CMC"/>
      <sheetName val="Earnings model"/>
      <sheetName val="Template"/>
      <sheetName val="synthgraph"/>
      <sheetName val="Power &amp; Fuel(c)"/>
      <sheetName val="TargIS"/>
      <sheetName val="TargBSCF"/>
      <sheetName val="MASTER"/>
      <sheetName val="Additions"/>
      <sheetName val="KISSAN"/>
      <sheetName val="Power_&amp;_Fuel(c)"/>
      <sheetName val="Share_Price_Data__(2)_(2)"/>
      <sheetName val="analysis"/>
      <sheetName val="Dropdowns"/>
      <sheetName val="Anx-M"/>
      <sheetName val="Sheet2"/>
      <sheetName val="Share_Price_Data__(2)_(2)1"/>
      <sheetName val="vb 9&amp;10"/>
      <sheetName val="Wall"/>
      <sheetName val="B"/>
      <sheetName val="GADJETGURU"/>
      <sheetName val="6 TRS"/>
      <sheetName val="JSCPL"/>
      <sheetName val="TSegDetails"/>
      <sheetName val="TMasterConsUnit"/>
      <sheetName val="TMasterCurrency"/>
      <sheetName val="RowConfig"/>
      <sheetName val="TMasterSeg"/>
      <sheetName val="A"/>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refreshError="1"/>
      <sheetData sheetId="39" refreshError="1"/>
      <sheetData sheetId="40" refreshError="1"/>
      <sheetData sheetId="41" refreshError="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it and Loss"/>
      <sheetName val="Balance Sheet"/>
      <sheetName val="Profit and Loss Account."/>
      <sheetName val="FAR Consolidated- GN and Tapuka"/>
    </sheetNames>
    <sheetDataSet>
      <sheetData sheetId="0"/>
      <sheetData sheetId="1"/>
      <sheetData sheetId="2">
        <row r="12">
          <cell r="F12">
            <v>961211729</v>
          </cell>
        </row>
      </sheetData>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Notes"/>
      <sheetName val="ImportHistory"/>
      <sheetName val="Data"/>
      <sheetName val="Cover"/>
      <sheetName val="Fin Perf "/>
      <sheetName val="SO Credit level 7 5 yr "/>
      <sheetName val="SO Credit level 7 10yr"/>
      <sheetName val="SO Credit level 7 20yr "/>
      <sheetName val="SO Credit level 8 5 yr"/>
      <sheetName val="SO Credit level 8 10yr"/>
      <sheetName val="SO Credit level 8 20yr"/>
      <sheetName val="Total Company ratio"/>
      <sheetName val="Total Company Income"/>
      <sheetName val="Total Comapny BS CF"/>
      <sheetName val="Total Comapny coverage ratio "/>
      <sheetName val="SO Credit level 4"/>
      <sheetName val="SO Credit level 5"/>
      <sheetName val="FINANCIALS"/>
      <sheetName val="Discounted Cash Flow Model"/>
      <sheetName val="Main"/>
      <sheetName val="CSH"/>
      <sheetName val="Advances"/>
      <sheetName val="O-1 (277)"/>
      <sheetName val="O-1 (521)"/>
      <sheetName val="O-1 (626) "/>
      <sheetName val="BEV"/>
      <sheetName val="List"/>
      <sheetName val="entity"/>
      <sheetName val="Sheet1"/>
      <sheetName val="IRR"/>
      <sheetName val="Fin_Perf_"/>
      <sheetName val="Multiples"/>
      <sheetName val="Lists"/>
      <sheetName val="Regional Simple Averages"/>
      <sheetName val="ERPs by country"/>
      <sheetName val="Picklist"/>
      <sheetName val="Lookups"/>
      <sheetName val="Legend"/>
      <sheetName val="List of TPEs"/>
      <sheetName val="EX I"/>
      <sheetName val="(BVI) IS"/>
      <sheetName val="4A Unit Costs"/>
      <sheetName val="CFL"/>
      <sheetName val="iAssumptions"/>
      <sheetName val="A"/>
      <sheetName val="Expense Categories"/>
      <sheetName val="Dropdown list"/>
      <sheetName val=""/>
      <sheetName val="VendorList"/>
      <sheetName val="soc1"/>
      <sheetName val="FAS 5 "/>
      <sheetName val="Planned 2005 Spend Analysis-All"/>
      <sheetName val="SWE Credit Rating Graph 6_28_00"/>
      <sheetName val="state"/>
      <sheetName val="FX"/>
      <sheetName val="1999 BUDGET"/>
      <sheetName val="GrFour"/>
      <sheetName val="Calc"/>
      <sheetName val="MOne"/>
      <sheetName val="MTwo"/>
      <sheetName val="KOne"/>
      <sheetName val="GoSeven"/>
      <sheetName val="GrThree"/>
      <sheetName val="HTwo"/>
      <sheetName val="JOne"/>
      <sheetName val="JTwo"/>
      <sheetName val="HOne"/>
      <sheetName val="GoEight"/>
      <sheetName val="Iowa Source Data"/>
      <sheetName val="EnergyPricing"/>
      <sheetName val="Depreciation"/>
      <sheetName val="Hyperion TB"/>
      <sheetName val="SO_Credit_level_7_5_yr_"/>
      <sheetName val="SO_Credit_level_7_10yr"/>
      <sheetName val="SO_Credit_level_7_20yr_"/>
      <sheetName val="SO_Credit_level_8_5_yr"/>
      <sheetName val="SO_Credit_level_8_10yr"/>
      <sheetName val="SO_Credit_level_8_20yr"/>
      <sheetName val="Total_Company_ratio"/>
      <sheetName val="Total_Company_Income"/>
      <sheetName val="Total_Comapny_BS_CF"/>
      <sheetName val="Total_Comapny_coverage_ratio_"/>
      <sheetName val="SO_Credit_level_4"/>
      <sheetName val="SO_Credit_level_5"/>
      <sheetName val="Discounted_Cash_Flow_Model"/>
      <sheetName val="O-1_(277)"/>
      <sheetName val="O-1_(521)"/>
      <sheetName val="O-1_(626)_"/>
      <sheetName val="Case 1B - 1"/>
      <sheetName val="Data Beta"/>
      <sheetName val="Support"/>
      <sheetName val="LE List"/>
      <sheetName val="Fin_Perf_1"/>
      <sheetName val="SO_Credit_level_7_5_yr_1"/>
      <sheetName val="SO_Credit_level_7_10yr1"/>
      <sheetName val="SO_Credit_level_7_20yr_1"/>
      <sheetName val="SO_Credit_level_8_5_yr1"/>
      <sheetName val="SO_Credit_level_8_10yr1"/>
      <sheetName val="SO_Credit_level_8_20yr1"/>
      <sheetName val="Total_Company_ratio1"/>
      <sheetName val="Total_Company_Income1"/>
      <sheetName val="Total_Comapny_BS_CF1"/>
      <sheetName val="Total_Comapny_coverage_ratio_1"/>
      <sheetName val="SO_Credit_level_41"/>
      <sheetName val="SO_Credit_level_51"/>
      <sheetName val="Discounted_Cash_Flow_Model1"/>
      <sheetName val="O-1_(277)1"/>
      <sheetName val="O-1_(521)1"/>
      <sheetName val="O-1_(626)_1"/>
      <sheetName val="Regional_Simple_Averages"/>
      <sheetName val="ERPs_by_country"/>
      <sheetName val="List_of_TPEs"/>
      <sheetName val="Data_Beta"/>
      <sheetName val="EX_I"/>
      <sheetName val="4A_Unit_Costs"/>
      <sheetName val="Stock"/>
      <sheetName val="T_ANAG_PDC_IT"/>
      <sheetName val="T_HYP_SOC"/>
      <sheetName val="X_PROD_OUT_RIEP"/>
      <sheetName val="Summary"/>
      <sheetName val="Dimens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refreshError="1"/>
      <sheetData sheetId="90" refreshError="1"/>
      <sheetData sheetId="91" refreshError="1"/>
      <sheetData sheetId="92" refreshError="1"/>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refreshError="1"/>
      <sheetData sheetId="117" refreshError="1"/>
      <sheetData sheetId="118" refreshError="1"/>
      <sheetData sheetId="119" refreshError="1"/>
      <sheetData sheetId="120" refreshError="1"/>
      <sheetData sheetId="12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4"/>
  <dimension ref="A1:N113"/>
  <sheetViews>
    <sheetView zoomScaleNormal="100" workbookViewId="0">
      <selection activeCell="D10" sqref="D10"/>
    </sheetView>
  </sheetViews>
  <sheetFormatPr defaultColWidth="9.26953125" defaultRowHeight="14.5" outlineLevelRow="1" x14ac:dyDescent="0.35"/>
  <cols>
    <col min="1" max="1" width="7.54296875" style="658" customWidth="1"/>
    <col min="2" max="2" width="40.7265625" style="658" customWidth="1"/>
    <col min="3" max="3" width="10" style="658" customWidth="1"/>
    <col min="4" max="4" width="7.26953125" style="658" bestFit="1" customWidth="1"/>
    <col min="5" max="5" width="10" style="658" bestFit="1" customWidth="1"/>
    <col min="6" max="6" width="9" style="658" bestFit="1" customWidth="1"/>
    <col min="7" max="7" width="10" style="658" bestFit="1" customWidth="1"/>
    <col min="8" max="12" width="8.26953125" style="658" bestFit="1" customWidth="1"/>
    <col min="13" max="13" width="7.453125" style="658" bestFit="1" customWidth="1"/>
    <col min="14" max="14" width="10" style="658" bestFit="1" customWidth="1"/>
    <col min="15" max="16384" width="9.26953125" style="658"/>
  </cols>
  <sheetData>
    <row r="1" spans="2:14" x14ac:dyDescent="0.35">
      <c r="B1" s="2" t="s">
        <v>0</v>
      </c>
    </row>
    <row r="2" spans="2:14" x14ac:dyDescent="0.35">
      <c r="B2" s="658" t="s">
        <v>1538</v>
      </c>
    </row>
    <row r="5" spans="2:14" ht="15" thickBot="1" x14ac:dyDescent="0.4">
      <c r="B5" s="1403" t="s">
        <v>1539</v>
      </c>
      <c r="M5" s="658" t="s">
        <v>88</v>
      </c>
    </row>
    <row r="6" spans="2:14" x14ac:dyDescent="0.35">
      <c r="B6" s="1404" t="s">
        <v>251</v>
      </c>
      <c r="C6" s="1405" t="s">
        <v>3</v>
      </c>
      <c r="D6" s="1405" t="s">
        <v>4</v>
      </c>
      <c r="E6" s="1405" t="s">
        <v>1394</v>
      </c>
      <c r="F6" s="1405" t="s">
        <v>1478</v>
      </c>
      <c r="G6" s="1405" t="s">
        <v>1479</v>
      </c>
      <c r="H6" s="1405" t="s">
        <v>1480</v>
      </c>
      <c r="I6" s="1405" t="s">
        <v>1481</v>
      </c>
      <c r="J6" s="1405" t="s">
        <v>1482</v>
      </c>
      <c r="K6" s="1405" t="s">
        <v>1483</v>
      </c>
      <c r="L6" s="1405" t="s">
        <v>1484</v>
      </c>
      <c r="M6" s="1406" t="s">
        <v>1485</v>
      </c>
    </row>
    <row r="7" spans="2:14" x14ac:dyDescent="0.35">
      <c r="B7" s="1407" t="s">
        <v>396</v>
      </c>
      <c r="C7" s="1408">
        <f>'P&amp;L'!H17</f>
        <v>6688.1991459891988</v>
      </c>
      <c r="D7" s="1408" t="e">
        <f>'P&amp;L'!#REF!</f>
        <v>#REF!</v>
      </c>
      <c r="E7" s="1408">
        <f>'P&amp;L'!J17</f>
        <v>6633.9478780913587</v>
      </c>
      <c r="F7" s="1409">
        <f>'P&amp;L'!K17</f>
        <v>7267.4294791370885</v>
      </c>
      <c r="G7" s="1409">
        <f>'P&amp;L'!L17</f>
        <v>7850.1739707979596</v>
      </c>
      <c r="H7" s="1409">
        <f>'P&amp;L'!M17</f>
        <v>8138.1301007556276</v>
      </c>
      <c r="I7" s="1409">
        <f>'P&amp;L'!N17</f>
        <v>8335.0247087800526</v>
      </c>
      <c r="J7" s="1409">
        <f>'P&amp;L'!O17</f>
        <v>8533.927142562985</v>
      </c>
      <c r="K7" s="1409">
        <f>'P&amp;L'!P17</f>
        <v>8737.529603541152</v>
      </c>
      <c r="L7" s="1409">
        <f>'P&amp;L'!Q17</f>
        <v>8946.038767418313</v>
      </c>
      <c r="M7" s="1410">
        <f>'P&amp;L'!R17</f>
        <v>9159.5736345944315</v>
      </c>
    </row>
    <row r="8" spans="2:14" x14ac:dyDescent="0.35">
      <c r="B8" s="1411" t="s">
        <v>72</v>
      </c>
      <c r="C8" s="1412">
        <f t="shared" ref="C8:M8" si="0">+C89</f>
        <v>195.56989374409011</v>
      </c>
      <c r="D8" s="1412" t="e">
        <f t="shared" si="0"/>
        <v>#REF!</v>
      </c>
      <c r="E8" s="1412">
        <f t="shared" si="0"/>
        <v>393.21076018757032</v>
      </c>
      <c r="F8" s="1412">
        <f t="shared" si="0"/>
        <v>465.29540558861868</v>
      </c>
      <c r="G8" s="1412">
        <f t="shared" si="0"/>
        <v>544.79022453098173</v>
      </c>
      <c r="H8" s="1412">
        <f t="shared" si="0"/>
        <v>565.71099102413473</v>
      </c>
      <c r="I8" s="1412">
        <f t="shared" si="0"/>
        <v>577.24142389697931</v>
      </c>
      <c r="J8" s="1412">
        <f t="shared" si="0"/>
        <v>589.97793642805391</v>
      </c>
      <c r="K8" s="1412">
        <f t="shared" si="0"/>
        <v>601.38803126051891</v>
      </c>
      <c r="L8" s="1412">
        <f t="shared" si="0"/>
        <v>611.18410003354938</v>
      </c>
      <c r="M8" s="1413">
        <f t="shared" si="0"/>
        <v>683.67385951187021</v>
      </c>
    </row>
    <row r="9" spans="2:14" x14ac:dyDescent="0.35">
      <c r="B9" s="1411" t="s">
        <v>78</v>
      </c>
      <c r="C9" s="1414">
        <f t="shared" ref="C9:M9" si="1">C104</f>
        <v>263.08</v>
      </c>
      <c r="D9" s="1414" t="e">
        <f t="shared" si="1"/>
        <v>#REF!</v>
      </c>
      <c r="E9" s="1414">
        <f t="shared" si="1"/>
        <v>143.72765941567476</v>
      </c>
      <c r="F9" s="1414">
        <f t="shared" si="1"/>
        <v>115.37655044977427</v>
      </c>
      <c r="G9" s="1414">
        <f t="shared" si="1"/>
        <v>149.47046473988843</v>
      </c>
      <c r="H9" s="1414">
        <f t="shared" si="1"/>
        <v>143.70003839953796</v>
      </c>
      <c r="I9" s="1414">
        <f t="shared" si="1"/>
        <v>129.91899332770834</v>
      </c>
      <c r="J9" s="1414">
        <f t="shared" si="1"/>
        <v>113.90871434053656</v>
      </c>
      <c r="K9" s="1414">
        <f t="shared" si="1"/>
        <v>93.709205164645553</v>
      </c>
      <c r="L9" s="1414">
        <f t="shared" si="1"/>
        <v>74.130010808844659</v>
      </c>
      <c r="M9" s="1415">
        <f t="shared" si="1"/>
        <v>62.483430773508132</v>
      </c>
    </row>
    <row r="10" spans="2:14" x14ac:dyDescent="0.35">
      <c r="B10" s="1411" t="s">
        <v>54</v>
      </c>
      <c r="C10" s="1414">
        <f>'P&amp;L'!H39</f>
        <v>215.163237815</v>
      </c>
      <c r="D10" s="1414" t="e">
        <f>'P&amp;L'!#REF!</f>
        <v>#REF!</v>
      </c>
      <c r="E10" s="1414">
        <f>'P&amp;L'!J39</f>
        <v>215.8294257165827</v>
      </c>
      <c r="F10" s="1414">
        <f>'P&amp;L'!K39</f>
        <v>215.20442435589436</v>
      </c>
      <c r="G10" s="1414">
        <f>'P&amp;L'!L39</f>
        <v>214.13942299520602</v>
      </c>
      <c r="H10" s="1414">
        <f>'P&amp;L'!M39</f>
        <v>214.62442163451766</v>
      </c>
      <c r="I10" s="1414">
        <f>'P&amp;L'!N39</f>
        <v>214.64630845948335</v>
      </c>
      <c r="J10" s="1414">
        <f>'P&amp;L'!O39</f>
        <v>214.72379655027177</v>
      </c>
      <c r="K10" s="1414">
        <f>'P&amp;L'!P39</f>
        <v>215.20879518958344</v>
      </c>
      <c r="L10" s="1414">
        <f>'P&amp;L'!Q39</f>
        <v>215.69379382889508</v>
      </c>
      <c r="M10" s="1415">
        <f>'P&amp;L'!R39</f>
        <v>216.12553979254363</v>
      </c>
      <c r="N10" s="8"/>
    </row>
    <row r="11" spans="2:14" x14ac:dyDescent="0.35">
      <c r="B11" s="1411" t="s">
        <v>250</v>
      </c>
      <c r="C11" s="1414">
        <f>'P&amp;L'!$H$45</f>
        <v>-279.59334407091069</v>
      </c>
      <c r="D11" s="1414" t="e">
        <f>+D8-D9-D10</f>
        <v>#REF!</v>
      </c>
      <c r="E11" s="1414">
        <f t="shared" ref="E11:M11" si="2">+E8-E9-E10</f>
        <v>33.653675055312846</v>
      </c>
      <c r="F11" s="1414">
        <f t="shared" si="2"/>
        <v>134.71443078295002</v>
      </c>
      <c r="G11" s="1414">
        <f t="shared" si="2"/>
        <v>181.18033679588729</v>
      </c>
      <c r="H11" s="1414">
        <f t="shared" si="2"/>
        <v>207.38653099007911</v>
      </c>
      <c r="I11" s="1414">
        <f t="shared" si="2"/>
        <v>232.67612210978763</v>
      </c>
      <c r="J11" s="1414">
        <f t="shared" si="2"/>
        <v>261.34542553724555</v>
      </c>
      <c r="K11" s="1414">
        <f t="shared" si="2"/>
        <v>292.47003090628994</v>
      </c>
      <c r="L11" s="1414">
        <f t="shared" si="2"/>
        <v>321.36029539580966</v>
      </c>
      <c r="M11" s="1415">
        <f t="shared" si="2"/>
        <v>405.06488894581838</v>
      </c>
    </row>
    <row r="12" spans="2:14" ht="15" thickBot="1" x14ac:dyDescent="0.4">
      <c r="B12" s="1416" t="s">
        <v>1540</v>
      </c>
      <c r="C12" s="1417">
        <f>+C11+C10</f>
        <v>-64.430106255910687</v>
      </c>
      <c r="D12" s="1417" t="e">
        <f t="shared" ref="D12:M12" si="3">+D11+D10</f>
        <v>#REF!</v>
      </c>
      <c r="E12" s="1417">
        <f t="shared" si="3"/>
        <v>249.48310077189555</v>
      </c>
      <c r="F12" s="1417">
        <f t="shared" si="3"/>
        <v>349.91885513884438</v>
      </c>
      <c r="G12" s="1417">
        <f t="shared" si="3"/>
        <v>395.3197597910933</v>
      </c>
      <c r="H12" s="1417">
        <f t="shared" si="3"/>
        <v>422.01095262459677</v>
      </c>
      <c r="I12" s="1417">
        <f t="shared" si="3"/>
        <v>447.32243056927098</v>
      </c>
      <c r="J12" s="1417">
        <f t="shared" si="3"/>
        <v>476.06922208751735</v>
      </c>
      <c r="K12" s="1417">
        <f t="shared" si="3"/>
        <v>507.67882609587338</v>
      </c>
      <c r="L12" s="1417">
        <f t="shared" si="3"/>
        <v>537.05408922470474</v>
      </c>
      <c r="M12" s="1418">
        <f t="shared" si="3"/>
        <v>621.19042873836202</v>
      </c>
    </row>
    <row r="13" spans="2:14" x14ac:dyDescent="0.35">
      <c r="D13" s="8"/>
      <c r="E13" s="8"/>
      <c r="F13" s="8"/>
      <c r="G13" s="8"/>
      <c r="H13" s="8"/>
      <c r="I13" s="8"/>
      <c r="J13" s="8"/>
      <c r="K13" s="8"/>
      <c r="L13" s="8"/>
      <c r="M13" s="8"/>
    </row>
    <row r="14" spans="2:14" x14ac:dyDescent="0.35">
      <c r="D14" s="8"/>
      <c r="E14" s="8"/>
      <c r="F14" s="8"/>
      <c r="G14" s="8"/>
      <c r="H14" s="8"/>
      <c r="I14" s="8"/>
      <c r="J14" s="8"/>
      <c r="K14" s="8"/>
      <c r="L14" s="8"/>
      <c r="M14" s="8"/>
    </row>
    <row r="15" spans="2:14" ht="15" thickBot="1" x14ac:dyDescent="0.4">
      <c r="B15" s="1403" t="s">
        <v>1566</v>
      </c>
      <c r="C15" s="1419"/>
      <c r="D15" s="1419"/>
    </row>
    <row r="16" spans="2:14" x14ac:dyDescent="0.35">
      <c r="B16" s="1420" t="s">
        <v>251</v>
      </c>
      <c r="C16" s="1421" t="s">
        <v>3</v>
      </c>
      <c r="D16" s="1421" t="s">
        <v>4</v>
      </c>
      <c r="E16" s="1421" t="s">
        <v>1394</v>
      </c>
      <c r="F16" s="1421" t="s">
        <v>1478</v>
      </c>
      <c r="G16" s="1421" t="s">
        <v>1479</v>
      </c>
      <c r="H16" s="1421" t="s">
        <v>1480</v>
      </c>
      <c r="I16" s="1421" t="s">
        <v>1481</v>
      </c>
      <c r="J16" s="1421" t="s">
        <v>1482</v>
      </c>
      <c r="K16" s="1421" t="s">
        <v>1483</v>
      </c>
      <c r="L16" s="1421" t="s">
        <v>1484</v>
      </c>
      <c r="M16" s="1422" t="s">
        <v>1485</v>
      </c>
    </row>
    <row r="17" spans="1:13" x14ac:dyDescent="0.35">
      <c r="A17" s="379">
        <v>0.6</v>
      </c>
      <c r="B17" s="1423" t="s">
        <v>1542</v>
      </c>
      <c r="C17" s="1414">
        <f t="shared" ref="C17:M18" si="4">+C86+C$88*$A17</f>
        <v>174.46406731570104</v>
      </c>
      <c r="D17" s="1414" t="e">
        <f t="shared" si="4"/>
        <v>#REF!</v>
      </c>
      <c r="E17" s="1414">
        <f t="shared" si="4"/>
        <v>245.66600760923791</v>
      </c>
      <c r="F17" s="1414">
        <f t="shared" si="4"/>
        <v>263.62024861601628</v>
      </c>
      <c r="G17" s="1414">
        <f t="shared" si="4"/>
        <v>328.08313518222502</v>
      </c>
      <c r="H17" s="1414">
        <f t="shared" si="4"/>
        <v>340.95405271451045</v>
      </c>
      <c r="I17" s="1414">
        <f t="shared" si="4"/>
        <v>347.60334053258055</v>
      </c>
      <c r="J17" s="1414">
        <f t="shared" si="4"/>
        <v>356.09051602527904</v>
      </c>
      <c r="K17" s="1414">
        <f t="shared" si="4"/>
        <v>363.44785994362604</v>
      </c>
      <c r="L17" s="1414">
        <f t="shared" si="4"/>
        <v>369.39678011591707</v>
      </c>
      <c r="M17" s="1415">
        <f t="shared" si="4"/>
        <v>438.2689686238453</v>
      </c>
    </row>
    <row r="18" spans="1:13" x14ac:dyDescent="0.35">
      <c r="A18" s="379">
        <v>0.4</v>
      </c>
      <c r="B18" s="1424" t="s">
        <v>662</v>
      </c>
      <c r="C18" s="1414">
        <f t="shared" si="4"/>
        <v>21.105826428389062</v>
      </c>
      <c r="D18" s="1414" t="e">
        <f t="shared" si="4"/>
        <v>#REF!</v>
      </c>
      <c r="E18" s="1414">
        <f t="shared" si="4"/>
        <v>147.54475257833238</v>
      </c>
      <c r="F18" s="1414">
        <f t="shared" si="4"/>
        <v>201.67515697260242</v>
      </c>
      <c r="G18" s="1414">
        <f t="shared" si="4"/>
        <v>216.70708934875668</v>
      </c>
      <c r="H18" s="1414">
        <f t="shared" si="4"/>
        <v>224.75693830962425</v>
      </c>
      <c r="I18" s="1414">
        <f t="shared" si="4"/>
        <v>229.63808336439882</v>
      </c>
      <c r="J18" s="1414">
        <f t="shared" si="4"/>
        <v>233.88742040277484</v>
      </c>
      <c r="K18" s="1414">
        <f t="shared" si="4"/>
        <v>237.94017131689282</v>
      </c>
      <c r="L18" s="1414">
        <f t="shared" si="4"/>
        <v>241.78731991763229</v>
      </c>
      <c r="M18" s="1415">
        <f t="shared" si="4"/>
        <v>245.40489088802491</v>
      </c>
    </row>
    <row r="19" spans="1:13" ht="15" thickBot="1" x14ac:dyDescent="0.4">
      <c r="B19" s="1425" t="s">
        <v>36</v>
      </c>
      <c r="C19" s="1426">
        <f t="shared" ref="C19:D19" si="5">SUM(C17:C18)</f>
        <v>195.56989374409011</v>
      </c>
      <c r="D19" s="1426" t="e">
        <f t="shared" si="5"/>
        <v>#REF!</v>
      </c>
      <c r="E19" s="1426">
        <f>SUM(E17:E18)</f>
        <v>393.21076018757026</v>
      </c>
      <c r="F19" s="1426">
        <f t="shared" ref="F19:M19" si="6">SUM(F17:F18)</f>
        <v>465.29540558861868</v>
      </c>
      <c r="G19" s="1426">
        <f t="shared" si="6"/>
        <v>544.79022453098173</v>
      </c>
      <c r="H19" s="1426">
        <f t="shared" si="6"/>
        <v>565.71099102413473</v>
      </c>
      <c r="I19" s="1426">
        <f t="shared" si="6"/>
        <v>577.24142389697931</v>
      </c>
      <c r="J19" s="1426">
        <f t="shared" si="6"/>
        <v>589.97793642805391</v>
      </c>
      <c r="K19" s="1426">
        <f t="shared" si="6"/>
        <v>601.3880312605188</v>
      </c>
      <c r="L19" s="1426">
        <f t="shared" si="6"/>
        <v>611.18410003354938</v>
      </c>
      <c r="M19" s="1427">
        <f t="shared" si="6"/>
        <v>683.67385951187021</v>
      </c>
    </row>
    <row r="20" spans="1:13" x14ac:dyDescent="0.35">
      <c r="D20" s="8"/>
      <c r="E20" s="8"/>
      <c r="F20" s="8"/>
      <c r="G20" s="8"/>
      <c r="H20" s="8"/>
      <c r="I20" s="8"/>
      <c r="J20" s="8"/>
      <c r="K20" s="8"/>
      <c r="L20" s="8"/>
      <c r="M20" s="8"/>
    </row>
    <row r="21" spans="1:13" x14ac:dyDescent="0.35">
      <c r="D21" s="8"/>
      <c r="E21" s="8"/>
      <c r="F21" s="8"/>
      <c r="G21" s="8"/>
      <c r="H21" s="8"/>
      <c r="I21" s="8"/>
      <c r="J21" s="8"/>
      <c r="K21" s="8"/>
      <c r="L21" s="8"/>
      <c r="M21" s="8"/>
    </row>
    <row r="22" spans="1:13" x14ac:dyDescent="0.35">
      <c r="B22" s="1535" t="s">
        <v>1541</v>
      </c>
      <c r="C22" s="1536"/>
      <c r="D22" s="1536"/>
      <c r="F22" s="658" t="s">
        <v>88</v>
      </c>
      <c r="H22" s="8"/>
      <c r="I22" s="8"/>
      <c r="J22" s="8"/>
      <c r="K22" s="8"/>
      <c r="L22" s="8"/>
      <c r="M22" s="8"/>
    </row>
    <row r="23" spans="1:13" ht="29" x14ac:dyDescent="0.35">
      <c r="B23" s="1428"/>
      <c r="C23" s="28" t="s">
        <v>1394</v>
      </c>
      <c r="D23" s="4" t="s">
        <v>1543</v>
      </c>
      <c r="E23" s="1429" t="s">
        <v>1544</v>
      </c>
      <c r="F23" s="4" t="s">
        <v>1545</v>
      </c>
      <c r="G23" s="1429" t="s">
        <v>1546</v>
      </c>
      <c r="H23" s="8"/>
      <c r="I23" s="8"/>
      <c r="J23" s="8"/>
      <c r="K23" s="8"/>
      <c r="L23" s="8"/>
      <c r="M23" s="8"/>
    </row>
    <row r="24" spans="1:13" x14ac:dyDescent="0.35">
      <c r="B24" s="1396" t="s">
        <v>1547</v>
      </c>
      <c r="C24" s="1392">
        <f>HLOOKUP(C$23,$C$16:$M$18,2,0)</f>
        <v>245.66600760923791</v>
      </c>
      <c r="D24" s="1392">
        <f>+C24*3</f>
        <v>736.99802282771373</v>
      </c>
      <c r="E24" s="1392">
        <f>ROUNDUP(D24/100,0)*100</f>
        <v>800</v>
      </c>
      <c r="F24" s="1430">
        <v>-25</v>
      </c>
      <c r="G24" s="1392">
        <f>+F24+E24</f>
        <v>775</v>
      </c>
      <c r="H24" s="1431">
        <f>+G24/G26</f>
        <v>0.59829389740224659</v>
      </c>
      <c r="I24" s="8"/>
      <c r="J24" s="8"/>
      <c r="K24" s="8"/>
      <c r="L24" s="8"/>
      <c r="M24" s="8"/>
    </row>
    <row r="25" spans="1:13" x14ac:dyDescent="0.35">
      <c r="B25" s="1396" t="s">
        <v>662</v>
      </c>
      <c r="C25" s="1392">
        <f>HLOOKUP(C$23,$C$16:$M$18,3,0)</f>
        <v>147.54475257833238</v>
      </c>
      <c r="D25" s="1392">
        <f>+C25*3</f>
        <v>442.63425773499716</v>
      </c>
      <c r="E25" s="1392">
        <f>+E26-E24</f>
        <v>495.34999999999991</v>
      </c>
      <c r="F25" s="1400">
        <f>-F24</f>
        <v>25</v>
      </c>
      <c r="G25" s="1392">
        <f>+F25+E25</f>
        <v>520.34999999999991</v>
      </c>
      <c r="H25" s="1431">
        <f>+G25/G26</f>
        <v>0.40170610259775347</v>
      </c>
      <c r="I25" s="8"/>
      <c r="J25" s="8"/>
      <c r="K25" s="8"/>
      <c r="L25" s="8"/>
      <c r="M25" s="8"/>
    </row>
    <row r="26" spans="1:13" x14ac:dyDescent="0.35">
      <c r="B26" s="1329" t="s">
        <v>36</v>
      </c>
      <c r="C26" s="1432">
        <f>SUM(C24:C25)</f>
        <v>393.21076018757026</v>
      </c>
      <c r="D26" s="1432">
        <f>SUM(D24:D25)</f>
        <v>1179.632280562711</v>
      </c>
      <c r="E26" s="1432">
        <v>1295.3499999999999</v>
      </c>
      <c r="F26" s="6">
        <f>+F25+F24</f>
        <v>0</v>
      </c>
      <c r="G26" s="1432">
        <f>+G25+G24</f>
        <v>1295.3499999999999</v>
      </c>
      <c r="H26" s="8"/>
      <c r="I26" s="8"/>
      <c r="J26" s="8"/>
      <c r="K26" s="8"/>
      <c r="L26" s="8"/>
      <c r="M26" s="8"/>
    </row>
    <row r="27" spans="1:13" x14ac:dyDescent="0.35">
      <c r="B27" s="1"/>
      <c r="C27" s="1433"/>
      <c r="D27" s="1433"/>
      <c r="H27" s="8"/>
      <c r="I27" s="8"/>
      <c r="J27" s="8"/>
      <c r="K27" s="8"/>
      <c r="L27" s="8"/>
      <c r="M27" s="8"/>
    </row>
    <row r="28" spans="1:13" x14ac:dyDescent="0.35">
      <c r="D28" s="8"/>
      <c r="E28" s="8"/>
      <c r="F28" s="8"/>
      <c r="G28" s="8"/>
      <c r="H28" s="8"/>
      <c r="I28" s="8"/>
      <c r="J28" s="8"/>
      <c r="K28" s="8"/>
      <c r="L28" s="8"/>
      <c r="M28" s="8"/>
    </row>
    <row r="29" spans="1:13" ht="15" thickBot="1" x14ac:dyDescent="0.4">
      <c r="B29" s="1403" t="s">
        <v>1548</v>
      </c>
      <c r="D29" s="8"/>
      <c r="E29" s="8"/>
      <c r="F29" s="8"/>
      <c r="G29" s="8"/>
      <c r="H29" s="8"/>
      <c r="I29" s="8"/>
      <c r="J29" s="8"/>
      <c r="K29" s="8"/>
      <c r="L29" s="8"/>
      <c r="M29" s="8"/>
    </row>
    <row r="30" spans="1:13" ht="29" x14ac:dyDescent="0.35">
      <c r="B30" s="1434" t="s">
        <v>251</v>
      </c>
      <c r="C30" s="1435" t="s">
        <v>1544</v>
      </c>
      <c r="D30" s="1436"/>
      <c r="E30" s="1436" t="s">
        <v>1394</v>
      </c>
      <c r="F30" s="1436" t="s">
        <v>1478</v>
      </c>
      <c r="G30" s="1436" t="s">
        <v>1479</v>
      </c>
      <c r="H30" s="1436" t="s">
        <v>1480</v>
      </c>
      <c r="I30" s="1436" t="s">
        <v>1481</v>
      </c>
      <c r="J30" s="1436" t="s">
        <v>1482</v>
      </c>
      <c r="K30" s="1436" t="s">
        <v>1483</v>
      </c>
      <c r="L30" s="1436" t="s">
        <v>1484</v>
      </c>
      <c r="M30" s="1437" t="s">
        <v>1485</v>
      </c>
    </row>
    <row r="31" spans="1:13" x14ac:dyDescent="0.35">
      <c r="B31" s="1438" t="s">
        <v>13</v>
      </c>
      <c r="C31" s="1439"/>
      <c r="D31" s="1440"/>
      <c r="E31" s="1440"/>
      <c r="F31" s="1441"/>
      <c r="G31" s="1441"/>
      <c r="H31" s="1441"/>
      <c r="I31" s="1441"/>
      <c r="J31" s="1441"/>
      <c r="K31" s="1441"/>
      <c r="L31" s="1441"/>
      <c r="M31" s="1442"/>
    </row>
    <row r="32" spans="1:13" outlineLevel="1" x14ac:dyDescent="0.35">
      <c r="B32" s="1411" t="s">
        <v>1549</v>
      </c>
      <c r="C32" s="1529">
        <f>SUM(E32:M32)</f>
        <v>775.07697081203924</v>
      </c>
      <c r="D32" s="1530"/>
      <c r="E32" s="1530">
        <f>+E109*$G$24/$G$26</f>
        <v>85.258466789324316</v>
      </c>
      <c r="F32" s="1530">
        <f t="shared" ref="F32:M34" si="7">+F109*$G$24/$G$26</f>
        <v>77.507697081203929</v>
      </c>
      <c r="G32" s="1530">
        <f t="shared" si="7"/>
        <v>77.507697081203929</v>
      </c>
      <c r="H32" s="1530">
        <f t="shared" si="7"/>
        <v>85.258466789324316</v>
      </c>
      <c r="I32" s="1530">
        <f t="shared" si="7"/>
        <v>85.258466789324316</v>
      </c>
      <c r="J32" s="1530">
        <f t="shared" si="7"/>
        <v>124.0123153299263</v>
      </c>
      <c r="K32" s="1530">
        <f t="shared" si="7"/>
        <v>124.0123153299263</v>
      </c>
      <c r="L32" s="1530">
        <f t="shared" si="7"/>
        <v>116.26154562180584</v>
      </c>
      <c r="M32" s="1531">
        <f t="shared" si="7"/>
        <v>0</v>
      </c>
    </row>
    <row r="33" spans="2:13" outlineLevel="1" x14ac:dyDescent="0.35">
      <c r="B33" s="1446" t="s">
        <v>1550</v>
      </c>
      <c r="C33" s="1443">
        <f>SUM(E33:M33)</f>
        <v>342.00938369853873</v>
      </c>
      <c r="D33" s="1447"/>
      <c r="E33" s="1444">
        <f>+E110*$G$24/$G$26</f>
        <v>72.726593100730057</v>
      </c>
      <c r="F33" s="1444">
        <f t="shared" si="7"/>
        <v>64.836458552007343</v>
      </c>
      <c r="G33" s="1444">
        <f t="shared" si="7"/>
        <v>57.082432460735596</v>
      </c>
      <c r="H33" s="1444">
        <f t="shared" si="7"/>
        <v>49.214116825039362</v>
      </c>
      <c r="I33" s="1444">
        <f t="shared" si="7"/>
        <v>40.870980082052363</v>
      </c>
      <c r="J33" s="1444">
        <f t="shared" si="7"/>
        <v>31.182343702431698</v>
      </c>
      <c r="K33" s="1444">
        <f t="shared" si="7"/>
        <v>18.974142366180459</v>
      </c>
      <c r="L33" s="1444">
        <f t="shared" si="7"/>
        <v>7.1223166093619152</v>
      </c>
      <c r="M33" s="1445">
        <f t="shared" si="7"/>
        <v>2.6549526377804068E-14</v>
      </c>
    </row>
    <row r="34" spans="2:13" outlineLevel="1" x14ac:dyDescent="0.35">
      <c r="B34" s="1446" t="s">
        <v>1551</v>
      </c>
      <c r="C34" s="1443">
        <f>SUM(E34:M34)</f>
        <v>223.02723078500674</v>
      </c>
      <c r="D34" s="1448"/>
      <c r="E34" s="1444">
        <f>+E111*$G$24/$G$26</f>
        <v>0</v>
      </c>
      <c r="F34" s="1444">
        <f t="shared" si="7"/>
        <v>0</v>
      </c>
      <c r="G34" s="1444">
        <f t="shared" si="7"/>
        <v>28.074064748800282</v>
      </c>
      <c r="H34" s="1444">
        <f t="shared" si="7"/>
        <v>32.492194339367742</v>
      </c>
      <c r="I34" s="1444">
        <f t="shared" si="7"/>
        <v>32.492194339367742</v>
      </c>
      <c r="J34" s="1444">
        <f t="shared" si="7"/>
        <v>32.492194339367742</v>
      </c>
      <c r="K34" s="1444">
        <f t="shared" si="7"/>
        <v>32.492194339367742</v>
      </c>
      <c r="L34" s="1444">
        <f t="shared" si="7"/>
        <v>32.492194339367742</v>
      </c>
      <c r="M34" s="1445">
        <f t="shared" si="7"/>
        <v>32.492194339367742</v>
      </c>
    </row>
    <row r="35" spans="2:13" x14ac:dyDescent="0.35">
      <c r="B35" s="1449" t="s">
        <v>36</v>
      </c>
      <c r="C35" s="1450">
        <f>SUM(C32:C34)</f>
        <v>1340.1135852955849</v>
      </c>
      <c r="D35" s="1451"/>
      <c r="E35" s="1451">
        <f t="shared" ref="E35:M35" si="8">SUM(E32:E34)</f>
        <v>157.98505989005437</v>
      </c>
      <c r="F35" s="1451">
        <f t="shared" si="8"/>
        <v>142.34415563321127</v>
      </c>
      <c r="G35" s="1451">
        <f t="shared" si="8"/>
        <v>162.6641942907398</v>
      </c>
      <c r="H35" s="1451">
        <f t="shared" si="8"/>
        <v>166.96477795373141</v>
      </c>
      <c r="I35" s="1451">
        <f t="shared" si="8"/>
        <v>158.62164121074443</v>
      </c>
      <c r="J35" s="1451">
        <f t="shared" si="8"/>
        <v>187.68685337172576</v>
      </c>
      <c r="K35" s="1451">
        <f t="shared" si="8"/>
        <v>175.47865203547451</v>
      </c>
      <c r="L35" s="1451">
        <f t="shared" si="8"/>
        <v>155.8760565705355</v>
      </c>
      <c r="M35" s="1452">
        <f t="shared" si="8"/>
        <v>32.492194339367771</v>
      </c>
    </row>
    <row r="36" spans="2:13" x14ac:dyDescent="0.35">
      <c r="B36" s="1438" t="s">
        <v>662</v>
      </c>
      <c r="C36" s="1453"/>
      <c r="D36" s="1454"/>
      <c r="E36" s="1454"/>
      <c r="F36" s="1454"/>
      <c r="G36" s="1454"/>
      <c r="H36" s="1454"/>
      <c r="I36" s="1454"/>
      <c r="J36" s="1454"/>
      <c r="K36" s="1454"/>
      <c r="L36" s="1454"/>
      <c r="M36" s="1455"/>
    </row>
    <row r="37" spans="2:13" outlineLevel="1" x14ac:dyDescent="0.35">
      <c r="B37" s="1411" t="s">
        <v>1549</v>
      </c>
      <c r="C37" s="1529">
        <f>SUM(E37:M37)</f>
        <v>520.40167969296067</v>
      </c>
      <c r="D37" s="1530"/>
      <c r="E37" s="1530">
        <f>+E109*$G$25/$G$26</f>
        <v>57.244184766225672</v>
      </c>
      <c r="F37" s="1530">
        <f t="shared" ref="F37:M39" si="9">+F109*$G$25/$G$26</f>
        <v>52.040167969296071</v>
      </c>
      <c r="G37" s="1530">
        <f t="shared" si="9"/>
        <v>52.040167969296071</v>
      </c>
      <c r="H37" s="1530">
        <f t="shared" si="9"/>
        <v>57.244184766225672</v>
      </c>
      <c r="I37" s="1530">
        <f t="shared" si="9"/>
        <v>57.244184766225672</v>
      </c>
      <c r="J37" s="1530">
        <f t="shared" si="9"/>
        <v>83.264268750873725</v>
      </c>
      <c r="K37" s="1530">
        <f t="shared" si="9"/>
        <v>83.264268750873725</v>
      </c>
      <c r="L37" s="1530">
        <f t="shared" si="9"/>
        <v>78.060251953944061</v>
      </c>
      <c r="M37" s="1531">
        <f t="shared" si="9"/>
        <v>0</v>
      </c>
    </row>
    <row r="38" spans="2:13" outlineLevel="1" x14ac:dyDescent="0.35">
      <c r="B38" s="1446" t="s">
        <v>1550</v>
      </c>
      <c r="C38" s="1443">
        <f>SUM(E38:M38)</f>
        <v>229.63171975165764</v>
      </c>
      <c r="D38" s="1444"/>
      <c r="E38" s="1444">
        <f>+E110*$G$25/$G$26</f>
        <v>48.830042219309519</v>
      </c>
      <c r="F38" s="1444">
        <f t="shared" si="9"/>
        <v>43.532453171015504</v>
      </c>
      <c r="G38" s="1444">
        <f t="shared" si="9"/>
        <v>38.326249975411308</v>
      </c>
      <c r="H38" s="1444">
        <f t="shared" si="9"/>
        <v>33.043310567624808</v>
      </c>
      <c r="I38" s="1444">
        <f t="shared" si="9"/>
        <v>27.441567078317345</v>
      </c>
      <c r="J38" s="1444">
        <f t="shared" si="9"/>
        <v>20.936429091045589</v>
      </c>
      <c r="K38" s="1444">
        <f t="shared" si="9"/>
        <v>12.739606426118709</v>
      </c>
      <c r="L38" s="1444">
        <f t="shared" si="9"/>
        <v>4.7820612228148027</v>
      </c>
      <c r="M38" s="1445">
        <f t="shared" si="9"/>
        <v>1.7825865871858508E-14</v>
      </c>
    </row>
    <row r="39" spans="2:13" outlineLevel="1" x14ac:dyDescent="0.35">
      <c r="B39" s="1446" t="s">
        <v>1551</v>
      </c>
      <c r="C39" s="1443">
        <f>SUM(E39:M39)</f>
        <v>149.74479940513319</v>
      </c>
      <c r="D39" s="1448"/>
      <c r="E39" s="1444">
        <f>+E111*$G$25/$G$26</f>
        <v>0</v>
      </c>
      <c r="F39" s="1444">
        <f t="shared" si="9"/>
        <v>0</v>
      </c>
      <c r="G39" s="1444">
        <f t="shared" si="9"/>
        <v>18.849470441339644</v>
      </c>
      <c r="H39" s="1444">
        <f t="shared" si="9"/>
        <v>21.815888160632259</v>
      </c>
      <c r="I39" s="1444">
        <f t="shared" si="9"/>
        <v>21.815888160632259</v>
      </c>
      <c r="J39" s="1444">
        <f t="shared" si="9"/>
        <v>21.815888160632259</v>
      </c>
      <c r="K39" s="1444">
        <f t="shared" si="9"/>
        <v>21.815888160632259</v>
      </c>
      <c r="L39" s="1444">
        <f t="shared" si="9"/>
        <v>21.815888160632259</v>
      </c>
      <c r="M39" s="1456">
        <f t="shared" si="9"/>
        <v>21.815888160632259</v>
      </c>
    </row>
    <row r="40" spans="2:13" x14ac:dyDescent="0.35">
      <c r="B40" s="1449" t="s">
        <v>36</v>
      </c>
      <c r="C40" s="1450">
        <f>SUM(C37:C39)</f>
        <v>899.77819884975156</v>
      </c>
      <c r="D40" s="1451"/>
      <c r="E40" s="1451">
        <f t="shared" ref="E40:M40" si="10">SUM(E37:E39)</f>
        <v>106.07422698553519</v>
      </c>
      <c r="F40" s="1451">
        <f t="shared" si="10"/>
        <v>95.572621140311583</v>
      </c>
      <c r="G40" s="1451">
        <f t="shared" si="10"/>
        <v>109.21588838604703</v>
      </c>
      <c r="H40" s="1451">
        <f t="shared" si="10"/>
        <v>112.10338349448273</v>
      </c>
      <c r="I40" s="1451">
        <f t="shared" si="10"/>
        <v>106.50164000517528</v>
      </c>
      <c r="J40" s="1451">
        <f t="shared" si="10"/>
        <v>126.01658600255158</v>
      </c>
      <c r="K40" s="1451">
        <f t="shared" si="10"/>
        <v>117.81976333762469</v>
      </c>
      <c r="L40" s="1451">
        <f t="shared" si="10"/>
        <v>104.65820133739112</v>
      </c>
      <c r="M40" s="1452">
        <f t="shared" si="10"/>
        <v>21.815888160632277</v>
      </c>
    </row>
    <row r="41" spans="2:13" ht="15" thickBot="1" x14ac:dyDescent="0.4">
      <c r="B41" s="1457"/>
      <c r="C41" s="1458">
        <f>+C40+C35</f>
        <v>2239.8917841453367</v>
      </c>
      <c r="D41" s="1426"/>
      <c r="E41" s="1426">
        <f t="shared" ref="E41:M41" si="11">+E40+E35</f>
        <v>264.05928687558958</v>
      </c>
      <c r="F41" s="1426">
        <f t="shared" si="11"/>
        <v>237.91677677352286</v>
      </c>
      <c r="G41" s="1426">
        <f t="shared" si="11"/>
        <v>271.88008267678686</v>
      </c>
      <c r="H41" s="1426">
        <f t="shared" si="11"/>
        <v>279.06816144821414</v>
      </c>
      <c r="I41" s="1426">
        <f t="shared" si="11"/>
        <v>265.12328121591969</v>
      </c>
      <c r="J41" s="1426">
        <f t="shared" si="11"/>
        <v>313.70343937427731</v>
      </c>
      <c r="K41" s="1426">
        <f t="shared" si="11"/>
        <v>293.2984153730992</v>
      </c>
      <c r="L41" s="1426">
        <f t="shared" si="11"/>
        <v>260.53425790792664</v>
      </c>
      <c r="M41" s="1427">
        <f t="shared" si="11"/>
        <v>54.308082500000047</v>
      </c>
    </row>
    <row r="42" spans="2:13" x14ac:dyDescent="0.35">
      <c r="B42" s="1459"/>
      <c r="D42" s="8"/>
      <c r="E42" s="8"/>
      <c r="F42" s="8"/>
      <c r="G42" s="8"/>
      <c r="H42" s="8"/>
      <c r="I42" s="8"/>
      <c r="J42" s="8"/>
      <c r="K42" s="8"/>
      <c r="L42" s="8"/>
      <c r="M42" s="8"/>
    </row>
    <row r="43" spans="2:13" x14ac:dyDescent="0.35">
      <c r="B43" s="1459"/>
      <c r="D43" s="8"/>
      <c r="E43" s="8"/>
      <c r="F43" s="8"/>
      <c r="G43" s="8"/>
      <c r="H43" s="8"/>
      <c r="I43" s="8"/>
      <c r="J43" s="8"/>
      <c r="K43" s="8"/>
      <c r="L43" s="8"/>
      <c r="M43" s="8"/>
    </row>
    <row r="44" spans="2:13" x14ac:dyDescent="0.35">
      <c r="B44" s="1459"/>
      <c r="D44" s="8"/>
      <c r="E44" s="8"/>
      <c r="F44" s="8"/>
      <c r="G44" s="8"/>
      <c r="H44" s="8"/>
      <c r="I44" s="8"/>
      <c r="J44" s="8"/>
      <c r="K44" s="8"/>
      <c r="L44" s="8"/>
      <c r="M44" s="8"/>
    </row>
    <row r="45" spans="2:13" ht="15" thickBot="1" x14ac:dyDescent="0.4">
      <c r="B45" s="1403" t="s">
        <v>1552</v>
      </c>
    </row>
    <row r="46" spans="2:13" x14ac:dyDescent="0.35">
      <c r="B46" s="1460" t="s">
        <v>251</v>
      </c>
      <c r="C46" s="1461"/>
      <c r="D46" s="1461"/>
      <c r="E46" s="1461" t="s">
        <v>1394</v>
      </c>
      <c r="F46" s="1461" t="s">
        <v>1478</v>
      </c>
      <c r="G46" s="1461" t="s">
        <v>1479</v>
      </c>
      <c r="H46" s="1461" t="s">
        <v>1480</v>
      </c>
      <c r="I46" s="1461" t="s">
        <v>1481</v>
      </c>
      <c r="J46" s="1461" t="s">
        <v>1482</v>
      </c>
      <c r="K46" s="1461" t="s">
        <v>1483</v>
      </c>
      <c r="L46" s="1461" t="s">
        <v>1484</v>
      </c>
      <c r="M46" s="1462" t="s">
        <v>1485</v>
      </c>
    </row>
    <row r="47" spans="2:13" x14ac:dyDescent="0.35">
      <c r="B47" s="1463" t="s">
        <v>1542</v>
      </c>
      <c r="C47" s="1464"/>
      <c r="D47" s="1464"/>
      <c r="E47" s="1464"/>
      <c r="F47" s="1464"/>
      <c r="G47" s="1464"/>
      <c r="H47" s="1464"/>
      <c r="I47" s="1464"/>
      <c r="J47" s="1464"/>
      <c r="K47" s="1464"/>
      <c r="L47" s="1464"/>
      <c r="M47" s="1465"/>
    </row>
    <row r="48" spans="2:13" x14ac:dyDescent="0.35">
      <c r="B48" s="1466" t="s">
        <v>72</v>
      </c>
      <c r="C48" s="1532"/>
      <c r="D48" s="1532"/>
      <c r="E48" s="1533">
        <f t="shared" ref="E48:M48" si="12">+E17</f>
        <v>245.66600760923791</v>
      </c>
      <c r="F48" s="1533">
        <f t="shared" si="12"/>
        <v>263.62024861601628</v>
      </c>
      <c r="G48" s="1533">
        <f t="shared" si="12"/>
        <v>328.08313518222502</v>
      </c>
      <c r="H48" s="1533">
        <f t="shared" si="12"/>
        <v>340.95405271451045</v>
      </c>
      <c r="I48" s="1533">
        <f t="shared" si="12"/>
        <v>347.60334053258055</v>
      </c>
      <c r="J48" s="1533">
        <f t="shared" si="12"/>
        <v>356.09051602527904</v>
      </c>
      <c r="K48" s="1533">
        <f t="shared" si="12"/>
        <v>363.44785994362604</v>
      </c>
      <c r="L48" s="1533">
        <f t="shared" si="12"/>
        <v>369.39678011591707</v>
      </c>
      <c r="M48" s="1534">
        <f t="shared" si="12"/>
        <v>438.2689686238453</v>
      </c>
    </row>
    <row r="49" spans="2:13" x14ac:dyDescent="0.35">
      <c r="B49" s="1469" t="s">
        <v>589</v>
      </c>
      <c r="C49" s="24"/>
      <c r="D49" s="24"/>
      <c r="E49" s="1467">
        <f>E77*$G$24/$G$26</f>
        <v>0</v>
      </c>
      <c r="F49" s="1467">
        <f t="shared" ref="F49:M49" si="13">F77*$G$24/$G$26</f>
        <v>-8.9744084610336987</v>
      </c>
      <c r="G49" s="1467">
        <f t="shared" si="13"/>
        <v>-8.9744084610336987</v>
      </c>
      <c r="H49" s="1467">
        <f t="shared" si="13"/>
        <v>-8.9744084610336987</v>
      </c>
      <c r="I49" s="1467">
        <f t="shared" si="13"/>
        <v>-8.9744084610336987</v>
      </c>
      <c r="J49" s="1467">
        <f t="shared" si="13"/>
        <v>-8.9744084610336987</v>
      </c>
      <c r="K49" s="1467">
        <f t="shared" si="13"/>
        <v>-8.9744084610336987</v>
      </c>
      <c r="L49" s="1467">
        <f t="shared" si="13"/>
        <v>-8.9744084610336987</v>
      </c>
      <c r="M49" s="1468">
        <f t="shared" si="13"/>
        <v>-8.9744084610336987</v>
      </c>
    </row>
    <row r="50" spans="2:13" x14ac:dyDescent="0.35">
      <c r="B50" s="1469" t="s">
        <v>590</v>
      </c>
      <c r="C50" s="24"/>
      <c r="D50" s="24"/>
      <c r="E50" s="1467">
        <f t="shared" ref="E50:M50" si="14">E78*$G$24/$G$26</f>
        <v>-1341.7820776990627</v>
      </c>
      <c r="F50" s="1467">
        <f t="shared" si="14"/>
        <v>-79.044364949191532</v>
      </c>
      <c r="G50" s="1467">
        <f t="shared" si="14"/>
        <v>-660.77767369937703</v>
      </c>
      <c r="H50" s="1467">
        <f t="shared" si="14"/>
        <v>-199.12013925907419</v>
      </c>
      <c r="I50" s="1467">
        <f t="shared" si="14"/>
        <v>-132.76905821373518</v>
      </c>
      <c r="J50" s="1467">
        <f t="shared" si="14"/>
        <v>-102.21889671169519</v>
      </c>
      <c r="K50" s="1467">
        <f t="shared" si="14"/>
        <v>-128.24094961012457</v>
      </c>
      <c r="L50" s="1467">
        <f t="shared" si="14"/>
        <v>-155.62243964889714</v>
      </c>
      <c r="M50" s="1468">
        <f t="shared" si="14"/>
        <v>-244.93662202002329</v>
      </c>
    </row>
    <row r="51" spans="2:13" x14ac:dyDescent="0.35">
      <c r="B51" s="1469" t="s">
        <v>598</v>
      </c>
      <c r="C51" s="24"/>
      <c r="D51" s="24"/>
      <c r="E51" s="1467">
        <f t="shared" ref="E51:M51" si="15">E79*$G$24/$G$26</f>
        <v>-12.683373231037942</v>
      </c>
      <c r="F51" s="1467">
        <f t="shared" si="15"/>
        <v>-3.5414424787316165</v>
      </c>
      <c r="G51" s="1467">
        <f t="shared" si="15"/>
        <v>-3.5414424787316165</v>
      </c>
      <c r="H51" s="1467">
        <f t="shared" si="15"/>
        <v>-3.45169839412128</v>
      </c>
      <c r="I51" s="1467">
        <f t="shared" si="15"/>
        <v>-3.45169839412128</v>
      </c>
      <c r="J51" s="1467">
        <f t="shared" si="15"/>
        <v>-3.45169839412128</v>
      </c>
      <c r="K51" s="1467">
        <f t="shared" si="15"/>
        <v>-3.45169839412128</v>
      </c>
      <c r="L51" s="1467">
        <f t="shared" si="15"/>
        <v>-3.45169839412128</v>
      </c>
      <c r="M51" s="1468">
        <f t="shared" si="15"/>
        <v>-3.45169839412128</v>
      </c>
    </row>
    <row r="52" spans="2:13" x14ac:dyDescent="0.35">
      <c r="B52" s="1470" t="s">
        <v>623</v>
      </c>
      <c r="C52" s="25"/>
      <c r="D52" s="25"/>
      <c r="E52" s="1471">
        <f t="shared" ref="E52:M52" si="16">E80*$G$24/$G$26</f>
        <v>0</v>
      </c>
      <c r="F52" s="1471">
        <f t="shared" si="16"/>
        <v>0</v>
      </c>
      <c r="G52" s="1471">
        <f t="shared" si="16"/>
        <v>553.18354184828138</v>
      </c>
      <c r="H52" s="1471">
        <f t="shared" si="16"/>
        <v>87.056740700836656</v>
      </c>
      <c r="I52" s="1471">
        <f t="shared" si="16"/>
        <v>0</v>
      </c>
      <c r="J52" s="1471">
        <f t="shared" si="16"/>
        <v>0</v>
      </c>
      <c r="K52" s="1471">
        <f t="shared" si="16"/>
        <v>0</v>
      </c>
      <c r="L52" s="1471">
        <f t="shared" si="16"/>
        <v>0</v>
      </c>
      <c r="M52" s="1472">
        <f t="shared" si="16"/>
        <v>0</v>
      </c>
    </row>
    <row r="53" spans="2:13" x14ac:dyDescent="0.35">
      <c r="B53" s="1473" t="s">
        <v>36</v>
      </c>
      <c r="C53" s="1474">
        <f>SUM(C42:C52)</f>
        <v>0</v>
      </c>
      <c r="D53" s="1474">
        <f>SUM(D42:D52)</f>
        <v>0</v>
      </c>
      <c r="E53" s="1475">
        <f>SUM(E48:E52)</f>
        <v>-1108.7994433208628</v>
      </c>
      <c r="F53" s="1475">
        <f t="shared" ref="F53:M53" si="17">SUM(F48:F52)</f>
        <v>172.06003272705942</v>
      </c>
      <c r="G53" s="1475">
        <f t="shared" si="17"/>
        <v>207.97315239136407</v>
      </c>
      <c r="H53" s="1475">
        <f t="shared" si="17"/>
        <v>216.46454730111793</v>
      </c>
      <c r="I53" s="1475">
        <f t="shared" si="17"/>
        <v>202.40817546369038</v>
      </c>
      <c r="J53" s="1475">
        <f t="shared" si="17"/>
        <v>241.44551245842885</v>
      </c>
      <c r="K53" s="1475">
        <f t="shared" si="17"/>
        <v>222.78080347834648</v>
      </c>
      <c r="L53" s="1475">
        <f t="shared" si="17"/>
        <v>201.34823361186494</v>
      </c>
      <c r="M53" s="1476">
        <f t="shared" si="17"/>
        <v>180.90623974866702</v>
      </c>
    </row>
    <row r="54" spans="2:13" x14ac:dyDescent="0.35">
      <c r="B54" s="1477" t="s">
        <v>351</v>
      </c>
      <c r="C54" s="1478"/>
      <c r="D54" s="1478"/>
      <c r="E54" s="1479">
        <f t="shared" ref="E54:M54" si="18">+E53/E35</f>
        <v>-7.0183816374314327</v>
      </c>
      <c r="F54" s="1479">
        <f t="shared" si="18"/>
        <v>1.2087607809513392</v>
      </c>
      <c r="G54" s="1479">
        <f t="shared" si="18"/>
        <v>1.278542910430803</v>
      </c>
      <c r="H54" s="1479">
        <f t="shared" si="18"/>
        <v>1.2964683327468245</v>
      </c>
      <c r="I54" s="1479">
        <f t="shared" si="18"/>
        <v>1.2760438860594769</v>
      </c>
      <c r="J54" s="1479">
        <f t="shared" si="18"/>
        <v>1.2864274088512244</v>
      </c>
      <c r="K54" s="1479">
        <f t="shared" si="18"/>
        <v>1.2695607180371402</v>
      </c>
      <c r="L54" s="1479">
        <f t="shared" si="18"/>
        <v>1.2917200886510292</v>
      </c>
      <c r="M54" s="1480">
        <f t="shared" si="18"/>
        <v>5.5676830520947531</v>
      </c>
    </row>
    <row r="55" spans="2:13" ht="15" thickBot="1" x14ac:dyDescent="0.4">
      <c r="B55" s="1490" t="s">
        <v>1413</v>
      </c>
      <c r="C55" s="1491"/>
      <c r="D55" s="1492">
        <f>SUM(E53:M53)/SUM(E35:M35)</f>
        <v>0.40040430881933264</v>
      </c>
      <c r="E55" s="1493"/>
      <c r="F55" s="1493"/>
      <c r="G55" s="1493"/>
      <c r="H55" s="1493"/>
      <c r="I55" s="1493"/>
      <c r="J55" s="1493"/>
      <c r="K55" s="1493"/>
      <c r="L55" s="1493"/>
      <c r="M55" s="1494"/>
    </row>
    <row r="56" spans="2:13" ht="15" thickTop="1" x14ac:dyDescent="0.35">
      <c r="B56" s="1463" t="s">
        <v>662</v>
      </c>
      <c r="C56" s="1464"/>
      <c r="D56" s="1464"/>
      <c r="E56" s="1481"/>
      <c r="F56" s="1481"/>
      <c r="G56" s="1481"/>
      <c r="H56" s="1481"/>
      <c r="I56" s="1481"/>
      <c r="J56" s="1481"/>
      <c r="K56" s="1481"/>
      <c r="L56" s="1481"/>
      <c r="M56" s="1482"/>
    </row>
    <row r="57" spans="2:13" x14ac:dyDescent="0.35">
      <c r="B57" s="1466" t="s">
        <v>72</v>
      </c>
      <c r="C57" s="1532"/>
      <c r="D57" s="1532"/>
      <c r="E57" s="1533">
        <f t="shared" ref="E57:M57" si="19">+E18</f>
        <v>147.54475257833238</v>
      </c>
      <c r="F57" s="1533">
        <f t="shared" si="19"/>
        <v>201.67515697260242</v>
      </c>
      <c r="G57" s="1533">
        <f t="shared" si="19"/>
        <v>216.70708934875668</v>
      </c>
      <c r="H57" s="1533">
        <f t="shared" si="19"/>
        <v>224.75693830962425</v>
      </c>
      <c r="I57" s="1533">
        <f t="shared" si="19"/>
        <v>229.63808336439882</v>
      </c>
      <c r="J57" s="1533">
        <f t="shared" si="19"/>
        <v>233.88742040277484</v>
      </c>
      <c r="K57" s="1533">
        <f t="shared" si="19"/>
        <v>237.94017131689282</v>
      </c>
      <c r="L57" s="1533">
        <f t="shared" si="19"/>
        <v>241.78731991763229</v>
      </c>
      <c r="M57" s="1534">
        <f t="shared" si="19"/>
        <v>245.40489088802491</v>
      </c>
    </row>
    <row r="58" spans="2:13" x14ac:dyDescent="0.35">
      <c r="B58" s="1469" t="s">
        <v>589</v>
      </c>
      <c r="C58" s="24"/>
      <c r="D58" s="24"/>
      <c r="E58" s="1467">
        <f>E77*$G$25/$G$26</f>
        <v>0</v>
      </c>
      <c r="F58" s="1467">
        <f t="shared" ref="F58:M58" si="20">F77*$G$25/$G$26</f>
        <v>-6.0255915389663013</v>
      </c>
      <c r="G58" s="1467">
        <f t="shared" si="20"/>
        <v>-6.0255915389663013</v>
      </c>
      <c r="H58" s="1467">
        <f t="shared" si="20"/>
        <v>-6.0255915389663013</v>
      </c>
      <c r="I58" s="1467">
        <f t="shared" si="20"/>
        <v>-6.0255915389663013</v>
      </c>
      <c r="J58" s="1467">
        <f t="shared" si="20"/>
        <v>-6.0255915389663013</v>
      </c>
      <c r="K58" s="1467">
        <f t="shared" si="20"/>
        <v>-6.0255915389663013</v>
      </c>
      <c r="L58" s="1467">
        <f t="shared" si="20"/>
        <v>-6.0255915389663013</v>
      </c>
      <c r="M58" s="1468">
        <f t="shared" si="20"/>
        <v>-6.0255915389663013</v>
      </c>
    </row>
    <row r="59" spans="2:13" x14ac:dyDescent="0.35">
      <c r="B59" s="1469" t="s">
        <v>590</v>
      </c>
      <c r="C59" s="24"/>
      <c r="D59" s="24"/>
      <c r="E59" s="1467">
        <f t="shared" ref="E59:M59" si="21">E78*$G$25/$G$26</f>
        <v>-900.89845694284793</v>
      </c>
      <c r="F59" s="1467">
        <f t="shared" si="21"/>
        <v>-53.071916517821684</v>
      </c>
      <c r="G59" s="1467">
        <f t="shared" si="21"/>
        <v>-443.65891936705901</v>
      </c>
      <c r="H59" s="1467">
        <f t="shared" si="21"/>
        <v>-133.69311543672157</v>
      </c>
      <c r="I59" s="1467">
        <f t="shared" si="21"/>
        <v>-89.14371540840915</v>
      </c>
      <c r="J59" s="1467">
        <f t="shared" si="21"/>
        <v>-68.631745682491072</v>
      </c>
      <c r="K59" s="1467">
        <f t="shared" si="21"/>
        <v>-86.103455651133316</v>
      </c>
      <c r="L59" s="1467">
        <f t="shared" si="21"/>
        <v>-104.48791802748853</v>
      </c>
      <c r="M59" s="1468">
        <f t="shared" si="21"/>
        <v>-164.45518873305693</v>
      </c>
    </row>
    <row r="60" spans="2:13" x14ac:dyDescent="0.35">
      <c r="B60" s="1469" t="s">
        <v>598</v>
      </c>
      <c r="C60" s="24"/>
      <c r="D60" s="24"/>
      <c r="E60" s="1467">
        <f t="shared" ref="E60:M60" si="22">E79*$G$25/$G$26</f>
        <v>-8.5158622719620531</v>
      </c>
      <c r="F60" s="1467">
        <f t="shared" si="22"/>
        <v>-2.3777930242683825</v>
      </c>
      <c r="G60" s="1467">
        <f t="shared" si="22"/>
        <v>-2.3777930242683825</v>
      </c>
      <c r="H60" s="1467">
        <f t="shared" si="22"/>
        <v>-2.3175371088787191</v>
      </c>
      <c r="I60" s="1467">
        <f t="shared" si="22"/>
        <v>-2.3175371088787191</v>
      </c>
      <c r="J60" s="1467">
        <f t="shared" si="22"/>
        <v>-2.3175371088787191</v>
      </c>
      <c r="K60" s="1467">
        <f t="shared" si="22"/>
        <v>-2.3175371088787191</v>
      </c>
      <c r="L60" s="1467">
        <f t="shared" si="22"/>
        <v>-2.3175371088787191</v>
      </c>
      <c r="M60" s="1468">
        <f t="shared" si="22"/>
        <v>-2.3175371088787191</v>
      </c>
    </row>
    <row r="61" spans="2:13" x14ac:dyDescent="0.35">
      <c r="B61" s="1483" t="s">
        <v>623</v>
      </c>
      <c r="C61" s="29"/>
      <c r="D61" s="29"/>
      <c r="E61" s="1484">
        <f t="shared" ref="E61:M61" si="23">E80*$G$25/$G$26</f>
        <v>0</v>
      </c>
      <c r="F61" s="1484">
        <f t="shared" si="23"/>
        <v>0</v>
      </c>
      <c r="G61" s="1484">
        <f t="shared" si="23"/>
        <v>371.41813677516535</v>
      </c>
      <c r="H61" s="1484">
        <f t="shared" si="23"/>
        <v>58.451580675716571</v>
      </c>
      <c r="I61" s="1484">
        <f t="shared" si="23"/>
        <v>0</v>
      </c>
      <c r="J61" s="1484">
        <f t="shared" si="23"/>
        <v>0</v>
      </c>
      <c r="K61" s="1484">
        <f t="shared" si="23"/>
        <v>0</v>
      </c>
      <c r="L61" s="1484">
        <f t="shared" si="23"/>
        <v>0</v>
      </c>
      <c r="M61" s="1485">
        <f t="shared" si="23"/>
        <v>0</v>
      </c>
    </row>
    <row r="62" spans="2:13" x14ac:dyDescent="0.35">
      <c r="B62" s="1473" t="s">
        <v>36</v>
      </c>
      <c r="C62" s="1474">
        <f>SUM(C47:C61)</f>
        <v>0</v>
      </c>
      <c r="D62" s="1474"/>
      <c r="E62" s="1475">
        <f>SUM(E57:E61)</f>
        <v>-761.86956663647766</v>
      </c>
      <c r="F62" s="1475">
        <f t="shared" ref="F62:M62" si="24">SUM(F57:F61)</f>
        <v>140.19985589154606</v>
      </c>
      <c r="G62" s="1475">
        <f t="shared" si="24"/>
        <v>136.06292219362834</v>
      </c>
      <c r="H62" s="1475">
        <f t="shared" si="24"/>
        <v>141.17227490077423</v>
      </c>
      <c r="I62" s="1475">
        <f t="shared" si="24"/>
        <v>132.15123930814465</v>
      </c>
      <c r="J62" s="1475">
        <f t="shared" si="24"/>
        <v>156.91254607243874</v>
      </c>
      <c r="K62" s="1475">
        <f t="shared" si="24"/>
        <v>143.49358701791448</v>
      </c>
      <c r="L62" s="1475">
        <f t="shared" si="24"/>
        <v>128.95627324229875</v>
      </c>
      <c r="M62" s="1476">
        <f t="shared" si="24"/>
        <v>72.60657350712296</v>
      </c>
    </row>
    <row r="63" spans="2:13" x14ac:dyDescent="0.35">
      <c r="B63" s="1486" t="s">
        <v>351</v>
      </c>
      <c r="C63" s="1487"/>
      <c r="D63" s="1487"/>
      <c r="E63" s="1488">
        <f>+E62/E40</f>
        <v>-7.1824192198956114</v>
      </c>
      <c r="F63" s="1488">
        <f t="shared" ref="F63:M63" si="25">+F62/F40</f>
        <v>1.4669458074788655</v>
      </c>
      <c r="G63" s="1488">
        <f t="shared" si="25"/>
        <v>1.2458161921705448</v>
      </c>
      <c r="H63" s="1488">
        <f t="shared" si="25"/>
        <v>1.2593043180335601</v>
      </c>
      <c r="I63" s="1488">
        <f t="shared" si="25"/>
        <v>1.2408375993245078</v>
      </c>
      <c r="J63" s="1488">
        <f t="shared" si="25"/>
        <v>1.2451737588674365</v>
      </c>
      <c r="K63" s="1488">
        <f t="shared" si="25"/>
        <v>1.2179076154373083</v>
      </c>
      <c r="L63" s="1488">
        <f t="shared" si="25"/>
        <v>1.2321659611421842</v>
      </c>
      <c r="M63" s="1489">
        <f t="shared" si="25"/>
        <v>3.3281511608656253</v>
      </c>
    </row>
    <row r="64" spans="2:13" ht="15" thickBot="1" x14ac:dyDescent="0.4">
      <c r="B64" s="1490" t="s">
        <v>1413</v>
      </c>
      <c r="C64" s="1491"/>
      <c r="D64" s="1492">
        <f>SUM(E62:M62)/SUM(E40:M40)</f>
        <v>0.32195234988768984</v>
      </c>
      <c r="E64" s="1493"/>
      <c r="F64" s="1493"/>
      <c r="G64" s="1493"/>
      <c r="H64" s="1493"/>
      <c r="I64" s="1493"/>
      <c r="J64" s="1493"/>
      <c r="K64" s="1493"/>
      <c r="L64" s="1493"/>
      <c r="M64" s="1494"/>
    </row>
    <row r="65" spans="2:13" ht="15" thickTop="1" x14ac:dyDescent="0.35">
      <c r="B65" s="1495" t="s">
        <v>36</v>
      </c>
      <c r="C65" s="1496">
        <f>SUM(C48:C62)</f>
        <v>0</v>
      </c>
      <c r="D65" s="1496"/>
      <c r="E65" s="1497">
        <f>+E62+E53</f>
        <v>-1870.6690099573404</v>
      </c>
      <c r="F65" s="1497">
        <f t="shared" ref="F65:M65" si="26">+F62+F53</f>
        <v>312.25988861860549</v>
      </c>
      <c r="G65" s="1497">
        <f t="shared" si="26"/>
        <v>344.03607458499243</v>
      </c>
      <c r="H65" s="1497">
        <f t="shared" si="26"/>
        <v>357.63682220189219</v>
      </c>
      <c r="I65" s="1497">
        <f t="shared" si="26"/>
        <v>334.55941477183501</v>
      </c>
      <c r="J65" s="1497">
        <f t="shared" si="26"/>
        <v>398.35805853086759</v>
      </c>
      <c r="K65" s="1497">
        <f t="shared" si="26"/>
        <v>366.27439049626093</v>
      </c>
      <c r="L65" s="1497">
        <f t="shared" si="26"/>
        <v>330.30450685416372</v>
      </c>
      <c r="M65" s="1498">
        <f t="shared" si="26"/>
        <v>253.51281325578998</v>
      </c>
    </row>
    <row r="66" spans="2:13" x14ac:dyDescent="0.35">
      <c r="B66" s="1486" t="s">
        <v>351</v>
      </c>
      <c r="C66" s="1487"/>
      <c r="D66" s="1487"/>
      <c r="E66" s="1488">
        <f>+E65/E41</f>
        <v>-7.0842765353626751</v>
      </c>
      <c r="F66" s="1488">
        <f t="shared" ref="F66:M66" si="27">+F65/F41</f>
        <v>1.3124752817068093</v>
      </c>
      <c r="G66" s="1488">
        <f t="shared" si="27"/>
        <v>1.26539638798766</v>
      </c>
      <c r="H66" s="1488">
        <f t="shared" si="27"/>
        <v>1.2815393212394737</v>
      </c>
      <c r="I66" s="1488">
        <f t="shared" si="27"/>
        <v>1.2619013058282333</v>
      </c>
      <c r="J66" s="1488">
        <f t="shared" si="27"/>
        <v>1.2698555658983053</v>
      </c>
      <c r="K66" s="1488">
        <f t="shared" si="27"/>
        <v>1.2488113515046797</v>
      </c>
      <c r="L66" s="1488">
        <f t="shared" si="27"/>
        <v>1.2677968321958413</v>
      </c>
      <c r="M66" s="1489">
        <f t="shared" si="27"/>
        <v>4.6680494244257247</v>
      </c>
    </row>
    <row r="67" spans="2:13" ht="15" thickBot="1" x14ac:dyDescent="0.4">
      <c r="B67" s="1499" t="s">
        <v>1413</v>
      </c>
      <c r="C67" s="1500"/>
      <c r="D67" s="1501">
        <f>SUM(E65:M65)/SUM(E41:M41)</f>
        <v>0.36888967815574325</v>
      </c>
      <c r="E67" s="1502"/>
      <c r="F67" s="1502"/>
      <c r="G67" s="1502"/>
      <c r="H67" s="1502"/>
      <c r="I67" s="1502"/>
      <c r="J67" s="1502"/>
      <c r="K67" s="1502"/>
      <c r="L67" s="1502"/>
      <c r="M67" s="1503"/>
    </row>
    <row r="68" spans="2:13" x14ac:dyDescent="0.35">
      <c r="B68" s="1459"/>
      <c r="D68" s="8"/>
      <c r="E68" s="8"/>
      <c r="F68" s="8"/>
      <c r="G68" s="8"/>
      <c r="H68" s="8"/>
      <c r="I68" s="8"/>
      <c r="J68" s="8"/>
      <c r="K68" s="8"/>
      <c r="L68" s="8"/>
      <c r="M68" s="8"/>
    </row>
    <row r="69" spans="2:13" x14ac:dyDescent="0.35">
      <c r="B69" s="1504"/>
      <c r="D69" s="8"/>
      <c r="E69" s="8"/>
      <c r="F69" s="8"/>
      <c r="G69" s="8"/>
      <c r="H69" s="8"/>
      <c r="I69" s="8"/>
      <c r="J69" s="8"/>
      <c r="K69" s="8"/>
      <c r="L69" s="8"/>
      <c r="M69" s="8"/>
    </row>
    <row r="70" spans="2:13" x14ac:dyDescent="0.35">
      <c r="B70" s="1505"/>
      <c r="D70" s="8"/>
      <c r="E70" s="8"/>
      <c r="F70" s="8"/>
      <c r="G70" s="8"/>
      <c r="H70" s="8"/>
      <c r="I70" s="8"/>
      <c r="J70" s="8"/>
      <c r="K70" s="8"/>
      <c r="L70" s="8"/>
      <c r="M70" s="8"/>
    </row>
    <row r="71" spans="2:13" x14ac:dyDescent="0.35">
      <c r="B71" s="1459"/>
      <c r="D71" s="8"/>
      <c r="E71" s="8"/>
      <c r="F71" s="8"/>
      <c r="G71" s="8"/>
      <c r="H71" s="8"/>
      <c r="I71" s="8"/>
      <c r="J71" s="8"/>
      <c r="K71" s="8"/>
      <c r="L71" s="8"/>
      <c r="M71" s="8"/>
    </row>
    <row r="72" spans="2:13" x14ac:dyDescent="0.35">
      <c r="B72" s="1459"/>
      <c r="D72" s="8"/>
      <c r="E72" s="8"/>
      <c r="F72" s="8"/>
      <c r="G72" s="8"/>
      <c r="H72" s="8"/>
      <c r="I72" s="8"/>
      <c r="J72" s="8"/>
      <c r="K72" s="8"/>
      <c r="L72" s="8"/>
      <c r="M72" s="8"/>
    </row>
    <row r="73" spans="2:13" x14ac:dyDescent="0.35">
      <c r="B73" s="1459"/>
      <c r="D73" s="8"/>
      <c r="E73" s="8"/>
      <c r="F73" s="8"/>
      <c r="G73" s="8"/>
      <c r="H73" s="8"/>
      <c r="I73" s="8"/>
      <c r="J73" s="8"/>
      <c r="K73" s="8"/>
      <c r="L73" s="8"/>
      <c r="M73" s="8"/>
    </row>
    <row r="74" spans="2:13" x14ac:dyDescent="0.35">
      <c r="B74" s="1459"/>
      <c r="D74" s="8"/>
      <c r="E74" s="8"/>
      <c r="F74" s="8"/>
      <c r="G74" s="8"/>
      <c r="H74" s="8"/>
      <c r="I74" s="8"/>
      <c r="J74" s="8"/>
      <c r="K74" s="8"/>
      <c r="L74" s="8"/>
      <c r="M74" s="8"/>
    </row>
    <row r="75" spans="2:13" ht="15" outlineLevel="1" thickBot="1" x14ac:dyDescent="0.4">
      <c r="B75" s="1506" t="s">
        <v>1553</v>
      </c>
      <c r="E75" s="8"/>
      <c r="F75" s="8"/>
      <c r="G75" s="8"/>
      <c r="H75" s="8"/>
      <c r="I75" s="8"/>
      <c r="J75" s="8"/>
      <c r="K75" s="8"/>
      <c r="L75" s="8"/>
      <c r="M75" s="8"/>
    </row>
    <row r="76" spans="2:13" outlineLevel="1" x14ac:dyDescent="0.35">
      <c r="B76" s="1507" t="s">
        <v>1554</v>
      </c>
      <c r="C76" s="1508"/>
      <c r="D76" s="1508"/>
      <c r="E76" s="1508" t="s">
        <v>1394</v>
      </c>
      <c r="F76" s="1508" t="s">
        <v>1478</v>
      </c>
      <c r="G76" s="1508" t="s">
        <v>1479</v>
      </c>
      <c r="H76" s="1508" t="s">
        <v>1480</v>
      </c>
      <c r="I76" s="1508" t="s">
        <v>1481</v>
      </c>
      <c r="J76" s="1508" t="s">
        <v>1482</v>
      </c>
      <c r="K76" s="1508" t="s">
        <v>1483</v>
      </c>
      <c r="L76" s="1508" t="s">
        <v>1484</v>
      </c>
      <c r="M76" s="1509" t="s">
        <v>1485</v>
      </c>
    </row>
    <row r="77" spans="2:13" outlineLevel="1" x14ac:dyDescent="0.35">
      <c r="B77" s="1423" t="s">
        <v>589</v>
      </c>
      <c r="C77" s="9"/>
      <c r="D77" s="10"/>
      <c r="E77" s="10">
        <f>Cashflow!D51</f>
        <v>0</v>
      </c>
      <c r="F77" s="10">
        <f>Cashflow!E51</f>
        <v>-15</v>
      </c>
      <c r="G77" s="10">
        <f>Cashflow!F51</f>
        <v>-15</v>
      </c>
      <c r="H77" s="10">
        <f>Cashflow!G51</f>
        <v>-15</v>
      </c>
      <c r="I77" s="10">
        <f>Cashflow!H51</f>
        <v>-15</v>
      </c>
      <c r="J77" s="10">
        <f>Cashflow!I51</f>
        <v>-15</v>
      </c>
      <c r="K77" s="10">
        <f>Cashflow!J51</f>
        <v>-15</v>
      </c>
      <c r="L77" s="10">
        <f>Cashflow!K51</f>
        <v>-15</v>
      </c>
      <c r="M77" s="1510">
        <f>Cashflow!L51</f>
        <v>-15</v>
      </c>
    </row>
    <row r="78" spans="2:13" outlineLevel="1" x14ac:dyDescent="0.35">
      <c r="B78" s="1469" t="s">
        <v>590</v>
      </c>
      <c r="C78" s="11"/>
      <c r="D78" s="12"/>
      <c r="E78" s="12">
        <f>Cashflow!D52</f>
        <v>-2242.6805346419105</v>
      </c>
      <c r="F78" s="12">
        <f>Cashflow!E52</f>
        <v>-132.11628146701321</v>
      </c>
      <c r="G78" s="12">
        <f>Cashflow!F52</f>
        <v>-1104.436593066436</v>
      </c>
      <c r="H78" s="12">
        <f>Cashflow!G52</f>
        <v>-332.81325469579576</v>
      </c>
      <c r="I78" s="12">
        <f>Cashflow!H52</f>
        <v>-221.91277362214433</v>
      </c>
      <c r="J78" s="12">
        <f>Cashflow!I52</f>
        <v>-170.85064239418625</v>
      </c>
      <c r="K78" s="12">
        <f>Cashflow!J52</f>
        <v>-214.34440526125789</v>
      </c>
      <c r="L78" s="12">
        <f>Cashflow!K52</f>
        <v>-260.11035767638566</v>
      </c>
      <c r="M78" s="1511">
        <f>Cashflow!L52</f>
        <v>-409.39181075308022</v>
      </c>
    </row>
    <row r="79" spans="2:13" outlineLevel="1" x14ac:dyDescent="0.35">
      <c r="B79" s="1469" t="s">
        <v>598</v>
      </c>
      <c r="C79" s="11"/>
      <c r="D79" s="12"/>
      <c r="E79" s="12">
        <f>Cashflow!D58</f>
        <v>-21.199235502999997</v>
      </c>
      <c r="F79" s="12">
        <f>Cashflow!E58</f>
        <v>-5.9192355029999995</v>
      </c>
      <c r="G79" s="12">
        <f>Cashflow!F58</f>
        <v>-5.9192355029999995</v>
      </c>
      <c r="H79" s="12">
        <f>Cashflow!G58</f>
        <v>-5.7692355029999991</v>
      </c>
      <c r="I79" s="12">
        <f>Cashflow!H58</f>
        <v>-5.7692355029999991</v>
      </c>
      <c r="J79" s="12">
        <f>Cashflow!I58</f>
        <v>-5.7692355029999991</v>
      </c>
      <c r="K79" s="12">
        <f>Cashflow!J58</f>
        <v>-5.7692355029999991</v>
      </c>
      <c r="L79" s="12">
        <f>Cashflow!K58</f>
        <v>-5.7692355029999991</v>
      </c>
      <c r="M79" s="1511">
        <f>Cashflow!L58</f>
        <v>-5.7692355029999991</v>
      </c>
    </row>
    <row r="80" spans="2:13" outlineLevel="1" x14ac:dyDescent="0.35">
      <c r="B80" s="1483" t="s">
        <v>623</v>
      </c>
      <c r="C80" s="13"/>
      <c r="D80" s="13"/>
      <c r="E80" s="13">
        <f>Cashflow!D59</f>
        <v>0</v>
      </c>
      <c r="F80" s="13">
        <f>Cashflow!E59</f>
        <v>0</v>
      </c>
      <c r="G80" s="13">
        <f>Cashflow!F59</f>
        <v>924.60167862344667</v>
      </c>
      <c r="H80" s="13">
        <f>Cashflow!G59</f>
        <v>145.50832137655323</v>
      </c>
      <c r="I80" s="13">
        <f>Cashflow!H59</f>
        <v>0</v>
      </c>
      <c r="J80" s="13">
        <f>Cashflow!I59</f>
        <v>0</v>
      </c>
      <c r="K80" s="13">
        <f>Cashflow!J59</f>
        <v>0</v>
      </c>
      <c r="L80" s="13">
        <f>Cashflow!K59</f>
        <v>0</v>
      </c>
      <c r="M80" s="1512">
        <f>Cashflow!L59</f>
        <v>0</v>
      </c>
    </row>
    <row r="81" spans="2:13" ht="15" outlineLevel="1" thickBot="1" x14ac:dyDescent="0.4">
      <c r="B81" s="1513"/>
      <c r="C81" s="1514"/>
      <c r="D81" s="1514"/>
      <c r="E81" s="1515">
        <f>SUM(E77:E80)</f>
        <v>-2263.8797701449107</v>
      </c>
      <c r="F81" s="1515">
        <f t="shared" ref="F81:M81" si="28">SUM(F77:F80)</f>
        <v>-153.03551697001322</v>
      </c>
      <c r="G81" s="1515">
        <f t="shared" si="28"/>
        <v>-200.7541499459893</v>
      </c>
      <c r="H81" s="1515">
        <f t="shared" si="28"/>
        <v>-208.07416882224254</v>
      </c>
      <c r="I81" s="1515">
        <f t="shared" si="28"/>
        <v>-242.68200912514433</v>
      </c>
      <c r="J81" s="1515">
        <f t="shared" si="28"/>
        <v>-191.61987789718626</v>
      </c>
      <c r="K81" s="1515">
        <f t="shared" si="28"/>
        <v>-235.11364076425789</v>
      </c>
      <c r="L81" s="1515">
        <f t="shared" si="28"/>
        <v>-280.87959317938567</v>
      </c>
      <c r="M81" s="1516">
        <f t="shared" si="28"/>
        <v>-430.16104625608023</v>
      </c>
    </row>
    <row r="82" spans="2:13" outlineLevel="1" x14ac:dyDescent="0.35">
      <c r="B82" s="1459"/>
      <c r="D82" s="8"/>
      <c r="E82" s="8"/>
      <c r="F82" s="8"/>
      <c r="G82" s="8"/>
      <c r="H82" s="8"/>
      <c r="I82" s="8"/>
      <c r="J82" s="8"/>
      <c r="K82" s="8"/>
      <c r="L82" s="8"/>
      <c r="M82" s="8"/>
    </row>
    <row r="83" spans="2:13" outlineLevel="1" x14ac:dyDescent="0.35">
      <c r="B83" s="1459"/>
      <c r="D83" s="8"/>
      <c r="E83" s="8"/>
      <c r="F83" s="8"/>
      <c r="G83" s="8"/>
      <c r="H83" s="8"/>
      <c r="I83" s="8"/>
      <c r="J83" s="8"/>
      <c r="K83" s="8"/>
      <c r="L83" s="8"/>
      <c r="M83" s="8"/>
    </row>
    <row r="84" spans="2:13" ht="15" outlineLevel="1" thickBot="1" x14ac:dyDescent="0.4">
      <c r="B84" s="1403" t="s">
        <v>1555</v>
      </c>
      <c r="D84" s="8"/>
      <c r="E84" s="8"/>
      <c r="F84" s="8"/>
      <c r="G84" s="8"/>
      <c r="H84" s="8"/>
      <c r="I84" s="8"/>
      <c r="J84" s="8"/>
      <c r="K84" s="8"/>
      <c r="L84" s="8"/>
      <c r="M84" s="8"/>
    </row>
    <row r="85" spans="2:13" outlineLevel="1" x14ac:dyDescent="0.35">
      <c r="B85" s="1460" t="s">
        <v>251</v>
      </c>
      <c r="C85" s="1461" t="s">
        <v>3</v>
      </c>
      <c r="D85" s="1461" t="s">
        <v>4</v>
      </c>
      <c r="E85" s="1461" t="s">
        <v>1394</v>
      </c>
      <c r="F85" s="1461" t="s">
        <v>1478</v>
      </c>
      <c r="G85" s="1461" t="s">
        <v>1479</v>
      </c>
      <c r="H85" s="1461" t="s">
        <v>1480</v>
      </c>
      <c r="I85" s="1461" t="s">
        <v>1481</v>
      </c>
      <c r="J85" s="1461" t="s">
        <v>1482</v>
      </c>
      <c r="K85" s="1461" t="s">
        <v>1483</v>
      </c>
      <c r="L85" s="1461" t="s">
        <v>1484</v>
      </c>
      <c r="M85" s="1462" t="s">
        <v>1485</v>
      </c>
    </row>
    <row r="86" spans="2:13" outlineLevel="1" x14ac:dyDescent="0.35">
      <c r="B86" s="1423" t="s">
        <v>1542</v>
      </c>
      <c r="C86" s="27">
        <f>'P&amp;L'!H52</f>
        <v>205.79056216990102</v>
      </c>
      <c r="D86" s="27" t="e">
        <f>'P&amp;L'!#REF!</f>
        <v>#REF!</v>
      </c>
      <c r="E86" s="27">
        <f>'P&amp;L'!J52</f>
        <v>271.18440799267592</v>
      </c>
      <c r="F86" s="27">
        <f>'P&amp;L'!K52</f>
        <v>290.59602771298614</v>
      </c>
      <c r="G86" s="27">
        <f>'P&amp;L'!L52</f>
        <v>356.60388092164158</v>
      </c>
      <c r="H86" s="27">
        <f>'P&amp;L'!M52</f>
        <v>371.11319560869197</v>
      </c>
      <c r="I86" s="27">
        <f>'P&amp;L'!N52</f>
        <v>379.50055688665452</v>
      </c>
      <c r="J86" s="27">
        <f>'P&amp;L'!O52</f>
        <v>389.83215925581771</v>
      </c>
      <c r="K86" s="27">
        <f>'P&amp;L'!P52</f>
        <v>399.14742197184933</v>
      </c>
      <c r="L86" s="27">
        <f>'P&amp;L'!Q52</f>
        <v>407.17538493832762</v>
      </c>
      <c r="M86" s="1517">
        <f>'P&amp;L'!R52</f>
        <v>478.25590031031425</v>
      </c>
    </row>
    <row r="87" spans="2:13" outlineLevel="1" x14ac:dyDescent="0.35">
      <c r="B87" s="1469" t="s">
        <v>662</v>
      </c>
      <c r="C87" s="24">
        <f>'P&amp;L'!H51</f>
        <v>41.990156331189041</v>
      </c>
      <c r="D87" s="24" t="e">
        <f>'P&amp;L'!#REF!</f>
        <v>#REF!</v>
      </c>
      <c r="E87" s="24">
        <f>'P&amp;L'!J51</f>
        <v>164.55701950062439</v>
      </c>
      <c r="F87" s="24">
        <f>'P&amp;L'!K51</f>
        <v>219.65900970391567</v>
      </c>
      <c r="G87" s="24">
        <f>'P&amp;L'!L51</f>
        <v>235.72091984170106</v>
      </c>
      <c r="H87" s="24">
        <f>'P&amp;L'!M51</f>
        <v>244.86303357241195</v>
      </c>
      <c r="I87" s="24">
        <f>'P&amp;L'!N51</f>
        <v>250.90289426711479</v>
      </c>
      <c r="J87" s="24">
        <f>'P&amp;L'!O51</f>
        <v>256.38184922313394</v>
      </c>
      <c r="K87" s="24">
        <f>'P&amp;L'!P51</f>
        <v>261.73987933570834</v>
      </c>
      <c r="L87" s="24">
        <f>'P&amp;L'!Q51</f>
        <v>266.97305646590598</v>
      </c>
      <c r="M87" s="1518">
        <f>'P&amp;L'!R51</f>
        <v>272.06284534567089</v>
      </c>
    </row>
    <row r="88" spans="2:13" outlineLevel="1" x14ac:dyDescent="0.35">
      <c r="B88" s="1424" t="s">
        <v>663</v>
      </c>
      <c r="C88" s="29">
        <f>'P&amp;L'!H50</f>
        <v>-52.210824756999948</v>
      </c>
      <c r="D88" s="29" t="e">
        <f>'P&amp;L'!#REF!</f>
        <v>#REF!</v>
      </c>
      <c r="E88" s="29">
        <f>'P&amp;L'!J50</f>
        <v>-42.530667305730006</v>
      </c>
      <c r="F88" s="29">
        <f>'P&amp;L'!K50</f>
        <v>-44.959631828283108</v>
      </c>
      <c r="G88" s="29">
        <f>'P&amp;L'!L50</f>
        <v>-47.534576232360962</v>
      </c>
      <c r="H88" s="29">
        <f>'P&amp;L'!M50</f>
        <v>-50.265238156969232</v>
      </c>
      <c r="I88" s="29">
        <f>'P&amp;L'!N50</f>
        <v>-53.162027256789941</v>
      </c>
      <c r="J88" s="29">
        <f>'P&amp;L'!O50</f>
        <v>-56.236072050897761</v>
      </c>
      <c r="K88" s="29">
        <f>'P&amp;L'!P50</f>
        <v>-59.499270047038792</v>
      </c>
      <c r="L88" s="29">
        <f>'P&amp;L'!Q50</f>
        <v>-62.964341370684238</v>
      </c>
      <c r="M88" s="1519">
        <f>'P&amp;L'!R50</f>
        <v>-66.644886144114921</v>
      </c>
    </row>
    <row r="89" spans="2:13" ht="15" outlineLevel="1" thickBot="1" x14ac:dyDescent="0.4">
      <c r="B89" s="1520" t="s">
        <v>36</v>
      </c>
      <c r="C89" s="1521">
        <f>SUM(C86:C88)</f>
        <v>195.56989374409011</v>
      </c>
      <c r="D89" s="1521" t="e">
        <f t="shared" ref="D89:M89" si="29">SUM(D86:D88)</f>
        <v>#REF!</v>
      </c>
      <c r="E89" s="1521">
        <f t="shared" si="29"/>
        <v>393.21076018757032</v>
      </c>
      <c r="F89" s="1521">
        <f t="shared" si="29"/>
        <v>465.29540558861868</v>
      </c>
      <c r="G89" s="1521">
        <f t="shared" si="29"/>
        <v>544.79022453098173</v>
      </c>
      <c r="H89" s="1521">
        <f t="shared" si="29"/>
        <v>565.71099102413473</v>
      </c>
      <c r="I89" s="1521">
        <f t="shared" si="29"/>
        <v>577.24142389697931</v>
      </c>
      <c r="J89" s="1521">
        <f t="shared" si="29"/>
        <v>589.97793642805391</v>
      </c>
      <c r="K89" s="1521">
        <f t="shared" si="29"/>
        <v>601.38803126051891</v>
      </c>
      <c r="L89" s="1521">
        <f t="shared" si="29"/>
        <v>611.18410003354938</v>
      </c>
      <c r="M89" s="1522">
        <f t="shared" si="29"/>
        <v>683.67385951187021</v>
      </c>
    </row>
    <row r="90" spans="2:13" outlineLevel="1" x14ac:dyDescent="0.35">
      <c r="B90" s="1459"/>
      <c r="D90" s="8"/>
      <c r="E90" s="8"/>
      <c r="F90" s="8"/>
      <c r="G90" s="8"/>
      <c r="H90" s="8"/>
      <c r="I90" s="8"/>
      <c r="J90" s="8"/>
      <c r="K90" s="8"/>
      <c r="L90" s="8"/>
      <c r="M90" s="8"/>
    </row>
    <row r="91" spans="2:13" outlineLevel="1" x14ac:dyDescent="0.35"/>
    <row r="92" spans="2:13" outlineLevel="1" x14ac:dyDescent="0.35">
      <c r="B92" s="1506" t="s">
        <v>1556</v>
      </c>
    </row>
    <row r="93" spans="2:13" outlineLevel="1" x14ac:dyDescent="0.35">
      <c r="B93" s="1370" t="s">
        <v>251</v>
      </c>
      <c r="C93" s="1523" t="s">
        <v>3</v>
      </c>
      <c r="D93" s="1523" t="s">
        <v>4</v>
      </c>
      <c r="E93" s="1523" t="s">
        <v>1394</v>
      </c>
      <c r="F93" s="1523" t="s">
        <v>1478</v>
      </c>
      <c r="G93" s="1523" t="s">
        <v>1479</v>
      </c>
      <c r="H93" s="1523" t="s">
        <v>1480</v>
      </c>
      <c r="I93" s="1523" t="s">
        <v>1481</v>
      </c>
      <c r="J93" s="1523" t="s">
        <v>1482</v>
      </c>
      <c r="K93" s="1523" t="s">
        <v>1483</v>
      </c>
      <c r="L93" s="1523" t="s">
        <v>1484</v>
      </c>
      <c r="M93" s="1523" t="s">
        <v>1485</v>
      </c>
    </row>
    <row r="94" spans="2:13" outlineLevel="1" x14ac:dyDescent="0.35">
      <c r="B94" s="713" t="s">
        <v>209</v>
      </c>
      <c r="C94" s="1392">
        <f>'Working - Corporate'!H32</f>
        <v>203.26</v>
      </c>
      <c r="D94" s="1392" t="e">
        <f>'Working - Corporate'!#REF!</f>
        <v>#REF!</v>
      </c>
      <c r="E94" s="1392">
        <f>'Working - Corporate'!J32</f>
        <v>121.55663532003958</v>
      </c>
      <c r="F94" s="1392">
        <f>'Working - Corporate'!K32</f>
        <v>108.36891172302285</v>
      </c>
      <c r="G94" s="1392">
        <f>'Working - Corporate'!L32</f>
        <v>95.408682436146904</v>
      </c>
      <c r="H94" s="1392">
        <f>'Working - Corporate'!M32</f>
        <v>82.257427392664169</v>
      </c>
      <c r="I94" s="1392">
        <f>'Working - Corporate'!N32</f>
        <v>68.312547160369704</v>
      </c>
      <c r="J94" s="1392">
        <f>'Working - Corporate'!O32</f>
        <v>52.118772793477291</v>
      </c>
      <c r="K94" s="1392">
        <f>'Working - Corporate'!P32</f>
        <v>31.713748792299171</v>
      </c>
      <c r="L94" s="1392">
        <f>'Working - Corporate'!Q32</f>
        <v>11.904377832176719</v>
      </c>
      <c r="M94" s="1392">
        <f>'Working - Corporate'!R32</f>
        <v>4.4375392249662573E-14</v>
      </c>
    </row>
    <row r="95" spans="2:13" outlineLevel="1" x14ac:dyDescent="0.35">
      <c r="B95" s="713" t="s">
        <v>549</v>
      </c>
      <c r="C95" s="1392">
        <f>'Working - Corporate'!H33</f>
        <v>0</v>
      </c>
      <c r="D95" s="1392" t="e">
        <f>'Working - Corporate'!#REF!</f>
        <v>#REF!</v>
      </c>
      <c r="E95" s="1392">
        <f>'Working - Corporate'!J33</f>
        <v>0</v>
      </c>
      <c r="F95" s="1392">
        <f>'Working - Corporate'!K33</f>
        <v>0</v>
      </c>
      <c r="G95" s="1392">
        <f>'Working - Corporate'!L33</f>
        <v>46.923535190139923</v>
      </c>
      <c r="H95" s="1392">
        <f>'Working - Corporate'!M33</f>
        <v>54.308082499999998</v>
      </c>
      <c r="I95" s="1392">
        <f>'Working - Corporate'!N33</f>
        <v>54.308082499999998</v>
      </c>
      <c r="J95" s="1392">
        <f>'Working - Corporate'!O33</f>
        <v>54.308082499999998</v>
      </c>
      <c r="K95" s="1392">
        <f>'Working - Corporate'!P33</f>
        <v>54.308082499999998</v>
      </c>
      <c r="L95" s="1392">
        <f>'Working - Corporate'!Q33</f>
        <v>54.308082499999998</v>
      </c>
      <c r="M95" s="1392">
        <f>'Working - Corporate'!R33</f>
        <v>54.308082499999998</v>
      </c>
    </row>
    <row r="96" spans="2:13" outlineLevel="1" x14ac:dyDescent="0.35">
      <c r="B96" s="713" t="s">
        <v>548</v>
      </c>
      <c r="C96" s="1392">
        <f>'Working - Corporate'!H34</f>
        <v>14.13</v>
      </c>
      <c r="D96" s="1392" t="e">
        <f>'Working - Corporate'!#REF!</f>
        <v>#REF!</v>
      </c>
      <c r="E96" s="1392">
        <f>'Working - Corporate'!J34</f>
        <v>0.97178859263519246</v>
      </c>
      <c r="F96" s="1392">
        <f>'Working - Corporate'!K34</f>
        <v>1.0884032237514154</v>
      </c>
      <c r="G96" s="1392">
        <f>'Working - Corporate'!L34</f>
        <v>1.2190116106015854</v>
      </c>
      <c r="H96" s="1392">
        <f>'Working - Corporate'!M34</f>
        <v>1.3652930038737754</v>
      </c>
      <c r="I96" s="1392">
        <f>'Working - Corporate'!N34</f>
        <v>1.5291281643386285</v>
      </c>
      <c r="J96" s="1392">
        <f>'Working - Corporate'!O34</f>
        <v>1.7126235440592641</v>
      </c>
      <c r="K96" s="1392">
        <f>'Working - Corporate'!P34</f>
        <v>1.9181383693463756</v>
      </c>
      <c r="L96" s="1392">
        <f>'Working - Corporate'!Q34</f>
        <v>2.1483149736679406</v>
      </c>
      <c r="M96" s="1392">
        <f>'Working - Corporate'!R34</f>
        <v>2.4061127705080931</v>
      </c>
    </row>
    <row r="97" spans="2:13" outlineLevel="1" x14ac:dyDescent="0.35">
      <c r="B97" s="713" t="s">
        <v>210</v>
      </c>
      <c r="C97" s="1392">
        <f>'Working - Corporate'!H35</f>
        <v>0.98</v>
      </c>
      <c r="D97" s="1392" t="e">
        <f>'Working - Corporate'!#REF!</f>
        <v>#REF!</v>
      </c>
      <c r="E97" s="1392">
        <f>'Working - Corporate'!J35</f>
        <v>0.43</v>
      </c>
      <c r="F97" s="1392">
        <f>'Working - Corporate'!K35</f>
        <v>0.15</v>
      </c>
      <c r="G97" s="1392">
        <f>'Working - Corporate'!L35</f>
        <v>0.15</v>
      </c>
      <c r="H97" s="1392">
        <f>'Working - Corporate'!M35</f>
        <v>0</v>
      </c>
      <c r="I97" s="1392">
        <f>'Working - Corporate'!N35</f>
        <v>0</v>
      </c>
      <c r="J97" s="1392">
        <f>'Working - Corporate'!O35</f>
        <v>0</v>
      </c>
      <c r="K97" s="1392">
        <f>'Working - Corporate'!P35</f>
        <v>0</v>
      </c>
      <c r="L97" s="1392">
        <f>'Working - Corporate'!Q35</f>
        <v>0</v>
      </c>
      <c r="M97" s="1392">
        <f>'Working - Corporate'!R35</f>
        <v>0</v>
      </c>
    </row>
    <row r="98" spans="2:13" outlineLevel="1" x14ac:dyDescent="0.35">
      <c r="B98" s="713" t="s">
        <v>208</v>
      </c>
      <c r="C98" s="1392">
        <f>'Working - Corporate'!H36</f>
        <v>0</v>
      </c>
      <c r="D98" s="1392">
        <f>'Working - Corporate'!J36</f>
        <v>1784.1232734095768</v>
      </c>
      <c r="E98" s="1392">
        <f>'Working - Corporate'!K36</f>
        <v>0</v>
      </c>
      <c r="F98" s="1392">
        <f>'Working - Corporate'!L36</f>
        <v>0</v>
      </c>
      <c r="G98" s="1392">
        <f>'Working - Corporate'!M36</f>
        <v>0</v>
      </c>
      <c r="H98" s="1392">
        <f>'Working - Corporate'!N36</f>
        <v>0</v>
      </c>
      <c r="I98" s="1392">
        <f>'Working - Corporate'!O36</f>
        <v>0</v>
      </c>
      <c r="J98" s="1392">
        <f>'Working - Corporate'!P36</f>
        <v>0</v>
      </c>
      <c r="K98" s="1392">
        <f>'Working - Corporate'!Q36</f>
        <v>0</v>
      </c>
      <c r="L98" s="1392">
        <f>'Working - Corporate'!R36</f>
        <v>0</v>
      </c>
      <c r="M98" s="1392">
        <f>'Working - Corporate'!S36</f>
        <v>0</v>
      </c>
    </row>
    <row r="99" spans="2:13" outlineLevel="1" x14ac:dyDescent="0.35">
      <c r="B99" s="713" t="s">
        <v>215</v>
      </c>
      <c r="C99" s="1392">
        <f>'Working - Corporate'!H37</f>
        <v>5.25</v>
      </c>
      <c r="D99" s="1392" t="e">
        <f>'Working - Corporate'!#REF!</f>
        <v>#REF!</v>
      </c>
      <c r="E99" s="1392">
        <f>'Working - Corporate'!J37</f>
        <v>2.2621804999999999</v>
      </c>
      <c r="F99" s="1392">
        <f>'Working - Corporate'!K37</f>
        <v>2.2621804999999999</v>
      </c>
      <c r="G99" s="1392">
        <f>'Working - Corporate'!L37</f>
        <v>2.2621804999999999</v>
      </c>
      <c r="H99" s="1392">
        <f>'Working - Corporate'!M37</f>
        <v>2.2621804999999999</v>
      </c>
      <c r="I99" s="1392">
        <f>'Working - Corporate'!N37</f>
        <v>2.2621804999999999</v>
      </c>
      <c r="J99" s="1392">
        <f>'Working - Corporate'!O37</f>
        <v>2.2621804999999999</v>
      </c>
      <c r="K99" s="1392">
        <f>'Working - Corporate'!P37</f>
        <v>2.2621804999999999</v>
      </c>
      <c r="L99" s="1392">
        <f>'Working - Corporate'!Q37</f>
        <v>2.2621804999999999</v>
      </c>
      <c r="M99" s="1392">
        <f>'Working - Corporate'!R37</f>
        <v>2.2621804999999999</v>
      </c>
    </row>
    <row r="100" spans="2:13" outlineLevel="1" x14ac:dyDescent="0.35">
      <c r="B100" s="713" t="s">
        <v>392</v>
      </c>
      <c r="C100" s="1392">
        <f>'Working - Corporate'!H38</f>
        <v>34.840000000000003</v>
      </c>
      <c r="D100" s="1392" t="e">
        <f>'Working - Corporate'!#REF!</f>
        <v>#REF!</v>
      </c>
      <c r="E100" s="1392">
        <f>'Working - Corporate'!J38</f>
        <v>0</v>
      </c>
      <c r="F100" s="1392">
        <f>'Working - Corporate'!K38</f>
        <v>0</v>
      </c>
      <c r="G100" s="1392">
        <f>'Working - Corporate'!L38</f>
        <v>0</v>
      </c>
      <c r="H100" s="1392">
        <f>'Working - Corporate'!M38</f>
        <v>0</v>
      </c>
      <c r="I100" s="1392">
        <f>'Working - Corporate'!N38</f>
        <v>0</v>
      </c>
      <c r="J100" s="1392">
        <f>'Working - Corporate'!O38</f>
        <v>0</v>
      </c>
      <c r="K100" s="1392">
        <f>'Working - Corporate'!P38</f>
        <v>0</v>
      </c>
      <c r="L100" s="1392">
        <f>'Working - Corporate'!Q38</f>
        <v>0</v>
      </c>
      <c r="M100" s="1392">
        <f>'Working - Corporate'!R38</f>
        <v>0</v>
      </c>
    </row>
    <row r="101" spans="2:13" outlineLevel="1" x14ac:dyDescent="0.35">
      <c r="B101" s="713" t="s">
        <v>211</v>
      </c>
      <c r="C101" s="1392">
        <f>'Working - Corporate'!H39</f>
        <v>4.62</v>
      </c>
      <c r="D101" s="1392" t="e">
        <f>'Working - Corporate'!#REF!</f>
        <v>#REF!</v>
      </c>
      <c r="E101" s="1392">
        <f>'Working - Corporate'!J39</f>
        <v>18.507055002999998</v>
      </c>
      <c r="F101" s="1392">
        <f>'Working - Corporate'!K39</f>
        <v>3.5070550029999996</v>
      </c>
      <c r="G101" s="1392">
        <f>'Working - Corporate'!L39</f>
        <v>3.5070550029999996</v>
      </c>
      <c r="H101" s="1392">
        <f>'Working - Corporate'!M39</f>
        <v>3.5070550029999996</v>
      </c>
      <c r="I101" s="1392">
        <f>'Working - Corporate'!N39</f>
        <v>3.5070550029999996</v>
      </c>
      <c r="J101" s="1392">
        <f>'Working - Corporate'!O39</f>
        <v>3.5070550029999996</v>
      </c>
      <c r="K101" s="1392">
        <f>'Working - Corporate'!P39</f>
        <v>3.5070550029999996</v>
      </c>
      <c r="L101" s="1392">
        <f>'Working - Corporate'!Q39</f>
        <v>3.5070550029999996</v>
      </c>
      <c r="M101" s="1392">
        <f>'Working - Corporate'!R39</f>
        <v>3.5070550029999996</v>
      </c>
    </row>
    <row r="102" spans="2:13" outlineLevel="1" x14ac:dyDescent="0.35">
      <c r="B102" s="3" t="s">
        <v>36</v>
      </c>
      <c r="C102" s="1474">
        <f>SUM(C94:C101)</f>
        <v>263.08</v>
      </c>
      <c r="D102" s="1474" t="e">
        <f t="shared" ref="D102:M102" si="30">SUM(D94:D101)</f>
        <v>#REF!</v>
      </c>
      <c r="E102" s="1474">
        <f t="shared" si="30"/>
        <v>143.72765941567476</v>
      </c>
      <c r="F102" s="1474">
        <f t="shared" si="30"/>
        <v>115.37655044977427</v>
      </c>
      <c r="G102" s="1474">
        <f t="shared" si="30"/>
        <v>149.47046473988843</v>
      </c>
      <c r="H102" s="1474">
        <f t="shared" si="30"/>
        <v>143.70003839953796</v>
      </c>
      <c r="I102" s="1474">
        <f t="shared" si="30"/>
        <v>129.91899332770834</v>
      </c>
      <c r="J102" s="1474">
        <f t="shared" si="30"/>
        <v>113.90871434053656</v>
      </c>
      <c r="K102" s="1474">
        <f t="shared" si="30"/>
        <v>93.709205164645553</v>
      </c>
      <c r="L102" s="1474">
        <f t="shared" si="30"/>
        <v>74.130010808844659</v>
      </c>
      <c r="M102" s="1474">
        <f t="shared" si="30"/>
        <v>62.483430773508132</v>
      </c>
    </row>
    <row r="103" spans="2:13" outlineLevel="1" x14ac:dyDescent="0.35">
      <c r="B103" s="3" t="s">
        <v>1557</v>
      </c>
      <c r="C103" s="42">
        <f>-C98</f>
        <v>0</v>
      </c>
      <c r="D103" s="42">
        <f t="shared" ref="D103:M103" si="31">-D98</f>
        <v>-1784.1232734095768</v>
      </c>
      <c r="E103" s="42">
        <f t="shared" si="31"/>
        <v>0</v>
      </c>
      <c r="F103" s="42">
        <f t="shared" si="31"/>
        <v>0</v>
      </c>
      <c r="G103" s="42">
        <f t="shared" si="31"/>
        <v>0</v>
      </c>
      <c r="H103" s="42">
        <f t="shared" si="31"/>
        <v>0</v>
      </c>
      <c r="I103" s="42">
        <f t="shared" si="31"/>
        <v>0</v>
      </c>
      <c r="J103" s="42">
        <f t="shared" si="31"/>
        <v>0</v>
      </c>
      <c r="K103" s="42">
        <f t="shared" si="31"/>
        <v>0</v>
      </c>
      <c r="L103" s="42">
        <f t="shared" si="31"/>
        <v>0</v>
      </c>
      <c r="M103" s="42">
        <f t="shared" si="31"/>
        <v>0</v>
      </c>
    </row>
    <row r="104" spans="2:13" outlineLevel="1" x14ac:dyDescent="0.35">
      <c r="B104" s="3" t="s">
        <v>1558</v>
      </c>
      <c r="C104" s="42">
        <f>+C102+C103</f>
        <v>263.08</v>
      </c>
      <c r="D104" s="42" t="e">
        <f t="shared" ref="D104:M104" si="32">+D102+D103</f>
        <v>#REF!</v>
      </c>
      <c r="E104" s="42">
        <f t="shared" si="32"/>
        <v>143.72765941567476</v>
      </c>
      <c r="F104" s="42">
        <f t="shared" si="32"/>
        <v>115.37655044977427</v>
      </c>
      <c r="G104" s="42">
        <f t="shared" si="32"/>
        <v>149.47046473988843</v>
      </c>
      <c r="H104" s="42">
        <f t="shared" si="32"/>
        <v>143.70003839953796</v>
      </c>
      <c r="I104" s="42">
        <f t="shared" si="32"/>
        <v>129.91899332770834</v>
      </c>
      <c r="J104" s="42">
        <f t="shared" si="32"/>
        <v>113.90871434053656</v>
      </c>
      <c r="K104" s="42">
        <f t="shared" si="32"/>
        <v>93.709205164645553</v>
      </c>
      <c r="L104" s="42">
        <f t="shared" si="32"/>
        <v>74.130010808844659</v>
      </c>
      <c r="M104" s="42">
        <f t="shared" si="32"/>
        <v>62.483430773508132</v>
      </c>
    </row>
    <row r="105" spans="2:13" outlineLevel="1" x14ac:dyDescent="0.35"/>
    <row r="106" spans="2:13" outlineLevel="1" x14ac:dyDescent="0.35"/>
    <row r="107" spans="2:13" outlineLevel="1" x14ac:dyDescent="0.35">
      <c r="B107" s="1506" t="s">
        <v>1559</v>
      </c>
      <c r="C107" s="1524"/>
      <c r="D107" s="1524"/>
    </row>
    <row r="108" spans="2:13" outlineLevel="1" x14ac:dyDescent="0.35">
      <c r="B108" s="1370" t="s">
        <v>1560</v>
      </c>
      <c r="C108" s="3"/>
      <c r="D108" s="3"/>
      <c r="E108" s="1523" t="s">
        <v>1394</v>
      </c>
      <c r="F108" s="1523" t="s">
        <v>1478</v>
      </c>
      <c r="G108" s="1523" t="s">
        <v>1479</v>
      </c>
      <c r="H108" s="1523" t="s">
        <v>1480</v>
      </c>
      <c r="I108" s="1523" t="s">
        <v>1481</v>
      </c>
      <c r="J108" s="1523" t="s">
        <v>1482</v>
      </c>
      <c r="K108" s="1523" t="s">
        <v>1483</v>
      </c>
      <c r="L108" s="1523" t="s">
        <v>1484</v>
      </c>
      <c r="M108" s="1523" t="s">
        <v>1485</v>
      </c>
    </row>
    <row r="109" spans="2:13" outlineLevel="1" x14ac:dyDescent="0.35">
      <c r="B109" s="713" t="s">
        <v>1561</v>
      </c>
      <c r="C109" s="713"/>
      <c r="D109" s="1525"/>
      <c r="E109" s="1526">
        <f>'Debt Assumptions &amp; working'!E53</f>
        <v>142.50265155554999</v>
      </c>
      <c r="F109" s="1526">
        <f>'Debt Assumptions &amp; working'!F53</f>
        <v>129.54786505050001</v>
      </c>
      <c r="G109" s="1526">
        <f>'Debt Assumptions &amp; working'!G53</f>
        <v>129.54786505050001</v>
      </c>
      <c r="H109" s="1526">
        <f>'Debt Assumptions &amp; working'!H53</f>
        <v>142.50265155554999</v>
      </c>
      <c r="I109" s="1526">
        <f>'Debt Assumptions &amp; working'!I53</f>
        <v>142.50265155554999</v>
      </c>
      <c r="J109" s="1526">
        <f>'Debt Assumptions &amp; working'!J53</f>
        <v>207.27658408080001</v>
      </c>
      <c r="K109" s="1526">
        <f>'Debt Assumptions &amp; working'!K53</f>
        <v>207.27658408080001</v>
      </c>
      <c r="L109" s="1526">
        <f>'Debt Assumptions &amp; working'!L53</f>
        <v>194.32179757574988</v>
      </c>
      <c r="M109" s="1526">
        <f>'Debt Assumptions &amp; working'!M53</f>
        <v>0</v>
      </c>
    </row>
    <row r="110" spans="2:13" outlineLevel="1" x14ac:dyDescent="0.35">
      <c r="B110" s="713" t="s">
        <v>1562</v>
      </c>
      <c r="C110" s="713"/>
      <c r="D110" s="1525"/>
      <c r="E110" s="1526">
        <f t="shared" ref="E110:M111" si="33">+E94</f>
        <v>121.55663532003958</v>
      </c>
      <c r="F110" s="1526">
        <f t="shared" si="33"/>
        <v>108.36891172302285</v>
      </c>
      <c r="G110" s="1526">
        <f t="shared" si="33"/>
        <v>95.408682436146904</v>
      </c>
      <c r="H110" s="1526">
        <f t="shared" si="33"/>
        <v>82.257427392664169</v>
      </c>
      <c r="I110" s="1526">
        <f t="shared" si="33"/>
        <v>68.312547160369704</v>
      </c>
      <c r="J110" s="1526">
        <f t="shared" si="33"/>
        <v>52.118772793477291</v>
      </c>
      <c r="K110" s="1526">
        <f t="shared" si="33"/>
        <v>31.713748792299171</v>
      </c>
      <c r="L110" s="1526">
        <f t="shared" si="33"/>
        <v>11.904377832176719</v>
      </c>
      <c r="M110" s="1526">
        <f t="shared" si="33"/>
        <v>4.4375392249662573E-14</v>
      </c>
    </row>
    <row r="111" spans="2:13" outlineLevel="1" x14ac:dyDescent="0.35">
      <c r="B111" s="713" t="s">
        <v>1563</v>
      </c>
      <c r="C111" s="713"/>
      <c r="D111" s="1525"/>
      <c r="E111" s="1526">
        <f t="shared" si="33"/>
        <v>0</v>
      </c>
      <c r="F111" s="1526">
        <f t="shared" si="33"/>
        <v>0</v>
      </c>
      <c r="G111" s="1526">
        <f t="shared" si="33"/>
        <v>46.923535190139923</v>
      </c>
      <c r="H111" s="1526">
        <f t="shared" si="33"/>
        <v>54.308082499999998</v>
      </c>
      <c r="I111" s="1526">
        <f t="shared" si="33"/>
        <v>54.308082499999998</v>
      </c>
      <c r="J111" s="1526">
        <f t="shared" si="33"/>
        <v>54.308082499999998</v>
      </c>
      <c r="K111" s="1526">
        <f t="shared" si="33"/>
        <v>54.308082499999998</v>
      </c>
      <c r="L111" s="1526">
        <f t="shared" si="33"/>
        <v>54.308082499999998</v>
      </c>
      <c r="M111" s="1526">
        <f t="shared" si="33"/>
        <v>54.308082499999998</v>
      </c>
    </row>
    <row r="112" spans="2:13" outlineLevel="1" x14ac:dyDescent="0.35">
      <c r="B112" s="713" t="s">
        <v>1564</v>
      </c>
      <c r="C112" s="713"/>
      <c r="D112" s="1525"/>
      <c r="E112" s="1526">
        <f t="shared" ref="E112:M112" si="34">+E97+E98+E99+E100+E101</f>
        <v>21.199235502999997</v>
      </c>
      <c r="F112" s="1526">
        <f t="shared" si="34"/>
        <v>5.9192355029999995</v>
      </c>
      <c r="G112" s="1526">
        <f t="shared" si="34"/>
        <v>5.9192355029999995</v>
      </c>
      <c r="H112" s="1526">
        <f t="shared" si="34"/>
        <v>5.7692355029999991</v>
      </c>
      <c r="I112" s="1526">
        <f t="shared" si="34"/>
        <v>5.7692355029999991</v>
      </c>
      <c r="J112" s="1526">
        <f t="shared" si="34"/>
        <v>5.7692355029999991</v>
      </c>
      <c r="K112" s="1526">
        <f t="shared" si="34"/>
        <v>5.7692355029999991</v>
      </c>
      <c r="L112" s="1526">
        <f t="shared" si="34"/>
        <v>5.7692355029999991</v>
      </c>
      <c r="M112" s="1526">
        <f t="shared" si="34"/>
        <v>5.7692355029999991</v>
      </c>
    </row>
    <row r="113" spans="2:13" outlineLevel="1" x14ac:dyDescent="0.35">
      <c r="B113" s="3" t="s">
        <v>1565</v>
      </c>
      <c r="C113" s="3"/>
      <c r="D113" s="1527"/>
      <c r="E113" s="1528">
        <f t="shared" ref="E113:M113" si="35">SUM(E109:E112)</f>
        <v>285.25852237858959</v>
      </c>
      <c r="F113" s="1528">
        <f t="shared" si="35"/>
        <v>243.83601227652287</v>
      </c>
      <c r="G113" s="1528">
        <f t="shared" si="35"/>
        <v>277.79931817978684</v>
      </c>
      <c r="H113" s="1528">
        <f t="shared" si="35"/>
        <v>284.83739695121415</v>
      </c>
      <c r="I113" s="1528">
        <f t="shared" si="35"/>
        <v>270.89251671891969</v>
      </c>
      <c r="J113" s="1528">
        <f t="shared" si="35"/>
        <v>319.47267487727731</v>
      </c>
      <c r="K113" s="1528">
        <f t="shared" si="35"/>
        <v>299.06765087609921</v>
      </c>
      <c r="L113" s="1528">
        <f t="shared" si="35"/>
        <v>266.30349341092659</v>
      </c>
      <c r="M113" s="1528">
        <f t="shared" si="35"/>
        <v>60.077318003000038</v>
      </c>
    </row>
  </sheetData>
  <conditionalFormatting sqref="E54:M54">
    <cfRule type="cellIs" dxfId="55" priority="3" operator="lessThan">
      <formula>1.3</formula>
    </cfRule>
  </conditionalFormatting>
  <conditionalFormatting sqref="E63:M63">
    <cfRule type="cellIs" dxfId="54" priority="2" operator="lessThan">
      <formula>1.3</formula>
    </cfRule>
  </conditionalFormatting>
  <conditionalFormatting sqref="E66:M66">
    <cfRule type="cellIs" dxfId="53" priority="1" operator="lessThan">
      <formula>1.3</formula>
    </cfRule>
  </conditionalFormatting>
  <pageMargins left="0.7" right="0.7" top="0.75" bottom="0.75" header="0.3" footer="0.3"/>
  <pageSetup paperSize="9" scale="7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B2:X377"/>
  <sheetViews>
    <sheetView showGridLines="0" zoomScale="80" zoomScaleNormal="80" workbookViewId="0">
      <pane xSplit="3" ySplit="4" topLeftCell="D5" activePane="bottomRight" state="frozen"/>
      <selection pane="topRight" activeCell="D1" sqref="D1"/>
      <selection pane="bottomLeft" activeCell="A5" sqref="A5"/>
      <selection pane="bottomRight" activeCell="F21" sqref="F21"/>
    </sheetView>
  </sheetViews>
  <sheetFormatPr defaultColWidth="8.54296875" defaultRowHeight="14.5" x14ac:dyDescent="0.35"/>
  <cols>
    <col min="1" max="1" width="8.54296875" style="213"/>
    <col min="2" max="2" width="38.54296875" style="213" bestFit="1" customWidth="1"/>
    <col min="3" max="3" width="16.453125" style="213" bestFit="1" customWidth="1"/>
    <col min="4" max="10" width="15.1796875" style="213" customWidth="1"/>
    <col min="11" max="11" width="10.54296875" style="213" bestFit="1" customWidth="1"/>
    <col min="12" max="16" width="9.54296875" style="213" bestFit="1" customWidth="1"/>
    <col min="17" max="17" width="8.54296875" style="213"/>
    <col min="18" max="22" width="9.54296875" style="213" bestFit="1" customWidth="1"/>
    <col min="23" max="16384" width="8.54296875" style="213"/>
  </cols>
  <sheetData>
    <row r="2" spans="2:10" x14ac:dyDescent="0.35">
      <c r="B2" s="134" t="s">
        <v>822</v>
      </c>
    </row>
    <row r="4" spans="2:10" x14ac:dyDescent="0.35">
      <c r="B4" s="431" t="s">
        <v>251</v>
      </c>
      <c r="C4" s="431" t="s">
        <v>687</v>
      </c>
      <c r="D4" s="432">
        <f>'Plant-wise details'!D4</f>
        <v>42460</v>
      </c>
      <c r="E4" s="432">
        <f>'Plant-wise details'!E4</f>
        <v>42825</v>
      </c>
      <c r="F4" s="432">
        <f>'Plant-wise details'!F4</f>
        <v>43190</v>
      </c>
      <c r="G4" s="432">
        <f>'Plant-wise details'!G4</f>
        <v>43555</v>
      </c>
      <c r="H4" s="432">
        <f>'Plant-wise details'!H4</f>
        <v>43921</v>
      </c>
      <c r="I4" s="432">
        <f>'Plant-wise details'!I4</f>
        <v>44286</v>
      </c>
      <c r="J4" s="432">
        <f>'Plant-wise details'!J4</f>
        <v>44651</v>
      </c>
    </row>
    <row r="5" spans="2:10" s="435" customFormat="1" x14ac:dyDescent="0.35">
      <c r="B5" s="433" t="s">
        <v>963</v>
      </c>
      <c r="C5" s="433"/>
      <c r="D5" s="434"/>
      <c r="E5" s="434"/>
      <c r="F5" s="434"/>
      <c r="G5" s="434"/>
      <c r="H5" s="434"/>
      <c r="I5" s="434"/>
      <c r="J5" s="434"/>
    </row>
    <row r="6" spans="2:10" x14ac:dyDescent="0.35">
      <c r="B6" s="436" t="s">
        <v>688</v>
      </c>
      <c r="C6" s="437" t="s">
        <v>483</v>
      </c>
      <c r="D6" s="454">
        <f>(16817288438.55/10^5)/100</f>
        <v>1681.7288438549999</v>
      </c>
      <c r="E6" s="454">
        <f>(21851125805.05/10^5)/100</f>
        <v>2185.1125805049996</v>
      </c>
      <c r="F6" s="454">
        <f>(25985033186.9/10^5)/100</f>
        <v>2598.50331869</v>
      </c>
      <c r="G6" s="454">
        <f>(29533322968.05/10^5)/100</f>
        <v>2953.3322968049997</v>
      </c>
      <c r="H6" s="454">
        <f>(27505475327.35/10^5)/100</f>
        <v>2750.547532735</v>
      </c>
      <c r="I6" s="454">
        <f>(26937474845.5/10^5)/100</f>
        <v>2693.7474845500001</v>
      </c>
      <c r="J6" s="454">
        <f>(23073560004.4/10^5)/100</f>
        <v>2307.3560004400001</v>
      </c>
    </row>
    <row r="7" spans="2:10" x14ac:dyDescent="0.35">
      <c r="B7" s="436" t="s">
        <v>689</v>
      </c>
      <c r="C7" s="437" t="s">
        <v>483</v>
      </c>
      <c r="D7" s="454">
        <f>(13440199201.41/10^5)/100</f>
        <v>1344.0199201409998</v>
      </c>
      <c r="E7" s="454">
        <f>(16409948937.27/10^5)/100</f>
        <v>1640.9948937270001</v>
      </c>
      <c r="F7" s="454">
        <f>(20917796304.23/10^5)/100</f>
        <v>2091.7796304230001</v>
      </c>
      <c r="G7" s="454">
        <f>(24076505012.5/10^5)/100</f>
        <v>2407.6505012500002</v>
      </c>
      <c r="H7" s="454">
        <f>(23294420102.17/10^5)/100</f>
        <v>2329.4420102169997</v>
      </c>
      <c r="I7" s="454">
        <f>(23157698574.23/10^5)/100</f>
        <v>2315.7698574229998</v>
      </c>
      <c r="J7" s="454">
        <f>(20292201510.3/10^5)/100</f>
        <v>2029.2201510299999</v>
      </c>
    </row>
    <row r="8" spans="2:10" x14ac:dyDescent="0.35">
      <c r="B8" s="436" t="s">
        <v>690</v>
      </c>
      <c r="C8" s="437" t="s">
        <v>483</v>
      </c>
      <c r="D8" s="454">
        <f>(-3650024.1/10^5)/100</f>
        <v>-0.36500241</v>
      </c>
      <c r="E8" s="454">
        <f>(-1418591.51/10^5)/100</f>
        <v>-0.14185915100000002</v>
      </c>
      <c r="F8" s="454">
        <f>(-3539454.16/10^5)/100</f>
        <v>-0.35394541600000001</v>
      </c>
      <c r="G8" s="454">
        <f>(-6671337.52/10^5)/100</f>
        <v>-0.66713375200000002</v>
      </c>
      <c r="H8" s="454">
        <f>(-4644851.21/10^5)/100</f>
        <v>-0.464485121</v>
      </c>
      <c r="I8" s="454">
        <f>(-4046630.39999999/10^5)/100</f>
        <v>-0.40466303999999903</v>
      </c>
      <c r="J8" s="454">
        <f>(-1077198.12/10^5)/100</f>
        <v>-0.10771981200000001</v>
      </c>
    </row>
    <row r="9" spans="2:10" x14ac:dyDescent="0.35">
      <c r="B9" s="436" t="s">
        <v>691</v>
      </c>
      <c r="C9" s="437" t="s">
        <v>483</v>
      </c>
      <c r="D9" s="453">
        <v>0</v>
      </c>
      <c r="E9" s="453">
        <v>0</v>
      </c>
      <c r="F9" s="453">
        <v>0</v>
      </c>
      <c r="G9" s="453">
        <v>0</v>
      </c>
      <c r="H9" s="453">
        <v>0</v>
      </c>
      <c r="I9" s="453">
        <f>(870712.91/10^5)/100</f>
        <v>8.7071290999999995E-2</v>
      </c>
      <c r="J9" s="453">
        <v>0</v>
      </c>
    </row>
    <row r="10" spans="2:10" x14ac:dyDescent="0.35">
      <c r="B10" s="436" t="s">
        <v>692</v>
      </c>
      <c r="C10" s="437" t="s">
        <v>483</v>
      </c>
      <c r="D10" s="453">
        <v>0</v>
      </c>
      <c r="E10" s="453">
        <v>0</v>
      </c>
      <c r="F10" s="453">
        <v>0</v>
      </c>
      <c r="G10" s="453">
        <v>0</v>
      </c>
      <c r="H10" s="453">
        <v>0</v>
      </c>
      <c r="I10" s="453">
        <f>(1557.75/10^5)/100</f>
        <v>1.5577500000000001E-4</v>
      </c>
      <c r="J10" s="453">
        <v>0</v>
      </c>
    </row>
    <row r="11" spans="2:10" x14ac:dyDescent="0.35">
      <c r="B11" s="440" t="s">
        <v>693</v>
      </c>
      <c r="C11" s="441" t="s">
        <v>483</v>
      </c>
      <c r="D11" s="442">
        <f t="shared" ref="D11:J11" si="0">SUM(D6:D10)</f>
        <v>3025.3837615859998</v>
      </c>
      <c r="E11" s="442">
        <f t="shared" si="0"/>
        <v>3825.9656150809997</v>
      </c>
      <c r="F11" s="442">
        <f t="shared" si="0"/>
        <v>4689.9290036969996</v>
      </c>
      <c r="G11" s="442">
        <f t="shared" si="0"/>
        <v>5360.3156643029997</v>
      </c>
      <c r="H11" s="442">
        <f t="shared" si="0"/>
        <v>5079.5250578310006</v>
      </c>
      <c r="I11" s="442">
        <f t="shared" si="0"/>
        <v>5009.1999059990003</v>
      </c>
      <c r="J11" s="442">
        <f t="shared" si="0"/>
        <v>4336.4684316579996</v>
      </c>
    </row>
    <row r="12" spans="2:10" x14ac:dyDescent="0.35">
      <c r="B12" s="436" t="s">
        <v>694</v>
      </c>
      <c r="C12" s="437" t="s">
        <v>483</v>
      </c>
      <c r="D12" s="454">
        <f>(62190194.8/10^5)/100</f>
        <v>6.2190194799999992</v>
      </c>
      <c r="E12" s="454">
        <f>(317250589.85/10^5)/100</f>
        <v>31.725058985</v>
      </c>
      <c r="F12" s="454">
        <f>(409956316.54/10^5)/100</f>
        <v>40.995631654</v>
      </c>
      <c r="G12" s="454">
        <f>(492481865.4/10^5)/100</f>
        <v>49.248186539999999</v>
      </c>
      <c r="H12" s="454">
        <f>(464040201.39/10^5)/100</f>
        <v>46.404020138999996</v>
      </c>
      <c r="I12" s="454">
        <f>(455351157.32/10^5)/100</f>
        <v>45.535115731999994</v>
      </c>
      <c r="J12" s="454">
        <f>((617406.29+362728468.78)/10^5)/100</f>
        <v>36.334587507000002</v>
      </c>
    </row>
    <row r="13" spans="2:10" x14ac:dyDescent="0.35">
      <c r="B13" s="436" t="s">
        <v>695</v>
      </c>
      <c r="C13" s="437" t="s">
        <v>483</v>
      </c>
      <c r="D13" s="454">
        <f>(69369172.2/10^5)/100</f>
        <v>6.9369172200000007</v>
      </c>
      <c r="E13" s="454">
        <f>(245497282.58/10^5)/100</f>
        <v>24.549728258000002</v>
      </c>
      <c r="F13" s="454">
        <f>(338969853.63/10^5)/100</f>
        <v>33.896985362999999</v>
      </c>
      <c r="G13" s="454">
        <f>(415732604.62/10^5)/100</f>
        <v>41.573260462</v>
      </c>
      <c r="H13" s="454">
        <f>(404540248.24/10^5)/100</f>
        <v>40.454024824000001</v>
      </c>
      <c r="I13" s="454">
        <f>(401518811.58/10^5)/100</f>
        <v>40.151881157999995</v>
      </c>
      <c r="J13" s="454">
        <f>(328439482.92/10^5)/100</f>
        <v>32.843948292</v>
      </c>
    </row>
    <row r="14" spans="2:10" x14ac:dyDescent="0.35">
      <c r="B14" s="436" t="s">
        <v>696</v>
      </c>
      <c r="C14" s="437" t="s">
        <v>483</v>
      </c>
      <c r="D14" s="454">
        <v>0</v>
      </c>
      <c r="E14" s="454">
        <f>(-215368902.63/10^5)/100</f>
        <v>-21.536890263</v>
      </c>
      <c r="F14" s="454">
        <f>(-154083487.23/10^5)/100</f>
        <v>-15.408348723</v>
      </c>
      <c r="G14" s="454">
        <f>(-19909706/10^5)/100</f>
        <v>-1.9909706</v>
      </c>
      <c r="H14" s="454">
        <v>0</v>
      </c>
      <c r="I14" s="454">
        <v>0</v>
      </c>
      <c r="J14" s="454">
        <v>0</v>
      </c>
    </row>
    <row r="15" spans="2:10" x14ac:dyDescent="0.35">
      <c r="B15" s="436" t="s">
        <v>697</v>
      </c>
      <c r="C15" s="437" t="s">
        <v>483</v>
      </c>
      <c r="D15" s="454">
        <v>0</v>
      </c>
      <c r="E15" s="454">
        <f>(106454841/10^5)/100</f>
        <v>10.645484100000001</v>
      </c>
      <c r="F15" s="454">
        <f>(6806016/10^5)/100</f>
        <v>0.68060159999999992</v>
      </c>
      <c r="G15" s="454">
        <v>0</v>
      </c>
      <c r="H15" s="454">
        <v>0</v>
      </c>
      <c r="I15" s="454">
        <v>0</v>
      </c>
      <c r="J15" s="454">
        <v>0</v>
      </c>
    </row>
    <row r="16" spans="2:10" x14ac:dyDescent="0.35">
      <c r="B16" s="436" t="s">
        <v>698</v>
      </c>
      <c r="C16" s="437" t="s">
        <v>483</v>
      </c>
      <c r="D16" s="454">
        <v>0</v>
      </c>
      <c r="E16" s="454">
        <f>(91917487/10^5)/100</f>
        <v>9.1917486999999998</v>
      </c>
      <c r="F16" s="454">
        <f>(3549967/10^5)/100</f>
        <v>0.3549967</v>
      </c>
      <c r="G16" s="454">
        <v>0</v>
      </c>
      <c r="H16" s="454">
        <v>0</v>
      </c>
      <c r="I16" s="454">
        <v>0</v>
      </c>
      <c r="J16" s="454">
        <v>0</v>
      </c>
    </row>
    <row r="17" spans="2:10" x14ac:dyDescent="0.35">
      <c r="B17" s="436" t="s">
        <v>699</v>
      </c>
      <c r="C17" s="437" t="s">
        <v>483</v>
      </c>
      <c r="D17" s="454">
        <f>(439209/10^5)/100</f>
        <v>4.3920899999999999E-2</v>
      </c>
      <c r="E17" s="454">
        <f>(165509/10^5)/100</f>
        <v>1.65509E-2</v>
      </c>
      <c r="F17" s="454">
        <v>0</v>
      </c>
      <c r="G17" s="454">
        <v>0</v>
      </c>
      <c r="H17" s="454">
        <v>0</v>
      </c>
      <c r="I17" s="454">
        <v>0</v>
      </c>
      <c r="J17" s="454">
        <v>0</v>
      </c>
    </row>
    <row r="18" spans="2:10" x14ac:dyDescent="0.35">
      <c r="B18" s="436" t="s">
        <v>700</v>
      </c>
      <c r="C18" s="437" t="s">
        <v>483</v>
      </c>
      <c r="D18" s="454">
        <f>(691970065.63/10^5)/100</f>
        <v>69.197006563000002</v>
      </c>
      <c r="E18" s="454">
        <f>(854072152.39/10^5)/100</f>
        <v>85.407215238999996</v>
      </c>
      <c r="F18" s="454">
        <f>(1095150697.26/10^5)/100</f>
        <v>109.51506972600001</v>
      </c>
      <c r="G18" s="454">
        <f>(1332428825.58/10^5)/100</f>
        <v>133.24288255799999</v>
      </c>
      <c r="H18" s="454">
        <f>(1304499449.46/10^5)/100</f>
        <v>130.44994494599999</v>
      </c>
      <c r="I18" s="454">
        <f>(1278964802.96/10^5)/100</f>
        <v>127.89648029600001</v>
      </c>
      <c r="J18" s="454">
        <f>(1086306066.05/10^5)/100</f>
        <v>108.630606605</v>
      </c>
    </row>
    <row r="19" spans="2:10" x14ac:dyDescent="0.35">
      <c r="B19" s="436" t="s">
        <v>701</v>
      </c>
      <c r="C19" s="437" t="s">
        <v>483</v>
      </c>
      <c r="D19" s="454">
        <f>(-127316971.06/10^5)/100</f>
        <v>-12.731697105999999</v>
      </c>
      <c r="E19" s="454">
        <f>(-88317781.8/10^5)/100</f>
        <v>-8.8317781800000006</v>
      </c>
      <c r="F19" s="454">
        <f>(-162910343.27/10^5)/100</f>
        <v>-16.291034327000002</v>
      </c>
      <c r="G19" s="454">
        <f>(-4872079/10^5)/100</f>
        <v>-0.48720790000000003</v>
      </c>
      <c r="H19" s="454">
        <v>0</v>
      </c>
      <c r="I19" s="454">
        <v>0</v>
      </c>
      <c r="J19" s="454">
        <v>0</v>
      </c>
    </row>
    <row r="20" spans="2:10" x14ac:dyDescent="0.35">
      <c r="B20" s="436" t="s">
        <v>702</v>
      </c>
      <c r="C20" s="437" t="s">
        <v>483</v>
      </c>
      <c r="D20" s="454">
        <f>(91250/10^5)/100</f>
        <v>9.1249999999999994E-3</v>
      </c>
      <c r="E20" s="454">
        <v>0</v>
      </c>
      <c r="F20" s="454">
        <v>0</v>
      </c>
      <c r="G20" s="454">
        <v>0</v>
      </c>
      <c r="H20" s="454">
        <f>(41160/10^5)/100</f>
        <v>4.1159999999999999E-3</v>
      </c>
      <c r="I20" s="454">
        <f>(451830/10^5)/100</f>
        <v>4.5183000000000001E-2</v>
      </c>
      <c r="J20" s="454">
        <f>(77550/10^5)/100</f>
        <v>7.7549999999999997E-3</v>
      </c>
    </row>
    <row r="21" spans="2:10" x14ac:dyDescent="0.35">
      <c r="B21" s="436" t="s">
        <v>703</v>
      </c>
      <c r="C21" s="437" t="s">
        <v>483</v>
      </c>
      <c r="D21" s="454">
        <f>(153279719.19/10^5)/100</f>
        <v>15.327971918999999</v>
      </c>
      <c r="E21" s="454">
        <f>(171345138.82/10^5)/100</f>
        <v>17.134513882</v>
      </c>
      <c r="F21" s="454">
        <f>(210982876.45/10^5)/100</f>
        <v>21.098287644999999</v>
      </c>
      <c r="G21" s="454">
        <f>(257049041.17/10^5)/100</f>
        <v>25.704904117000002</v>
      </c>
      <c r="H21" s="454">
        <f>(262949449.06/10^5)/100</f>
        <v>26.294944906000001</v>
      </c>
      <c r="I21" s="454">
        <f>(268199660.2/10^5)/100</f>
        <v>26.819966019999995</v>
      </c>
      <c r="J21" s="454">
        <f>(228398144.83/10^5)/100</f>
        <v>22.839814483000001</v>
      </c>
    </row>
    <row r="22" spans="2:10" x14ac:dyDescent="0.35">
      <c r="B22" s="436" t="s">
        <v>704</v>
      </c>
      <c r="C22" s="437" t="s">
        <v>483</v>
      </c>
      <c r="D22" s="454">
        <f>(3358188.9/10^5)/100</f>
        <v>0.33581888999999998</v>
      </c>
      <c r="E22" s="454">
        <f>(3321618.2/10^5)/100</f>
        <v>0.33216182000000005</v>
      </c>
      <c r="F22" s="454">
        <f>(5152479.67/10^5)/100</f>
        <v>0.51524796699999997</v>
      </c>
      <c r="G22" s="454">
        <f>(6073744.74/10^5)/100</f>
        <v>0.607374474</v>
      </c>
      <c r="H22" s="454">
        <f>(5403010/10^5)/100</f>
        <v>0.54030099999999992</v>
      </c>
      <c r="I22" s="454">
        <f>(9025140.85/10^5)/100</f>
        <v>0.90251408499999997</v>
      </c>
      <c r="J22" s="454">
        <f>(6247506.67/10^5)/100</f>
        <v>0.62475066700000004</v>
      </c>
    </row>
    <row r="23" spans="2:10" x14ac:dyDescent="0.35">
      <c r="B23" s="436" t="s">
        <v>705</v>
      </c>
      <c r="C23" s="437" t="s">
        <v>483</v>
      </c>
      <c r="D23" s="454">
        <f>(26382639.53/10^5)/100</f>
        <v>2.6382639530000001</v>
      </c>
      <c r="E23" s="454">
        <f>(29655583.88/10^5)/100</f>
        <v>2.9655583879999998</v>
      </c>
      <c r="F23" s="454">
        <f>(30255203.3/10^5)/100</f>
        <v>3.02552033</v>
      </c>
      <c r="G23" s="454">
        <f>(31783997.13/10^5)/100</f>
        <v>3.1783997130000001</v>
      </c>
      <c r="H23" s="454">
        <f>(33692875.03/10^5)/100</f>
        <v>3.3692875029999998</v>
      </c>
      <c r="I23" s="454">
        <f>(32989142.68/10^5)/100</f>
        <v>3.2989142679999999</v>
      </c>
      <c r="J23" s="454">
        <f>(32312911.1/10^5)/100</f>
        <v>3.2312911100000004</v>
      </c>
    </row>
    <row r="24" spans="2:10" x14ac:dyDescent="0.35">
      <c r="B24" s="436" t="s">
        <v>706</v>
      </c>
      <c r="C24" s="437" t="s">
        <v>483</v>
      </c>
      <c r="D24" s="454">
        <f>((28883510.47+222464115)/10^5)/100</f>
        <v>25.134762547000001</v>
      </c>
      <c r="E24" s="454">
        <f>((35108671.13+294961038)/10^5)/100</f>
        <v>33.006970913000004</v>
      </c>
      <c r="F24" s="454">
        <f>((42021460.54+12834357)/10^5)/100</f>
        <v>5.485581754</v>
      </c>
      <c r="G24" s="454">
        <f>((47967403.53+99891029)/10^5)/100</f>
        <v>14.785843253000001</v>
      </c>
      <c r="H24" s="454">
        <f>((48244059.37+32305450)/10^5)/100</f>
        <v>8.054950937000001</v>
      </c>
      <c r="I24" s="454">
        <f>((51220657.96+139234536.66)/10^5)/100</f>
        <v>19.045519462000001</v>
      </c>
      <c r="J24" s="454">
        <f>((45934231.13+66905086.8)/10^5)/100</f>
        <v>11.283931793000001</v>
      </c>
    </row>
    <row r="25" spans="2:10" x14ac:dyDescent="0.35">
      <c r="B25" s="443" t="s">
        <v>707</v>
      </c>
      <c r="C25" s="444" t="s">
        <v>483</v>
      </c>
      <c r="D25" s="485">
        <f>(-436192419/10^5)/100</f>
        <v>-43.619241899999999</v>
      </c>
      <c r="E25" s="485">
        <f>(-2302393/10^5)/100</f>
        <v>-0.23023930000000001</v>
      </c>
      <c r="F25" s="485">
        <v>0</v>
      </c>
      <c r="G25" s="485">
        <v>0</v>
      </c>
      <c r="H25" s="485">
        <v>0</v>
      </c>
      <c r="I25" s="485">
        <v>0</v>
      </c>
      <c r="J25" s="485">
        <v>0</v>
      </c>
    </row>
    <row r="26" spans="2:10" x14ac:dyDescent="0.35">
      <c r="B26" s="440" t="s">
        <v>708</v>
      </c>
      <c r="C26" s="441" t="s">
        <v>483</v>
      </c>
      <c r="D26" s="442">
        <f t="shared" ref="D26:J26" si="1">SUM(D12:D25)</f>
        <v>69.491867466000002</v>
      </c>
      <c r="E26" s="442">
        <f t="shared" si="1"/>
        <v>184.37608344200001</v>
      </c>
      <c r="F26" s="442">
        <f t="shared" si="1"/>
        <v>183.86853968899999</v>
      </c>
      <c r="G26" s="442">
        <f t="shared" si="1"/>
        <v>265.86267261700004</v>
      </c>
      <c r="H26" s="442">
        <f t="shared" si="1"/>
        <v>255.57159025500002</v>
      </c>
      <c r="I26" s="442">
        <f t="shared" si="1"/>
        <v>263.69557402099997</v>
      </c>
      <c r="J26" s="442">
        <f t="shared" si="1"/>
        <v>215.796685457</v>
      </c>
    </row>
    <row r="27" spans="2:10" x14ac:dyDescent="0.35">
      <c r="B27" s="433" t="s">
        <v>709</v>
      </c>
      <c r="C27" s="445" t="s">
        <v>483</v>
      </c>
      <c r="D27" s="446">
        <f t="shared" ref="D27:J27" si="2">D11+D26</f>
        <v>3094.8756290519996</v>
      </c>
      <c r="E27" s="446">
        <f t="shared" si="2"/>
        <v>4010.3416985229996</v>
      </c>
      <c r="F27" s="446">
        <f t="shared" si="2"/>
        <v>4873.7975433859992</v>
      </c>
      <c r="G27" s="446">
        <f t="shared" si="2"/>
        <v>5626.1783369200002</v>
      </c>
      <c r="H27" s="446">
        <f t="shared" si="2"/>
        <v>5335.0966480860006</v>
      </c>
      <c r="I27" s="446">
        <f t="shared" si="2"/>
        <v>5272.8954800199999</v>
      </c>
      <c r="J27" s="446">
        <f t="shared" si="2"/>
        <v>4552.2651171150001</v>
      </c>
    </row>
    <row r="28" spans="2:10" x14ac:dyDescent="0.35">
      <c r="B28" s="447"/>
      <c r="C28" s="447"/>
      <c r="D28" s="448"/>
      <c r="E28" s="448"/>
      <c r="F28" s="448"/>
      <c r="G28" s="448"/>
      <c r="H28" s="448"/>
      <c r="I28" s="447"/>
    </row>
    <row r="29" spans="2:10" x14ac:dyDescent="0.35">
      <c r="B29" s="440" t="s">
        <v>748</v>
      </c>
      <c r="C29" s="449"/>
      <c r="D29" s="450"/>
      <c r="E29" s="450"/>
      <c r="F29" s="450"/>
      <c r="G29" s="450"/>
      <c r="H29" s="450"/>
      <c r="I29" s="449"/>
      <c r="J29" s="449"/>
    </row>
    <row r="30" spans="2:10" x14ac:dyDescent="0.35">
      <c r="B30" s="436" t="s">
        <v>710</v>
      </c>
      <c r="C30" s="437" t="s">
        <v>675</v>
      </c>
      <c r="D30" s="439">
        <f t="shared" ref="D30:J30" si="3">D176</f>
        <v>598.62642959999994</v>
      </c>
      <c r="E30" s="439">
        <f t="shared" si="3"/>
        <v>705.75041880000003</v>
      </c>
      <c r="F30" s="439">
        <f t="shared" si="3"/>
        <v>810.05929830000002</v>
      </c>
      <c r="G30" s="439">
        <f t="shared" si="3"/>
        <v>913.59947609999995</v>
      </c>
      <c r="H30" s="439">
        <f t="shared" si="3"/>
        <v>848.44498950000002</v>
      </c>
      <c r="I30" s="439">
        <f t="shared" si="3"/>
        <v>829.45595800000001</v>
      </c>
      <c r="J30" s="439">
        <f t="shared" si="3"/>
        <v>662.6353706000001</v>
      </c>
    </row>
    <row r="31" spans="2:10" x14ac:dyDescent="0.35">
      <c r="B31" s="436" t="s">
        <v>711</v>
      </c>
      <c r="C31" s="437" t="s">
        <v>675</v>
      </c>
      <c r="D31" s="460">
        <f t="shared" ref="D31:J31" si="4">D274</f>
        <v>492.50749670000005</v>
      </c>
      <c r="E31" s="460">
        <f t="shared" si="4"/>
        <v>545.70375009999998</v>
      </c>
      <c r="F31" s="460">
        <f t="shared" si="4"/>
        <v>667.39422909999996</v>
      </c>
      <c r="G31" s="460">
        <f t="shared" si="4"/>
        <v>762.8093384</v>
      </c>
      <c r="H31" s="460">
        <f t="shared" si="4"/>
        <v>735.53694150000001</v>
      </c>
      <c r="I31" s="460">
        <f t="shared" si="4"/>
        <v>730.03699129999995</v>
      </c>
      <c r="J31" s="460">
        <f t="shared" si="4"/>
        <v>597.16404610000006</v>
      </c>
    </row>
    <row r="32" spans="2:10" x14ac:dyDescent="0.35">
      <c r="B32" s="451" t="s">
        <v>747</v>
      </c>
      <c r="C32" s="489" t="s">
        <v>675</v>
      </c>
      <c r="D32" s="452">
        <f t="shared" ref="D32:J32" si="5">SUM(D30:D31)</f>
        <v>1091.1339263</v>
      </c>
      <c r="E32" s="452">
        <f t="shared" si="5"/>
        <v>1251.4541689</v>
      </c>
      <c r="F32" s="452">
        <f t="shared" si="5"/>
        <v>1477.4535274</v>
      </c>
      <c r="G32" s="452">
        <f t="shared" si="5"/>
        <v>1676.4088145000001</v>
      </c>
      <c r="H32" s="452">
        <f t="shared" si="5"/>
        <v>1583.981931</v>
      </c>
      <c r="I32" s="452">
        <f t="shared" si="5"/>
        <v>1559.4929493</v>
      </c>
      <c r="J32" s="452">
        <f t="shared" si="5"/>
        <v>1259.7994167000002</v>
      </c>
    </row>
    <row r="33" spans="2:16" x14ac:dyDescent="0.35">
      <c r="B33" s="455"/>
      <c r="C33" s="455"/>
      <c r="D33" s="455"/>
      <c r="E33" s="455"/>
      <c r="F33" s="455"/>
      <c r="G33" s="455"/>
      <c r="H33" s="455"/>
      <c r="I33" s="455"/>
    </row>
    <row r="34" spans="2:16" x14ac:dyDescent="0.35">
      <c r="B34" s="487" t="s">
        <v>626</v>
      </c>
      <c r="C34" s="437" t="s">
        <v>675</v>
      </c>
      <c r="D34" s="465">
        <f t="shared" ref="D34:I34" si="6">D103+D201</f>
        <v>312.90652310000002</v>
      </c>
      <c r="E34" s="465">
        <f t="shared" si="6"/>
        <v>659.18067550000001</v>
      </c>
      <c r="F34" s="465">
        <f t="shared" si="6"/>
        <v>1020.4361314999999</v>
      </c>
      <c r="G34" s="465">
        <f t="shared" si="6"/>
        <v>1447.9246011</v>
      </c>
      <c r="H34" s="465">
        <f t="shared" si="6"/>
        <v>1500.1853311</v>
      </c>
      <c r="I34" s="465">
        <f t="shared" si="6"/>
        <v>1534.489313</v>
      </c>
      <c r="J34" s="465">
        <f t="shared" ref="J34" si="7">J103+J201</f>
        <v>1246.4776097000001</v>
      </c>
    </row>
    <row r="35" spans="2:16" x14ac:dyDescent="0.35">
      <c r="B35" s="488" t="s">
        <v>627</v>
      </c>
      <c r="C35" s="437" t="s">
        <v>675</v>
      </c>
      <c r="D35" s="465">
        <f t="shared" ref="D35:I35" si="8">D127+D225</f>
        <v>482.93938869999999</v>
      </c>
      <c r="E35" s="465">
        <f t="shared" si="8"/>
        <v>435.08183010000005</v>
      </c>
      <c r="F35" s="465">
        <f t="shared" si="8"/>
        <v>303.90304840000005</v>
      </c>
      <c r="G35" s="465">
        <f t="shared" si="8"/>
        <v>158.83956259999997</v>
      </c>
      <c r="H35" s="465">
        <f t="shared" si="8"/>
        <v>50.162358699999999</v>
      </c>
      <c r="I35" s="465">
        <f t="shared" si="8"/>
        <v>16.2725024</v>
      </c>
      <c r="J35" s="465">
        <f t="shared" ref="J35" si="9">J127+J225</f>
        <v>11.007195400000001</v>
      </c>
    </row>
    <row r="36" spans="2:16" x14ac:dyDescent="0.35">
      <c r="B36" s="488" t="s">
        <v>628</v>
      </c>
      <c r="C36" s="437" t="s">
        <v>675</v>
      </c>
      <c r="D36" s="465">
        <f t="shared" ref="D36:I36" si="10">D151+D249</f>
        <v>294.95516120000002</v>
      </c>
      <c r="E36" s="465">
        <f t="shared" si="10"/>
        <v>156.16585780000003</v>
      </c>
      <c r="F36" s="465">
        <f t="shared" si="10"/>
        <v>151.74796760000001</v>
      </c>
      <c r="G36" s="465">
        <f t="shared" si="10"/>
        <v>68.383413500000003</v>
      </c>
      <c r="H36" s="465">
        <f t="shared" si="10"/>
        <v>32.621288000000007</v>
      </c>
      <c r="I36" s="465">
        <f t="shared" si="10"/>
        <v>8.2402759000000003</v>
      </c>
      <c r="J36" s="465">
        <f t="shared" ref="J36" si="11">J151+J249</f>
        <v>1.8879788999999998</v>
      </c>
    </row>
    <row r="37" spans="2:16" x14ac:dyDescent="0.35">
      <c r="B37" s="488" t="s">
        <v>760</v>
      </c>
      <c r="C37" s="437" t="s">
        <v>675</v>
      </c>
      <c r="D37" s="465">
        <f t="shared" ref="D37:I37" si="12">D175+D273</f>
        <v>0.33285330000000002</v>
      </c>
      <c r="E37" s="465">
        <f t="shared" si="12"/>
        <v>1.0258055000000001</v>
      </c>
      <c r="F37" s="465">
        <f t="shared" si="12"/>
        <v>1.3663799000000001</v>
      </c>
      <c r="G37" s="465">
        <f t="shared" si="12"/>
        <v>1.2612372999999999</v>
      </c>
      <c r="H37" s="465">
        <f t="shared" si="12"/>
        <v>1.0129532000000001</v>
      </c>
      <c r="I37" s="465">
        <f t="shared" si="12"/>
        <v>0.49085800000000002</v>
      </c>
      <c r="J37" s="465">
        <f t="shared" ref="J37" si="13">J175+J273</f>
        <v>0.42663270000000003</v>
      </c>
    </row>
    <row r="38" spans="2:16" x14ac:dyDescent="0.35">
      <c r="B38" s="457" t="s">
        <v>761</v>
      </c>
      <c r="C38" s="437"/>
      <c r="D38" s="466">
        <f t="shared" ref="D38:I38" si="14">SUM(D34:D37)</f>
        <v>1091.1339263</v>
      </c>
      <c r="E38" s="466">
        <f t="shared" si="14"/>
        <v>1251.4541689000002</v>
      </c>
      <c r="F38" s="466">
        <f t="shared" si="14"/>
        <v>1477.4535274</v>
      </c>
      <c r="G38" s="466">
        <f t="shared" si="14"/>
        <v>1676.4088144999998</v>
      </c>
      <c r="H38" s="466">
        <f t="shared" si="14"/>
        <v>1583.981931</v>
      </c>
      <c r="I38" s="466">
        <f t="shared" si="14"/>
        <v>1559.4929492999997</v>
      </c>
      <c r="J38" s="466">
        <f t="shared" ref="J38" si="15">SUM(J34:J37)</f>
        <v>1259.7994167000002</v>
      </c>
    </row>
    <row r="39" spans="2:16" x14ac:dyDescent="0.35">
      <c r="B39" s="436"/>
      <c r="C39" s="436"/>
      <c r="D39" s="436"/>
      <c r="E39" s="436"/>
      <c r="F39" s="436"/>
      <c r="G39" s="436"/>
      <c r="H39" s="436"/>
      <c r="I39" s="436"/>
    </row>
    <row r="40" spans="2:16" x14ac:dyDescent="0.35">
      <c r="B40" s="517" t="s">
        <v>626</v>
      </c>
      <c r="C40" s="437" t="s">
        <v>373</v>
      </c>
      <c r="D40" s="515">
        <f t="shared" ref="D40:I43" si="16">D34/D$38</f>
        <v>0.28677187608037813</v>
      </c>
      <c r="E40" s="515">
        <f t="shared" si="16"/>
        <v>0.52673177482752309</v>
      </c>
      <c r="F40" s="515">
        <f t="shared" si="16"/>
        <v>0.69067223609784034</v>
      </c>
      <c r="G40" s="515">
        <f t="shared" si="16"/>
        <v>0.86370614886790198</v>
      </c>
      <c r="H40" s="515">
        <f t="shared" si="16"/>
        <v>0.94709750265452997</v>
      </c>
      <c r="I40" s="515">
        <f t="shared" si="16"/>
        <v>0.98396681670717212</v>
      </c>
      <c r="J40" s="515">
        <f t="shared" ref="J40" si="17">J34/J$38</f>
        <v>0.98942545390686398</v>
      </c>
    </row>
    <row r="41" spans="2:16" x14ac:dyDescent="0.35">
      <c r="B41" s="464" t="s">
        <v>627</v>
      </c>
      <c r="C41" s="437" t="s">
        <v>373</v>
      </c>
      <c r="D41" s="515">
        <f t="shared" si="16"/>
        <v>0.44260321951277964</v>
      </c>
      <c r="E41" s="515">
        <f t="shared" si="16"/>
        <v>0.3476610178081288</v>
      </c>
      <c r="F41" s="515">
        <f t="shared" si="16"/>
        <v>0.2056938122005123</v>
      </c>
      <c r="G41" s="515">
        <f t="shared" si="16"/>
        <v>9.4749897057404178E-2</v>
      </c>
      <c r="H41" s="515">
        <f t="shared" si="16"/>
        <v>3.1668516993960581E-2</v>
      </c>
      <c r="I41" s="515">
        <f t="shared" si="16"/>
        <v>1.0434482828091106E-2</v>
      </c>
      <c r="J41" s="515">
        <f t="shared" ref="J41" si="18">J35/J$38</f>
        <v>8.7372602765866947E-3</v>
      </c>
      <c r="K41" s="241"/>
      <c r="L41" s="241"/>
      <c r="M41" s="241"/>
      <c r="N41" s="241"/>
      <c r="O41" s="241"/>
      <c r="P41" s="241"/>
    </row>
    <row r="42" spans="2:16" x14ac:dyDescent="0.35">
      <c r="B42" s="464" t="s">
        <v>628</v>
      </c>
      <c r="C42" s="437" t="s">
        <v>373</v>
      </c>
      <c r="D42" s="515">
        <f t="shared" si="16"/>
        <v>0.27031985175292228</v>
      </c>
      <c r="E42" s="515">
        <f t="shared" si="16"/>
        <v>0.12478751653947205</v>
      </c>
      <c r="F42" s="515">
        <f t="shared" si="16"/>
        <v>0.10270913080226879</v>
      </c>
      <c r="G42" s="515">
        <f t="shared" si="16"/>
        <v>4.0791609366713937E-2</v>
      </c>
      <c r="H42" s="515">
        <f t="shared" si="16"/>
        <v>2.0594482400064704E-2</v>
      </c>
      <c r="I42" s="515">
        <f t="shared" si="16"/>
        <v>5.2839455950722727E-3</v>
      </c>
      <c r="J42" s="515">
        <f t="shared" ref="J42" si="19">J36/J$38</f>
        <v>1.4986345246495616E-3</v>
      </c>
      <c r="K42" s="241"/>
      <c r="L42" s="241"/>
      <c r="M42" s="241"/>
      <c r="N42" s="241"/>
      <c r="O42" s="241"/>
      <c r="P42" s="241"/>
    </row>
    <row r="43" spans="2:16" x14ac:dyDescent="0.35">
      <c r="B43" s="464" t="s">
        <v>760</v>
      </c>
      <c r="C43" s="437" t="s">
        <v>373</v>
      </c>
      <c r="D43" s="515">
        <f t="shared" si="16"/>
        <v>3.0505265392003237E-4</v>
      </c>
      <c r="E43" s="515">
        <f t="shared" si="16"/>
        <v>8.1969082487588004E-4</v>
      </c>
      <c r="F43" s="515">
        <f t="shared" si="16"/>
        <v>9.2482089937849651E-4</v>
      </c>
      <c r="G43" s="515">
        <f t="shared" si="16"/>
        <v>7.5234470797994003E-4</v>
      </c>
      <c r="H43" s="515">
        <f t="shared" si="16"/>
        <v>6.3949795144475051E-4</v>
      </c>
      <c r="I43" s="515">
        <f t="shared" si="16"/>
        <v>3.1475486966473849E-4</v>
      </c>
      <c r="J43" s="515">
        <f t="shared" ref="J43" si="20">J37/J$38</f>
        <v>3.3865129189974481E-4</v>
      </c>
      <c r="K43" s="241"/>
      <c r="L43" s="241"/>
      <c r="M43" s="241"/>
      <c r="N43" s="241"/>
      <c r="O43" s="241"/>
      <c r="P43" s="241"/>
    </row>
    <row r="44" spans="2:16" x14ac:dyDescent="0.35">
      <c r="B44" s="518" t="s">
        <v>761</v>
      </c>
      <c r="C44" s="437" t="s">
        <v>373</v>
      </c>
      <c r="D44" s="516">
        <f t="shared" ref="D44:I44" si="21">SUM(D40:D43)</f>
        <v>1</v>
      </c>
      <c r="E44" s="516">
        <f t="shared" si="21"/>
        <v>0.99999999999999978</v>
      </c>
      <c r="F44" s="516">
        <f t="shared" si="21"/>
        <v>0.99999999999999989</v>
      </c>
      <c r="G44" s="516">
        <f t="shared" si="21"/>
        <v>1</v>
      </c>
      <c r="H44" s="516">
        <f t="shared" si="21"/>
        <v>1</v>
      </c>
      <c r="I44" s="516">
        <f t="shared" si="21"/>
        <v>1.0000000000000002</v>
      </c>
      <c r="J44" s="516">
        <f t="shared" ref="J44" si="22">SUM(J40:J43)</f>
        <v>1</v>
      </c>
      <c r="K44" s="241"/>
      <c r="L44" s="241"/>
      <c r="M44" s="241"/>
      <c r="N44" s="241"/>
      <c r="O44" s="241"/>
      <c r="P44" s="241"/>
    </row>
    <row r="45" spans="2:16" x14ac:dyDescent="0.35">
      <c r="B45" s="436"/>
      <c r="C45" s="436"/>
      <c r="D45" s="436"/>
      <c r="E45" s="436"/>
      <c r="F45" s="436"/>
      <c r="G45" s="436"/>
      <c r="H45" s="436"/>
      <c r="I45" s="436"/>
      <c r="J45" s="436"/>
      <c r="K45" s="241"/>
      <c r="L45" s="241"/>
      <c r="M45" s="241"/>
      <c r="N45" s="241"/>
      <c r="O45" s="241"/>
      <c r="P45" s="241"/>
    </row>
    <row r="46" spans="2:16" x14ac:dyDescent="0.35">
      <c r="B46" s="451" t="s">
        <v>924</v>
      </c>
      <c r="C46" s="436"/>
      <c r="D46" s="594">
        <v>42370</v>
      </c>
      <c r="E46" s="594">
        <v>42675</v>
      </c>
      <c r="F46" s="594">
        <v>43009</v>
      </c>
      <c r="G46" s="594">
        <v>43405</v>
      </c>
      <c r="H46" s="594">
        <v>43800</v>
      </c>
      <c r="I46" s="594">
        <v>44228</v>
      </c>
      <c r="J46" s="594"/>
      <c r="K46" s="241"/>
      <c r="L46" s="241"/>
      <c r="M46" s="241"/>
      <c r="N46" s="241"/>
      <c r="O46" s="241"/>
      <c r="P46" s="241"/>
    </row>
    <row r="47" spans="2:16" x14ac:dyDescent="0.35">
      <c r="B47" s="487" t="s">
        <v>626</v>
      </c>
      <c r="C47" s="436"/>
      <c r="D47" s="470">
        <v>290</v>
      </c>
      <c r="E47" s="520">
        <v>315</v>
      </c>
      <c r="F47" s="520">
        <v>325</v>
      </c>
      <c r="G47" s="595">
        <f>F47</f>
        <v>325</v>
      </c>
      <c r="H47" s="436">
        <f>G47</f>
        <v>325</v>
      </c>
      <c r="I47" s="436">
        <f>H47</f>
        <v>325</v>
      </c>
      <c r="J47" s="436">
        <f>I47+25</f>
        <v>350</v>
      </c>
      <c r="K47" s="241"/>
      <c r="L47" s="241"/>
      <c r="M47" s="241"/>
      <c r="N47" s="241"/>
      <c r="O47" s="241"/>
      <c r="P47" s="241"/>
    </row>
    <row r="48" spans="2:16" x14ac:dyDescent="0.35">
      <c r="B48" s="488" t="s">
        <v>627</v>
      </c>
      <c r="C48" s="436"/>
      <c r="D48" s="470">
        <v>280</v>
      </c>
      <c r="E48" s="520">
        <v>305</v>
      </c>
      <c r="F48" s="520">
        <v>315</v>
      </c>
      <c r="G48" s="595">
        <f t="shared" ref="G48:I49" si="23">F48</f>
        <v>315</v>
      </c>
      <c r="H48" s="436">
        <f t="shared" si="23"/>
        <v>315</v>
      </c>
      <c r="I48" s="436">
        <f t="shared" si="23"/>
        <v>315</v>
      </c>
      <c r="J48" s="436">
        <f>I48+25</f>
        <v>340</v>
      </c>
      <c r="K48" s="241"/>
      <c r="L48" s="241"/>
      <c r="M48" s="241"/>
      <c r="N48" s="241"/>
      <c r="O48" s="241"/>
      <c r="P48" s="241"/>
    </row>
    <row r="49" spans="2:24" x14ac:dyDescent="0.35">
      <c r="B49" s="488" t="s">
        <v>628</v>
      </c>
      <c r="C49" s="436"/>
      <c r="D49" s="470">
        <v>275</v>
      </c>
      <c r="E49" s="520">
        <v>300</v>
      </c>
      <c r="F49" s="520">
        <v>310</v>
      </c>
      <c r="G49" s="595">
        <f t="shared" si="23"/>
        <v>310</v>
      </c>
      <c r="H49" s="436">
        <f t="shared" si="23"/>
        <v>310</v>
      </c>
      <c r="I49" s="436">
        <f t="shared" si="23"/>
        <v>310</v>
      </c>
      <c r="J49" s="436">
        <f>I49+25</f>
        <v>335</v>
      </c>
      <c r="K49" s="241"/>
      <c r="L49" s="241"/>
      <c r="M49" s="241"/>
      <c r="N49" s="241"/>
      <c r="O49" s="241"/>
      <c r="P49" s="241"/>
    </row>
    <row r="50" spans="2:24" x14ac:dyDescent="0.35">
      <c r="B50" s="488" t="s">
        <v>760</v>
      </c>
      <c r="C50" s="436"/>
      <c r="D50" s="470">
        <v>230</v>
      </c>
      <c r="E50" s="520">
        <v>300</v>
      </c>
      <c r="F50" s="520">
        <v>305</v>
      </c>
      <c r="G50" s="595">
        <f>F50</f>
        <v>305</v>
      </c>
      <c r="H50" s="436">
        <f>G50</f>
        <v>305</v>
      </c>
      <c r="I50" s="436">
        <f>H50</f>
        <v>305</v>
      </c>
      <c r="J50" s="436">
        <f>I50+25</f>
        <v>330</v>
      </c>
      <c r="K50" s="241"/>
      <c r="L50" s="241"/>
      <c r="M50" s="241"/>
      <c r="N50" s="241"/>
      <c r="O50" s="241"/>
      <c r="P50" s="241"/>
    </row>
    <row r="51" spans="2:24" x14ac:dyDescent="0.35">
      <c r="B51" s="451" t="s">
        <v>828</v>
      </c>
      <c r="C51" s="436"/>
      <c r="D51" s="452">
        <f>SUMPRODUCT(D47:D50,D40:D43)</f>
        <v>281.50086686934316</v>
      </c>
      <c r="E51" s="452">
        <f t="shared" ref="E51:I51" si="24">SUMPRODUCT(E47:E50,E40:E43)</f>
        <v>309.63928171145341</v>
      </c>
      <c r="F51" s="452">
        <f t="shared" si="24"/>
        <v>321.38392849797322</v>
      </c>
      <c r="G51" s="452">
        <f t="shared" si="24"/>
        <v>323.42557999476566</v>
      </c>
      <c r="H51" s="452">
        <f t="shared" si="24"/>
        <v>324.36160763503057</v>
      </c>
      <c r="I51" s="452">
        <f t="shared" si="24"/>
        <v>324.81010089039978</v>
      </c>
      <c r="J51" s="452">
        <f>SUMPRODUCT(J47:J50,J40:J43)</f>
        <v>349.88337485352645</v>
      </c>
      <c r="K51" s="241"/>
      <c r="L51" s="241"/>
      <c r="M51" s="241"/>
      <c r="N51" s="241"/>
      <c r="O51" s="241"/>
      <c r="P51" s="241"/>
    </row>
    <row r="52" spans="2:24" x14ac:dyDescent="0.35">
      <c r="B52" s="451" t="s">
        <v>925</v>
      </c>
      <c r="C52" s="436"/>
      <c r="D52" s="452">
        <v>8.35</v>
      </c>
      <c r="E52" s="452"/>
      <c r="F52" s="452"/>
      <c r="G52" s="452"/>
      <c r="H52" s="452"/>
      <c r="I52" s="452"/>
      <c r="J52" s="574"/>
      <c r="K52" s="241"/>
      <c r="L52" s="241"/>
      <c r="M52" s="241"/>
      <c r="N52" s="241"/>
      <c r="O52" s="241"/>
      <c r="P52" s="241"/>
    </row>
    <row r="53" spans="2:24" x14ac:dyDescent="0.35">
      <c r="B53" s="451" t="s">
        <v>929</v>
      </c>
      <c r="C53" s="436"/>
      <c r="E53" s="452"/>
      <c r="F53" s="452"/>
      <c r="G53" s="452"/>
      <c r="H53" s="452"/>
      <c r="I53" s="452"/>
      <c r="J53" s="574"/>
      <c r="K53" s="241"/>
      <c r="L53" s="241"/>
      <c r="M53" s="241"/>
      <c r="N53" s="241"/>
      <c r="O53" s="241"/>
      <c r="P53" s="241"/>
    </row>
    <row r="54" spans="2:24" x14ac:dyDescent="0.35">
      <c r="B54" s="487" t="s">
        <v>626</v>
      </c>
      <c r="C54" s="436"/>
      <c r="D54" s="593">
        <f t="shared" ref="D54:I54" si="25">D47-$D$52</f>
        <v>281.64999999999998</v>
      </c>
      <c r="E54" s="593">
        <f t="shared" si="25"/>
        <v>306.64999999999998</v>
      </c>
      <c r="F54" s="593">
        <f t="shared" si="25"/>
        <v>316.64999999999998</v>
      </c>
      <c r="G54" s="593">
        <f t="shared" si="25"/>
        <v>316.64999999999998</v>
      </c>
      <c r="H54" s="593">
        <f t="shared" si="25"/>
        <v>316.64999999999998</v>
      </c>
      <c r="I54" s="593">
        <f t="shared" si="25"/>
        <v>316.64999999999998</v>
      </c>
      <c r="J54" s="593">
        <f t="shared" ref="J54" si="26">J47-$D$52</f>
        <v>341.65</v>
      </c>
      <c r="K54" s="241"/>
      <c r="L54" s="241"/>
      <c r="M54" s="241"/>
      <c r="N54" s="241"/>
      <c r="O54" s="241"/>
      <c r="P54" s="241"/>
    </row>
    <row r="55" spans="2:24" x14ac:dyDescent="0.35">
      <c r="B55" s="488" t="s">
        <v>627</v>
      </c>
      <c r="C55" s="436"/>
      <c r="D55" s="593">
        <f t="shared" ref="D55:I55" si="27">D48-$D$52</f>
        <v>271.64999999999998</v>
      </c>
      <c r="E55" s="593">
        <f t="shared" si="27"/>
        <v>296.64999999999998</v>
      </c>
      <c r="F55" s="593">
        <f t="shared" si="27"/>
        <v>306.64999999999998</v>
      </c>
      <c r="G55" s="593">
        <f t="shared" si="27"/>
        <v>306.64999999999998</v>
      </c>
      <c r="H55" s="593">
        <f t="shared" si="27"/>
        <v>306.64999999999998</v>
      </c>
      <c r="I55" s="593">
        <f t="shared" si="27"/>
        <v>306.64999999999998</v>
      </c>
      <c r="J55" s="593">
        <f t="shared" ref="J55" si="28">J48-$D$52</f>
        <v>331.65</v>
      </c>
      <c r="K55" s="241"/>
      <c r="L55" s="241"/>
      <c r="M55" s="241"/>
      <c r="N55" s="241"/>
      <c r="O55" s="241"/>
      <c r="P55" s="241"/>
    </row>
    <row r="56" spans="2:24" x14ac:dyDescent="0.35">
      <c r="B56" s="488" t="s">
        <v>628</v>
      </c>
      <c r="C56" s="436"/>
      <c r="D56" s="593">
        <f t="shared" ref="D56:I56" si="29">D49-$D$52</f>
        <v>266.64999999999998</v>
      </c>
      <c r="E56" s="593">
        <f t="shared" si="29"/>
        <v>291.64999999999998</v>
      </c>
      <c r="F56" s="593">
        <f t="shared" si="29"/>
        <v>301.64999999999998</v>
      </c>
      <c r="G56" s="593">
        <f t="shared" si="29"/>
        <v>301.64999999999998</v>
      </c>
      <c r="H56" s="593">
        <f t="shared" si="29"/>
        <v>301.64999999999998</v>
      </c>
      <c r="I56" s="593">
        <f t="shared" si="29"/>
        <v>301.64999999999998</v>
      </c>
      <c r="J56" s="593">
        <f t="shared" ref="J56" si="30">J49-$D$52</f>
        <v>326.64999999999998</v>
      </c>
      <c r="K56" s="241"/>
      <c r="L56" s="241"/>
      <c r="M56" s="241"/>
      <c r="N56" s="241"/>
      <c r="O56" s="241"/>
      <c r="P56" s="241"/>
    </row>
    <row r="57" spans="2:24" x14ac:dyDescent="0.35">
      <c r="B57" s="488" t="s">
        <v>760</v>
      </c>
      <c r="C57" s="436"/>
      <c r="D57" s="593">
        <f t="shared" ref="D57:I57" si="31">D50-$D$52</f>
        <v>221.65</v>
      </c>
      <c r="E57" s="593">
        <f t="shared" si="31"/>
        <v>291.64999999999998</v>
      </c>
      <c r="F57" s="593">
        <f t="shared" si="31"/>
        <v>296.64999999999998</v>
      </c>
      <c r="G57" s="593">
        <f t="shared" si="31"/>
        <v>296.64999999999998</v>
      </c>
      <c r="H57" s="593">
        <f t="shared" si="31"/>
        <v>296.64999999999998</v>
      </c>
      <c r="I57" s="593">
        <f t="shared" si="31"/>
        <v>296.64999999999998</v>
      </c>
      <c r="J57" s="593">
        <f t="shared" ref="J57" si="32">J50-$D$52</f>
        <v>321.64999999999998</v>
      </c>
      <c r="K57" s="241"/>
      <c r="L57" s="241"/>
      <c r="M57" s="241"/>
      <c r="N57" s="241"/>
      <c r="O57" s="241"/>
      <c r="P57" s="241"/>
    </row>
    <row r="58" spans="2:24" x14ac:dyDescent="0.35">
      <c r="B58" s="451"/>
      <c r="C58" s="436"/>
      <c r="D58" s="452"/>
      <c r="E58" s="452"/>
      <c r="F58" s="452"/>
      <c r="G58" s="452"/>
      <c r="H58" s="452"/>
      <c r="I58" s="452"/>
      <c r="J58" s="574"/>
      <c r="K58" s="241"/>
      <c r="L58" s="241"/>
      <c r="M58" s="241"/>
      <c r="N58" s="241"/>
      <c r="O58" s="241"/>
      <c r="P58" s="241"/>
    </row>
    <row r="59" spans="2:24" x14ac:dyDescent="0.35">
      <c r="B59" s="436" t="s">
        <v>216</v>
      </c>
      <c r="C59" s="437" t="s">
        <v>48</v>
      </c>
      <c r="D59" s="439">
        <f t="shared" ref="D59:I59" si="33">D11/D32*100</f>
        <v>277.26969977415871</v>
      </c>
      <c r="E59" s="439">
        <f t="shared" si="33"/>
        <v>305.72159254093475</v>
      </c>
      <c r="F59" s="439">
        <f t="shared" si="33"/>
        <v>317.43326722095043</v>
      </c>
      <c r="G59" s="439">
        <f t="shared" si="33"/>
        <v>319.74990932636854</v>
      </c>
      <c r="H59" s="439">
        <f t="shared" si="33"/>
        <v>320.68074505270351</v>
      </c>
      <c r="I59" s="439">
        <f t="shared" si="33"/>
        <v>321.20696077833821</v>
      </c>
      <c r="J59" s="439">
        <f t="shared" ref="J59" si="34">J11/J32*100</f>
        <v>344.21895852414542</v>
      </c>
    </row>
    <row r="60" spans="2:24" x14ac:dyDescent="0.35">
      <c r="B60" s="436" t="s">
        <v>712</v>
      </c>
      <c r="C60" s="437" t="s">
        <v>48</v>
      </c>
      <c r="D60" s="439">
        <f t="shared" ref="D60:I60" si="35">D26/D32*100</f>
        <v>6.3687752521493568</v>
      </c>
      <c r="E60" s="439">
        <f t="shared" si="35"/>
        <v>14.732947320321161</v>
      </c>
      <c r="F60" s="439">
        <f t="shared" si="35"/>
        <v>12.444962652231032</v>
      </c>
      <c r="G60" s="439">
        <f t="shared" si="35"/>
        <v>15.859059575291919</v>
      </c>
      <c r="H60" s="439">
        <f t="shared" si="35"/>
        <v>16.134754144174643</v>
      </c>
      <c r="I60" s="439">
        <f t="shared" si="35"/>
        <v>16.909058430777989</v>
      </c>
      <c r="J60" s="439">
        <f t="shared" ref="J60" si="36">J26/J32*100</f>
        <v>17.129447957856001</v>
      </c>
      <c r="T60" s="491"/>
      <c r="U60" s="491"/>
      <c r="V60" s="491">
        <f>G60/F60-1</f>
        <v>0.27433565037246899</v>
      </c>
      <c r="W60" s="491">
        <f>H60/G60-1</f>
        <v>1.7384042702774716E-2</v>
      </c>
      <c r="X60" s="491">
        <f>I60/H60-1</f>
        <v>4.7989841040305237E-2</v>
      </c>
    </row>
    <row r="61" spans="2:24" x14ac:dyDescent="0.35">
      <c r="B61" s="451" t="s">
        <v>713</v>
      </c>
      <c r="C61" s="489" t="s">
        <v>48</v>
      </c>
      <c r="D61" s="452">
        <f t="shared" ref="D61:I61" si="37">SUM(D59:D60)</f>
        <v>283.63847502630807</v>
      </c>
      <c r="E61" s="452">
        <f t="shared" si="37"/>
        <v>320.45453986125591</v>
      </c>
      <c r="F61" s="452">
        <f t="shared" si="37"/>
        <v>329.87822987318145</v>
      </c>
      <c r="G61" s="452">
        <f t="shared" si="37"/>
        <v>335.60896890166043</v>
      </c>
      <c r="H61" s="452">
        <f t="shared" si="37"/>
        <v>336.81549919687814</v>
      </c>
      <c r="I61" s="452">
        <f t="shared" si="37"/>
        <v>338.11601920911619</v>
      </c>
      <c r="J61" s="452">
        <f t="shared" ref="J61" si="38">SUM(J59:J60)</f>
        <v>361.34840648200145</v>
      </c>
    </row>
    <row r="62" spans="2:24" x14ac:dyDescent="0.35">
      <c r="B62" s="436"/>
      <c r="C62" s="437"/>
      <c r="D62" s="436"/>
      <c r="E62" s="570"/>
      <c r="F62" s="570"/>
      <c r="G62" s="570"/>
      <c r="H62" s="570"/>
      <c r="I62" s="570"/>
      <c r="J62" s="571"/>
    </row>
    <row r="63" spans="2:24" x14ac:dyDescent="0.35">
      <c r="B63" s="436" t="s">
        <v>714</v>
      </c>
      <c r="C63" s="444" t="s">
        <v>483</v>
      </c>
      <c r="D63" s="453">
        <f>33723676/10^7</f>
        <v>3.3723676</v>
      </c>
      <c r="E63" s="620">
        <f t="shared" ref="E63:J63" si="39">D64</f>
        <v>0.28958729999999999</v>
      </c>
      <c r="F63" s="620">
        <f t="shared" si="39"/>
        <v>2.0493855000000001</v>
      </c>
      <c r="G63" s="620">
        <f t="shared" si="39"/>
        <v>5.3556922</v>
      </c>
      <c r="H63" s="620">
        <f t="shared" si="39"/>
        <v>6.3326113999999993</v>
      </c>
      <c r="I63" s="620">
        <f t="shared" si="39"/>
        <v>4.3457792</v>
      </c>
      <c r="J63" s="620">
        <f t="shared" si="39"/>
        <v>1.6189742</v>
      </c>
      <c r="L63" s="215"/>
      <c r="M63" s="215"/>
      <c r="N63" s="215"/>
      <c r="O63" s="215"/>
      <c r="P63" s="215"/>
    </row>
    <row r="64" spans="2:24" x14ac:dyDescent="0.35">
      <c r="B64" s="436" t="s">
        <v>715</v>
      </c>
      <c r="C64" s="444" t="s">
        <v>483</v>
      </c>
      <c r="D64" s="453">
        <f>2895873/10^7</f>
        <v>0.28958729999999999</v>
      </c>
      <c r="E64" s="453">
        <f>20493855/10^7</f>
        <v>2.0493855000000001</v>
      </c>
      <c r="F64" s="454">
        <f>(53556922/10^5)/100</f>
        <v>5.3556922</v>
      </c>
      <c r="G64" s="454">
        <f>(63326114/10^5)/100</f>
        <v>6.3326113999999993</v>
      </c>
      <c r="H64" s="454">
        <f>(43457792/10^5)/100</f>
        <v>4.3457792</v>
      </c>
      <c r="I64" s="454">
        <f>(16189742/10^5)/100</f>
        <v>1.6189742</v>
      </c>
      <c r="J64" s="454">
        <f>47119560/10^7</f>
        <v>4.7119559999999998</v>
      </c>
      <c r="K64" s="241"/>
      <c r="L64" s="241"/>
      <c r="M64" s="241"/>
      <c r="N64" s="241"/>
      <c r="O64" s="241"/>
      <c r="P64" s="241"/>
    </row>
    <row r="65" spans="2:11" x14ac:dyDescent="0.35">
      <c r="B65" s="436"/>
      <c r="C65" s="436"/>
      <c r="D65" s="436"/>
      <c r="E65" s="436"/>
      <c r="F65" s="436"/>
      <c r="G65" s="436"/>
      <c r="H65" s="436"/>
      <c r="I65" s="436"/>
      <c r="J65" s="436"/>
    </row>
    <row r="66" spans="2:11" x14ac:dyDescent="0.35">
      <c r="B66" s="436" t="s">
        <v>926</v>
      </c>
      <c r="C66" s="443" t="s">
        <v>48</v>
      </c>
      <c r="D66" s="453">
        <v>271</v>
      </c>
      <c r="E66" s="453">
        <v>271</v>
      </c>
      <c r="F66" s="453">
        <v>301</v>
      </c>
      <c r="G66" s="453">
        <v>312</v>
      </c>
      <c r="H66" s="453">
        <v>322</v>
      </c>
      <c r="I66" s="453">
        <v>322</v>
      </c>
      <c r="J66" s="453">
        <v>322.14999999999998</v>
      </c>
      <c r="K66" s="642"/>
    </row>
    <row r="67" spans="2:11" x14ac:dyDescent="0.35">
      <c r="B67" s="436" t="s">
        <v>927</v>
      </c>
      <c r="C67" s="443" t="s">
        <v>48</v>
      </c>
      <c r="D67" s="453">
        <v>271</v>
      </c>
      <c r="E67" s="453">
        <v>301</v>
      </c>
      <c r="F67" s="453">
        <v>312</v>
      </c>
      <c r="G67" s="453">
        <v>322</v>
      </c>
      <c r="H67" s="453">
        <v>322</v>
      </c>
      <c r="I67" s="453">
        <v>322</v>
      </c>
      <c r="J67" s="453">
        <v>347.19</v>
      </c>
    </row>
    <row r="68" spans="2:11" x14ac:dyDescent="0.35">
      <c r="B68" s="436"/>
      <c r="C68" s="443"/>
      <c r="D68" s="436"/>
      <c r="E68" s="436"/>
      <c r="F68" s="436"/>
      <c r="G68" s="436"/>
      <c r="H68" s="436"/>
      <c r="I68" s="436"/>
      <c r="J68" s="436"/>
    </row>
    <row r="69" spans="2:11" x14ac:dyDescent="0.35">
      <c r="B69" s="451" t="s">
        <v>825</v>
      </c>
      <c r="C69" s="443"/>
      <c r="D69" s="436"/>
      <c r="E69" s="436"/>
      <c r="F69" s="436"/>
      <c r="G69" s="436"/>
      <c r="H69" s="436"/>
      <c r="I69" s="436"/>
      <c r="J69" s="436"/>
    </row>
    <row r="70" spans="2:11" x14ac:dyDescent="0.35">
      <c r="B70" s="436" t="s">
        <v>676</v>
      </c>
      <c r="C70" s="443"/>
      <c r="D70" s="519">
        <f>D322</f>
        <v>1.2432691999999999</v>
      </c>
      <c r="E70" s="519">
        <f t="shared" ref="E70:J70" si="40">D73</f>
        <v>0.10676029999990533</v>
      </c>
      <c r="F70" s="519">
        <f t="shared" si="40"/>
        <v>0.68101540000020577</v>
      </c>
      <c r="G70" s="519">
        <f t="shared" si="40"/>
        <v>1.7160366000000522</v>
      </c>
      <c r="H70" s="519">
        <f t="shared" si="40"/>
        <v>1.9657337999999527</v>
      </c>
      <c r="I70" s="519">
        <f t="shared" si="40"/>
        <v>1.3489925000001222</v>
      </c>
      <c r="J70" s="519">
        <f t="shared" si="40"/>
        <v>0.50255289999995512</v>
      </c>
    </row>
    <row r="71" spans="2:11" x14ac:dyDescent="0.35">
      <c r="B71" s="436" t="s">
        <v>823</v>
      </c>
      <c r="C71" s="443"/>
      <c r="D71" s="519">
        <f t="shared" ref="D71:I71" si="41">D38</f>
        <v>1091.1339263</v>
      </c>
      <c r="E71" s="519">
        <f t="shared" si="41"/>
        <v>1251.4541689000002</v>
      </c>
      <c r="F71" s="519">
        <f t="shared" si="41"/>
        <v>1477.4535274</v>
      </c>
      <c r="G71" s="519">
        <f t="shared" si="41"/>
        <v>1676.4088144999998</v>
      </c>
      <c r="H71" s="519">
        <f t="shared" si="41"/>
        <v>1583.981931</v>
      </c>
      <c r="I71" s="519">
        <f t="shared" si="41"/>
        <v>1559.4929492999997</v>
      </c>
      <c r="J71" s="519">
        <f t="shared" ref="J71" si="42">J38</f>
        <v>1259.7994167000002</v>
      </c>
    </row>
    <row r="72" spans="2:11" x14ac:dyDescent="0.35">
      <c r="B72" s="436" t="s">
        <v>824</v>
      </c>
      <c r="C72" s="443"/>
      <c r="D72" s="519">
        <f t="shared" ref="D72:I72" si="43">D370</f>
        <v>1092.2704352000001</v>
      </c>
      <c r="E72" s="519">
        <f t="shared" si="43"/>
        <v>1250.8799137999999</v>
      </c>
      <c r="F72" s="519">
        <f t="shared" si="43"/>
        <v>1476.4185062000001</v>
      </c>
      <c r="G72" s="519">
        <f t="shared" si="43"/>
        <v>1676.1591172999999</v>
      </c>
      <c r="H72" s="519">
        <f t="shared" si="43"/>
        <v>1584.5986722999999</v>
      </c>
      <c r="I72" s="519">
        <f t="shared" si="43"/>
        <v>1560.3393888999999</v>
      </c>
      <c r="J72" s="519">
        <f t="shared" ref="J72" si="44">J370</f>
        <v>1258.9448130999999</v>
      </c>
    </row>
    <row r="73" spans="2:11" x14ac:dyDescent="0.35">
      <c r="B73" s="436" t="s">
        <v>315</v>
      </c>
      <c r="C73" s="443"/>
      <c r="D73" s="519">
        <f t="shared" ref="D73:I73" si="45">D70+D71-D72</f>
        <v>0.10676029999990533</v>
      </c>
      <c r="E73" s="519">
        <f t="shared" si="45"/>
        <v>0.68101540000020577</v>
      </c>
      <c r="F73" s="519">
        <f t="shared" si="45"/>
        <v>1.7160366000000522</v>
      </c>
      <c r="G73" s="519">
        <f t="shared" si="45"/>
        <v>1.9657337999999527</v>
      </c>
      <c r="H73" s="519">
        <f t="shared" si="45"/>
        <v>1.3489925000001222</v>
      </c>
      <c r="I73" s="519">
        <f t="shared" si="45"/>
        <v>0.50255289999995512</v>
      </c>
      <c r="J73" s="519">
        <f t="shared" ref="J73" si="46">J70+J71-J72</f>
        <v>1.357156500000201</v>
      </c>
    </row>
    <row r="74" spans="2:11" x14ac:dyDescent="0.35">
      <c r="B74" s="436"/>
      <c r="C74" s="443"/>
      <c r="D74" s="436"/>
      <c r="E74" s="436"/>
      <c r="F74" s="436"/>
      <c r="G74" s="436"/>
      <c r="H74" s="436"/>
      <c r="I74" s="436"/>
    </row>
    <row r="75" spans="2:11" x14ac:dyDescent="0.35">
      <c r="B75" s="436" t="s">
        <v>826</v>
      </c>
      <c r="C75" s="444" t="s">
        <v>483</v>
      </c>
      <c r="D75" s="439">
        <f t="shared" ref="D75:I75" si="47">D27+D63-D64</f>
        <v>3097.9584093519993</v>
      </c>
      <c r="E75" s="439">
        <f t="shared" si="47"/>
        <v>4008.5819003229999</v>
      </c>
      <c r="F75" s="439">
        <f t="shared" si="47"/>
        <v>4870.4912366859999</v>
      </c>
      <c r="G75" s="439">
        <f t="shared" si="47"/>
        <v>5625.2014177199999</v>
      </c>
      <c r="H75" s="439">
        <f t="shared" si="47"/>
        <v>5337.0834802860008</v>
      </c>
      <c r="I75" s="439">
        <f t="shared" si="47"/>
        <v>5275.6222850200002</v>
      </c>
      <c r="J75" s="439">
        <f t="shared" ref="J75" si="48">J27+J63-J64</f>
        <v>4549.1721353149997</v>
      </c>
    </row>
    <row r="76" spans="2:11" x14ac:dyDescent="0.35">
      <c r="B76" s="437" t="s">
        <v>827</v>
      </c>
      <c r="C76" s="437" t="s">
        <v>671</v>
      </c>
      <c r="D76" s="486">
        <f t="shared" ref="D76:I76" si="49">D71</f>
        <v>1091.1339263</v>
      </c>
      <c r="E76" s="486">
        <f t="shared" si="49"/>
        <v>1251.4541689000002</v>
      </c>
      <c r="F76" s="486">
        <f t="shared" si="49"/>
        <v>1477.4535274</v>
      </c>
      <c r="G76" s="486">
        <f t="shared" si="49"/>
        <v>1676.4088144999998</v>
      </c>
      <c r="H76" s="486">
        <f t="shared" si="49"/>
        <v>1583.981931</v>
      </c>
      <c r="I76" s="486">
        <f t="shared" si="49"/>
        <v>1559.4929492999997</v>
      </c>
      <c r="J76" s="486">
        <f t="shared" ref="J76" si="50">J71</f>
        <v>1259.7994167000002</v>
      </c>
    </row>
    <row r="77" spans="2:11" x14ac:dyDescent="0.35">
      <c r="B77" s="437" t="s">
        <v>716</v>
      </c>
      <c r="C77" s="437" t="s">
        <v>48</v>
      </c>
      <c r="D77" s="486">
        <f t="shared" ref="D77:I77" si="51">D75/D76*100</f>
        <v>283.92100499130078</v>
      </c>
      <c r="E77" s="486">
        <f t="shared" si="51"/>
        <v>320.31391959375168</v>
      </c>
      <c r="F77" s="486">
        <f t="shared" si="51"/>
        <v>329.65444573116389</v>
      </c>
      <c r="G77" s="486">
        <f t="shared" si="51"/>
        <v>335.55069438105727</v>
      </c>
      <c r="H77" s="486">
        <f t="shared" si="51"/>
        <v>336.94093195347193</v>
      </c>
      <c r="I77" s="486">
        <f t="shared" si="51"/>
        <v>338.29087123401467</v>
      </c>
      <c r="J77" s="486">
        <f t="shared" ref="J77" si="52">J75/J76*100</f>
        <v>361.1028926518631</v>
      </c>
    </row>
    <row r="78" spans="2:11" x14ac:dyDescent="0.35">
      <c r="B78" s="436"/>
      <c r="C78" s="436"/>
      <c r="D78" s="436"/>
      <c r="E78" s="436"/>
      <c r="F78" s="436"/>
      <c r="G78" s="436"/>
      <c r="H78" s="436"/>
      <c r="I78" s="436"/>
    </row>
    <row r="79" spans="2:11" x14ac:dyDescent="0.35">
      <c r="B79" s="431" t="s">
        <v>746</v>
      </c>
      <c r="C79" s="456"/>
      <c r="D79" s="463">
        <f t="shared" ref="D79:J79" si="53">D4</f>
        <v>42460</v>
      </c>
      <c r="E79" s="463">
        <f t="shared" si="53"/>
        <v>42825</v>
      </c>
      <c r="F79" s="463">
        <f t="shared" si="53"/>
        <v>43190</v>
      </c>
      <c r="G79" s="463">
        <f t="shared" si="53"/>
        <v>43555</v>
      </c>
      <c r="H79" s="463">
        <f t="shared" si="53"/>
        <v>43921</v>
      </c>
      <c r="I79" s="463">
        <f t="shared" si="53"/>
        <v>44286</v>
      </c>
      <c r="J79" s="463">
        <f t="shared" si="53"/>
        <v>44651</v>
      </c>
    </row>
    <row r="80" spans="2:11" x14ac:dyDescent="0.35">
      <c r="B80" s="440" t="s">
        <v>680</v>
      </c>
      <c r="C80" s="449"/>
      <c r="D80" s="449"/>
      <c r="E80" s="449"/>
      <c r="F80" s="449"/>
      <c r="G80" s="449"/>
      <c r="H80" s="449"/>
      <c r="I80" s="449"/>
      <c r="J80" s="449"/>
    </row>
    <row r="81" spans="2:10" x14ac:dyDescent="0.35">
      <c r="B81" s="457" t="s">
        <v>672</v>
      </c>
      <c r="C81" s="455"/>
      <c r="D81" s="455"/>
      <c r="E81" s="455"/>
      <c r="F81" s="455"/>
      <c r="G81" s="455"/>
      <c r="H81" s="455"/>
      <c r="I81" s="455"/>
      <c r="J81" s="455"/>
    </row>
    <row r="82" spans="2:10" x14ac:dyDescent="0.35">
      <c r="B82" s="199" t="s">
        <v>664</v>
      </c>
      <c r="C82" s="455"/>
      <c r="D82" s="455"/>
      <c r="E82" s="455"/>
      <c r="F82" s="455"/>
      <c r="G82" s="455"/>
      <c r="H82" s="455"/>
      <c r="I82" s="455"/>
      <c r="J82" s="455"/>
    </row>
    <row r="83" spans="2:10" x14ac:dyDescent="0.35">
      <c r="B83" s="199" t="s">
        <v>630</v>
      </c>
      <c r="C83" s="455"/>
      <c r="D83" s="455"/>
      <c r="E83" s="455"/>
      <c r="F83" s="455"/>
      <c r="G83" s="455"/>
      <c r="H83" s="455"/>
      <c r="I83" s="455"/>
      <c r="J83" s="455"/>
    </row>
    <row r="84" spans="2:10" x14ac:dyDescent="0.35">
      <c r="B84" s="198" t="s">
        <v>631</v>
      </c>
      <c r="C84" s="464" t="s">
        <v>671</v>
      </c>
      <c r="D84" s="469">
        <v>5.3074501999999999</v>
      </c>
      <c r="E84" s="469">
        <v>13.947964900000001</v>
      </c>
      <c r="F84" s="469">
        <v>29.701136299999998</v>
      </c>
      <c r="G84" s="469">
        <v>46.778764699999996</v>
      </c>
      <c r="H84" s="469">
        <v>50.358685699999995</v>
      </c>
      <c r="I84" s="469">
        <v>54.5075322</v>
      </c>
      <c r="J84" s="469">
        <v>51.405828200000009</v>
      </c>
    </row>
    <row r="85" spans="2:10" x14ac:dyDescent="0.35">
      <c r="B85" s="198" t="s">
        <v>632</v>
      </c>
      <c r="C85" s="464" t="s">
        <v>671</v>
      </c>
      <c r="D85" s="469">
        <v>5.7875493999999996</v>
      </c>
      <c r="E85" s="469">
        <v>19.560403300000001</v>
      </c>
      <c r="F85" s="469">
        <v>37.466353099999999</v>
      </c>
      <c r="G85" s="469">
        <v>63.589761600000003</v>
      </c>
      <c r="H85" s="469">
        <v>66.301917900000007</v>
      </c>
      <c r="I85" s="469">
        <v>76.6523203</v>
      </c>
      <c r="J85" s="469">
        <v>61.927687299999995</v>
      </c>
    </row>
    <row r="86" spans="2:10" x14ac:dyDescent="0.35">
      <c r="B86" s="198" t="s">
        <v>633</v>
      </c>
      <c r="C86" s="464" t="s">
        <v>671</v>
      </c>
      <c r="D86" s="469">
        <v>40.619835399999999</v>
      </c>
      <c r="E86" s="469">
        <v>33.177295600000008</v>
      </c>
      <c r="F86" s="469">
        <v>59.476959500000014</v>
      </c>
      <c r="G86" s="469">
        <v>71.603268700000001</v>
      </c>
      <c r="H86" s="469">
        <v>75.011964800000001</v>
      </c>
      <c r="I86" s="469">
        <v>77.14336879999999</v>
      </c>
      <c r="J86" s="469">
        <v>66.231497800000014</v>
      </c>
    </row>
    <row r="87" spans="2:10" x14ac:dyDescent="0.35">
      <c r="B87" s="198" t="s">
        <v>634</v>
      </c>
      <c r="C87" s="464" t="s">
        <v>671</v>
      </c>
      <c r="D87" s="469">
        <v>11.914013700000002</v>
      </c>
      <c r="E87" s="469">
        <v>25.626207200000003</v>
      </c>
      <c r="F87" s="469">
        <v>43.100705499999997</v>
      </c>
      <c r="G87" s="469">
        <v>57.882980000000011</v>
      </c>
      <c r="H87" s="469">
        <v>58.514290000000003</v>
      </c>
      <c r="I87" s="469">
        <v>70.857272000000009</v>
      </c>
      <c r="J87" s="469">
        <v>60.527060999999996</v>
      </c>
    </row>
    <row r="88" spans="2:10" x14ac:dyDescent="0.35">
      <c r="B88" s="198" t="s">
        <v>635</v>
      </c>
      <c r="C88" s="464" t="s">
        <v>671</v>
      </c>
      <c r="D88" s="469">
        <v>4.626754</v>
      </c>
      <c r="E88" s="469">
        <v>7.9200730000000004</v>
      </c>
      <c r="F88" s="469">
        <v>13.0151129</v>
      </c>
      <c r="G88" s="469">
        <v>23.755071900000001</v>
      </c>
      <c r="H88" s="469">
        <v>32.107356299999999</v>
      </c>
      <c r="I88" s="469">
        <v>42.251932800000013</v>
      </c>
      <c r="J88" s="469">
        <v>37.691772199999996</v>
      </c>
    </row>
    <row r="89" spans="2:10" x14ac:dyDescent="0.35">
      <c r="B89" s="199" t="s">
        <v>636</v>
      </c>
      <c r="C89" s="464" t="s">
        <v>671</v>
      </c>
      <c r="D89" s="471">
        <f t="shared" ref="D89:I89" si="54">SUM(D84:D88)</f>
        <v>68.255602700000011</v>
      </c>
      <c r="E89" s="471">
        <f t="shared" si="54"/>
        <v>100.23194400000003</v>
      </c>
      <c r="F89" s="471">
        <f t="shared" si="54"/>
        <v>182.76026730000001</v>
      </c>
      <c r="G89" s="471">
        <f t="shared" si="54"/>
        <v>263.60984689999998</v>
      </c>
      <c r="H89" s="471">
        <f t="shared" si="54"/>
        <v>282.2942147</v>
      </c>
      <c r="I89" s="471">
        <f t="shared" si="54"/>
        <v>321.4124261</v>
      </c>
      <c r="J89" s="471">
        <f t="shared" ref="J89" si="55">SUM(J84:J88)</f>
        <v>277.78384650000004</v>
      </c>
    </row>
    <row r="90" spans="2:10" x14ac:dyDescent="0.35">
      <c r="B90" s="199" t="s">
        <v>637</v>
      </c>
      <c r="C90" s="464"/>
      <c r="D90" s="470"/>
      <c r="E90" s="470"/>
      <c r="F90" s="470"/>
      <c r="G90" s="470"/>
      <c r="H90" s="470"/>
      <c r="I90" s="470"/>
      <c r="J90" s="470"/>
    </row>
    <row r="91" spans="2:10" x14ac:dyDescent="0.35">
      <c r="B91" s="198" t="s">
        <v>638</v>
      </c>
      <c r="C91" s="464" t="s">
        <v>671</v>
      </c>
      <c r="D91" s="469">
        <v>39.127034000000002</v>
      </c>
      <c r="E91" s="469">
        <v>94.814395199999993</v>
      </c>
      <c r="F91" s="469">
        <v>121.03764080000001</v>
      </c>
      <c r="G91" s="469">
        <v>165.1995699</v>
      </c>
      <c r="H91" s="469">
        <v>129.4917916</v>
      </c>
      <c r="I91" s="469">
        <v>134.7383911</v>
      </c>
      <c r="J91" s="469">
        <v>95.234434599999986</v>
      </c>
    </row>
    <row r="92" spans="2:10" x14ac:dyDescent="0.35">
      <c r="B92" s="198" t="s">
        <v>639</v>
      </c>
      <c r="C92" s="464" t="s">
        <v>671</v>
      </c>
      <c r="D92" s="469">
        <v>9.8845311999999996</v>
      </c>
      <c r="E92" s="469">
        <v>26.954876200000001</v>
      </c>
      <c r="F92" s="469">
        <v>43.902227199999999</v>
      </c>
      <c r="G92" s="469">
        <v>56.959674900000003</v>
      </c>
      <c r="H92" s="469">
        <v>65.629812799999996</v>
      </c>
      <c r="I92" s="469">
        <v>69.816152500000001</v>
      </c>
      <c r="J92" s="469">
        <v>52.184975399999999</v>
      </c>
    </row>
    <row r="93" spans="2:10" x14ac:dyDescent="0.35">
      <c r="B93" s="198" t="s">
        <v>640</v>
      </c>
      <c r="C93" s="464" t="s">
        <v>671</v>
      </c>
      <c r="D93" s="469">
        <v>30.200440799999999</v>
      </c>
      <c r="E93" s="469">
        <v>66.933147399999996</v>
      </c>
      <c r="F93" s="469">
        <v>81.326129699999996</v>
      </c>
      <c r="G93" s="469">
        <v>97.8844639</v>
      </c>
      <c r="H93" s="469">
        <v>95.691089399999996</v>
      </c>
      <c r="I93" s="469">
        <v>89.784988599999991</v>
      </c>
      <c r="J93" s="469">
        <v>62.920694799999993</v>
      </c>
    </row>
    <row r="94" spans="2:10" x14ac:dyDescent="0.35">
      <c r="B94" s="198" t="s">
        <v>641</v>
      </c>
      <c r="C94" s="464" t="s">
        <v>671</v>
      </c>
      <c r="D94" s="469">
        <v>12.7464633</v>
      </c>
      <c r="E94" s="469">
        <v>34.994200599999999</v>
      </c>
      <c r="F94" s="469">
        <v>52.474992400000005</v>
      </c>
      <c r="G94" s="469">
        <v>63.6512533</v>
      </c>
      <c r="H94" s="469">
        <v>59.894501200000001</v>
      </c>
      <c r="I94" s="469">
        <v>66.930881999999997</v>
      </c>
      <c r="J94" s="469">
        <v>56.958332200000008</v>
      </c>
    </row>
    <row r="95" spans="2:10" x14ac:dyDescent="0.35">
      <c r="B95" s="198" t="s">
        <v>642</v>
      </c>
      <c r="C95" s="464" t="s">
        <v>671</v>
      </c>
      <c r="D95" s="469">
        <v>19.062248799999999</v>
      </c>
      <c r="E95" s="469">
        <v>43.124859499999999</v>
      </c>
      <c r="F95" s="469">
        <v>48.972653499999993</v>
      </c>
      <c r="G95" s="469">
        <v>76.958637899999985</v>
      </c>
      <c r="H95" s="469">
        <v>58.775917900000003</v>
      </c>
      <c r="I95" s="469">
        <v>50.447078100000006</v>
      </c>
      <c r="J95" s="469">
        <v>38.226897500000007</v>
      </c>
    </row>
    <row r="96" spans="2:10" x14ac:dyDescent="0.35">
      <c r="B96" s="199" t="s">
        <v>643</v>
      </c>
      <c r="C96" s="464" t="s">
        <v>671</v>
      </c>
      <c r="D96" s="471">
        <f t="shared" ref="D96:I96" si="56">SUM(D91:D95)</f>
        <v>111.02071810000001</v>
      </c>
      <c r="E96" s="471">
        <f t="shared" si="56"/>
        <v>266.82147889999999</v>
      </c>
      <c r="F96" s="471">
        <f t="shared" si="56"/>
        <v>347.71364359999995</v>
      </c>
      <c r="G96" s="471">
        <f t="shared" si="56"/>
        <v>460.65359990000002</v>
      </c>
      <c r="H96" s="471">
        <f t="shared" si="56"/>
        <v>409.48311289999998</v>
      </c>
      <c r="I96" s="471">
        <f t="shared" si="56"/>
        <v>411.7174923</v>
      </c>
      <c r="J96" s="471">
        <f t="shared" ref="J96" si="57">SUM(J91:J95)</f>
        <v>305.52533449999999</v>
      </c>
    </row>
    <row r="97" spans="2:10" x14ac:dyDescent="0.35">
      <c r="B97" s="199" t="s">
        <v>644</v>
      </c>
      <c r="C97" s="464"/>
      <c r="D97" s="470"/>
      <c r="E97" s="470"/>
      <c r="F97" s="470"/>
      <c r="G97" s="470"/>
      <c r="H97" s="470"/>
      <c r="I97" s="470"/>
      <c r="J97" s="470"/>
    </row>
    <row r="98" spans="2:10" x14ac:dyDescent="0.35">
      <c r="B98" s="198" t="s">
        <v>645</v>
      </c>
      <c r="C98" s="464" t="s">
        <v>671</v>
      </c>
      <c r="D98" s="469">
        <v>0.26590330000000001</v>
      </c>
      <c r="E98" s="469">
        <v>0.21843759999999998</v>
      </c>
      <c r="F98" s="469">
        <v>0.28251899999999996</v>
      </c>
      <c r="G98" s="469">
        <v>2.3059381999999999</v>
      </c>
      <c r="H98" s="469">
        <v>6.9465370999999987</v>
      </c>
      <c r="I98" s="469">
        <v>4.8869386000000006</v>
      </c>
      <c r="J98" s="469">
        <v>6.1390922999999997</v>
      </c>
    </row>
    <row r="99" spans="2:10" x14ac:dyDescent="0.35">
      <c r="B99" s="198" t="s">
        <v>646</v>
      </c>
      <c r="C99" s="464" t="s">
        <v>671</v>
      </c>
      <c r="D99" s="469">
        <v>0.5375934</v>
      </c>
      <c r="E99" s="469">
        <v>4.0777137999999997</v>
      </c>
      <c r="F99" s="469">
        <v>10.686811200000001</v>
      </c>
      <c r="G99" s="469">
        <v>15.426170000000001</v>
      </c>
      <c r="H99" s="469">
        <v>14.775499999999999</v>
      </c>
      <c r="I99" s="469">
        <v>6.7549557999999994</v>
      </c>
      <c r="J99" s="469">
        <v>8.8590418000000017</v>
      </c>
    </row>
    <row r="100" spans="2:10" x14ac:dyDescent="0.35">
      <c r="B100" s="198" t="s">
        <v>647</v>
      </c>
      <c r="C100" s="464" t="s">
        <v>671</v>
      </c>
      <c r="D100" s="469">
        <v>0.29290860000000024</v>
      </c>
      <c r="E100" s="469">
        <v>1.5599153000000003</v>
      </c>
      <c r="F100" s="469">
        <v>3.6844529000000006</v>
      </c>
      <c r="G100" s="469">
        <v>11.005998699999999</v>
      </c>
      <c r="H100" s="469">
        <v>18.801011500000001</v>
      </c>
      <c r="I100" s="469">
        <v>12.361666700000002</v>
      </c>
      <c r="J100" s="469">
        <v>8.8731549000000012</v>
      </c>
    </row>
    <row r="101" spans="2:10" x14ac:dyDescent="0.35">
      <c r="B101" s="198" t="s">
        <v>648</v>
      </c>
      <c r="C101" s="464" t="s">
        <v>671</v>
      </c>
      <c r="D101" s="469">
        <v>3.8893257999999995</v>
      </c>
      <c r="E101" s="469">
        <v>15.4815343</v>
      </c>
      <c r="F101" s="469">
        <v>20.1831113</v>
      </c>
      <c r="G101" s="469">
        <v>45.746690399999999</v>
      </c>
      <c r="H101" s="469">
        <v>69.994784899999999</v>
      </c>
      <c r="I101" s="469">
        <v>57.900855800000002</v>
      </c>
      <c r="J101" s="469">
        <v>47.187412399999999</v>
      </c>
    </row>
    <row r="102" spans="2:10" x14ac:dyDescent="0.35">
      <c r="B102" s="199" t="s">
        <v>649</v>
      </c>
      <c r="C102" s="464" t="s">
        <v>671</v>
      </c>
      <c r="D102" s="471">
        <f t="shared" ref="D102:I102" si="58">SUM(D97:D101)</f>
        <v>4.9857310999999997</v>
      </c>
      <c r="E102" s="471">
        <f t="shared" si="58"/>
        <v>21.337600999999999</v>
      </c>
      <c r="F102" s="471">
        <f t="shared" si="58"/>
        <v>34.836894400000006</v>
      </c>
      <c r="G102" s="471">
        <f t="shared" si="58"/>
        <v>74.484797299999997</v>
      </c>
      <c r="H102" s="471">
        <f t="shared" si="58"/>
        <v>110.51783349999999</v>
      </c>
      <c r="I102" s="471">
        <f t="shared" si="58"/>
        <v>81.904416900000001</v>
      </c>
      <c r="J102" s="471">
        <f t="shared" ref="J102" si="59">SUM(J97:J101)</f>
        <v>71.058701400000004</v>
      </c>
    </row>
    <row r="103" spans="2:10" x14ac:dyDescent="0.35">
      <c r="B103" s="248" t="s">
        <v>749</v>
      </c>
      <c r="C103" s="441" t="s">
        <v>671</v>
      </c>
      <c r="D103" s="472">
        <f t="shared" ref="D103:I103" si="60">D102+D96+D89</f>
        <v>184.26205190000002</v>
      </c>
      <c r="E103" s="472">
        <f t="shared" si="60"/>
        <v>388.39102390000005</v>
      </c>
      <c r="F103" s="472">
        <f t="shared" si="60"/>
        <v>565.31080529999997</v>
      </c>
      <c r="G103" s="472">
        <f t="shared" si="60"/>
        <v>798.74824409999997</v>
      </c>
      <c r="H103" s="472">
        <f t="shared" si="60"/>
        <v>802.29516109999997</v>
      </c>
      <c r="I103" s="472">
        <f t="shared" si="60"/>
        <v>815.03433530000007</v>
      </c>
      <c r="J103" s="472">
        <f t="shared" ref="J103" si="61">J102+J96+J89</f>
        <v>654.3678824000001</v>
      </c>
    </row>
    <row r="104" spans="2:10" x14ac:dyDescent="0.35">
      <c r="B104" s="455"/>
      <c r="C104" s="455"/>
      <c r="D104" s="455"/>
      <c r="E104" s="455"/>
      <c r="F104" s="455"/>
      <c r="G104" s="455"/>
      <c r="H104" s="455"/>
      <c r="I104" s="455"/>
    </row>
    <row r="105" spans="2:10" x14ac:dyDescent="0.35">
      <c r="B105" s="440" t="s">
        <v>750</v>
      </c>
      <c r="C105" s="449"/>
      <c r="D105" s="449"/>
      <c r="E105" s="449"/>
      <c r="F105" s="449"/>
      <c r="G105" s="449"/>
      <c r="H105" s="449"/>
      <c r="I105" s="449"/>
      <c r="J105" s="449"/>
    </row>
    <row r="106" spans="2:10" x14ac:dyDescent="0.35">
      <c r="B106" s="199" t="s">
        <v>664</v>
      </c>
      <c r="C106" s="455"/>
      <c r="D106" s="455"/>
      <c r="E106" s="455"/>
      <c r="F106" s="455"/>
      <c r="G106" s="455"/>
      <c r="H106" s="455"/>
      <c r="I106" s="455"/>
      <c r="J106" s="455"/>
    </row>
    <row r="107" spans="2:10" x14ac:dyDescent="0.35">
      <c r="B107" s="199" t="s">
        <v>630</v>
      </c>
      <c r="C107" s="455"/>
      <c r="D107" s="455"/>
      <c r="E107" s="455"/>
      <c r="F107" s="455"/>
      <c r="G107" s="455"/>
      <c r="H107" s="455"/>
      <c r="I107" s="455"/>
      <c r="J107" s="455"/>
    </row>
    <row r="108" spans="2:10" x14ac:dyDescent="0.35">
      <c r="B108" s="198" t="s">
        <v>631</v>
      </c>
      <c r="C108" s="464" t="s">
        <v>671</v>
      </c>
      <c r="D108" s="454">
        <v>41.338036600000002</v>
      </c>
      <c r="E108" s="454">
        <v>21.122221400000001</v>
      </c>
      <c r="F108" s="454">
        <v>16.541113299999999</v>
      </c>
      <c r="G108" s="454">
        <v>5.0185241999999999</v>
      </c>
      <c r="H108" s="454">
        <v>3.0571400000000002E-2</v>
      </c>
      <c r="I108" s="454">
        <v>6.1000999999999998E-3</v>
      </c>
      <c r="J108" s="454">
        <v>0</v>
      </c>
    </row>
    <row r="109" spans="2:10" x14ac:dyDescent="0.35">
      <c r="B109" s="198" t="s">
        <v>632</v>
      </c>
      <c r="C109" s="464" t="s">
        <v>671</v>
      </c>
      <c r="D109" s="454">
        <v>18.436375100000003</v>
      </c>
      <c r="E109" s="454">
        <v>21.720302999999998</v>
      </c>
      <c r="F109" s="454">
        <v>21.300893300000002</v>
      </c>
      <c r="G109" s="454">
        <v>12.374227299999998</v>
      </c>
      <c r="H109" s="454">
        <v>1.7281544999999998</v>
      </c>
      <c r="I109" s="454">
        <v>9.9674600000000016E-2</v>
      </c>
      <c r="J109" s="454">
        <v>0</v>
      </c>
    </row>
    <row r="110" spans="2:10" x14ac:dyDescent="0.35">
      <c r="B110" s="198" t="s">
        <v>633</v>
      </c>
      <c r="C110" s="464" t="s">
        <v>671</v>
      </c>
      <c r="D110" s="454">
        <v>12.368813900000001</v>
      </c>
      <c r="E110" s="454">
        <v>29.524406899999999</v>
      </c>
      <c r="F110" s="454">
        <v>16.316023999999999</v>
      </c>
      <c r="G110" s="454">
        <v>2.5442743999999999</v>
      </c>
      <c r="H110" s="454">
        <v>0.18126599999999998</v>
      </c>
      <c r="I110" s="454">
        <v>6.3074499999999992E-2</v>
      </c>
      <c r="J110" s="454">
        <v>2.2455800000000005E-2</v>
      </c>
    </row>
    <row r="111" spans="2:10" x14ac:dyDescent="0.35">
      <c r="B111" s="198" t="s">
        <v>634</v>
      </c>
      <c r="C111" s="464" t="s">
        <v>671</v>
      </c>
      <c r="D111" s="454">
        <v>38.590153900000004</v>
      </c>
      <c r="E111" s="454">
        <v>28.408801</v>
      </c>
      <c r="F111" s="454">
        <v>14.994878700000001</v>
      </c>
      <c r="G111" s="454">
        <v>2.5102279000000003</v>
      </c>
      <c r="H111" s="454">
        <v>9.6909599999999985E-2</v>
      </c>
      <c r="I111" s="454">
        <v>3.7978000000000005E-3</v>
      </c>
      <c r="J111" s="454">
        <v>0</v>
      </c>
    </row>
    <row r="112" spans="2:10" x14ac:dyDescent="0.35">
      <c r="B112" s="198" t="s">
        <v>635</v>
      </c>
      <c r="C112" s="464" t="s">
        <v>671</v>
      </c>
      <c r="D112" s="454">
        <v>5.3420116000000002</v>
      </c>
      <c r="E112" s="454">
        <v>11.9836142</v>
      </c>
      <c r="F112" s="454">
        <v>18.3342733</v>
      </c>
      <c r="G112" s="454">
        <v>11.542463100000001</v>
      </c>
      <c r="H112" s="454">
        <v>3.3857075999999999</v>
      </c>
      <c r="I112" s="454">
        <v>0.33412129999999995</v>
      </c>
      <c r="J112" s="454">
        <v>3.4534800000000004E-2</v>
      </c>
    </row>
    <row r="113" spans="2:10" x14ac:dyDescent="0.35">
      <c r="B113" s="199" t="s">
        <v>636</v>
      </c>
      <c r="C113" s="464" t="s">
        <v>671</v>
      </c>
      <c r="D113" s="466">
        <f t="shared" ref="D113:I113" si="62">SUM(D108:D112)</f>
        <v>116.07539110000002</v>
      </c>
      <c r="E113" s="466">
        <f t="shared" si="62"/>
        <v>112.75934650000001</v>
      </c>
      <c r="F113" s="466">
        <f t="shared" si="62"/>
        <v>87.487182600000011</v>
      </c>
      <c r="G113" s="466">
        <f t="shared" si="62"/>
        <v>33.989716899999998</v>
      </c>
      <c r="H113" s="466">
        <f t="shared" si="62"/>
        <v>5.422609099999999</v>
      </c>
      <c r="I113" s="466">
        <f t="shared" si="62"/>
        <v>0.50676829999999995</v>
      </c>
      <c r="J113" s="466">
        <f t="shared" ref="J113" si="63">SUM(J108:J112)</f>
        <v>5.6990600000000009E-2</v>
      </c>
    </row>
    <row r="114" spans="2:10" x14ac:dyDescent="0.35">
      <c r="B114" s="199" t="s">
        <v>637</v>
      </c>
      <c r="C114" s="464"/>
      <c r="D114" s="455"/>
      <c r="E114" s="455"/>
      <c r="F114" s="455"/>
      <c r="G114" s="455"/>
      <c r="H114" s="455"/>
      <c r="I114" s="455"/>
      <c r="J114" s="455"/>
    </row>
    <row r="115" spans="2:10" x14ac:dyDescent="0.35">
      <c r="B115" s="198" t="s">
        <v>638</v>
      </c>
      <c r="C115" s="464" t="s">
        <v>671</v>
      </c>
      <c r="D115" s="454">
        <v>21.954270600000001</v>
      </c>
      <c r="E115" s="454">
        <v>9.9283919999999988</v>
      </c>
      <c r="F115" s="454">
        <v>3.1617793000000001</v>
      </c>
      <c r="G115" s="454">
        <v>0.71192690000000003</v>
      </c>
      <c r="H115" s="454">
        <v>7.1800000000000003E-2</v>
      </c>
      <c r="I115" s="454">
        <v>2.8677100000000001E-2</v>
      </c>
      <c r="J115" s="454">
        <v>6.9473E-3</v>
      </c>
    </row>
    <row r="116" spans="2:10" x14ac:dyDescent="0.35">
      <c r="B116" s="198" t="s">
        <v>639</v>
      </c>
      <c r="C116" s="464" t="s">
        <v>671</v>
      </c>
      <c r="D116" s="454">
        <v>27.614974700000001</v>
      </c>
      <c r="E116" s="454">
        <v>30.269841400000001</v>
      </c>
      <c r="F116" s="454">
        <v>21.433835600000002</v>
      </c>
      <c r="G116" s="454">
        <v>15.2645996</v>
      </c>
      <c r="H116" s="454">
        <v>7.161244299999999</v>
      </c>
      <c r="I116" s="454">
        <v>2.4671731000000001</v>
      </c>
      <c r="J116" s="454">
        <v>0.6009755</v>
      </c>
    </row>
    <row r="117" spans="2:10" x14ac:dyDescent="0.35">
      <c r="B117" s="198" t="s">
        <v>640</v>
      </c>
      <c r="C117" s="464" t="s">
        <v>671</v>
      </c>
      <c r="D117" s="454">
        <v>14.953983999999998</v>
      </c>
      <c r="E117" s="454">
        <v>10.8957666</v>
      </c>
      <c r="F117" s="454">
        <v>2.3733103000000004</v>
      </c>
      <c r="G117" s="454">
        <v>2.1761666000000002</v>
      </c>
      <c r="H117" s="454">
        <v>0.34823930000000003</v>
      </c>
      <c r="I117" s="454">
        <v>6.06632E-2</v>
      </c>
      <c r="J117" s="454">
        <v>0.15423659999999997</v>
      </c>
    </row>
    <row r="118" spans="2:10" x14ac:dyDescent="0.35">
      <c r="B118" s="198" t="s">
        <v>641</v>
      </c>
      <c r="C118" s="464" t="s">
        <v>671</v>
      </c>
      <c r="D118" s="454">
        <v>11.367919799999999</v>
      </c>
      <c r="E118" s="454">
        <v>10.0966544</v>
      </c>
      <c r="F118" s="454">
        <v>3.6682671999999998</v>
      </c>
      <c r="G118" s="454">
        <v>1.2135171</v>
      </c>
      <c r="H118" s="454">
        <v>3.3316800000000001E-2</v>
      </c>
      <c r="I118" s="454">
        <v>0</v>
      </c>
      <c r="J118" s="454">
        <v>0</v>
      </c>
    </row>
    <row r="119" spans="2:10" x14ac:dyDescent="0.35">
      <c r="B119" s="198" t="s">
        <v>642</v>
      </c>
      <c r="C119" s="464" t="s">
        <v>671</v>
      </c>
      <c r="D119" s="454">
        <v>6.3944823</v>
      </c>
      <c r="E119" s="454">
        <v>2.5236326</v>
      </c>
      <c r="F119" s="454">
        <v>0.69184539999999994</v>
      </c>
      <c r="G119" s="454">
        <v>9.5745700000000003E-2</v>
      </c>
      <c r="H119" s="454">
        <v>0</v>
      </c>
      <c r="I119" s="454">
        <v>0</v>
      </c>
      <c r="J119" s="454">
        <v>0</v>
      </c>
    </row>
    <row r="120" spans="2:10" x14ac:dyDescent="0.35">
      <c r="B120" s="199" t="s">
        <v>643</v>
      </c>
      <c r="C120" s="464" t="s">
        <v>671</v>
      </c>
      <c r="D120" s="466">
        <f t="shared" ref="D120:I120" si="64">SUM(D115:D119)</f>
        <v>82.2856314</v>
      </c>
      <c r="E120" s="466">
        <f t="shared" si="64"/>
        <v>63.714286999999999</v>
      </c>
      <c r="F120" s="466">
        <f t="shared" si="64"/>
        <v>31.329037799999998</v>
      </c>
      <c r="G120" s="466">
        <f t="shared" si="64"/>
        <v>19.4619559</v>
      </c>
      <c r="H120" s="466">
        <f t="shared" si="64"/>
        <v>7.6146003999999987</v>
      </c>
      <c r="I120" s="466">
        <f t="shared" si="64"/>
        <v>2.5565134</v>
      </c>
      <c r="J120" s="466">
        <f t="shared" ref="J120" si="65">SUM(J115:J119)</f>
        <v>0.76215939999999993</v>
      </c>
    </row>
    <row r="121" spans="2:10" x14ac:dyDescent="0.35">
      <c r="B121" s="199" t="s">
        <v>644</v>
      </c>
      <c r="C121" s="464"/>
      <c r="D121" s="455"/>
      <c r="E121" s="455"/>
      <c r="F121" s="455"/>
      <c r="G121" s="455"/>
      <c r="H121" s="455"/>
      <c r="I121" s="455"/>
      <c r="J121" s="455"/>
    </row>
    <row r="122" spans="2:10" x14ac:dyDescent="0.35">
      <c r="B122" s="198" t="s">
        <v>645</v>
      </c>
      <c r="C122" s="464" t="s">
        <v>671</v>
      </c>
      <c r="D122" s="454">
        <v>3.8672806</v>
      </c>
      <c r="E122" s="454">
        <v>3.711014</v>
      </c>
      <c r="F122" s="454">
        <v>4.4376126999999999</v>
      </c>
      <c r="G122" s="454">
        <v>2.3092543000000001</v>
      </c>
      <c r="H122" s="454">
        <v>2.2861295999999998</v>
      </c>
      <c r="I122" s="454">
        <v>0.98411020000000005</v>
      </c>
      <c r="J122" s="454">
        <v>1.2333753999999999</v>
      </c>
    </row>
    <row r="123" spans="2:10" x14ac:dyDescent="0.35">
      <c r="B123" s="198" t="s">
        <v>646</v>
      </c>
      <c r="C123" s="464" t="s">
        <v>671</v>
      </c>
      <c r="D123" s="454">
        <v>0.90314660000000002</v>
      </c>
      <c r="E123" s="454">
        <v>2.8642714000000002</v>
      </c>
      <c r="F123" s="454">
        <v>3.3875823999999999</v>
      </c>
      <c r="G123" s="454">
        <v>4.1986414999999999</v>
      </c>
      <c r="H123" s="454">
        <v>2.9237250000000001</v>
      </c>
      <c r="I123" s="454">
        <v>0.89520980000000006</v>
      </c>
      <c r="J123" s="454">
        <v>0.72939149999999997</v>
      </c>
    </row>
    <row r="124" spans="2:10" x14ac:dyDescent="0.35">
      <c r="B124" s="198" t="s">
        <v>647</v>
      </c>
      <c r="C124" s="464" t="s">
        <v>671</v>
      </c>
      <c r="D124" s="454">
        <v>4.7774681999999986</v>
      </c>
      <c r="E124" s="454">
        <v>12.932086599999996</v>
      </c>
      <c r="F124" s="454">
        <v>2.3538315999999999</v>
      </c>
      <c r="G124" s="454">
        <v>2.6518933000000002</v>
      </c>
      <c r="H124" s="454">
        <v>3.9654335000000005</v>
      </c>
      <c r="I124" s="454">
        <v>2.3659566000000005</v>
      </c>
      <c r="J124" s="454">
        <v>1.5848017999999999</v>
      </c>
    </row>
    <row r="125" spans="2:10" x14ac:dyDescent="0.35">
      <c r="B125" s="198" t="s">
        <v>648</v>
      </c>
      <c r="C125" s="464" t="s">
        <v>671</v>
      </c>
      <c r="D125" s="454">
        <v>5.9302130000000002</v>
      </c>
      <c r="E125" s="454">
        <v>13.925899899999999</v>
      </c>
      <c r="F125" s="454">
        <v>8.0737848000000003</v>
      </c>
      <c r="G125" s="454">
        <v>4.5697635999999999</v>
      </c>
      <c r="H125" s="454">
        <v>4.2983726999999998</v>
      </c>
      <c r="I125" s="454">
        <v>2.4906845999999998</v>
      </c>
      <c r="J125" s="454">
        <v>2.5062311999999998</v>
      </c>
    </row>
    <row r="126" spans="2:10" x14ac:dyDescent="0.35">
      <c r="B126" s="199" t="s">
        <v>649</v>
      </c>
      <c r="C126" s="464" t="s">
        <v>671</v>
      </c>
      <c r="D126" s="466">
        <f t="shared" ref="D126:I126" si="66">SUM(D121:D125)</f>
        <v>15.478108399999998</v>
      </c>
      <c r="E126" s="466">
        <f t="shared" si="66"/>
        <v>33.433271899999994</v>
      </c>
      <c r="F126" s="466">
        <f t="shared" si="66"/>
        <v>18.2528115</v>
      </c>
      <c r="G126" s="466">
        <f t="shared" si="66"/>
        <v>13.729552700000001</v>
      </c>
      <c r="H126" s="466">
        <f t="shared" si="66"/>
        <v>13.473660799999999</v>
      </c>
      <c r="I126" s="466">
        <f t="shared" si="66"/>
        <v>6.7359612000000002</v>
      </c>
      <c r="J126" s="466">
        <f t="shared" ref="J126" si="67">SUM(J121:J125)</f>
        <v>6.0537998999999996</v>
      </c>
    </row>
    <row r="127" spans="2:10" x14ac:dyDescent="0.35">
      <c r="B127" s="248" t="s">
        <v>751</v>
      </c>
      <c r="C127" s="467" t="s">
        <v>671</v>
      </c>
      <c r="D127" s="468">
        <f t="shared" ref="D127:I127" si="68">D126+D120+D113</f>
        <v>213.83913090000001</v>
      </c>
      <c r="E127" s="468">
        <f t="shared" si="68"/>
        <v>209.9069054</v>
      </c>
      <c r="F127" s="468">
        <f t="shared" si="68"/>
        <v>137.06903190000003</v>
      </c>
      <c r="G127" s="468">
        <f t="shared" si="68"/>
        <v>67.181225499999996</v>
      </c>
      <c r="H127" s="468">
        <f t="shared" si="68"/>
        <v>26.510870299999997</v>
      </c>
      <c r="I127" s="468">
        <f t="shared" si="68"/>
        <v>9.7992428999999994</v>
      </c>
      <c r="J127" s="468">
        <f t="shared" ref="J127" si="69">J126+J120+J113</f>
        <v>6.8729498999999992</v>
      </c>
    </row>
    <row r="128" spans="2:10" x14ac:dyDescent="0.35">
      <c r="B128" s="455"/>
      <c r="C128" s="455"/>
    </row>
    <row r="129" spans="2:10" x14ac:dyDescent="0.35">
      <c r="B129" s="440" t="s">
        <v>673</v>
      </c>
      <c r="C129" s="449"/>
      <c r="D129" s="449"/>
      <c r="E129" s="449"/>
      <c r="F129" s="449"/>
      <c r="G129" s="449"/>
      <c r="H129" s="449"/>
      <c r="I129" s="449"/>
      <c r="J129" s="449"/>
    </row>
    <row r="130" spans="2:10" x14ac:dyDescent="0.35">
      <c r="B130" s="199" t="s">
        <v>664</v>
      </c>
      <c r="C130" s="455"/>
      <c r="D130" s="455"/>
      <c r="E130" s="455"/>
      <c r="F130" s="455"/>
      <c r="G130" s="455"/>
      <c r="H130" s="455"/>
      <c r="I130" s="455"/>
      <c r="J130" s="455"/>
    </row>
    <row r="131" spans="2:10" x14ac:dyDescent="0.35">
      <c r="B131" s="199" t="s">
        <v>630</v>
      </c>
      <c r="C131" s="455"/>
      <c r="D131" s="455"/>
      <c r="E131" s="455"/>
      <c r="F131" s="455"/>
      <c r="G131" s="455"/>
      <c r="H131" s="455"/>
      <c r="I131" s="455"/>
      <c r="J131" s="455"/>
    </row>
    <row r="132" spans="2:10" x14ac:dyDescent="0.35">
      <c r="B132" s="198" t="s">
        <v>631</v>
      </c>
      <c r="C132" s="464" t="s">
        <v>671</v>
      </c>
      <c r="D132" s="454">
        <v>4.7320079999999995</v>
      </c>
      <c r="E132" s="454">
        <v>7.1135765000000006</v>
      </c>
      <c r="F132" s="454">
        <v>5.5344756999999998</v>
      </c>
      <c r="G132" s="454">
        <v>0.2793754</v>
      </c>
      <c r="H132" s="454">
        <v>0</v>
      </c>
      <c r="I132" s="454">
        <v>0</v>
      </c>
      <c r="J132" s="454">
        <v>0</v>
      </c>
    </row>
    <row r="133" spans="2:10" x14ac:dyDescent="0.35">
      <c r="B133" s="198" t="s">
        <v>632</v>
      </c>
      <c r="C133" s="464" t="s">
        <v>671</v>
      </c>
      <c r="D133" s="454">
        <v>18.20459</v>
      </c>
      <c r="E133" s="454">
        <v>12.024182399999999</v>
      </c>
      <c r="F133" s="454">
        <v>4.3008214000000002</v>
      </c>
      <c r="G133" s="454">
        <v>0.18684459999999994</v>
      </c>
      <c r="H133" s="454">
        <v>6.9558999999999992E-3</v>
      </c>
      <c r="I133" s="454">
        <v>0</v>
      </c>
      <c r="J133" s="454">
        <v>0</v>
      </c>
    </row>
    <row r="134" spans="2:10" x14ac:dyDescent="0.35">
      <c r="B134" s="198" t="s">
        <v>633</v>
      </c>
      <c r="C134" s="464" t="s">
        <v>671</v>
      </c>
      <c r="D134" s="454">
        <v>17.174735600000002</v>
      </c>
      <c r="E134" s="454">
        <v>7.2413335999999999</v>
      </c>
      <c r="F134" s="454">
        <v>0.96559300000000003</v>
      </c>
      <c r="G134" s="454">
        <v>1.42355E-2</v>
      </c>
      <c r="H134" s="454">
        <v>0</v>
      </c>
      <c r="I134" s="454">
        <v>0</v>
      </c>
      <c r="J134" s="454">
        <v>0</v>
      </c>
    </row>
    <row r="135" spans="2:10" x14ac:dyDescent="0.35">
      <c r="B135" s="198" t="s">
        <v>634</v>
      </c>
      <c r="C135" s="464" t="s">
        <v>671</v>
      </c>
      <c r="D135" s="454">
        <v>1.1628242</v>
      </c>
      <c r="E135" s="454">
        <v>0.22336670000000003</v>
      </c>
      <c r="F135" s="454">
        <v>3.3567E-2</v>
      </c>
      <c r="G135" s="454">
        <v>1.2638E-3</v>
      </c>
      <c r="H135" s="454">
        <v>0</v>
      </c>
      <c r="I135" s="454">
        <v>0</v>
      </c>
      <c r="J135" s="454">
        <v>0</v>
      </c>
    </row>
    <row r="136" spans="2:10" x14ac:dyDescent="0.35">
      <c r="B136" s="198" t="s">
        <v>635</v>
      </c>
      <c r="C136" s="464" t="s">
        <v>671</v>
      </c>
      <c r="D136" s="454">
        <v>3.7376412999999999</v>
      </c>
      <c r="E136" s="454">
        <v>0.7810416</v>
      </c>
      <c r="F136" s="454">
        <v>0.23975200000000002</v>
      </c>
      <c r="G136" s="454">
        <v>5.5561899999999997E-2</v>
      </c>
      <c r="H136" s="454">
        <v>0</v>
      </c>
      <c r="I136" s="454">
        <v>0</v>
      </c>
      <c r="J136" s="454">
        <v>0</v>
      </c>
    </row>
    <row r="137" spans="2:10" x14ac:dyDescent="0.35">
      <c r="B137" s="199" t="s">
        <v>636</v>
      </c>
      <c r="C137" s="464" t="s">
        <v>671</v>
      </c>
      <c r="D137" s="466">
        <f t="shared" ref="D137:I137" si="70">SUM(D132:D136)</f>
        <v>45.011799100000005</v>
      </c>
      <c r="E137" s="466">
        <f t="shared" si="70"/>
        <v>27.3835008</v>
      </c>
      <c r="F137" s="466">
        <f t="shared" si="70"/>
        <v>11.074209099999999</v>
      </c>
      <c r="G137" s="466">
        <f t="shared" si="70"/>
        <v>0.53728120000000001</v>
      </c>
      <c r="H137" s="466">
        <f t="shared" si="70"/>
        <v>6.9558999999999992E-3</v>
      </c>
      <c r="I137" s="466">
        <f t="shared" si="70"/>
        <v>0</v>
      </c>
      <c r="J137" s="466">
        <f t="shared" ref="J137" si="71">SUM(J132:J136)</f>
        <v>0</v>
      </c>
    </row>
    <row r="138" spans="2:10" x14ac:dyDescent="0.35">
      <c r="B138" s="199" t="s">
        <v>637</v>
      </c>
      <c r="C138" s="464"/>
      <c r="D138" s="455"/>
      <c r="E138" s="455"/>
      <c r="F138" s="455"/>
      <c r="G138" s="455"/>
      <c r="H138" s="455"/>
      <c r="I138" s="455"/>
      <c r="J138" s="455"/>
    </row>
    <row r="139" spans="2:10" x14ac:dyDescent="0.35">
      <c r="B139" s="198" t="s">
        <v>638</v>
      </c>
      <c r="C139" s="464" t="s">
        <v>671</v>
      </c>
      <c r="D139" s="454">
        <v>32.654217599999996</v>
      </c>
      <c r="E139" s="454">
        <v>6.1250323</v>
      </c>
      <c r="F139" s="454">
        <v>0.85563580000000006</v>
      </c>
      <c r="G139" s="454">
        <v>5.1288600000000004E-2</v>
      </c>
      <c r="H139" s="454">
        <v>1.4191999999999998E-3</v>
      </c>
      <c r="I139" s="454">
        <v>0</v>
      </c>
      <c r="J139" s="454">
        <v>0</v>
      </c>
    </row>
    <row r="140" spans="2:10" x14ac:dyDescent="0.35">
      <c r="B140" s="198" t="s">
        <v>639</v>
      </c>
      <c r="C140" s="464" t="s">
        <v>671</v>
      </c>
      <c r="D140" s="454">
        <v>19.463242300000001</v>
      </c>
      <c r="E140" s="454">
        <v>11.703727199999999</v>
      </c>
      <c r="F140" s="454">
        <v>4.7148076000000003</v>
      </c>
      <c r="G140" s="454">
        <v>1.9996239999999998</v>
      </c>
      <c r="H140" s="454">
        <v>0.13918990000000001</v>
      </c>
      <c r="I140" s="454">
        <v>1.7036000000000003E-2</v>
      </c>
      <c r="J140" s="454">
        <v>0</v>
      </c>
    </row>
    <row r="141" spans="2:10" x14ac:dyDescent="0.35">
      <c r="B141" s="198" t="s">
        <v>640</v>
      </c>
      <c r="C141" s="464" t="s">
        <v>671</v>
      </c>
      <c r="D141" s="454">
        <v>27.242752899999999</v>
      </c>
      <c r="E141" s="454">
        <v>5.3277745999999997</v>
      </c>
      <c r="F141" s="454">
        <v>0.95113990000000004</v>
      </c>
      <c r="G141" s="454">
        <v>0.74634040000000013</v>
      </c>
      <c r="H141" s="454">
        <v>3.6845199999999995E-2</v>
      </c>
      <c r="I141" s="454">
        <v>4.7481000000000008E-3</v>
      </c>
      <c r="J141" s="454">
        <v>0</v>
      </c>
    </row>
    <row r="142" spans="2:10" x14ac:dyDescent="0.35">
      <c r="B142" s="198" t="s">
        <v>641</v>
      </c>
      <c r="C142" s="464" t="s">
        <v>671</v>
      </c>
      <c r="D142" s="454">
        <v>3.7528382000000002</v>
      </c>
      <c r="E142" s="454">
        <v>1.5366879</v>
      </c>
      <c r="F142" s="454">
        <v>0</v>
      </c>
      <c r="G142" s="454">
        <v>1.40403E-2</v>
      </c>
      <c r="H142" s="454">
        <v>0</v>
      </c>
      <c r="I142" s="454">
        <v>0</v>
      </c>
      <c r="J142" s="454">
        <v>0</v>
      </c>
    </row>
    <row r="143" spans="2:10" x14ac:dyDescent="0.35">
      <c r="B143" s="198" t="s">
        <v>642</v>
      </c>
      <c r="C143" s="464" t="s">
        <v>671</v>
      </c>
      <c r="D143" s="454">
        <v>0.1659486</v>
      </c>
      <c r="E143" s="454">
        <v>8.1326999999999997E-3</v>
      </c>
      <c r="F143" s="454">
        <v>4.8419999999999999E-3</v>
      </c>
      <c r="G143" s="454">
        <v>1.2107999999999999E-3</v>
      </c>
      <c r="H143" s="454">
        <v>0</v>
      </c>
      <c r="I143" s="454">
        <v>0</v>
      </c>
      <c r="J143" s="454">
        <v>0</v>
      </c>
    </row>
    <row r="144" spans="2:10" x14ac:dyDescent="0.35">
      <c r="B144" s="199" t="s">
        <v>643</v>
      </c>
      <c r="C144" s="464" t="s">
        <v>671</v>
      </c>
      <c r="D144" s="466">
        <f t="shared" ref="D144:I144" si="72">SUM(D139:D143)</f>
        <v>83.278999599999992</v>
      </c>
      <c r="E144" s="466">
        <f t="shared" si="72"/>
        <v>24.701354700000003</v>
      </c>
      <c r="F144" s="466">
        <f t="shared" si="72"/>
        <v>6.5264253000000005</v>
      </c>
      <c r="G144" s="466">
        <f t="shared" si="72"/>
        <v>2.8125041</v>
      </c>
      <c r="H144" s="466">
        <f t="shared" si="72"/>
        <v>0.17745430000000001</v>
      </c>
      <c r="I144" s="466">
        <f t="shared" si="72"/>
        <v>2.1784100000000004E-2</v>
      </c>
      <c r="J144" s="466">
        <f t="shared" ref="J144" si="73">SUM(J139:J143)</f>
        <v>0</v>
      </c>
    </row>
    <row r="145" spans="2:10" x14ac:dyDescent="0.35">
      <c r="B145" s="199" t="s">
        <v>644</v>
      </c>
      <c r="C145" s="464"/>
      <c r="D145" s="455"/>
      <c r="E145" s="455"/>
      <c r="F145" s="455"/>
      <c r="G145" s="455"/>
      <c r="H145" s="455"/>
      <c r="I145" s="455"/>
      <c r="J145" s="455"/>
    </row>
    <row r="146" spans="2:10" x14ac:dyDescent="0.35">
      <c r="B146" s="198" t="s">
        <v>645</v>
      </c>
      <c r="C146" s="464" t="s">
        <v>671</v>
      </c>
      <c r="D146" s="454">
        <v>2.9053144</v>
      </c>
      <c r="E146" s="454">
        <v>0.99645269999999986</v>
      </c>
      <c r="F146" s="454">
        <v>4.2616339999999999</v>
      </c>
      <c r="G146" s="454">
        <v>7.2149612999999997</v>
      </c>
      <c r="H146" s="454">
        <v>2.1978158000000003</v>
      </c>
      <c r="I146" s="454">
        <v>0.14560150000000005</v>
      </c>
      <c r="J146" s="454">
        <v>1.4388000000000001E-2</v>
      </c>
    </row>
    <row r="147" spans="2:10" x14ac:dyDescent="0.35">
      <c r="B147" s="198" t="s">
        <v>646</v>
      </c>
      <c r="C147" s="464" t="s">
        <v>671</v>
      </c>
      <c r="D147" s="454">
        <v>11.968678799999999</v>
      </c>
      <c r="E147" s="454">
        <v>11.458346499999999</v>
      </c>
      <c r="F147" s="454">
        <v>10.462203799999999</v>
      </c>
      <c r="G147" s="454">
        <v>4.0286907999999997</v>
      </c>
      <c r="H147" s="454">
        <v>10.984756800000001</v>
      </c>
      <c r="I147" s="454">
        <v>2.8558020000000002</v>
      </c>
      <c r="J147" s="454">
        <v>0.67342860000000015</v>
      </c>
    </row>
    <row r="148" spans="2:10" x14ac:dyDescent="0.35">
      <c r="B148" s="198" t="s">
        <v>647</v>
      </c>
      <c r="C148" s="464" t="s">
        <v>671</v>
      </c>
      <c r="D148" s="454">
        <v>21.552675500000003</v>
      </c>
      <c r="E148" s="454">
        <v>17.328263700000011</v>
      </c>
      <c r="F148" s="454">
        <v>27.828915899999998</v>
      </c>
      <c r="G148" s="454">
        <v>8.1411409000000017</v>
      </c>
      <c r="H148" s="454">
        <v>0.92346460000000008</v>
      </c>
      <c r="I148" s="454">
        <v>2.7361400000000004E-2</v>
      </c>
      <c r="J148" s="454">
        <v>0</v>
      </c>
    </row>
    <row r="149" spans="2:10" x14ac:dyDescent="0.35">
      <c r="B149" s="198" t="s">
        <v>648</v>
      </c>
      <c r="C149" s="464" t="s">
        <v>671</v>
      </c>
      <c r="D149" s="454">
        <v>35.474926100000005</v>
      </c>
      <c r="E149" s="454">
        <v>24.558765599999997</v>
      </c>
      <c r="F149" s="454">
        <v>46.159693100000005</v>
      </c>
      <c r="G149" s="454">
        <v>23.674190899999999</v>
      </c>
      <c r="H149" s="454">
        <v>4.3355575000000002</v>
      </c>
      <c r="I149" s="454">
        <v>1.0809728000000003</v>
      </c>
      <c r="J149" s="454">
        <v>0.28008899999999992</v>
      </c>
    </row>
    <row r="150" spans="2:10" x14ac:dyDescent="0.35">
      <c r="B150" s="199" t="s">
        <v>649</v>
      </c>
      <c r="C150" s="464" t="s">
        <v>671</v>
      </c>
      <c r="D150" s="466">
        <f t="shared" ref="D150:I150" si="74">SUM(D145:D149)</f>
        <v>71.901594799999998</v>
      </c>
      <c r="E150" s="466">
        <f t="shared" si="74"/>
        <v>54.341828500000005</v>
      </c>
      <c r="F150" s="466">
        <f t="shared" si="74"/>
        <v>88.712446800000009</v>
      </c>
      <c r="G150" s="466">
        <f t="shared" si="74"/>
        <v>43.058983900000001</v>
      </c>
      <c r="H150" s="466">
        <f t="shared" si="74"/>
        <v>18.441594700000003</v>
      </c>
      <c r="I150" s="466">
        <f t="shared" si="74"/>
        <v>4.109737700000001</v>
      </c>
      <c r="J150" s="466">
        <f t="shared" ref="J150" si="75">SUM(J145:J149)</f>
        <v>0.96790560000000003</v>
      </c>
    </row>
    <row r="151" spans="2:10" x14ac:dyDescent="0.35">
      <c r="B151" s="248" t="s">
        <v>752</v>
      </c>
      <c r="C151" s="467" t="s">
        <v>671</v>
      </c>
      <c r="D151" s="468">
        <f t="shared" ref="D151:I151" si="76">D150+D144+D137</f>
        <v>200.19239349999998</v>
      </c>
      <c r="E151" s="468">
        <f t="shared" si="76"/>
        <v>106.42668400000002</v>
      </c>
      <c r="F151" s="468">
        <f t="shared" si="76"/>
        <v>106.31308120000001</v>
      </c>
      <c r="G151" s="468">
        <f t="shared" si="76"/>
        <v>46.408769200000002</v>
      </c>
      <c r="H151" s="468">
        <f t="shared" si="76"/>
        <v>18.626004900000005</v>
      </c>
      <c r="I151" s="468">
        <f t="shared" si="76"/>
        <v>4.1315218000000007</v>
      </c>
      <c r="J151" s="468">
        <f t="shared" ref="J151" si="77">J150+J144+J137</f>
        <v>0.96790560000000003</v>
      </c>
    </row>
    <row r="152" spans="2:10" x14ac:dyDescent="0.35">
      <c r="B152" s="455"/>
      <c r="C152" s="455"/>
    </row>
    <row r="153" spans="2:10" x14ac:dyDescent="0.35">
      <c r="B153" s="440" t="s">
        <v>674</v>
      </c>
      <c r="C153" s="449"/>
      <c r="D153" s="449"/>
      <c r="E153" s="449"/>
      <c r="F153" s="449"/>
      <c r="G153" s="449"/>
      <c r="H153" s="449"/>
      <c r="I153" s="449"/>
      <c r="J153" s="449"/>
    </row>
    <row r="154" spans="2:10" x14ac:dyDescent="0.35">
      <c r="B154" s="199" t="s">
        <v>664</v>
      </c>
      <c r="C154" s="455"/>
      <c r="D154" s="455"/>
      <c r="E154" s="455"/>
      <c r="F154" s="455"/>
      <c r="G154" s="455"/>
      <c r="H154" s="455"/>
      <c r="I154" s="455"/>
      <c r="J154" s="455"/>
    </row>
    <row r="155" spans="2:10" x14ac:dyDescent="0.35">
      <c r="B155" s="199" t="s">
        <v>630</v>
      </c>
      <c r="C155" s="455"/>
      <c r="D155" s="455"/>
      <c r="E155" s="455"/>
      <c r="F155" s="455"/>
      <c r="G155" s="455"/>
      <c r="H155" s="455"/>
      <c r="I155" s="455"/>
      <c r="J155" s="455"/>
    </row>
    <row r="156" spans="2:10" x14ac:dyDescent="0.35">
      <c r="B156" s="198" t="s">
        <v>631</v>
      </c>
      <c r="C156" s="464" t="s">
        <v>671</v>
      </c>
      <c r="D156" s="454">
        <v>7.3492799999999997E-2</v>
      </c>
      <c r="E156" s="454">
        <v>0.33078339999999995</v>
      </c>
      <c r="F156" s="454">
        <v>0.30670409999999998</v>
      </c>
      <c r="G156" s="454">
        <v>0.14985969999999998</v>
      </c>
      <c r="H156" s="454">
        <v>9.5255800000000002E-2</v>
      </c>
      <c r="I156" s="454">
        <v>4.4335899999999991E-2</v>
      </c>
      <c r="J156" s="454">
        <v>6.9882600000000003E-2</v>
      </c>
    </row>
    <row r="157" spans="2:10" x14ac:dyDescent="0.35">
      <c r="B157" s="198" t="s">
        <v>632</v>
      </c>
      <c r="C157" s="464" t="s">
        <v>671</v>
      </c>
      <c r="D157" s="454">
        <v>1.1046800000000001E-2</v>
      </c>
      <c r="E157" s="454">
        <v>7.7285300000000001E-2</v>
      </c>
      <c r="F157" s="454">
        <v>8.1965399999999994E-2</v>
      </c>
      <c r="G157" s="454">
        <v>6.5830599999999989E-2</v>
      </c>
      <c r="H157" s="454">
        <v>9.2103000000000004E-2</v>
      </c>
      <c r="I157" s="454">
        <v>5.0224100000000001E-2</v>
      </c>
      <c r="J157" s="454">
        <v>4.4777699999999997E-2</v>
      </c>
    </row>
    <row r="158" spans="2:10" x14ac:dyDescent="0.35">
      <c r="B158" s="198" t="s">
        <v>633</v>
      </c>
      <c r="C158" s="464" t="s">
        <v>671</v>
      </c>
      <c r="D158" s="454">
        <v>4.0293300000000004E-2</v>
      </c>
      <c r="E158" s="454">
        <v>0.28128700000000006</v>
      </c>
      <c r="F158" s="454">
        <v>0.2070775</v>
      </c>
      <c r="G158" s="454">
        <v>0.12202579999999998</v>
      </c>
      <c r="H158" s="454">
        <v>0.11659530000000001</v>
      </c>
      <c r="I158" s="454">
        <v>6.0944700000000004E-2</v>
      </c>
      <c r="J158" s="454">
        <v>5.4234399999999995E-2</v>
      </c>
    </row>
    <row r="159" spans="2:10" x14ac:dyDescent="0.35">
      <c r="B159" s="198" t="s">
        <v>634</v>
      </c>
      <c r="C159" s="464" t="s">
        <v>671</v>
      </c>
      <c r="D159" s="454">
        <v>2.3737200000000003E-2</v>
      </c>
      <c r="E159" s="454">
        <v>3.4317100000000003E-2</v>
      </c>
      <c r="F159" s="454">
        <v>0.11405119999999999</v>
      </c>
      <c r="G159" s="454">
        <v>4.0888399999999998E-2</v>
      </c>
      <c r="H159" s="454">
        <v>9.6190700000000004E-2</v>
      </c>
      <c r="I159" s="454">
        <v>0.11936240000000002</v>
      </c>
      <c r="J159" s="454">
        <v>0.12503300000000001</v>
      </c>
    </row>
    <row r="160" spans="2:10" x14ac:dyDescent="0.35">
      <c r="B160" s="198" t="s">
        <v>635</v>
      </c>
      <c r="C160" s="464" t="s">
        <v>671</v>
      </c>
      <c r="D160" s="454">
        <v>1.0326000000000001E-3</v>
      </c>
      <c r="E160" s="454">
        <v>2.0978899999999998E-2</v>
      </c>
      <c r="F160" s="454">
        <v>1.3936099999999998E-2</v>
      </c>
      <c r="G160" s="454">
        <v>4.4097799999999999E-2</v>
      </c>
      <c r="H160" s="454">
        <v>3.0637800000000003E-2</v>
      </c>
      <c r="I160" s="454">
        <v>1.6562399999999998E-2</v>
      </c>
      <c r="J160" s="454">
        <v>4.6462799999999999E-2</v>
      </c>
    </row>
    <row r="161" spans="2:10" x14ac:dyDescent="0.35">
      <c r="B161" s="199" t="s">
        <v>636</v>
      </c>
      <c r="C161" s="464" t="s">
        <v>671</v>
      </c>
      <c r="D161" s="466">
        <f t="shared" ref="D161:I161" si="78">SUM(D156:D160)</f>
        <v>0.14960270000000001</v>
      </c>
      <c r="E161" s="466">
        <f t="shared" si="78"/>
        <v>0.74465170000000003</v>
      </c>
      <c r="F161" s="466">
        <f t="shared" si="78"/>
        <v>0.72373430000000005</v>
      </c>
      <c r="G161" s="466">
        <f t="shared" si="78"/>
        <v>0.42270229999999998</v>
      </c>
      <c r="H161" s="466">
        <f t="shared" si="78"/>
        <v>0.43078260000000002</v>
      </c>
      <c r="I161" s="466">
        <f t="shared" si="78"/>
        <v>0.29142950000000001</v>
      </c>
      <c r="J161" s="466">
        <f t="shared" ref="J161" si="79">SUM(J156:J160)</f>
        <v>0.34039050000000004</v>
      </c>
    </row>
    <row r="162" spans="2:10" x14ac:dyDescent="0.35">
      <c r="B162" s="199" t="s">
        <v>637</v>
      </c>
      <c r="C162" s="464"/>
      <c r="D162" s="455"/>
      <c r="E162" s="455"/>
      <c r="F162" s="455"/>
      <c r="G162" s="455"/>
      <c r="H162" s="455"/>
      <c r="I162" s="455"/>
      <c r="J162" s="455"/>
    </row>
    <row r="163" spans="2:10" x14ac:dyDescent="0.35">
      <c r="B163" s="198" t="s">
        <v>638</v>
      </c>
      <c r="C163" s="464" t="s">
        <v>671</v>
      </c>
      <c r="D163" s="454">
        <v>1.12671E-2</v>
      </c>
      <c r="E163" s="454">
        <v>1.8556E-2</v>
      </c>
      <c r="F163" s="454">
        <v>0.10252979999999999</v>
      </c>
      <c r="G163" s="454">
        <v>5.98237E-2</v>
      </c>
      <c r="H163" s="454">
        <v>8.9955800000000016E-2</v>
      </c>
      <c r="I163" s="454">
        <v>3.3878700000000005E-2</v>
      </c>
      <c r="J163" s="454">
        <v>1.0542300000000001E-2</v>
      </c>
    </row>
    <row r="164" spans="2:10" x14ac:dyDescent="0.35">
      <c r="B164" s="198" t="s">
        <v>639</v>
      </c>
      <c r="C164" s="464" t="s">
        <v>671</v>
      </c>
      <c r="D164" s="454">
        <v>1.1276499999999998E-2</v>
      </c>
      <c r="E164" s="454">
        <v>5.6461299999999999E-2</v>
      </c>
      <c r="F164" s="454">
        <v>5.5225500000000004E-2</v>
      </c>
      <c r="G164" s="454">
        <v>0.10103990000000002</v>
      </c>
      <c r="H164" s="454">
        <v>0.11445090000000001</v>
      </c>
      <c r="I164" s="454">
        <v>2.0465300000000002E-2</v>
      </c>
      <c r="J164" s="454">
        <v>1.1536999999999999E-2</v>
      </c>
    </row>
    <row r="165" spans="2:10" x14ac:dyDescent="0.35">
      <c r="B165" s="198" t="s">
        <v>640</v>
      </c>
      <c r="C165" s="464" t="s">
        <v>671</v>
      </c>
      <c r="D165" s="454">
        <v>3.6104500000000005E-2</v>
      </c>
      <c r="E165" s="454">
        <v>7.1299500000000002E-2</v>
      </c>
      <c r="F165" s="454">
        <v>6.4528600000000005E-2</v>
      </c>
      <c r="G165" s="454">
        <v>8.3262099999999992E-2</v>
      </c>
      <c r="H165" s="454">
        <v>0.1203159</v>
      </c>
      <c r="I165" s="454">
        <v>2.1316099999999998E-2</v>
      </c>
      <c r="J165" s="454">
        <v>2.8294000000000001E-3</v>
      </c>
    </row>
    <row r="166" spans="2:10" x14ac:dyDescent="0.35">
      <c r="B166" s="198" t="s">
        <v>641</v>
      </c>
      <c r="C166" s="464" t="s">
        <v>671</v>
      </c>
      <c r="D166" s="454">
        <v>7.6466999999999993E-3</v>
      </c>
      <c r="E166" s="454">
        <v>2.5083600000000001E-2</v>
      </c>
      <c r="F166" s="454">
        <v>0.12880469999999999</v>
      </c>
      <c r="G166" s="454">
        <v>6.4852499999999993E-2</v>
      </c>
      <c r="H166" s="454">
        <v>0.11482920000000001</v>
      </c>
      <c r="I166" s="454">
        <v>6.2284800000000001E-2</v>
      </c>
      <c r="J166" s="454">
        <v>2.5838899999999998E-2</v>
      </c>
    </row>
    <row r="167" spans="2:10" x14ac:dyDescent="0.35">
      <c r="B167" s="198" t="s">
        <v>642</v>
      </c>
      <c r="C167" s="464" t="s">
        <v>671</v>
      </c>
      <c r="D167" s="454">
        <v>0</v>
      </c>
      <c r="E167" s="454">
        <v>2.3136900000000002E-2</v>
      </c>
      <c r="F167" s="454">
        <v>0.12850929999999999</v>
      </c>
      <c r="G167" s="454">
        <v>0.18967700000000001</v>
      </c>
      <c r="H167" s="454">
        <v>4.0857000000000004E-2</v>
      </c>
      <c r="I167" s="454">
        <v>2.5360799999999999E-2</v>
      </c>
      <c r="J167" s="454">
        <v>1.15701E-2</v>
      </c>
    </row>
    <row r="168" spans="2:10" x14ac:dyDescent="0.35">
      <c r="B168" s="199" t="s">
        <v>643</v>
      </c>
      <c r="C168" s="464" t="s">
        <v>671</v>
      </c>
      <c r="D168" s="466">
        <f t="shared" ref="D168:I168" si="80">SUM(D163:D167)</f>
        <v>6.6294800000000001E-2</v>
      </c>
      <c r="E168" s="466">
        <f t="shared" si="80"/>
        <v>0.19453730000000002</v>
      </c>
      <c r="F168" s="466">
        <f t="shared" si="80"/>
        <v>0.47959789999999997</v>
      </c>
      <c r="G168" s="466">
        <f t="shared" si="80"/>
        <v>0.49865519999999997</v>
      </c>
      <c r="H168" s="466">
        <f t="shared" si="80"/>
        <v>0.48040880000000008</v>
      </c>
      <c r="I168" s="466">
        <f t="shared" si="80"/>
        <v>0.1633057</v>
      </c>
      <c r="J168" s="466">
        <f t="shared" ref="J168" si="81">SUM(J163:J167)</f>
        <v>6.2317699999999997E-2</v>
      </c>
    </row>
    <row r="169" spans="2:10" x14ac:dyDescent="0.35">
      <c r="B169" s="199" t="s">
        <v>644</v>
      </c>
      <c r="C169" s="464"/>
      <c r="D169" s="455"/>
      <c r="E169" s="455"/>
      <c r="F169" s="455"/>
      <c r="G169" s="455"/>
      <c r="H169" s="455"/>
      <c r="I169" s="455"/>
      <c r="J169" s="455"/>
    </row>
    <row r="170" spans="2:10" x14ac:dyDescent="0.35">
      <c r="B170" s="198" t="s">
        <v>645</v>
      </c>
      <c r="C170" s="464" t="s">
        <v>671</v>
      </c>
      <c r="D170" s="454">
        <v>1.0820999999999999E-3</v>
      </c>
      <c r="E170" s="454">
        <v>2.0403000000000001E-3</v>
      </c>
      <c r="F170" s="454">
        <v>1.474E-3</v>
      </c>
      <c r="G170" s="454">
        <v>1.43047E-2</v>
      </c>
      <c r="H170" s="454">
        <v>4.9742999999999992E-3</v>
      </c>
      <c r="I170" s="454">
        <v>1.7159999999999999E-3</v>
      </c>
      <c r="J170" s="454">
        <v>4.7029999999999997E-3</v>
      </c>
    </row>
    <row r="171" spans="2:10" x14ac:dyDescent="0.35">
      <c r="B171" s="198" t="s">
        <v>646</v>
      </c>
      <c r="C171" s="464" t="s">
        <v>671</v>
      </c>
      <c r="D171" s="454">
        <v>1.7326599999999998E-2</v>
      </c>
      <c r="E171" s="454">
        <v>2.63386E-2</v>
      </c>
      <c r="F171" s="454">
        <v>1.3635099999999997E-2</v>
      </c>
      <c r="G171" s="454">
        <v>5.0928999999999995E-2</v>
      </c>
      <c r="H171" s="454">
        <v>1.3363899999999998E-2</v>
      </c>
      <c r="I171" s="454">
        <v>5.7819999999999996E-4</v>
      </c>
      <c r="J171" s="454">
        <v>2.7948999999999999E-3</v>
      </c>
    </row>
    <row r="172" spans="2:10" x14ac:dyDescent="0.35">
      <c r="B172" s="198" t="s">
        <v>647</v>
      </c>
      <c r="C172" s="464" t="s">
        <v>671</v>
      </c>
      <c r="D172" s="454">
        <v>4.2689899999999996E-2</v>
      </c>
      <c r="E172" s="454">
        <v>1.6925499999999996E-2</v>
      </c>
      <c r="F172" s="454">
        <v>1.2221300000000001E-2</v>
      </c>
      <c r="G172" s="454">
        <v>7.0629300000000006E-2</v>
      </c>
      <c r="H172" s="454">
        <v>2.1423600000000001E-2</v>
      </c>
      <c r="I172" s="454">
        <v>3.1161000000000001E-3</v>
      </c>
      <c r="J172" s="454">
        <v>8.5501999999999991E-3</v>
      </c>
    </row>
    <row r="173" spans="2:10" x14ac:dyDescent="0.35">
      <c r="B173" s="198" t="s">
        <v>648</v>
      </c>
      <c r="C173" s="464" t="s">
        <v>671</v>
      </c>
      <c r="D173" s="454">
        <v>5.5857200000000003E-2</v>
      </c>
      <c r="E173" s="454">
        <v>4.1312099999999997E-2</v>
      </c>
      <c r="F173" s="454">
        <v>0.13571729999999999</v>
      </c>
      <c r="G173" s="454">
        <v>0.2040168</v>
      </c>
      <c r="H173" s="454">
        <v>6.2000000000000006E-2</v>
      </c>
      <c r="I173" s="454">
        <v>3.07125E-2</v>
      </c>
      <c r="J173" s="454">
        <v>7.8764000000000004E-3</v>
      </c>
    </row>
    <row r="174" spans="2:10" x14ac:dyDescent="0.35">
      <c r="B174" s="199" t="s">
        <v>649</v>
      </c>
      <c r="C174" s="464" t="s">
        <v>671</v>
      </c>
      <c r="D174" s="466">
        <f t="shared" ref="D174:I174" si="82">SUM(D169:D173)</f>
        <v>0.1169558</v>
      </c>
      <c r="E174" s="466">
        <f t="shared" si="82"/>
        <v>8.6616499999999985E-2</v>
      </c>
      <c r="F174" s="466">
        <f t="shared" si="82"/>
        <v>0.16304769999999999</v>
      </c>
      <c r="G174" s="466">
        <f t="shared" si="82"/>
        <v>0.33987980000000001</v>
      </c>
      <c r="H174" s="466">
        <f t="shared" si="82"/>
        <v>0.10176180000000001</v>
      </c>
      <c r="I174" s="466">
        <f t="shared" si="82"/>
        <v>3.6122799999999997E-2</v>
      </c>
      <c r="J174" s="466">
        <f t="shared" ref="J174" si="83">SUM(J169:J173)</f>
        <v>2.3924500000000001E-2</v>
      </c>
    </row>
    <row r="175" spans="2:10" x14ac:dyDescent="0.35">
      <c r="B175" s="248" t="s">
        <v>753</v>
      </c>
      <c r="C175" s="467" t="s">
        <v>671</v>
      </c>
      <c r="D175" s="468">
        <f t="shared" ref="D175:I175" si="84">D174+D168+D161</f>
        <v>0.33285330000000002</v>
      </c>
      <c r="E175" s="468">
        <f t="shared" si="84"/>
        <v>1.0258055000000001</v>
      </c>
      <c r="F175" s="468">
        <f t="shared" si="84"/>
        <v>1.3663799000000001</v>
      </c>
      <c r="G175" s="468">
        <f t="shared" si="84"/>
        <v>1.2612372999999999</v>
      </c>
      <c r="H175" s="468">
        <f t="shared" si="84"/>
        <v>1.0129532000000001</v>
      </c>
      <c r="I175" s="468">
        <f t="shared" si="84"/>
        <v>0.49085800000000002</v>
      </c>
      <c r="J175" s="468">
        <f t="shared" ref="J175" si="85">J174+J168+J161</f>
        <v>0.42663270000000003</v>
      </c>
    </row>
    <row r="176" spans="2:10" x14ac:dyDescent="0.35">
      <c r="B176" s="474" t="s">
        <v>679</v>
      </c>
      <c r="C176" s="462"/>
      <c r="D176" s="475">
        <f t="shared" ref="D176:I176" si="86">D175+D151+D127+D103</f>
        <v>598.62642959999994</v>
      </c>
      <c r="E176" s="475">
        <f t="shared" si="86"/>
        <v>705.75041880000003</v>
      </c>
      <c r="F176" s="475">
        <f t="shared" si="86"/>
        <v>810.05929830000002</v>
      </c>
      <c r="G176" s="475">
        <f t="shared" si="86"/>
        <v>913.59947609999995</v>
      </c>
      <c r="H176" s="475">
        <f t="shared" si="86"/>
        <v>848.44498950000002</v>
      </c>
      <c r="I176" s="475">
        <f t="shared" si="86"/>
        <v>829.45595800000001</v>
      </c>
      <c r="J176" s="475">
        <f t="shared" ref="J176" si="87">J175+J151+J127+J103</f>
        <v>662.6353706000001</v>
      </c>
    </row>
    <row r="177" spans="2:10" x14ac:dyDescent="0.35">
      <c r="B177" s="455"/>
      <c r="C177" s="455"/>
      <c r="D177" s="438"/>
      <c r="E177" s="438"/>
      <c r="F177" s="438"/>
      <c r="G177" s="438"/>
      <c r="H177" s="438"/>
      <c r="I177" s="438"/>
    </row>
    <row r="178" spans="2:10" x14ac:dyDescent="0.35">
      <c r="B178" s="474" t="s">
        <v>681</v>
      </c>
      <c r="C178" s="462"/>
      <c r="D178" s="476"/>
      <c r="E178" s="476"/>
      <c r="F178" s="476"/>
      <c r="G178" s="476"/>
      <c r="H178" s="476"/>
      <c r="I178" s="476"/>
      <c r="J178" s="476"/>
    </row>
    <row r="179" spans="2:10" x14ac:dyDescent="0.35">
      <c r="B179" s="457" t="s">
        <v>1602</v>
      </c>
      <c r="C179" s="455"/>
      <c r="D179" s="455"/>
      <c r="E179" s="455"/>
      <c r="F179" s="455"/>
      <c r="G179" s="455"/>
      <c r="H179" s="455"/>
      <c r="I179" s="455"/>
      <c r="J179" s="455"/>
    </row>
    <row r="180" spans="2:10" x14ac:dyDescent="0.35">
      <c r="B180" s="199" t="s">
        <v>664</v>
      </c>
      <c r="C180" s="455"/>
      <c r="D180" s="455"/>
      <c r="E180" s="455"/>
      <c r="F180" s="455"/>
      <c r="G180" s="455"/>
      <c r="H180" s="455"/>
      <c r="I180" s="455"/>
      <c r="J180" s="455"/>
    </row>
    <row r="181" spans="2:10" x14ac:dyDescent="0.35">
      <c r="B181" s="199" t="s">
        <v>630</v>
      </c>
      <c r="C181" s="455"/>
      <c r="D181" s="455"/>
      <c r="E181" s="455"/>
      <c r="F181" s="455"/>
      <c r="G181" s="455"/>
      <c r="H181" s="455"/>
      <c r="I181" s="455"/>
      <c r="J181" s="455"/>
    </row>
    <row r="182" spans="2:10" x14ac:dyDescent="0.35">
      <c r="B182" s="198" t="s">
        <v>631</v>
      </c>
      <c r="C182" s="464" t="s">
        <v>671</v>
      </c>
      <c r="D182" s="469">
        <v>14.444012300000001</v>
      </c>
      <c r="E182" s="469">
        <v>31.217805099999996</v>
      </c>
      <c r="F182" s="469">
        <v>61.582016499999995</v>
      </c>
      <c r="G182" s="469">
        <v>107.48785779999999</v>
      </c>
      <c r="H182" s="469">
        <v>120.77159529999999</v>
      </c>
      <c r="I182" s="469">
        <v>132.87064000000001</v>
      </c>
      <c r="J182" s="469">
        <v>127.62815759999999</v>
      </c>
    </row>
    <row r="183" spans="2:10" x14ac:dyDescent="0.35">
      <c r="B183" s="198" t="s">
        <v>632</v>
      </c>
      <c r="C183" s="464" t="s">
        <v>671</v>
      </c>
      <c r="D183" s="469">
        <v>10.921285899999999</v>
      </c>
      <c r="E183" s="469">
        <v>27.390390199999999</v>
      </c>
      <c r="F183" s="469">
        <v>46.492956900000003</v>
      </c>
      <c r="G183" s="469">
        <v>59.965479900000005</v>
      </c>
      <c r="H183" s="469">
        <v>69.379243900000006</v>
      </c>
      <c r="I183" s="469">
        <v>78.866433199999989</v>
      </c>
      <c r="J183" s="469">
        <v>67.482643100000004</v>
      </c>
    </row>
    <row r="184" spans="2:10" x14ac:dyDescent="0.35">
      <c r="B184" s="198" t="s">
        <v>633</v>
      </c>
      <c r="C184" s="464" t="s">
        <v>671</v>
      </c>
      <c r="D184" s="469">
        <v>10.578158999999999</v>
      </c>
      <c r="E184" s="469">
        <v>24.961177999999997</v>
      </c>
      <c r="F184" s="469">
        <v>41.891398600000002</v>
      </c>
      <c r="G184" s="469">
        <v>59.914345100000006</v>
      </c>
      <c r="H184" s="469">
        <v>64.344356200000007</v>
      </c>
      <c r="I184" s="469">
        <v>71.679678300000006</v>
      </c>
      <c r="J184" s="469">
        <v>67.977603999999999</v>
      </c>
    </row>
    <row r="185" spans="2:10" x14ac:dyDescent="0.35">
      <c r="B185" s="198" t="s">
        <v>634</v>
      </c>
      <c r="C185" s="464" t="s">
        <v>671</v>
      </c>
      <c r="D185" s="469">
        <v>16.447993699999998</v>
      </c>
      <c r="E185" s="469">
        <v>33.573342699999998</v>
      </c>
      <c r="F185" s="469">
        <v>48.615308200000001</v>
      </c>
      <c r="G185" s="469">
        <v>62.893992400000002</v>
      </c>
      <c r="H185" s="469">
        <v>67.039725200000007</v>
      </c>
      <c r="I185" s="469">
        <v>80.243986599999985</v>
      </c>
      <c r="J185" s="469">
        <v>71.115949100000009</v>
      </c>
    </row>
    <row r="186" spans="2:10" x14ac:dyDescent="0.35">
      <c r="B186" s="198" t="s">
        <v>635</v>
      </c>
      <c r="C186" s="464" t="s">
        <v>671</v>
      </c>
      <c r="D186" s="469">
        <v>7.2247721999999994</v>
      </c>
      <c r="E186" s="469">
        <v>17.507196799999999</v>
      </c>
      <c r="F186" s="469">
        <v>27.9033108</v>
      </c>
      <c r="G186" s="469">
        <v>37.106625299999997</v>
      </c>
      <c r="H186" s="469">
        <v>46.701590599999996</v>
      </c>
      <c r="I186" s="469">
        <v>67.353583</v>
      </c>
      <c r="J186" s="469">
        <v>55.3454257</v>
      </c>
    </row>
    <row r="187" spans="2:10" x14ac:dyDescent="0.35">
      <c r="B187" s="199" t="s">
        <v>636</v>
      </c>
      <c r="C187" s="464" t="s">
        <v>671</v>
      </c>
      <c r="D187" s="471">
        <f t="shared" ref="D187:I187" si="88">SUM(D182:D186)</f>
        <v>59.616223099999992</v>
      </c>
      <c r="E187" s="471">
        <f t="shared" si="88"/>
        <v>134.64991279999998</v>
      </c>
      <c r="F187" s="471">
        <f t="shared" si="88"/>
        <v>226.48499099999998</v>
      </c>
      <c r="G187" s="471">
        <f t="shared" si="88"/>
        <v>327.36830050000003</v>
      </c>
      <c r="H187" s="471">
        <f t="shared" si="88"/>
        <v>368.2365112</v>
      </c>
      <c r="I187" s="471">
        <f t="shared" si="88"/>
        <v>431.01432110000002</v>
      </c>
      <c r="J187" s="471">
        <f t="shared" ref="J187" si="89">SUM(J182:J186)</f>
        <v>389.54977950000006</v>
      </c>
    </row>
    <row r="188" spans="2:10" x14ac:dyDescent="0.35">
      <c r="B188" s="199" t="s">
        <v>637</v>
      </c>
      <c r="C188" s="464"/>
      <c r="D188" s="470"/>
      <c r="E188" s="470"/>
      <c r="F188" s="470"/>
      <c r="G188" s="470"/>
      <c r="H188" s="470"/>
      <c r="I188" s="470"/>
      <c r="J188" s="470"/>
    </row>
    <row r="189" spans="2:10" x14ac:dyDescent="0.35">
      <c r="B189" s="198" t="s">
        <v>638</v>
      </c>
      <c r="C189" s="464" t="s">
        <v>671</v>
      </c>
      <c r="D189" s="469">
        <v>26.404636400000001</v>
      </c>
      <c r="E189" s="469">
        <v>45.411778899999995</v>
      </c>
      <c r="F189" s="469">
        <v>60.577829600000001</v>
      </c>
      <c r="G189" s="469">
        <v>76.473465700000006</v>
      </c>
      <c r="H189" s="469">
        <v>68.145885800000002</v>
      </c>
      <c r="I189" s="469">
        <v>59.36509740000001</v>
      </c>
      <c r="J189" s="469">
        <v>42.18869449999999</v>
      </c>
    </row>
    <row r="190" spans="2:10" x14ac:dyDescent="0.35">
      <c r="B190" s="198" t="s">
        <v>639</v>
      </c>
      <c r="C190" s="464" t="s">
        <v>671</v>
      </c>
      <c r="D190" s="469">
        <v>10.7168446</v>
      </c>
      <c r="E190" s="469">
        <v>21.338383799999999</v>
      </c>
      <c r="F190" s="469">
        <v>42.305812500000002</v>
      </c>
      <c r="G190" s="469">
        <v>60.080294300000006</v>
      </c>
      <c r="H190" s="469">
        <v>68.9300882</v>
      </c>
      <c r="I190" s="469">
        <v>70.063792399999997</v>
      </c>
      <c r="J190" s="469">
        <v>42.412070899999996</v>
      </c>
    </row>
    <row r="191" spans="2:10" x14ac:dyDescent="0.35">
      <c r="B191" s="198" t="s">
        <v>640</v>
      </c>
      <c r="C191" s="464" t="s">
        <v>671</v>
      </c>
      <c r="D191" s="454">
        <v>13.1362632</v>
      </c>
      <c r="E191" s="454">
        <v>24.210023700000001</v>
      </c>
      <c r="F191" s="454">
        <v>31.9465559</v>
      </c>
      <c r="G191" s="454">
        <v>39.436032400000002</v>
      </c>
      <c r="H191" s="454">
        <v>45.575491299999996</v>
      </c>
      <c r="I191" s="454">
        <v>37.832173699999998</v>
      </c>
      <c r="J191" s="454">
        <v>23.344276699999995</v>
      </c>
    </row>
    <row r="192" spans="2:10" x14ac:dyDescent="0.35">
      <c r="B192" s="198" t="s">
        <v>641</v>
      </c>
      <c r="C192" s="464" t="s">
        <v>671</v>
      </c>
      <c r="D192" s="454">
        <v>6.5298333999999993</v>
      </c>
      <c r="E192" s="454">
        <v>13.516009499999999</v>
      </c>
      <c r="F192" s="454">
        <v>29.219965699999999</v>
      </c>
      <c r="G192" s="454">
        <v>37.886736200000001</v>
      </c>
      <c r="H192" s="454">
        <v>37.680070999999998</v>
      </c>
      <c r="I192" s="454">
        <v>38.770321500000001</v>
      </c>
      <c r="J192" s="454">
        <v>31.215522800000002</v>
      </c>
    </row>
    <row r="193" spans="2:10" x14ac:dyDescent="0.35">
      <c r="B193" s="198" t="s">
        <v>642</v>
      </c>
      <c r="C193" s="464" t="s">
        <v>671</v>
      </c>
      <c r="D193" s="454">
        <v>8.6349</v>
      </c>
      <c r="E193" s="454">
        <v>18.4333116</v>
      </c>
      <c r="F193" s="454">
        <v>31.601818199999997</v>
      </c>
      <c r="G193" s="454">
        <v>34.720594200000001</v>
      </c>
      <c r="H193" s="454">
        <v>29.502366500000001</v>
      </c>
      <c r="I193" s="454">
        <v>22.637305399999995</v>
      </c>
      <c r="J193" s="454">
        <v>20.019921999999998</v>
      </c>
    </row>
    <row r="194" spans="2:10" x14ac:dyDescent="0.35">
      <c r="B194" s="199" t="s">
        <v>643</v>
      </c>
      <c r="C194" s="464" t="s">
        <v>671</v>
      </c>
      <c r="D194" s="471">
        <f t="shared" ref="D194:I194" si="90">SUM(D189:D193)</f>
        <v>65.422477600000008</v>
      </c>
      <c r="E194" s="471">
        <f t="shared" si="90"/>
        <v>122.90950749999999</v>
      </c>
      <c r="F194" s="471">
        <f t="shared" si="90"/>
        <v>195.65198189999998</v>
      </c>
      <c r="G194" s="471">
        <f t="shared" si="90"/>
        <v>248.59712279999999</v>
      </c>
      <c r="H194" s="471">
        <f t="shared" si="90"/>
        <v>249.83390279999998</v>
      </c>
      <c r="I194" s="471">
        <f t="shared" si="90"/>
        <v>228.6686904</v>
      </c>
      <c r="J194" s="471">
        <f t="shared" ref="J194" si="91">SUM(J189:J193)</f>
        <v>159.18048690000001</v>
      </c>
    </row>
    <row r="195" spans="2:10" x14ac:dyDescent="0.35">
      <c r="B195" s="199" t="s">
        <v>644</v>
      </c>
      <c r="C195" s="464"/>
      <c r="D195" s="470"/>
      <c r="E195" s="470"/>
      <c r="F195" s="470"/>
      <c r="G195" s="470"/>
      <c r="H195" s="470"/>
      <c r="I195" s="470"/>
      <c r="J195" s="470"/>
    </row>
    <row r="196" spans="2:10" x14ac:dyDescent="0.35">
      <c r="B196" s="198" t="s">
        <v>645</v>
      </c>
      <c r="C196" s="464" t="s">
        <v>671</v>
      </c>
      <c r="D196" s="454">
        <v>0.50022449999999996</v>
      </c>
      <c r="E196" s="454">
        <v>0.64069609999999999</v>
      </c>
      <c r="F196" s="454">
        <v>1.8405138000000001</v>
      </c>
      <c r="G196" s="454">
        <v>6.7601856000000007</v>
      </c>
      <c r="H196" s="454">
        <v>11.357470299999997</v>
      </c>
      <c r="I196" s="454">
        <v>7.8496391000000001</v>
      </c>
      <c r="J196" s="454">
        <v>3.5838907000000009</v>
      </c>
    </row>
    <row r="197" spans="2:10" x14ac:dyDescent="0.35">
      <c r="B197" s="198" t="s">
        <v>646</v>
      </c>
      <c r="C197" s="464" t="s">
        <v>671</v>
      </c>
      <c r="D197" s="454">
        <v>0.2332148</v>
      </c>
      <c r="E197" s="454">
        <v>2.5606419000000002</v>
      </c>
      <c r="F197" s="454">
        <v>8.1870981</v>
      </c>
      <c r="G197" s="454">
        <v>13.2118293</v>
      </c>
      <c r="H197" s="454">
        <v>7.6363488000000004</v>
      </c>
      <c r="I197" s="454">
        <v>4.8929574999999996</v>
      </c>
      <c r="J197" s="454">
        <v>5.9200291000000016</v>
      </c>
    </row>
    <row r="198" spans="2:10" x14ac:dyDescent="0.35">
      <c r="B198" s="198" t="s">
        <v>647</v>
      </c>
      <c r="C198" s="464" t="s">
        <v>671</v>
      </c>
      <c r="D198" s="454">
        <v>0.19301890000000047</v>
      </c>
      <c r="E198" s="454">
        <v>2.5769598999999963</v>
      </c>
      <c r="F198" s="454">
        <v>13.171595700000001</v>
      </c>
      <c r="G198" s="454">
        <v>30.831993400000002</v>
      </c>
      <c r="H198" s="454">
        <v>37.35248450000001</v>
      </c>
      <c r="I198" s="454">
        <v>26.556375299999999</v>
      </c>
      <c r="J198" s="454">
        <v>19.900060699999997</v>
      </c>
    </row>
    <row r="199" spans="2:10" x14ac:dyDescent="0.35">
      <c r="B199" s="198" t="s">
        <v>648</v>
      </c>
      <c r="C199" s="464" t="s">
        <v>671</v>
      </c>
      <c r="D199" s="454">
        <v>2.6793122999999999</v>
      </c>
      <c r="E199" s="454">
        <v>7.4519333999999997</v>
      </c>
      <c r="F199" s="454">
        <v>9.7891456999999988</v>
      </c>
      <c r="G199" s="454">
        <v>22.406925399999999</v>
      </c>
      <c r="H199" s="454">
        <v>23.473452400000003</v>
      </c>
      <c r="I199" s="454">
        <v>20.472994300000003</v>
      </c>
      <c r="J199" s="454">
        <v>13.9754804</v>
      </c>
    </row>
    <row r="200" spans="2:10" x14ac:dyDescent="0.35">
      <c r="B200" s="199" t="s">
        <v>649</v>
      </c>
      <c r="C200" s="464" t="s">
        <v>671</v>
      </c>
      <c r="D200" s="471">
        <f t="shared" ref="D200:I200" si="92">SUM(D195:D199)</f>
        <v>3.6057705000000002</v>
      </c>
      <c r="E200" s="471">
        <f t="shared" si="92"/>
        <v>13.230231299999996</v>
      </c>
      <c r="F200" s="471">
        <f t="shared" si="92"/>
        <v>32.9883533</v>
      </c>
      <c r="G200" s="471">
        <f t="shared" si="92"/>
        <v>73.210933699999998</v>
      </c>
      <c r="H200" s="471">
        <f t="shared" si="92"/>
        <v>79.819756000000012</v>
      </c>
      <c r="I200" s="471">
        <f t="shared" si="92"/>
        <v>59.771966200000001</v>
      </c>
      <c r="J200" s="471">
        <f t="shared" ref="J200" si="93">SUM(J195:J199)</f>
        <v>43.379460899999998</v>
      </c>
    </row>
    <row r="201" spans="2:10" x14ac:dyDescent="0.35">
      <c r="B201" s="248" t="s">
        <v>749</v>
      </c>
      <c r="C201" s="441" t="s">
        <v>671</v>
      </c>
      <c r="D201" s="472">
        <f t="shared" ref="D201:I201" si="94">D200+D194+D187</f>
        <v>128.6444712</v>
      </c>
      <c r="E201" s="472">
        <f t="shared" si="94"/>
        <v>270.78965159999996</v>
      </c>
      <c r="F201" s="472">
        <f t="shared" si="94"/>
        <v>455.12532619999996</v>
      </c>
      <c r="G201" s="472">
        <f t="shared" si="94"/>
        <v>649.17635700000005</v>
      </c>
      <c r="H201" s="472">
        <f t="shared" si="94"/>
        <v>697.89017000000001</v>
      </c>
      <c r="I201" s="472">
        <f t="shared" si="94"/>
        <v>719.45497769999997</v>
      </c>
      <c r="J201" s="472">
        <f t="shared" ref="J201" si="95">J200+J194+J187</f>
        <v>592.10972730000003</v>
      </c>
    </row>
    <row r="202" spans="2:10" x14ac:dyDescent="0.35">
      <c r="B202" s="455"/>
      <c r="C202" s="455"/>
      <c r="D202" s="455"/>
      <c r="E202" s="455"/>
      <c r="F202" s="455"/>
      <c r="G202" s="455"/>
      <c r="H202" s="455"/>
      <c r="I202" s="455"/>
    </row>
    <row r="203" spans="2:10" x14ac:dyDescent="0.35">
      <c r="B203" s="440" t="s">
        <v>1603</v>
      </c>
      <c r="C203" s="449"/>
      <c r="D203" s="449"/>
      <c r="E203" s="449"/>
      <c r="F203" s="449"/>
      <c r="G203" s="449"/>
      <c r="H203" s="449"/>
      <c r="I203" s="449"/>
      <c r="J203" s="449"/>
    </row>
    <row r="204" spans="2:10" x14ac:dyDescent="0.35">
      <c r="B204" s="199" t="s">
        <v>664</v>
      </c>
      <c r="C204" s="455"/>
      <c r="D204" s="455"/>
      <c r="E204" s="455"/>
      <c r="F204" s="455"/>
      <c r="G204" s="455"/>
      <c r="H204" s="455"/>
      <c r="I204" s="455"/>
      <c r="J204" s="455"/>
    </row>
    <row r="205" spans="2:10" x14ac:dyDescent="0.35">
      <c r="B205" s="199" t="s">
        <v>630</v>
      </c>
      <c r="C205" s="455"/>
      <c r="D205" s="455"/>
      <c r="E205" s="455"/>
      <c r="F205" s="455"/>
      <c r="G205" s="455"/>
      <c r="H205" s="455"/>
      <c r="I205" s="455"/>
      <c r="J205" s="455"/>
    </row>
    <row r="206" spans="2:10" x14ac:dyDescent="0.35">
      <c r="B206" s="198" t="s">
        <v>631</v>
      </c>
      <c r="C206" s="464" t="s">
        <v>671</v>
      </c>
      <c r="D206" s="469">
        <v>79.3877509</v>
      </c>
      <c r="E206" s="469">
        <v>56.889324600000002</v>
      </c>
      <c r="F206" s="469">
        <v>33.2050032</v>
      </c>
      <c r="G206" s="469">
        <v>14.841473500000001</v>
      </c>
      <c r="H206" s="469">
        <v>5.0610699999999995E-2</v>
      </c>
      <c r="I206" s="469">
        <v>5.5439999999999994E-3</v>
      </c>
      <c r="J206" s="469">
        <v>0</v>
      </c>
    </row>
    <row r="207" spans="2:10" x14ac:dyDescent="0.35">
      <c r="B207" s="198" t="s">
        <v>632</v>
      </c>
      <c r="C207" s="464" t="s">
        <v>671</v>
      </c>
      <c r="D207" s="469">
        <v>19.714253299999999</v>
      </c>
      <c r="E207" s="469">
        <v>18.668827699999998</v>
      </c>
      <c r="F207" s="469">
        <v>13.902518800000001</v>
      </c>
      <c r="G207" s="469">
        <v>6.2478758999999995</v>
      </c>
      <c r="H207" s="469">
        <v>0.39472190000000001</v>
      </c>
      <c r="I207" s="469">
        <v>4.1610600000000005E-2</v>
      </c>
      <c r="J207" s="469">
        <v>3.7780000000000001E-3</v>
      </c>
    </row>
    <row r="208" spans="2:10" x14ac:dyDescent="0.35">
      <c r="B208" s="198" t="s">
        <v>633</v>
      </c>
      <c r="C208" s="464" t="s">
        <v>671</v>
      </c>
      <c r="D208" s="469">
        <v>31.203030999999999</v>
      </c>
      <c r="E208" s="469">
        <v>19.717093299999998</v>
      </c>
      <c r="F208" s="469">
        <v>14.5782849</v>
      </c>
      <c r="G208" s="469">
        <v>4.2387778999999997</v>
      </c>
      <c r="H208" s="469">
        <v>1.6273099999999999E-2</v>
      </c>
      <c r="I208" s="469">
        <v>2.8E-3</v>
      </c>
      <c r="J208" s="469">
        <v>0</v>
      </c>
    </row>
    <row r="209" spans="2:10" x14ac:dyDescent="0.35">
      <c r="B209" s="198" t="s">
        <v>634</v>
      </c>
      <c r="C209" s="464" t="s">
        <v>671</v>
      </c>
      <c r="D209" s="469">
        <v>38.057355399999999</v>
      </c>
      <c r="E209" s="469">
        <v>18.442885999999998</v>
      </c>
      <c r="F209" s="469">
        <v>7.6621030999999995</v>
      </c>
      <c r="G209" s="469">
        <v>1.179767</v>
      </c>
      <c r="H209" s="469">
        <v>4.9738599999999994E-2</v>
      </c>
      <c r="I209" s="469">
        <v>7.0777599999999996E-2</v>
      </c>
      <c r="J209" s="469">
        <v>2.0000000000000001E-4</v>
      </c>
    </row>
    <row r="210" spans="2:10" x14ac:dyDescent="0.35">
      <c r="B210" s="198" t="s">
        <v>635</v>
      </c>
      <c r="C210" s="464" t="s">
        <v>671</v>
      </c>
      <c r="D210" s="469">
        <v>9.1646123999999993</v>
      </c>
      <c r="E210" s="469">
        <v>21.5938552</v>
      </c>
      <c r="F210" s="469">
        <v>23.772082399999999</v>
      </c>
      <c r="G210" s="469">
        <v>14.510961799999999</v>
      </c>
      <c r="H210" s="469">
        <v>6.0782579000000005</v>
      </c>
      <c r="I210" s="469">
        <v>0.44697759999999997</v>
      </c>
      <c r="J210" s="469">
        <v>6.8349000000000005E-3</v>
      </c>
    </row>
    <row r="211" spans="2:10" x14ac:dyDescent="0.35">
      <c r="B211" s="199" t="s">
        <v>636</v>
      </c>
      <c r="C211" s="464" t="s">
        <v>671</v>
      </c>
      <c r="D211" s="466">
        <f t="shared" ref="D211:I211" si="96">SUM(D206:D210)</f>
        <v>177.52700300000001</v>
      </c>
      <c r="E211" s="466">
        <f t="shared" si="96"/>
        <v>135.3119868</v>
      </c>
      <c r="F211" s="466">
        <f t="shared" si="96"/>
        <v>93.119992400000001</v>
      </c>
      <c r="G211" s="466">
        <f t="shared" si="96"/>
        <v>41.018856099999994</v>
      </c>
      <c r="H211" s="466">
        <f t="shared" si="96"/>
        <v>6.5896022000000007</v>
      </c>
      <c r="I211" s="466">
        <f t="shared" si="96"/>
        <v>0.56770979999999993</v>
      </c>
      <c r="J211" s="466">
        <f t="shared" ref="J211" si="97">SUM(J206:J210)</f>
        <v>1.08129E-2</v>
      </c>
    </row>
    <row r="212" spans="2:10" x14ac:dyDescent="0.35">
      <c r="B212" s="199" t="s">
        <v>637</v>
      </c>
      <c r="C212" s="464"/>
      <c r="D212" s="455"/>
      <c r="E212" s="455"/>
      <c r="F212" s="455"/>
      <c r="G212" s="455"/>
      <c r="H212" s="455"/>
      <c r="I212" s="455"/>
      <c r="J212" s="455"/>
    </row>
    <row r="213" spans="2:10" x14ac:dyDescent="0.35">
      <c r="B213" s="198" t="s">
        <v>638</v>
      </c>
      <c r="C213" s="464" t="s">
        <v>671</v>
      </c>
      <c r="D213" s="469">
        <v>14.8734944</v>
      </c>
      <c r="E213" s="469">
        <v>8.8394341000000001</v>
      </c>
      <c r="F213" s="469">
        <v>3.4867896999999997</v>
      </c>
      <c r="G213" s="469">
        <v>2.1867307999999999</v>
      </c>
      <c r="H213" s="469">
        <v>4.2786299999999999E-2</v>
      </c>
      <c r="I213" s="469">
        <v>0</v>
      </c>
      <c r="J213" s="469">
        <v>0</v>
      </c>
    </row>
    <row r="214" spans="2:10" x14ac:dyDescent="0.35">
      <c r="B214" s="198" t="s">
        <v>639</v>
      </c>
      <c r="C214" s="464" t="s">
        <v>671</v>
      </c>
      <c r="D214" s="469">
        <v>23.819661</v>
      </c>
      <c r="E214" s="469">
        <v>25.417855899999999</v>
      </c>
      <c r="F214" s="469">
        <v>22.5602044</v>
      </c>
      <c r="G214" s="469">
        <v>13.6680776</v>
      </c>
      <c r="H214" s="469">
        <v>5.2696684999999999</v>
      </c>
      <c r="I214" s="469">
        <v>0.63004990000000016</v>
      </c>
      <c r="J214" s="469">
        <v>0.1335345</v>
      </c>
    </row>
    <row r="215" spans="2:10" x14ac:dyDescent="0.35">
      <c r="B215" s="198" t="s">
        <v>640</v>
      </c>
      <c r="C215" s="464" t="s">
        <v>671</v>
      </c>
      <c r="D215" s="454">
        <v>10.326095200000001</v>
      </c>
      <c r="E215" s="454">
        <v>7.2884672999999998</v>
      </c>
      <c r="F215" s="454">
        <v>3.2215924</v>
      </c>
      <c r="G215" s="454">
        <v>2.3344523000000001</v>
      </c>
      <c r="H215" s="454">
        <v>0.58395630000000009</v>
      </c>
      <c r="I215" s="454">
        <v>6.7821500000000007E-2</v>
      </c>
      <c r="J215" s="454">
        <v>9.1755900000000001E-2</v>
      </c>
    </row>
    <row r="216" spans="2:10" x14ac:dyDescent="0.35">
      <c r="B216" s="198" t="s">
        <v>641</v>
      </c>
      <c r="C216" s="464" t="s">
        <v>671</v>
      </c>
      <c r="D216" s="454">
        <v>10.9493761</v>
      </c>
      <c r="E216" s="454">
        <v>10.268887900000001</v>
      </c>
      <c r="F216" s="454">
        <v>8.3105311999999998</v>
      </c>
      <c r="G216" s="454">
        <v>2.3178447000000002</v>
      </c>
      <c r="H216" s="454">
        <v>0.14626239999999999</v>
      </c>
      <c r="I216" s="454">
        <v>8.5629999999999994E-4</v>
      </c>
      <c r="J216" s="454">
        <v>0</v>
      </c>
    </row>
    <row r="217" spans="2:10" x14ac:dyDescent="0.35">
      <c r="B217" s="198" t="s">
        <v>642</v>
      </c>
      <c r="C217" s="464" t="s">
        <v>671</v>
      </c>
      <c r="D217" s="454">
        <v>7.5871818999999991</v>
      </c>
      <c r="E217" s="454">
        <v>4.1326586000000001</v>
      </c>
      <c r="F217" s="454">
        <v>1.3569291000000001</v>
      </c>
      <c r="G217" s="454">
        <v>0.22646569999999999</v>
      </c>
      <c r="H217" s="454">
        <v>3.9382000000000002E-3</v>
      </c>
      <c r="I217" s="454">
        <v>0</v>
      </c>
      <c r="J217" s="454">
        <v>0</v>
      </c>
    </row>
    <row r="218" spans="2:10" x14ac:dyDescent="0.35">
      <c r="B218" s="199" t="s">
        <v>643</v>
      </c>
      <c r="C218" s="464" t="s">
        <v>671</v>
      </c>
      <c r="D218" s="466">
        <f t="shared" ref="D218:I218" si="98">SUM(D213:D217)</f>
        <v>67.555808600000006</v>
      </c>
      <c r="E218" s="466">
        <f t="shared" si="98"/>
        <v>55.9473038</v>
      </c>
      <c r="F218" s="466">
        <f t="shared" si="98"/>
        <v>38.9360468</v>
      </c>
      <c r="G218" s="466">
        <f t="shared" si="98"/>
        <v>20.733571099999999</v>
      </c>
      <c r="H218" s="466">
        <f t="shared" si="98"/>
        <v>6.0466117000000006</v>
      </c>
      <c r="I218" s="466">
        <f t="shared" si="98"/>
        <v>0.69872770000000017</v>
      </c>
      <c r="J218" s="466">
        <f t="shared" ref="J218" si="99">SUM(J213:J217)</f>
        <v>0.2252904</v>
      </c>
    </row>
    <row r="219" spans="2:10" x14ac:dyDescent="0.35">
      <c r="B219" s="199" t="s">
        <v>644</v>
      </c>
      <c r="C219" s="464"/>
      <c r="D219" s="455"/>
      <c r="E219" s="455"/>
      <c r="F219" s="455"/>
      <c r="G219" s="455"/>
      <c r="H219" s="455"/>
      <c r="I219" s="455"/>
      <c r="J219" s="455"/>
    </row>
    <row r="220" spans="2:10" x14ac:dyDescent="0.35">
      <c r="B220" s="198" t="s">
        <v>645</v>
      </c>
      <c r="C220" s="464" t="s">
        <v>671</v>
      </c>
      <c r="D220" s="454">
        <v>4.4564529000000004</v>
      </c>
      <c r="E220" s="454">
        <v>4.9203900000000003</v>
      </c>
      <c r="F220" s="454">
        <v>5.4232364999999998</v>
      </c>
      <c r="G220" s="454">
        <v>3.0448214999999998</v>
      </c>
      <c r="H220" s="454">
        <v>1.9823980999999999</v>
      </c>
      <c r="I220" s="454">
        <v>0.65706790000000004</v>
      </c>
      <c r="J220" s="454">
        <v>0.26972080000000009</v>
      </c>
    </row>
    <row r="221" spans="2:10" x14ac:dyDescent="0.35">
      <c r="B221" s="198" t="s">
        <v>646</v>
      </c>
      <c r="C221" s="464" t="s">
        <v>671</v>
      </c>
      <c r="D221" s="454">
        <v>5.5135658999999988</v>
      </c>
      <c r="E221" s="454">
        <v>9.2746736999999992</v>
      </c>
      <c r="F221" s="454">
        <v>12.6338425</v>
      </c>
      <c r="G221" s="454">
        <v>13.523850699999999</v>
      </c>
      <c r="H221" s="454">
        <v>2.9669854</v>
      </c>
      <c r="I221" s="454">
        <v>0.67536300000000005</v>
      </c>
      <c r="J221" s="454">
        <v>1.0396581000000003</v>
      </c>
    </row>
    <row r="222" spans="2:10" x14ac:dyDescent="0.35">
      <c r="B222" s="198" t="s">
        <v>647</v>
      </c>
      <c r="C222" s="464" t="s">
        <v>671</v>
      </c>
      <c r="D222" s="454">
        <v>6.8200319000000054</v>
      </c>
      <c r="E222" s="454">
        <v>13.546178400000009</v>
      </c>
      <c r="F222" s="454">
        <v>10.324862400000001</v>
      </c>
      <c r="G222" s="454">
        <v>9.9829644999999996</v>
      </c>
      <c r="H222" s="454">
        <v>3.8477798999999995</v>
      </c>
      <c r="I222" s="454">
        <v>2.7388173999999998</v>
      </c>
      <c r="J222" s="454">
        <v>1.6018511000000004</v>
      </c>
    </row>
    <row r="223" spans="2:10" x14ac:dyDescent="0.35">
      <c r="B223" s="198" t="s">
        <v>648</v>
      </c>
      <c r="C223" s="464" t="s">
        <v>671</v>
      </c>
      <c r="D223" s="454">
        <v>7.2273955000000001</v>
      </c>
      <c r="E223" s="454">
        <v>6.174392000000001</v>
      </c>
      <c r="F223" s="454">
        <v>6.3960358999999993</v>
      </c>
      <c r="G223" s="454">
        <v>3.3542731999999993</v>
      </c>
      <c r="H223" s="454">
        <v>2.2181110999999998</v>
      </c>
      <c r="I223" s="454">
        <v>1.1355737000000001</v>
      </c>
      <c r="J223" s="454">
        <v>0.98691220000000002</v>
      </c>
    </row>
    <row r="224" spans="2:10" x14ac:dyDescent="0.35">
      <c r="B224" s="199" t="s">
        <v>649</v>
      </c>
      <c r="C224" s="464" t="s">
        <v>671</v>
      </c>
      <c r="D224" s="466">
        <f t="shared" ref="D224:I224" si="100">SUM(D219:D223)</f>
        <v>24.017446200000002</v>
      </c>
      <c r="E224" s="466">
        <f t="shared" si="100"/>
        <v>33.915634100000005</v>
      </c>
      <c r="F224" s="466">
        <f t="shared" si="100"/>
        <v>34.777977300000003</v>
      </c>
      <c r="G224" s="466">
        <f t="shared" si="100"/>
        <v>29.905909899999994</v>
      </c>
      <c r="H224" s="466">
        <f t="shared" si="100"/>
        <v>11.015274499999999</v>
      </c>
      <c r="I224" s="466">
        <f t="shared" si="100"/>
        <v>5.2068219999999998</v>
      </c>
      <c r="J224" s="466">
        <f t="shared" ref="J224" si="101">SUM(J219:J223)</f>
        <v>3.8981422000000006</v>
      </c>
    </row>
    <row r="225" spans="2:10" x14ac:dyDescent="0.35">
      <c r="B225" s="248" t="s">
        <v>751</v>
      </c>
      <c r="C225" s="467" t="s">
        <v>671</v>
      </c>
      <c r="D225" s="468">
        <f t="shared" ref="D225:I225" si="102">D224+D218+D211</f>
        <v>269.10025780000001</v>
      </c>
      <c r="E225" s="468">
        <f t="shared" si="102"/>
        <v>225.17492470000002</v>
      </c>
      <c r="F225" s="468">
        <f t="shared" si="102"/>
        <v>166.83401650000002</v>
      </c>
      <c r="G225" s="468">
        <f t="shared" si="102"/>
        <v>91.658337099999983</v>
      </c>
      <c r="H225" s="468">
        <f t="shared" si="102"/>
        <v>23.651488400000002</v>
      </c>
      <c r="I225" s="468">
        <f t="shared" si="102"/>
        <v>6.4732595000000002</v>
      </c>
      <c r="J225" s="468">
        <f t="shared" ref="J225" si="103">J224+J218+J211</f>
        <v>4.1342455000000013</v>
      </c>
    </row>
    <row r="226" spans="2:10" s="254" customFormat="1" x14ac:dyDescent="0.35">
      <c r="B226" s="370"/>
      <c r="C226" s="478"/>
      <c r="D226" s="479"/>
      <c r="E226" s="479"/>
      <c r="F226" s="479"/>
      <c r="G226" s="479"/>
      <c r="H226" s="479"/>
      <c r="I226" s="479"/>
    </row>
    <row r="227" spans="2:10" x14ac:dyDescent="0.35">
      <c r="B227" s="440" t="s">
        <v>1604</v>
      </c>
      <c r="C227" s="449"/>
      <c r="D227" s="449"/>
      <c r="E227" s="449"/>
      <c r="F227" s="449"/>
      <c r="G227" s="449"/>
      <c r="H227" s="449"/>
      <c r="I227" s="449"/>
      <c r="J227" s="449"/>
    </row>
    <row r="228" spans="2:10" x14ac:dyDescent="0.35">
      <c r="B228" s="199" t="s">
        <v>664</v>
      </c>
      <c r="C228" s="455"/>
      <c r="D228" s="455"/>
      <c r="E228" s="455"/>
      <c r="F228" s="455"/>
      <c r="G228" s="455"/>
      <c r="H228" s="455"/>
      <c r="I228" s="455"/>
      <c r="J228" s="455"/>
    </row>
    <row r="229" spans="2:10" x14ac:dyDescent="0.35">
      <c r="B229" s="199" t="s">
        <v>630</v>
      </c>
      <c r="C229" s="455"/>
      <c r="D229" s="455"/>
      <c r="E229" s="455"/>
      <c r="F229" s="455"/>
      <c r="G229" s="455"/>
      <c r="H229" s="455"/>
      <c r="I229" s="455"/>
      <c r="J229" s="455"/>
    </row>
    <row r="230" spans="2:10" x14ac:dyDescent="0.35">
      <c r="B230" s="198" t="s">
        <v>631</v>
      </c>
      <c r="C230" s="464" t="s">
        <v>671</v>
      </c>
      <c r="D230" s="454">
        <v>2.2521207999999997</v>
      </c>
      <c r="E230" s="453">
        <v>2.7143965999999997</v>
      </c>
      <c r="F230" s="454">
        <v>8.2225194000000013</v>
      </c>
      <c r="G230" s="454">
        <v>0.34122570000000002</v>
      </c>
      <c r="H230" s="454">
        <v>0</v>
      </c>
      <c r="I230" s="454">
        <v>0</v>
      </c>
      <c r="J230" s="454">
        <v>0</v>
      </c>
    </row>
    <row r="231" spans="2:10" x14ac:dyDescent="0.35">
      <c r="B231" s="198" t="s">
        <v>632</v>
      </c>
      <c r="C231" s="464" t="s">
        <v>671</v>
      </c>
      <c r="D231" s="469">
        <v>7.1372691000000001</v>
      </c>
      <c r="E231" s="469">
        <v>3.2020951000000002</v>
      </c>
      <c r="F231" s="469">
        <v>0.88956740000000001</v>
      </c>
      <c r="G231" s="469">
        <v>7.7829800000000005E-2</v>
      </c>
      <c r="H231" s="469">
        <v>2.7780000000000001E-3</v>
      </c>
      <c r="I231" s="469">
        <v>0</v>
      </c>
      <c r="J231" s="469">
        <v>6.781999999999999E-4</v>
      </c>
    </row>
    <row r="232" spans="2:10" x14ac:dyDescent="0.35">
      <c r="B232" s="198" t="s">
        <v>633</v>
      </c>
      <c r="C232" s="464" t="s">
        <v>671</v>
      </c>
      <c r="D232" s="454">
        <v>9.6766117999999999</v>
      </c>
      <c r="E232" s="454">
        <v>5.7992183000000006</v>
      </c>
      <c r="F232" s="454">
        <v>1.6967698999999998</v>
      </c>
      <c r="G232" s="454">
        <v>1.4113699999999998E-2</v>
      </c>
      <c r="H232" s="454">
        <v>0</v>
      </c>
      <c r="I232" s="454">
        <v>0</v>
      </c>
      <c r="J232" s="454">
        <v>0</v>
      </c>
    </row>
    <row r="233" spans="2:10" x14ac:dyDescent="0.35">
      <c r="B233" s="198" t="s">
        <v>634</v>
      </c>
      <c r="C233" s="464" t="s">
        <v>671</v>
      </c>
      <c r="D233" s="454">
        <v>1.6831766000000001</v>
      </c>
      <c r="E233" s="454">
        <v>0.71582799999999991</v>
      </c>
      <c r="F233" s="454">
        <v>0.29837779999999997</v>
      </c>
      <c r="G233" s="454">
        <v>1.13528E-2</v>
      </c>
      <c r="H233" s="454">
        <v>0</v>
      </c>
      <c r="I233" s="454">
        <v>0</v>
      </c>
      <c r="J233" s="454">
        <v>0</v>
      </c>
    </row>
    <row r="234" spans="2:10" x14ac:dyDescent="0.35">
      <c r="B234" s="198" t="s">
        <v>635</v>
      </c>
      <c r="C234" s="464" t="s">
        <v>671</v>
      </c>
      <c r="D234" s="454">
        <v>2.1904468000000001</v>
      </c>
      <c r="E234" s="454">
        <v>2.2551133999999999</v>
      </c>
      <c r="F234" s="454">
        <v>0.43803890000000001</v>
      </c>
      <c r="G234" s="454">
        <v>8.3163000000000004E-3</v>
      </c>
      <c r="H234" s="454">
        <v>3.8610000000000001E-4</v>
      </c>
      <c r="I234" s="454">
        <v>0</v>
      </c>
      <c r="J234" s="454">
        <v>0</v>
      </c>
    </row>
    <row r="235" spans="2:10" x14ac:dyDescent="0.35">
      <c r="B235" s="199" t="s">
        <v>636</v>
      </c>
      <c r="C235" s="464" t="s">
        <v>671</v>
      </c>
      <c r="D235" s="466">
        <f t="shared" ref="D235:I235" si="104">SUM(D230:D234)</f>
        <v>22.939625100000001</v>
      </c>
      <c r="E235" s="466">
        <f t="shared" si="104"/>
        <v>14.686651400000002</v>
      </c>
      <c r="F235" s="466">
        <f t="shared" si="104"/>
        <v>11.545273400000003</v>
      </c>
      <c r="G235" s="466">
        <f t="shared" si="104"/>
        <v>0.45283830000000003</v>
      </c>
      <c r="H235" s="466">
        <f t="shared" si="104"/>
        <v>3.1641E-3</v>
      </c>
      <c r="I235" s="466">
        <f t="shared" si="104"/>
        <v>0</v>
      </c>
      <c r="J235" s="466">
        <f t="shared" ref="J235" si="105">SUM(J230:J234)</f>
        <v>6.781999999999999E-4</v>
      </c>
    </row>
    <row r="236" spans="2:10" x14ac:dyDescent="0.35">
      <c r="B236" s="199" t="s">
        <v>637</v>
      </c>
      <c r="C236" s="464"/>
      <c r="D236" s="455"/>
      <c r="E236" s="455"/>
      <c r="F236" s="455"/>
      <c r="G236" s="455"/>
      <c r="H236" s="455"/>
      <c r="I236" s="455"/>
      <c r="J236" s="455"/>
    </row>
    <row r="237" spans="2:10" x14ac:dyDescent="0.35">
      <c r="B237" s="198" t="s">
        <v>638</v>
      </c>
      <c r="C237" s="464" t="s">
        <v>671</v>
      </c>
      <c r="D237" s="454">
        <v>3.9436406000000002</v>
      </c>
      <c r="E237" s="454">
        <v>1.0969967</v>
      </c>
      <c r="F237" s="454">
        <v>0.35586859999999998</v>
      </c>
      <c r="G237" s="454">
        <v>3.6747500000000002E-2</v>
      </c>
      <c r="H237" s="454">
        <v>1.6591999999999998E-3</v>
      </c>
      <c r="I237" s="454">
        <v>0</v>
      </c>
      <c r="J237" s="454">
        <v>0</v>
      </c>
    </row>
    <row r="238" spans="2:10" x14ac:dyDescent="0.35">
      <c r="B238" s="198" t="s">
        <v>639</v>
      </c>
      <c r="C238" s="464" t="s">
        <v>671</v>
      </c>
      <c r="D238" s="454">
        <v>16.383634799999999</v>
      </c>
      <c r="E238" s="454">
        <v>8.0656470000000002</v>
      </c>
      <c r="F238" s="454">
        <v>3.5228579999999998</v>
      </c>
      <c r="G238" s="454">
        <v>1.3471827999999999</v>
      </c>
      <c r="H238" s="454">
        <v>9.8020800000000005E-2</v>
      </c>
      <c r="I238" s="454">
        <v>9.5180999999999998E-3</v>
      </c>
      <c r="J238" s="454">
        <v>0</v>
      </c>
    </row>
    <row r="239" spans="2:10" x14ac:dyDescent="0.35">
      <c r="B239" s="198" t="s">
        <v>640</v>
      </c>
      <c r="C239" s="464" t="s">
        <v>671</v>
      </c>
      <c r="D239" s="454">
        <v>10.0610651</v>
      </c>
      <c r="E239" s="454">
        <v>4.4764720000000002</v>
      </c>
      <c r="F239" s="454">
        <v>1.7409796000000002</v>
      </c>
      <c r="G239" s="454">
        <v>0.69647250000000005</v>
      </c>
      <c r="H239" s="454">
        <v>4.5939500000000001E-2</v>
      </c>
      <c r="I239" s="454">
        <v>1.04762E-2</v>
      </c>
      <c r="J239" s="454">
        <v>0</v>
      </c>
    </row>
    <row r="240" spans="2:10" x14ac:dyDescent="0.35">
      <c r="B240" s="198" t="s">
        <v>641</v>
      </c>
      <c r="C240" s="464" t="s">
        <v>671</v>
      </c>
      <c r="D240" s="454">
        <v>2.1866901000000003</v>
      </c>
      <c r="E240" s="454">
        <v>0.6820484</v>
      </c>
      <c r="F240" s="454">
        <v>0.1820457</v>
      </c>
      <c r="G240" s="454">
        <v>0.1038891</v>
      </c>
      <c r="H240" s="454">
        <v>0</v>
      </c>
      <c r="I240" s="454">
        <v>0</v>
      </c>
      <c r="J240" s="454">
        <v>0</v>
      </c>
    </row>
    <row r="241" spans="2:10" x14ac:dyDescent="0.35">
      <c r="B241" s="198" t="s">
        <v>642</v>
      </c>
      <c r="C241" s="464" t="s">
        <v>671</v>
      </c>
      <c r="D241" s="454">
        <v>0.39262610000000003</v>
      </c>
      <c r="E241" s="454">
        <v>1.5668599999999998E-2</v>
      </c>
      <c r="F241" s="454">
        <v>3.7679000000000002E-3</v>
      </c>
      <c r="G241" s="454">
        <v>0</v>
      </c>
      <c r="H241" s="454">
        <v>0</v>
      </c>
      <c r="I241" s="454">
        <v>0</v>
      </c>
      <c r="J241" s="454">
        <v>0</v>
      </c>
    </row>
    <row r="242" spans="2:10" x14ac:dyDescent="0.35">
      <c r="B242" s="199" t="s">
        <v>643</v>
      </c>
      <c r="C242" s="464" t="s">
        <v>671</v>
      </c>
      <c r="D242" s="466">
        <f t="shared" ref="D242:I242" si="106">SUM(D237:D241)</f>
        <v>32.967656699999999</v>
      </c>
      <c r="E242" s="466">
        <f t="shared" si="106"/>
        <v>14.3368327</v>
      </c>
      <c r="F242" s="466">
        <f t="shared" si="106"/>
        <v>5.805519799999999</v>
      </c>
      <c r="G242" s="466">
        <f t="shared" si="106"/>
        <v>2.1842918999999998</v>
      </c>
      <c r="H242" s="466">
        <f t="shared" si="106"/>
        <v>0.14561950000000001</v>
      </c>
      <c r="I242" s="466">
        <f t="shared" si="106"/>
        <v>1.99943E-2</v>
      </c>
      <c r="J242" s="466">
        <f t="shared" ref="J242" si="107">SUM(J237:J241)</f>
        <v>0</v>
      </c>
    </row>
    <row r="243" spans="2:10" x14ac:dyDescent="0.35">
      <c r="B243" s="199" t="s">
        <v>644</v>
      </c>
      <c r="C243" s="464"/>
      <c r="D243" s="455"/>
      <c r="E243" s="455"/>
      <c r="F243" s="455"/>
      <c r="G243" s="455"/>
      <c r="H243" s="455"/>
      <c r="I243" s="455"/>
      <c r="J243" s="455"/>
    </row>
    <row r="244" spans="2:10" x14ac:dyDescent="0.35">
      <c r="B244" s="198" t="s">
        <v>645</v>
      </c>
      <c r="C244" s="464" t="s">
        <v>671</v>
      </c>
      <c r="D244" s="454">
        <v>1.202817</v>
      </c>
      <c r="E244" s="454">
        <v>0.41471429999999998</v>
      </c>
      <c r="F244" s="454">
        <v>2.2045097999999999</v>
      </c>
      <c r="G244" s="454">
        <v>2.9187527000000002</v>
      </c>
      <c r="H244" s="454">
        <v>1.0618889999999999</v>
      </c>
      <c r="I244" s="454">
        <v>0.2181689</v>
      </c>
      <c r="J244" s="454">
        <v>5.55825E-2</v>
      </c>
    </row>
    <row r="245" spans="2:10" x14ac:dyDescent="0.35">
      <c r="B245" s="198" t="s">
        <v>646</v>
      </c>
      <c r="C245" s="464" t="s">
        <v>671</v>
      </c>
      <c r="D245" s="454">
        <v>16.555218200000002</v>
      </c>
      <c r="E245" s="454">
        <v>7.3224078000000006</v>
      </c>
      <c r="F245" s="454">
        <v>5.4904146999999996</v>
      </c>
      <c r="G245" s="454">
        <v>5.6056920999999997</v>
      </c>
      <c r="H245" s="454">
        <v>10.133623900000002</v>
      </c>
      <c r="I245" s="454">
        <v>3.8328571</v>
      </c>
      <c r="J245" s="454">
        <v>0.85680999999999996</v>
      </c>
    </row>
    <row r="246" spans="2:10" x14ac:dyDescent="0.35">
      <c r="B246" s="198" t="s">
        <v>647</v>
      </c>
      <c r="C246" s="464" t="s">
        <v>671</v>
      </c>
      <c r="D246" s="454">
        <v>11.81123480000003</v>
      </c>
      <c r="E246" s="454">
        <v>7.5921369000000061</v>
      </c>
      <c r="F246" s="454">
        <v>8.0361714000000006</v>
      </c>
      <c r="G246" s="454">
        <v>5.1374325000000001</v>
      </c>
      <c r="H246" s="454">
        <v>1.4235924</v>
      </c>
      <c r="I246" s="454">
        <v>3.7733799999999998E-2</v>
      </c>
      <c r="J246" s="454">
        <v>6.4939999999999996E-4</v>
      </c>
    </row>
    <row r="247" spans="2:10" x14ac:dyDescent="0.35">
      <c r="B247" s="198" t="s">
        <v>648</v>
      </c>
      <c r="C247" s="464" t="s">
        <v>671</v>
      </c>
      <c r="D247" s="454">
        <v>9.2862159000000002</v>
      </c>
      <c r="E247" s="454">
        <v>5.3864307000000009</v>
      </c>
      <c r="F247" s="454">
        <v>12.3529973</v>
      </c>
      <c r="G247" s="454">
        <v>5.6756368000000004</v>
      </c>
      <c r="H247" s="454">
        <v>1.2273942000000002</v>
      </c>
      <c r="I247" s="454">
        <v>0</v>
      </c>
      <c r="J247" s="454">
        <v>6.353199999999999E-3</v>
      </c>
    </row>
    <row r="248" spans="2:10" x14ac:dyDescent="0.35">
      <c r="B248" s="199" t="s">
        <v>649</v>
      </c>
      <c r="C248" s="464" t="s">
        <v>671</v>
      </c>
      <c r="D248" s="466">
        <f t="shared" ref="D248:I248" si="108">SUM(D243:D247)</f>
        <v>38.855485900000033</v>
      </c>
      <c r="E248" s="466">
        <f t="shared" si="108"/>
        <v>20.715689700000009</v>
      </c>
      <c r="F248" s="466">
        <f t="shared" si="108"/>
        <v>28.084093199999998</v>
      </c>
      <c r="G248" s="466">
        <f t="shared" si="108"/>
        <v>19.3375141</v>
      </c>
      <c r="H248" s="466">
        <f t="shared" si="108"/>
        <v>13.846499500000002</v>
      </c>
      <c r="I248" s="466">
        <f t="shared" si="108"/>
        <v>4.0887598000000001</v>
      </c>
      <c r="J248" s="466">
        <f t="shared" ref="J248" si="109">SUM(J243:J247)</f>
        <v>0.91939509999999991</v>
      </c>
    </row>
    <row r="249" spans="2:10" x14ac:dyDescent="0.35">
      <c r="B249" s="248" t="s">
        <v>752</v>
      </c>
      <c r="C249" s="467" t="s">
        <v>671</v>
      </c>
      <c r="D249" s="468">
        <f t="shared" ref="D249:I249" si="110">D248+D242+D235</f>
        <v>94.76276770000004</v>
      </c>
      <c r="E249" s="468">
        <f t="shared" si="110"/>
        <v>49.73917380000001</v>
      </c>
      <c r="F249" s="468">
        <f t="shared" si="110"/>
        <v>45.434886399999996</v>
      </c>
      <c r="G249" s="468">
        <f t="shared" si="110"/>
        <v>21.974644299999998</v>
      </c>
      <c r="H249" s="468">
        <f t="shared" si="110"/>
        <v>13.995283100000002</v>
      </c>
      <c r="I249" s="468">
        <f t="shared" si="110"/>
        <v>4.1087540999999996</v>
      </c>
      <c r="J249" s="468">
        <f t="shared" ref="J249" si="111">J248+J242+J235</f>
        <v>0.92007329999999987</v>
      </c>
    </row>
    <row r="250" spans="2:10" x14ac:dyDescent="0.35">
      <c r="B250" s="455"/>
      <c r="C250" s="455"/>
    </row>
    <row r="251" spans="2:10" x14ac:dyDescent="0.35">
      <c r="B251" s="440" t="s">
        <v>1605</v>
      </c>
      <c r="C251" s="449"/>
      <c r="D251" s="449"/>
      <c r="E251" s="449"/>
      <c r="F251" s="449"/>
      <c r="G251" s="449"/>
      <c r="H251" s="449"/>
      <c r="I251" s="449"/>
      <c r="J251" s="449"/>
    </row>
    <row r="252" spans="2:10" x14ac:dyDescent="0.35">
      <c r="B252" s="199" t="s">
        <v>664</v>
      </c>
      <c r="C252" s="455"/>
      <c r="D252" s="455"/>
      <c r="E252" s="455"/>
      <c r="F252" s="455"/>
      <c r="G252" s="455"/>
      <c r="H252" s="455"/>
      <c r="I252" s="455"/>
      <c r="J252" s="455"/>
    </row>
    <row r="253" spans="2:10" s="134" customFormat="1" x14ac:dyDescent="0.35">
      <c r="B253" s="199" t="s">
        <v>630</v>
      </c>
      <c r="C253" s="455"/>
      <c r="D253" s="455"/>
      <c r="E253" s="455"/>
      <c r="F253" s="455"/>
      <c r="G253" s="455"/>
      <c r="H253" s="455"/>
      <c r="I253" s="455"/>
      <c r="J253" s="455"/>
    </row>
    <row r="254" spans="2:10" x14ac:dyDescent="0.35">
      <c r="B254" s="198" t="s">
        <v>631</v>
      </c>
      <c r="C254" s="464" t="s">
        <v>671</v>
      </c>
      <c r="D254" s="454">
        <v>0</v>
      </c>
      <c r="E254" s="454">
        <v>0</v>
      </c>
      <c r="F254" s="454">
        <v>0</v>
      </c>
      <c r="G254" s="454">
        <v>0</v>
      </c>
      <c r="H254" s="454">
        <v>0</v>
      </c>
      <c r="I254" s="454">
        <v>0</v>
      </c>
      <c r="J254" s="454">
        <v>0</v>
      </c>
    </row>
    <row r="255" spans="2:10" x14ac:dyDescent="0.35">
      <c r="B255" s="198" t="s">
        <v>632</v>
      </c>
      <c r="C255" s="464" t="s">
        <v>671</v>
      </c>
      <c r="D255" s="454">
        <v>0</v>
      </c>
      <c r="E255" s="454">
        <v>0</v>
      </c>
      <c r="F255" s="454">
        <v>0</v>
      </c>
      <c r="G255" s="454">
        <v>0</v>
      </c>
      <c r="H255" s="454">
        <v>0</v>
      </c>
      <c r="I255" s="454">
        <v>0</v>
      </c>
      <c r="J255" s="454">
        <v>0</v>
      </c>
    </row>
    <row r="256" spans="2:10" x14ac:dyDescent="0.35">
      <c r="B256" s="198" t="s">
        <v>633</v>
      </c>
      <c r="C256" s="464" t="s">
        <v>671</v>
      </c>
      <c r="D256" s="454">
        <v>0</v>
      </c>
      <c r="E256" s="454">
        <v>0</v>
      </c>
      <c r="F256" s="454">
        <v>0</v>
      </c>
      <c r="G256" s="454">
        <v>0</v>
      </c>
      <c r="H256" s="454">
        <v>0</v>
      </c>
      <c r="I256" s="454">
        <v>0</v>
      </c>
      <c r="J256" s="454">
        <v>0</v>
      </c>
    </row>
    <row r="257" spans="2:10" x14ac:dyDescent="0.35">
      <c r="B257" s="198" t="s">
        <v>634</v>
      </c>
      <c r="C257" s="464" t="s">
        <v>671</v>
      </c>
      <c r="D257" s="454">
        <v>0</v>
      </c>
      <c r="E257" s="454">
        <v>0</v>
      </c>
      <c r="F257" s="454">
        <v>0</v>
      </c>
      <c r="G257" s="454">
        <v>0</v>
      </c>
      <c r="H257" s="454">
        <v>0</v>
      </c>
      <c r="I257" s="454">
        <v>0</v>
      </c>
      <c r="J257" s="454">
        <v>0</v>
      </c>
    </row>
    <row r="258" spans="2:10" x14ac:dyDescent="0.35">
      <c r="B258" s="198" t="s">
        <v>635</v>
      </c>
      <c r="C258" s="464" t="s">
        <v>671</v>
      </c>
      <c r="D258" s="454">
        <v>0</v>
      </c>
      <c r="E258" s="454">
        <v>0</v>
      </c>
      <c r="F258" s="454">
        <v>0</v>
      </c>
      <c r="G258" s="454">
        <v>0</v>
      </c>
      <c r="H258" s="454">
        <v>0</v>
      </c>
      <c r="I258" s="454">
        <v>0</v>
      </c>
      <c r="J258" s="454">
        <v>0</v>
      </c>
    </row>
    <row r="259" spans="2:10" x14ac:dyDescent="0.35">
      <c r="B259" s="199" t="s">
        <v>636</v>
      </c>
      <c r="C259" s="464" t="s">
        <v>671</v>
      </c>
      <c r="D259" s="466">
        <f t="shared" ref="D259:I259" si="112">SUM(D254:D258)</f>
        <v>0</v>
      </c>
      <c r="E259" s="466">
        <f t="shared" si="112"/>
        <v>0</v>
      </c>
      <c r="F259" s="466">
        <f t="shared" si="112"/>
        <v>0</v>
      </c>
      <c r="G259" s="466">
        <f t="shared" si="112"/>
        <v>0</v>
      </c>
      <c r="H259" s="466">
        <f t="shared" si="112"/>
        <v>0</v>
      </c>
      <c r="I259" s="466">
        <f t="shared" si="112"/>
        <v>0</v>
      </c>
      <c r="J259" s="466">
        <f t="shared" ref="J259" si="113">SUM(J254:J258)</f>
        <v>0</v>
      </c>
    </row>
    <row r="260" spans="2:10" x14ac:dyDescent="0.35">
      <c r="B260" s="199" t="s">
        <v>637</v>
      </c>
      <c r="C260" s="464"/>
      <c r="D260" s="455"/>
      <c r="E260" s="455"/>
      <c r="F260" s="455"/>
      <c r="G260" s="455"/>
      <c r="H260" s="455"/>
      <c r="I260" s="455"/>
      <c r="J260" s="455"/>
    </row>
    <row r="261" spans="2:10" x14ac:dyDescent="0.35">
      <c r="B261" s="198" t="s">
        <v>638</v>
      </c>
      <c r="C261" s="464" t="s">
        <v>671</v>
      </c>
      <c r="D261" s="454">
        <v>0</v>
      </c>
      <c r="E261" s="454">
        <v>0</v>
      </c>
      <c r="F261" s="454">
        <v>0</v>
      </c>
      <c r="G261" s="454">
        <v>0</v>
      </c>
      <c r="H261" s="454">
        <v>0</v>
      </c>
      <c r="I261" s="454">
        <v>0</v>
      </c>
      <c r="J261" s="454">
        <v>0</v>
      </c>
    </row>
    <row r="262" spans="2:10" x14ac:dyDescent="0.35">
      <c r="B262" s="198" t="s">
        <v>639</v>
      </c>
      <c r="C262" s="464" t="s">
        <v>671</v>
      </c>
      <c r="D262" s="454">
        <v>0</v>
      </c>
      <c r="E262" s="454">
        <v>0</v>
      </c>
      <c r="F262" s="454">
        <v>0</v>
      </c>
      <c r="G262" s="454">
        <v>0</v>
      </c>
      <c r="H262" s="454">
        <v>0</v>
      </c>
      <c r="I262" s="454">
        <v>0</v>
      </c>
      <c r="J262" s="454">
        <v>0</v>
      </c>
    </row>
    <row r="263" spans="2:10" x14ac:dyDescent="0.35">
      <c r="B263" s="198" t="s">
        <v>640</v>
      </c>
      <c r="C263" s="464" t="s">
        <v>671</v>
      </c>
      <c r="D263" s="454">
        <v>0</v>
      </c>
      <c r="E263" s="454">
        <v>0</v>
      </c>
      <c r="F263" s="454">
        <v>0</v>
      </c>
      <c r="G263" s="454">
        <v>0</v>
      </c>
      <c r="H263" s="454">
        <v>0</v>
      </c>
      <c r="I263" s="454">
        <v>0</v>
      </c>
      <c r="J263" s="454">
        <v>0</v>
      </c>
    </row>
    <row r="264" spans="2:10" x14ac:dyDescent="0.35">
      <c r="B264" s="198" t="s">
        <v>641</v>
      </c>
      <c r="C264" s="464" t="s">
        <v>671</v>
      </c>
      <c r="D264" s="454">
        <v>0</v>
      </c>
      <c r="E264" s="454">
        <v>0</v>
      </c>
      <c r="F264" s="454">
        <v>0</v>
      </c>
      <c r="G264" s="454">
        <v>0</v>
      </c>
      <c r="H264" s="454">
        <v>0</v>
      </c>
      <c r="I264" s="454">
        <v>0</v>
      </c>
      <c r="J264" s="454">
        <v>0</v>
      </c>
    </row>
    <row r="265" spans="2:10" x14ac:dyDescent="0.35">
      <c r="B265" s="198" t="s">
        <v>642</v>
      </c>
      <c r="C265" s="464" t="s">
        <v>671</v>
      </c>
      <c r="D265" s="454">
        <v>0</v>
      </c>
      <c r="E265" s="454">
        <v>0</v>
      </c>
      <c r="F265" s="454">
        <v>0</v>
      </c>
      <c r="G265" s="454">
        <v>0</v>
      </c>
      <c r="H265" s="454">
        <v>0</v>
      </c>
      <c r="I265" s="454">
        <v>0</v>
      </c>
      <c r="J265" s="454">
        <v>0</v>
      </c>
    </row>
    <row r="266" spans="2:10" x14ac:dyDescent="0.35">
      <c r="B266" s="199" t="s">
        <v>643</v>
      </c>
      <c r="C266" s="464" t="s">
        <v>671</v>
      </c>
      <c r="D266" s="466">
        <f t="shared" ref="D266:I266" si="114">SUM(D261:D265)</f>
        <v>0</v>
      </c>
      <c r="E266" s="466">
        <f t="shared" si="114"/>
        <v>0</v>
      </c>
      <c r="F266" s="466">
        <f t="shared" si="114"/>
        <v>0</v>
      </c>
      <c r="G266" s="466">
        <f t="shared" si="114"/>
        <v>0</v>
      </c>
      <c r="H266" s="466">
        <f t="shared" si="114"/>
        <v>0</v>
      </c>
      <c r="I266" s="466">
        <f t="shared" si="114"/>
        <v>0</v>
      </c>
      <c r="J266" s="466">
        <f t="shared" ref="J266" si="115">SUM(J261:J265)</f>
        <v>0</v>
      </c>
    </row>
    <row r="267" spans="2:10" x14ac:dyDescent="0.35">
      <c r="B267" s="199" t="s">
        <v>644</v>
      </c>
      <c r="C267" s="464"/>
      <c r="D267" s="455"/>
      <c r="E267" s="455"/>
      <c r="F267" s="455"/>
      <c r="G267" s="455"/>
      <c r="H267" s="455"/>
      <c r="I267" s="455"/>
      <c r="J267" s="455"/>
    </row>
    <row r="268" spans="2:10" x14ac:dyDescent="0.35">
      <c r="B268" s="198" t="s">
        <v>645</v>
      </c>
      <c r="C268" s="464" t="s">
        <v>671</v>
      </c>
      <c r="D268" s="454">
        <v>0</v>
      </c>
      <c r="E268" s="454">
        <v>0</v>
      </c>
      <c r="F268" s="454">
        <v>0</v>
      </c>
      <c r="G268" s="454">
        <v>0</v>
      </c>
      <c r="H268" s="454">
        <v>0</v>
      </c>
      <c r="I268" s="454">
        <v>0</v>
      </c>
      <c r="J268" s="454">
        <v>0</v>
      </c>
    </row>
    <row r="269" spans="2:10" x14ac:dyDescent="0.35">
      <c r="B269" s="198" t="s">
        <v>646</v>
      </c>
      <c r="C269" s="464" t="s">
        <v>671</v>
      </c>
      <c r="D269" s="454">
        <v>0</v>
      </c>
      <c r="E269" s="454">
        <v>0</v>
      </c>
      <c r="F269" s="454">
        <v>0</v>
      </c>
      <c r="G269" s="454">
        <v>0</v>
      </c>
      <c r="H269" s="454">
        <v>0</v>
      </c>
      <c r="I269" s="454">
        <v>0</v>
      </c>
      <c r="J269" s="454">
        <v>0</v>
      </c>
    </row>
    <row r="270" spans="2:10" x14ac:dyDescent="0.35">
      <c r="B270" s="198" t="s">
        <v>647</v>
      </c>
      <c r="C270" s="464" t="s">
        <v>671</v>
      </c>
      <c r="D270" s="454">
        <v>0</v>
      </c>
      <c r="E270" s="454">
        <v>0</v>
      </c>
      <c r="F270" s="454">
        <v>0</v>
      </c>
      <c r="G270" s="454">
        <v>0</v>
      </c>
      <c r="H270" s="454">
        <v>0</v>
      </c>
      <c r="I270" s="454">
        <v>0</v>
      </c>
      <c r="J270" s="454">
        <v>0</v>
      </c>
    </row>
    <row r="271" spans="2:10" s="134" customFormat="1" x14ac:dyDescent="0.35">
      <c r="B271" s="198" t="s">
        <v>648</v>
      </c>
      <c r="C271" s="464" t="s">
        <v>671</v>
      </c>
      <c r="D271" s="454">
        <v>0</v>
      </c>
      <c r="E271" s="454">
        <v>0</v>
      </c>
      <c r="F271" s="454">
        <v>0</v>
      </c>
      <c r="G271" s="454">
        <v>0</v>
      </c>
      <c r="H271" s="454">
        <v>0</v>
      </c>
      <c r="I271" s="454">
        <v>0</v>
      </c>
      <c r="J271" s="454">
        <v>0</v>
      </c>
    </row>
    <row r="272" spans="2:10" x14ac:dyDescent="0.35">
      <c r="B272" s="199" t="s">
        <v>649</v>
      </c>
      <c r="C272" s="464" t="s">
        <v>671</v>
      </c>
      <c r="D272" s="480">
        <f t="shared" ref="D272:I272" si="116">SUM(D268:D271)</f>
        <v>0</v>
      </c>
      <c r="E272" s="480">
        <f t="shared" si="116"/>
        <v>0</v>
      </c>
      <c r="F272" s="480">
        <f t="shared" si="116"/>
        <v>0</v>
      </c>
      <c r="G272" s="480">
        <f t="shared" si="116"/>
        <v>0</v>
      </c>
      <c r="H272" s="480">
        <f t="shared" si="116"/>
        <v>0</v>
      </c>
      <c r="I272" s="480">
        <f t="shared" si="116"/>
        <v>0</v>
      </c>
      <c r="J272" s="480">
        <f t="shared" ref="J272" si="117">SUM(J268:J271)</f>
        <v>0</v>
      </c>
    </row>
    <row r="273" spans="2:10" x14ac:dyDescent="0.35">
      <c r="B273" s="248" t="s">
        <v>753</v>
      </c>
      <c r="C273" s="467" t="s">
        <v>671</v>
      </c>
      <c r="D273" s="468">
        <f t="shared" ref="D273:I273" si="118">D272+D266+D259</f>
        <v>0</v>
      </c>
      <c r="E273" s="468">
        <f t="shared" si="118"/>
        <v>0</v>
      </c>
      <c r="F273" s="468">
        <f t="shared" si="118"/>
        <v>0</v>
      </c>
      <c r="G273" s="468">
        <f t="shared" si="118"/>
        <v>0</v>
      </c>
      <c r="H273" s="468">
        <f t="shared" si="118"/>
        <v>0</v>
      </c>
      <c r="I273" s="468">
        <f t="shared" si="118"/>
        <v>0</v>
      </c>
      <c r="J273" s="468">
        <f t="shared" ref="J273" si="119">J272+J266+J259</f>
        <v>0</v>
      </c>
    </row>
    <row r="274" spans="2:10" x14ac:dyDescent="0.35">
      <c r="B274" s="474" t="s">
        <v>677</v>
      </c>
      <c r="C274" s="462"/>
      <c r="D274" s="475">
        <f t="shared" ref="D274:I274" si="120">D273+D249+D225+D201</f>
        <v>492.50749670000005</v>
      </c>
      <c r="E274" s="475">
        <f t="shared" si="120"/>
        <v>545.70375009999998</v>
      </c>
      <c r="F274" s="475">
        <f t="shared" si="120"/>
        <v>667.39422909999996</v>
      </c>
      <c r="G274" s="475">
        <f t="shared" si="120"/>
        <v>762.8093384</v>
      </c>
      <c r="H274" s="475">
        <f t="shared" si="120"/>
        <v>735.53694150000001</v>
      </c>
      <c r="I274" s="475">
        <f t="shared" si="120"/>
        <v>730.03699129999995</v>
      </c>
      <c r="J274" s="475">
        <f t="shared" ref="J274" si="121">J273+J249+J225+J201</f>
        <v>597.16404610000006</v>
      </c>
    </row>
    <row r="275" spans="2:10" x14ac:dyDescent="0.35">
      <c r="B275" s="477" t="s">
        <v>759</v>
      </c>
      <c r="C275" s="449"/>
      <c r="D275" s="442"/>
      <c r="E275" s="442"/>
      <c r="F275" s="442"/>
      <c r="G275" s="442"/>
      <c r="H275" s="442"/>
      <c r="I275" s="442"/>
      <c r="J275" s="442"/>
    </row>
    <row r="276" spans="2:10" x14ac:dyDescent="0.35">
      <c r="B276" s="199" t="s">
        <v>664</v>
      </c>
      <c r="C276" s="455"/>
      <c r="D276" s="455"/>
      <c r="E276" s="455"/>
      <c r="F276" s="455"/>
      <c r="G276" s="455"/>
      <c r="H276" s="455"/>
      <c r="I276" s="455"/>
      <c r="J276" s="455"/>
    </row>
    <row r="277" spans="2:10" x14ac:dyDescent="0.35">
      <c r="B277" s="199" t="s">
        <v>630</v>
      </c>
      <c r="C277" s="455"/>
      <c r="D277" s="455"/>
      <c r="E277" s="455"/>
      <c r="F277" s="455"/>
      <c r="G277" s="455"/>
      <c r="H277" s="455"/>
      <c r="I277" s="455"/>
      <c r="J277" s="455"/>
    </row>
    <row r="278" spans="2:10" x14ac:dyDescent="0.35">
      <c r="B278" s="198" t="s">
        <v>631</v>
      </c>
      <c r="C278" s="464" t="s">
        <v>671</v>
      </c>
      <c r="D278" s="480">
        <f t="shared" ref="D278:I278" si="122">+D84+D108+D132+D156+D182+D206+D230+D254</f>
        <v>147.5348716</v>
      </c>
      <c r="E278" s="480">
        <f t="shared" si="122"/>
        <v>133.3360725</v>
      </c>
      <c r="F278" s="480">
        <f t="shared" si="122"/>
        <v>155.09296849999998</v>
      </c>
      <c r="G278" s="480">
        <f t="shared" si="122"/>
        <v>174.89708099999999</v>
      </c>
      <c r="H278" s="480">
        <f t="shared" si="122"/>
        <v>171.30671889999996</v>
      </c>
      <c r="I278" s="480">
        <f t="shared" si="122"/>
        <v>187.4341522</v>
      </c>
      <c r="J278" s="480">
        <f t="shared" ref="J278" si="123">+J84+J108+J132+J156+J182+J206+J230+J254</f>
        <v>179.10386840000001</v>
      </c>
    </row>
    <row r="279" spans="2:10" x14ac:dyDescent="0.35">
      <c r="B279" s="198" t="s">
        <v>632</v>
      </c>
      <c r="C279" s="464" t="s">
        <v>671</v>
      </c>
      <c r="D279" s="480">
        <f t="shared" ref="D279:I279" si="124">+D85+D109+D133+D157+D183+D207+D231+D255</f>
        <v>80.212369600000002</v>
      </c>
      <c r="E279" s="480">
        <f t="shared" si="124"/>
        <v>102.64348699999999</v>
      </c>
      <c r="F279" s="480">
        <f t="shared" si="124"/>
        <v>124.43507630000002</v>
      </c>
      <c r="G279" s="480">
        <f t="shared" si="124"/>
        <v>142.50784969999998</v>
      </c>
      <c r="H279" s="480">
        <f t="shared" si="124"/>
        <v>137.9058751</v>
      </c>
      <c r="I279" s="480">
        <f t="shared" si="124"/>
        <v>155.71026280000001</v>
      </c>
      <c r="J279" s="480">
        <f t="shared" ref="J279" si="125">+J85+J109+J133+J157+J183+J207+J231+J255</f>
        <v>129.45956430000001</v>
      </c>
    </row>
    <row r="280" spans="2:10" x14ac:dyDescent="0.35">
      <c r="B280" s="198" t="s">
        <v>633</v>
      </c>
      <c r="C280" s="464" t="s">
        <v>671</v>
      </c>
      <c r="D280" s="480">
        <f t="shared" ref="D280:I280" si="126">+D86+D110+D134+D158+D184+D208+D232+D256</f>
        <v>121.66148</v>
      </c>
      <c r="E280" s="480">
        <f t="shared" si="126"/>
        <v>120.70181270000002</v>
      </c>
      <c r="F280" s="480">
        <f t="shared" si="126"/>
        <v>135.1321074</v>
      </c>
      <c r="G280" s="480">
        <f t="shared" si="126"/>
        <v>138.4510411</v>
      </c>
      <c r="H280" s="480">
        <f t="shared" si="126"/>
        <v>139.67045540000001</v>
      </c>
      <c r="I280" s="480">
        <f t="shared" si="126"/>
        <v>148.9498663</v>
      </c>
      <c r="J280" s="480">
        <f t="shared" ref="J280" si="127">+J86+J110+J134+J158+J184+J208+J232+J256</f>
        <v>134.28579200000001</v>
      </c>
    </row>
    <row r="281" spans="2:10" x14ac:dyDescent="0.35">
      <c r="B281" s="198" t="s">
        <v>634</v>
      </c>
      <c r="C281" s="464" t="s">
        <v>671</v>
      </c>
      <c r="D281" s="480">
        <f t="shared" ref="D281:I281" si="128">+D87+D111+D135+D159+D185+D209+D233+D257</f>
        <v>107.87925469999999</v>
      </c>
      <c r="E281" s="480">
        <f t="shared" si="128"/>
        <v>107.0247487</v>
      </c>
      <c r="F281" s="480">
        <f t="shared" si="128"/>
        <v>114.81899149999998</v>
      </c>
      <c r="G281" s="480">
        <f t="shared" si="128"/>
        <v>124.52047229999999</v>
      </c>
      <c r="H281" s="480">
        <f t="shared" si="128"/>
        <v>125.7968541</v>
      </c>
      <c r="I281" s="480">
        <f t="shared" si="128"/>
        <v>151.29519640000001</v>
      </c>
      <c r="J281" s="480">
        <f t="shared" ref="J281" si="129">+J87+J111+J135+J159+J185+J209+J233+J257</f>
        <v>131.76824310000001</v>
      </c>
    </row>
    <row r="282" spans="2:10" x14ac:dyDescent="0.35">
      <c r="B282" s="198" t="s">
        <v>635</v>
      </c>
      <c r="C282" s="464" t="s">
        <v>671</v>
      </c>
      <c r="D282" s="480">
        <f t="shared" ref="D282:I282" si="130">+D88+D112+D136+D160+D186+D210+D234+D258</f>
        <v>32.287270899999996</v>
      </c>
      <c r="E282" s="480">
        <f t="shared" si="130"/>
        <v>62.0618731</v>
      </c>
      <c r="F282" s="480">
        <f t="shared" si="130"/>
        <v>83.716506399999986</v>
      </c>
      <c r="G282" s="480">
        <f t="shared" si="130"/>
        <v>87.023098100000013</v>
      </c>
      <c r="H282" s="480">
        <f t="shared" si="130"/>
        <v>88.30393629999999</v>
      </c>
      <c r="I282" s="480">
        <f t="shared" si="130"/>
        <v>110.40317710000001</v>
      </c>
      <c r="J282" s="480">
        <f t="shared" ref="J282" si="131">+J88+J112+J136+J160+J186+J210+J234+J258</f>
        <v>93.1250304</v>
      </c>
    </row>
    <row r="283" spans="2:10" x14ac:dyDescent="0.35">
      <c r="B283" s="199" t="s">
        <v>636</v>
      </c>
      <c r="C283" s="464" t="s">
        <v>671</v>
      </c>
      <c r="D283" s="466">
        <f t="shared" ref="D283:I283" si="132">SUM(D278:D282)</f>
        <v>489.5752468</v>
      </c>
      <c r="E283" s="466">
        <f t="shared" si="132"/>
        <v>525.76799399999993</v>
      </c>
      <c r="F283" s="466">
        <f t="shared" si="132"/>
        <v>613.19565009999985</v>
      </c>
      <c r="G283" s="466">
        <f t="shared" si="132"/>
        <v>667.39954219999993</v>
      </c>
      <c r="H283" s="466">
        <f t="shared" si="132"/>
        <v>662.98383980000006</v>
      </c>
      <c r="I283" s="466">
        <f t="shared" si="132"/>
        <v>753.79265480000004</v>
      </c>
      <c r="J283" s="466">
        <f t="shared" ref="J283" si="133">SUM(J278:J282)</f>
        <v>667.7424982</v>
      </c>
    </row>
    <row r="284" spans="2:10" x14ac:dyDescent="0.35">
      <c r="B284" s="199" t="s">
        <v>637</v>
      </c>
      <c r="C284" s="464"/>
      <c r="D284" s="455"/>
      <c r="E284" s="455"/>
      <c r="F284" s="455"/>
      <c r="G284" s="455"/>
      <c r="H284" s="455"/>
      <c r="I284" s="455"/>
      <c r="J284" s="455"/>
    </row>
    <row r="285" spans="2:10" x14ac:dyDescent="0.35">
      <c r="B285" s="198" t="s">
        <v>638</v>
      </c>
      <c r="C285" s="464" t="s">
        <v>671</v>
      </c>
      <c r="D285" s="480">
        <f t="shared" ref="D285:I285" si="134">+D91+D115+D139+D163+D189+D213+D237+D261</f>
        <v>138.96856070000001</v>
      </c>
      <c r="E285" s="480">
        <f t="shared" si="134"/>
        <v>166.2345852</v>
      </c>
      <c r="F285" s="480">
        <f t="shared" si="134"/>
        <v>189.57807360000001</v>
      </c>
      <c r="G285" s="480">
        <f t="shared" si="134"/>
        <v>244.71955310000001</v>
      </c>
      <c r="H285" s="480">
        <f t="shared" si="134"/>
        <v>197.84529789999999</v>
      </c>
      <c r="I285" s="480">
        <f t="shared" si="134"/>
        <v>194.16604430000001</v>
      </c>
      <c r="J285" s="480">
        <f t="shared" ref="J285" si="135">+J91+J115+J139+J163+J189+J213+J237+J261</f>
        <v>137.44061869999996</v>
      </c>
    </row>
    <row r="286" spans="2:10" x14ac:dyDescent="0.35">
      <c r="B286" s="198" t="s">
        <v>639</v>
      </c>
      <c r="C286" s="464" t="s">
        <v>671</v>
      </c>
      <c r="D286" s="480">
        <f t="shared" ref="D286:I286" si="136">+D92+D116+D140+D164+D190+D214+D238+D262</f>
        <v>107.8941651</v>
      </c>
      <c r="E286" s="480">
        <f t="shared" si="136"/>
        <v>123.8067928</v>
      </c>
      <c r="F286" s="480">
        <f t="shared" si="136"/>
        <v>138.49497080000003</v>
      </c>
      <c r="G286" s="480">
        <f t="shared" si="136"/>
        <v>149.42049310000002</v>
      </c>
      <c r="H286" s="480">
        <f t="shared" si="136"/>
        <v>147.34247539999998</v>
      </c>
      <c r="I286" s="480">
        <f t="shared" si="136"/>
        <v>143.02418729999999</v>
      </c>
      <c r="J286" s="480">
        <f t="shared" ref="J286" si="137">+J92+J116+J140+J164+J190+J214+J238+J262</f>
        <v>95.343093299999992</v>
      </c>
    </row>
    <row r="287" spans="2:10" x14ac:dyDescent="0.35">
      <c r="B287" s="198" t="s">
        <v>640</v>
      </c>
      <c r="C287" s="464" t="s">
        <v>671</v>
      </c>
      <c r="D287" s="480">
        <f t="shared" ref="D287:I287" si="138">+D93+D117+D141+D165+D191+D215+D239+D263</f>
        <v>105.95670569999999</v>
      </c>
      <c r="E287" s="480">
        <f t="shared" si="138"/>
        <v>119.20295109999999</v>
      </c>
      <c r="F287" s="480">
        <f t="shared" si="138"/>
        <v>121.62423640000002</v>
      </c>
      <c r="G287" s="480">
        <f t="shared" si="138"/>
        <v>143.35719020000002</v>
      </c>
      <c r="H287" s="480">
        <f t="shared" si="138"/>
        <v>142.40187690000002</v>
      </c>
      <c r="I287" s="480">
        <f t="shared" si="138"/>
        <v>127.78218739999998</v>
      </c>
      <c r="J287" s="480">
        <f t="shared" ref="J287" si="139">+J93+J117+J141+J165+J191+J215+J239+J263</f>
        <v>86.513793399999983</v>
      </c>
    </row>
    <row r="288" spans="2:10" x14ac:dyDescent="0.35">
      <c r="B288" s="198" t="s">
        <v>641</v>
      </c>
      <c r="C288" s="464" t="s">
        <v>671</v>
      </c>
      <c r="D288" s="480">
        <f t="shared" ref="D288:I288" si="140">+D94+D118+D142+D166+D192+D216+D240+D264</f>
        <v>47.540767599999995</v>
      </c>
      <c r="E288" s="480">
        <f t="shared" si="140"/>
        <v>71.119572299999987</v>
      </c>
      <c r="F288" s="480">
        <f t="shared" si="140"/>
        <v>93.984606900000017</v>
      </c>
      <c r="G288" s="480">
        <f t="shared" si="140"/>
        <v>105.2521332</v>
      </c>
      <c r="H288" s="480">
        <f t="shared" si="140"/>
        <v>97.8689806</v>
      </c>
      <c r="I288" s="480">
        <f t="shared" si="140"/>
        <v>105.7643446</v>
      </c>
      <c r="J288" s="480">
        <f t="shared" ref="J288" si="141">+J94+J118+J142+J166+J192+J216+J240+J264</f>
        <v>88.1996939</v>
      </c>
    </row>
    <row r="289" spans="2:11" x14ac:dyDescent="0.35">
      <c r="B289" s="198" t="s">
        <v>642</v>
      </c>
      <c r="C289" s="464" t="s">
        <v>671</v>
      </c>
      <c r="D289" s="480">
        <f t="shared" ref="D289:I289" si="142">+D95+D119+D143+D167+D193+D217+D241+D265</f>
        <v>42.237387699999999</v>
      </c>
      <c r="E289" s="480">
        <f t="shared" si="142"/>
        <v>68.261400499999993</v>
      </c>
      <c r="F289" s="480">
        <f t="shared" si="142"/>
        <v>82.760365399999984</v>
      </c>
      <c r="G289" s="480">
        <f t="shared" si="142"/>
        <v>112.19233129999998</v>
      </c>
      <c r="H289" s="480">
        <f t="shared" si="142"/>
        <v>88.3230796</v>
      </c>
      <c r="I289" s="480">
        <f t="shared" si="142"/>
        <v>73.109744300000003</v>
      </c>
      <c r="J289" s="480">
        <f t="shared" ref="J289" si="143">+J95+J119+J143+J167+J193+J217+J241+J265</f>
        <v>58.258389600000001</v>
      </c>
    </row>
    <row r="290" spans="2:11" x14ac:dyDescent="0.35">
      <c r="B290" s="199" t="s">
        <v>643</v>
      </c>
      <c r="C290" s="464" t="s">
        <v>671</v>
      </c>
      <c r="D290" s="466">
        <f t="shared" ref="D290:I290" si="144">SUM(D285:D289)</f>
        <v>442.59758679999999</v>
      </c>
      <c r="E290" s="466">
        <f t="shared" si="144"/>
        <v>548.62530190000007</v>
      </c>
      <c r="F290" s="466">
        <f t="shared" si="144"/>
        <v>626.44225310000002</v>
      </c>
      <c r="G290" s="466">
        <f t="shared" si="144"/>
        <v>754.9417009</v>
      </c>
      <c r="H290" s="466">
        <f t="shared" si="144"/>
        <v>673.78171040000007</v>
      </c>
      <c r="I290" s="466">
        <f t="shared" si="144"/>
        <v>643.84650790000001</v>
      </c>
      <c r="J290" s="466">
        <f t="shared" ref="J290" si="145">SUM(J285:J289)</f>
        <v>465.75558889999991</v>
      </c>
    </row>
    <row r="291" spans="2:11" x14ac:dyDescent="0.35">
      <c r="B291" s="199" t="s">
        <v>644</v>
      </c>
      <c r="C291" s="464"/>
      <c r="D291" s="455"/>
      <c r="E291" s="455"/>
      <c r="F291" s="455"/>
      <c r="G291" s="455"/>
      <c r="H291" s="455"/>
      <c r="I291" s="455"/>
      <c r="J291" s="455"/>
    </row>
    <row r="292" spans="2:11" x14ac:dyDescent="0.35">
      <c r="B292" s="198" t="s">
        <v>645</v>
      </c>
      <c r="C292" s="464" t="s">
        <v>671</v>
      </c>
      <c r="D292" s="480">
        <f t="shared" ref="D292:I292" si="146">+D98+D122+D146+D170+D196+D220+D244+D268</f>
        <v>13.199074799999998</v>
      </c>
      <c r="E292" s="480">
        <f t="shared" si="146"/>
        <v>10.903745000000001</v>
      </c>
      <c r="F292" s="480">
        <f t="shared" si="146"/>
        <v>18.451499800000001</v>
      </c>
      <c r="G292" s="480">
        <f t="shared" si="146"/>
        <v>24.568218300000002</v>
      </c>
      <c r="H292" s="480">
        <f t="shared" si="146"/>
        <v>25.837214200000002</v>
      </c>
      <c r="I292" s="480">
        <f t="shared" si="146"/>
        <v>14.743242200000001</v>
      </c>
      <c r="J292" s="480">
        <f t="shared" ref="J292" si="147">+J98+J122+J146+J170+J196+J220+J244+J268</f>
        <v>11.3007527</v>
      </c>
    </row>
    <row r="293" spans="2:11" x14ac:dyDescent="0.35">
      <c r="B293" s="198" t="s">
        <v>646</v>
      </c>
      <c r="C293" s="464" t="s">
        <v>671</v>
      </c>
      <c r="D293" s="480">
        <f t="shared" ref="D293:I293" si="148">+D99+D123+D147+D171+D197+D221+D245+D269</f>
        <v>35.728744300000002</v>
      </c>
      <c r="E293" s="480">
        <f t="shared" si="148"/>
        <v>37.5843937</v>
      </c>
      <c r="F293" s="480">
        <f t="shared" si="148"/>
        <v>50.861587799999995</v>
      </c>
      <c r="G293" s="480">
        <f t="shared" si="148"/>
        <v>56.045803399999997</v>
      </c>
      <c r="H293" s="480">
        <f t="shared" si="148"/>
        <v>49.434303800000002</v>
      </c>
      <c r="I293" s="480">
        <f t="shared" si="148"/>
        <v>19.907723400000002</v>
      </c>
      <c r="J293" s="480">
        <f t="shared" ref="J293" si="149">+J99+J123+J147+J171+J197+J221+J245+J269</f>
        <v>18.081154000000002</v>
      </c>
    </row>
    <row r="294" spans="2:11" x14ac:dyDescent="0.35">
      <c r="B294" s="198" t="s">
        <v>647</v>
      </c>
      <c r="C294" s="464" t="s">
        <v>671</v>
      </c>
      <c r="D294" s="480">
        <f t="shared" ref="D294:I294" si="150">+D100+D124+D148+D172+D198+D222+D246+D270</f>
        <v>45.490027800000036</v>
      </c>
      <c r="E294" s="480">
        <f t="shared" si="150"/>
        <v>55.55246630000002</v>
      </c>
      <c r="F294" s="480">
        <f t="shared" si="150"/>
        <v>65.412051200000008</v>
      </c>
      <c r="G294" s="480">
        <f t="shared" si="150"/>
        <v>67.822052600000006</v>
      </c>
      <c r="H294" s="480">
        <f t="shared" si="150"/>
        <v>66.335190000000011</v>
      </c>
      <c r="I294" s="480">
        <f t="shared" si="150"/>
        <v>44.0910273</v>
      </c>
      <c r="J294" s="480">
        <f t="shared" ref="J294" si="151">+J100+J124+J148+J172+J198+J222+J246+J270</f>
        <v>31.969068099999998</v>
      </c>
    </row>
    <row r="295" spans="2:11" x14ac:dyDescent="0.35">
      <c r="B295" s="198" t="s">
        <v>648</v>
      </c>
      <c r="C295" s="464" t="s">
        <v>671</v>
      </c>
      <c r="D295" s="480">
        <f t="shared" ref="D295:I295" si="152">+D101+D125+D149+D173+D199+D223+D247+D271</f>
        <v>64.543245800000008</v>
      </c>
      <c r="E295" s="480">
        <f t="shared" si="152"/>
        <v>73.020268000000002</v>
      </c>
      <c r="F295" s="480">
        <f t="shared" si="152"/>
        <v>103.09048539999999</v>
      </c>
      <c r="G295" s="480">
        <f t="shared" si="152"/>
        <v>105.63149710000002</v>
      </c>
      <c r="H295" s="480">
        <f t="shared" si="152"/>
        <v>105.6096728</v>
      </c>
      <c r="I295" s="480">
        <f t="shared" si="152"/>
        <v>83.111793700000007</v>
      </c>
      <c r="J295" s="480">
        <f t="shared" ref="J295" si="153">+J101+J125+J149+J173+J199+J223+J247+J271</f>
        <v>64.950354800000014</v>
      </c>
    </row>
    <row r="296" spans="2:11" x14ac:dyDescent="0.35">
      <c r="B296" s="199" t="s">
        <v>649</v>
      </c>
      <c r="C296" s="464" t="s">
        <v>671</v>
      </c>
      <c r="D296" s="482">
        <f t="shared" ref="D296:I296" si="154">SUM(D292:D295)</f>
        <v>158.96109270000005</v>
      </c>
      <c r="E296" s="482">
        <f t="shared" si="154"/>
        <v>177.06087300000002</v>
      </c>
      <c r="F296" s="482">
        <f t="shared" si="154"/>
        <v>237.8156242</v>
      </c>
      <c r="G296" s="482">
        <f t="shared" si="154"/>
        <v>254.06757140000002</v>
      </c>
      <c r="H296" s="482">
        <f t="shared" si="154"/>
        <v>247.21638080000002</v>
      </c>
      <c r="I296" s="482">
        <f t="shared" si="154"/>
        <v>161.85378660000003</v>
      </c>
      <c r="J296" s="482">
        <f t="shared" ref="J296" si="155">SUM(J292:J295)</f>
        <v>126.30132960000002</v>
      </c>
    </row>
    <row r="297" spans="2:11" x14ac:dyDescent="0.35">
      <c r="B297" s="248" t="s">
        <v>755</v>
      </c>
      <c r="C297" s="467" t="s">
        <v>671</v>
      </c>
      <c r="D297" s="468">
        <f t="shared" ref="D297:I297" si="156">D296+D290+D283</f>
        <v>1091.1339263</v>
      </c>
      <c r="E297" s="468">
        <f t="shared" si="156"/>
        <v>1251.4541689</v>
      </c>
      <c r="F297" s="468">
        <f t="shared" si="156"/>
        <v>1477.4535274</v>
      </c>
      <c r="G297" s="468">
        <f t="shared" si="156"/>
        <v>1676.4088145000001</v>
      </c>
      <c r="H297" s="468">
        <f t="shared" si="156"/>
        <v>1583.9819310000003</v>
      </c>
      <c r="I297" s="468">
        <f t="shared" si="156"/>
        <v>1559.4929493</v>
      </c>
      <c r="J297" s="468">
        <f t="shared" ref="J297" si="157">J296+J290+J283</f>
        <v>1259.7994166999999</v>
      </c>
    </row>
    <row r="298" spans="2:11" x14ac:dyDescent="0.35">
      <c r="B298" s="431" t="s">
        <v>678</v>
      </c>
      <c r="C298" s="462"/>
      <c r="D298" s="459">
        <f t="shared" ref="D298:I298" si="158">D176+D274</f>
        <v>1091.1339263</v>
      </c>
      <c r="E298" s="459">
        <f t="shared" si="158"/>
        <v>1251.4541689</v>
      </c>
      <c r="F298" s="459">
        <f t="shared" si="158"/>
        <v>1477.4535274</v>
      </c>
      <c r="G298" s="459">
        <f t="shared" si="158"/>
        <v>1676.4088145000001</v>
      </c>
      <c r="H298" s="459">
        <f t="shared" si="158"/>
        <v>1583.981931</v>
      </c>
      <c r="I298" s="459">
        <f t="shared" si="158"/>
        <v>1559.4929493</v>
      </c>
      <c r="J298" s="459">
        <f t="shared" ref="J298" si="159">J176+J274</f>
        <v>1259.7994167000002</v>
      </c>
    </row>
    <row r="299" spans="2:11" x14ac:dyDescent="0.35">
      <c r="B299" s="455"/>
      <c r="C299" s="455"/>
      <c r="D299" s="438"/>
      <c r="E299" s="438"/>
      <c r="F299" s="438"/>
      <c r="G299" s="438"/>
      <c r="H299" s="438"/>
      <c r="I299" s="438"/>
    </row>
    <row r="300" spans="2:11" x14ac:dyDescent="0.35">
      <c r="B300" s="431" t="s">
        <v>820</v>
      </c>
      <c r="C300" s="461"/>
      <c r="D300" s="461"/>
      <c r="E300" s="461"/>
      <c r="F300" s="461"/>
      <c r="G300" s="461"/>
      <c r="H300" s="461"/>
      <c r="I300" s="461"/>
      <c r="J300" s="461"/>
    </row>
    <row r="301" spans="2:11" s="254" customFormat="1" x14ac:dyDescent="0.35">
      <c r="B301" s="199" t="s">
        <v>664</v>
      </c>
      <c r="C301" s="455"/>
      <c r="D301" s="460"/>
      <c r="E301" s="460"/>
      <c r="F301" s="460"/>
      <c r="G301" s="460"/>
      <c r="H301" s="460"/>
      <c r="I301" s="460"/>
      <c r="J301" s="460"/>
    </row>
    <row r="302" spans="2:11" s="254" customFormat="1" x14ac:dyDescent="0.35">
      <c r="B302" s="199" t="s">
        <v>630</v>
      </c>
      <c r="C302" s="455"/>
      <c r="D302" s="460"/>
      <c r="E302" s="460"/>
      <c r="F302" s="460"/>
      <c r="G302" s="460"/>
      <c r="H302" s="460"/>
      <c r="I302" s="460"/>
      <c r="J302" s="460"/>
    </row>
    <row r="303" spans="2:11" s="254" customFormat="1" x14ac:dyDescent="0.35">
      <c r="B303" s="198" t="s">
        <v>631</v>
      </c>
      <c r="C303" s="464" t="s">
        <v>671</v>
      </c>
      <c r="D303" s="454">
        <v>0.13477149999999999</v>
      </c>
      <c r="E303" s="480">
        <f t="shared" ref="E303:J307" si="160">D327</f>
        <v>0</v>
      </c>
      <c r="F303" s="480">
        <f t="shared" si="160"/>
        <v>5.10725E-2</v>
      </c>
      <c r="G303" s="480">
        <f t="shared" si="160"/>
        <v>0.42270050000000747</v>
      </c>
      <c r="H303" s="480">
        <f t="shared" si="160"/>
        <v>0.54652270000000014</v>
      </c>
      <c r="I303" s="480">
        <f t="shared" si="160"/>
        <v>0.32002079999999999</v>
      </c>
      <c r="J303" s="480">
        <f t="shared" si="160"/>
        <v>0.23278840000000001</v>
      </c>
      <c r="K303" s="492"/>
    </row>
    <row r="304" spans="2:11" s="254" customFormat="1" x14ac:dyDescent="0.35">
      <c r="B304" s="198" t="s">
        <v>632</v>
      </c>
      <c r="C304" s="464" t="s">
        <v>671</v>
      </c>
      <c r="D304" s="454">
        <v>0.13942850000000001</v>
      </c>
      <c r="E304" s="480">
        <f t="shared" si="160"/>
        <v>0</v>
      </c>
      <c r="F304" s="480">
        <f t="shared" si="160"/>
        <v>0.2394868</v>
      </c>
      <c r="G304" s="480">
        <f t="shared" si="160"/>
        <v>0.22191169999996199</v>
      </c>
      <c r="H304" s="480">
        <f t="shared" si="160"/>
        <v>0.25562319999999367</v>
      </c>
      <c r="I304" s="480">
        <f t="shared" si="160"/>
        <v>0.1850089</v>
      </c>
      <c r="J304" s="480">
        <f t="shared" si="160"/>
        <v>0.11693479999999999</v>
      </c>
    </row>
    <row r="305" spans="2:10" s="254" customFormat="1" x14ac:dyDescent="0.35">
      <c r="B305" s="198" t="s">
        <v>633</v>
      </c>
      <c r="C305" s="464" t="s">
        <v>671</v>
      </c>
      <c r="D305" s="454">
        <v>0.25245099999999998</v>
      </c>
      <c r="E305" s="480">
        <f t="shared" si="160"/>
        <v>7.3329100000001493E-2</v>
      </c>
      <c r="F305" s="480">
        <f t="shared" si="160"/>
        <v>0.1331965</v>
      </c>
      <c r="G305" s="480">
        <f t="shared" si="160"/>
        <v>7.3316099999994042E-2</v>
      </c>
      <c r="H305" s="480">
        <f t="shared" si="160"/>
        <v>5.6021499999994409E-2</v>
      </c>
      <c r="I305" s="480">
        <f t="shared" si="160"/>
        <v>0.1017038</v>
      </c>
      <c r="J305" s="480">
        <f t="shared" si="160"/>
        <v>2.70052E-2</v>
      </c>
    </row>
    <row r="306" spans="2:10" s="254" customFormat="1" x14ac:dyDescent="0.35">
      <c r="B306" s="198" t="s">
        <v>634</v>
      </c>
      <c r="C306" s="464" t="s">
        <v>671</v>
      </c>
      <c r="D306" s="454">
        <v>0.41117209999999998</v>
      </c>
      <c r="E306" s="480">
        <f t="shared" si="160"/>
        <v>3.3431200000000001E-2</v>
      </c>
      <c r="F306" s="480">
        <f t="shared" si="160"/>
        <v>0.16880130000000002</v>
      </c>
      <c r="G306" s="480">
        <f t="shared" si="160"/>
        <v>0.30148990000002085</v>
      </c>
      <c r="H306" s="480">
        <f t="shared" si="160"/>
        <v>0.18133699999999719</v>
      </c>
      <c r="I306" s="480">
        <f t="shared" si="160"/>
        <v>0.1155176</v>
      </c>
      <c r="J306" s="480">
        <f t="shared" si="160"/>
        <v>6.8753300000000003E-2</v>
      </c>
    </row>
    <row r="307" spans="2:10" s="254" customFormat="1" x14ac:dyDescent="0.35">
      <c r="B307" s="198" t="s">
        <v>635</v>
      </c>
      <c r="C307" s="464" t="s">
        <v>671</v>
      </c>
      <c r="D307" s="454">
        <v>0</v>
      </c>
      <c r="E307" s="480">
        <f t="shared" si="160"/>
        <v>0</v>
      </c>
      <c r="F307" s="480">
        <f t="shared" si="160"/>
        <v>2.68731E-2</v>
      </c>
      <c r="G307" s="480">
        <f t="shared" si="160"/>
        <v>0.2605195999999903</v>
      </c>
      <c r="H307" s="480">
        <f t="shared" si="160"/>
        <v>0.26299410000000151</v>
      </c>
      <c r="I307" s="480">
        <f t="shared" si="160"/>
        <v>1.7430399999999999E-2</v>
      </c>
      <c r="J307" s="480">
        <f t="shared" si="160"/>
        <v>4.5119799999999995E-2</v>
      </c>
    </row>
    <row r="308" spans="2:10" s="254" customFormat="1" x14ac:dyDescent="0.35">
      <c r="B308" s="199" t="s">
        <v>636</v>
      </c>
      <c r="C308" s="464" t="s">
        <v>671</v>
      </c>
      <c r="D308" s="458">
        <f t="shared" ref="D308:I308" si="161">SUM(D303:D307)</f>
        <v>0.93782309999999991</v>
      </c>
      <c r="E308" s="458">
        <f t="shared" si="161"/>
        <v>0.1067603000000015</v>
      </c>
      <c r="F308" s="458">
        <f t="shared" si="161"/>
        <v>0.61943020000000004</v>
      </c>
      <c r="G308" s="458">
        <f t="shared" si="161"/>
        <v>1.2799377999999746</v>
      </c>
      <c r="H308" s="458">
        <f t="shared" si="161"/>
        <v>1.3024984999999869</v>
      </c>
      <c r="I308" s="458">
        <f t="shared" si="161"/>
        <v>0.73968149999999999</v>
      </c>
      <c r="J308" s="458">
        <f t="shared" ref="J308" si="162">SUM(J303:J307)</f>
        <v>0.49060150000000002</v>
      </c>
    </row>
    <row r="309" spans="2:10" s="254" customFormat="1" x14ac:dyDescent="0.35">
      <c r="B309" s="199" t="s">
        <v>637</v>
      </c>
      <c r="C309" s="464"/>
      <c r="D309" s="460"/>
      <c r="E309" s="460"/>
      <c r="F309" s="460"/>
      <c r="G309" s="460"/>
      <c r="H309" s="460"/>
      <c r="I309" s="460"/>
      <c r="J309" s="460"/>
    </row>
    <row r="310" spans="2:10" s="254" customFormat="1" x14ac:dyDescent="0.35">
      <c r="B310" s="198" t="s">
        <v>638</v>
      </c>
      <c r="C310" s="464" t="s">
        <v>671</v>
      </c>
      <c r="D310" s="454">
        <v>4.8373699999999999E-2</v>
      </c>
      <c r="E310" s="480">
        <f t="shared" ref="E310:J314" si="163">D334</f>
        <v>0</v>
      </c>
      <c r="F310" s="480">
        <f t="shared" si="163"/>
        <v>6.1585200000000007E-2</v>
      </c>
      <c r="G310" s="480">
        <f t="shared" si="163"/>
        <v>0.10886949999999256</v>
      </c>
      <c r="H310" s="480">
        <f t="shared" si="163"/>
        <v>6.3443099999995908E-2</v>
      </c>
      <c r="I310" s="480">
        <f t="shared" si="163"/>
        <v>0.15268100000000093</v>
      </c>
      <c r="J310" s="480">
        <f t="shared" si="163"/>
        <v>0</v>
      </c>
    </row>
    <row r="311" spans="2:10" s="254" customFormat="1" x14ac:dyDescent="0.35">
      <c r="B311" s="198" t="s">
        <v>639</v>
      </c>
      <c r="C311" s="464" t="s">
        <v>671</v>
      </c>
      <c r="D311" s="454">
        <v>0.17788299999999999</v>
      </c>
      <c r="E311" s="480">
        <f t="shared" si="163"/>
        <v>0</v>
      </c>
      <c r="F311" s="480">
        <f t="shared" si="163"/>
        <v>0</v>
      </c>
      <c r="G311" s="480">
        <f t="shared" si="163"/>
        <v>0.18853520000000334</v>
      </c>
      <c r="H311" s="480">
        <f t="shared" si="163"/>
        <v>0.18562170000000278</v>
      </c>
      <c r="I311" s="480">
        <f t="shared" si="163"/>
        <v>0.20313319999999999</v>
      </c>
      <c r="J311" s="480">
        <f t="shared" si="163"/>
        <v>0</v>
      </c>
    </row>
    <row r="312" spans="2:10" s="254" customFormat="1" x14ac:dyDescent="0.35">
      <c r="B312" s="198" t="s">
        <v>640</v>
      </c>
      <c r="C312" s="464" t="s">
        <v>671</v>
      </c>
      <c r="D312" s="454">
        <v>7.9189399999999993E-2</v>
      </c>
      <c r="E312" s="480">
        <f t="shared" si="163"/>
        <v>0</v>
      </c>
      <c r="F312" s="480">
        <f t="shared" si="163"/>
        <v>0</v>
      </c>
      <c r="G312" s="480">
        <f t="shared" si="163"/>
        <v>4.923640000000596E-2</v>
      </c>
      <c r="H312" s="480">
        <f t="shared" si="163"/>
        <v>4.6873200000002981E-2</v>
      </c>
      <c r="I312" s="480">
        <f t="shared" si="163"/>
        <v>4.30105E-2</v>
      </c>
      <c r="J312" s="480">
        <f t="shared" si="163"/>
        <v>0</v>
      </c>
    </row>
    <row r="313" spans="2:10" s="254" customFormat="1" x14ac:dyDescent="0.35">
      <c r="B313" s="198" t="s">
        <v>641</v>
      </c>
      <c r="C313" s="464" t="s">
        <v>671</v>
      </c>
      <c r="D313" s="454">
        <v>0</v>
      </c>
      <c r="E313" s="480">
        <f t="shared" si="163"/>
        <v>0</v>
      </c>
      <c r="F313" s="480">
        <f t="shared" si="163"/>
        <v>0</v>
      </c>
      <c r="G313" s="480">
        <f t="shared" si="163"/>
        <v>6.1606899999994788E-2</v>
      </c>
      <c r="H313" s="480">
        <f t="shared" si="163"/>
        <v>0.13158550000000047</v>
      </c>
      <c r="I313" s="480">
        <f t="shared" si="163"/>
        <v>0.19413290000000039</v>
      </c>
      <c r="J313" s="480">
        <f t="shared" si="163"/>
        <v>1.1951400000000001E-2</v>
      </c>
    </row>
    <row r="314" spans="2:10" s="254" customFormat="1" x14ac:dyDescent="0.35">
      <c r="B314" s="198" t="s">
        <v>642</v>
      </c>
      <c r="C314" s="464" t="s">
        <v>671</v>
      </c>
      <c r="D314" s="454">
        <v>0</v>
      </c>
      <c r="E314" s="480">
        <f t="shared" si="163"/>
        <v>0</v>
      </c>
      <c r="F314" s="480">
        <f t="shared" si="163"/>
        <v>0</v>
      </c>
      <c r="G314" s="480">
        <f t="shared" si="163"/>
        <v>2.3365399999991061E-2</v>
      </c>
      <c r="H314" s="480">
        <f t="shared" si="163"/>
        <v>0.10085560000000056</v>
      </c>
      <c r="I314" s="480">
        <f t="shared" si="163"/>
        <v>1.6353400000000001E-2</v>
      </c>
      <c r="J314" s="480">
        <f t="shared" si="163"/>
        <v>0</v>
      </c>
    </row>
    <row r="315" spans="2:10" s="254" customFormat="1" x14ac:dyDescent="0.35">
      <c r="B315" s="199" t="s">
        <v>643</v>
      </c>
      <c r="C315" s="464" t="s">
        <v>671</v>
      </c>
      <c r="D315" s="458">
        <f t="shared" ref="D315:I315" si="164">SUM(D310:D314)</f>
        <v>0.30544609999999994</v>
      </c>
      <c r="E315" s="458">
        <f t="shared" si="164"/>
        <v>0</v>
      </c>
      <c r="F315" s="458">
        <f t="shared" si="164"/>
        <v>6.1585200000000007E-2</v>
      </c>
      <c r="G315" s="458">
        <f t="shared" si="164"/>
        <v>0.43161339999998771</v>
      </c>
      <c r="H315" s="458">
        <f t="shared" si="164"/>
        <v>0.52837910000000277</v>
      </c>
      <c r="I315" s="458">
        <f t="shared" si="164"/>
        <v>0.60931100000000127</v>
      </c>
      <c r="J315" s="458">
        <f t="shared" ref="J315" si="165">SUM(J310:J314)</f>
        <v>1.1951400000000001E-2</v>
      </c>
    </row>
    <row r="316" spans="2:10" s="254" customFormat="1" x14ac:dyDescent="0.35">
      <c r="B316" s="199" t="s">
        <v>644</v>
      </c>
      <c r="C316" s="464"/>
      <c r="D316" s="460"/>
      <c r="E316" s="460"/>
      <c r="F316" s="460"/>
      <c r="G316" s="460"/>
      <c r="H316" s="460"/>
      <c r="I316" s="460"/>
      <c r="J316" s="460"/>
    </row>
    <row r="317" spans="2:10" s="254" customFormat="1" x14ac:dyDescent="0.35">
      <c r="B317" s="198" t="s">
        <v>645</v>
      </c>
      <c r="C317" s="464" t="s">
        <v>671</v>
      </c>
      <c r="D317" s="454">
        <v>0</v>
      </c>
      <c r="E317" s="480">
        <f t="shared" ref="E317:J321" si="166">D341</f>
        <v>0</v>
      </c>
      <c r="F317" s="480">
        <f t="shared" si="166"/>
        <v>0</v>
      </c>
      <c r="G317" s="480">
        <f t="shared" si="166"/>
        <v>0</v>
      </c>
      <c r="H317" s="480">
        <f t="shared" si="166"/>
        <v>0</v>
      </c>
      <c r="I317" s="480">
        <f t="shared" si="166"/>
        <v>0</v>
      </c>
      <c r="J317" s="480">
        <f t="shared" si="166"/>
        <v>0</v>
      </c>
    </row>
    <row r="318" spans="2:10" s="254" customFormat="1" x14ac:dyDescent="0.35">
      <c r="B318" s="198" t="s">
        <v>646</v>
      </c>
      <c r="C318" s="464" t="s">
        <v>671</v>
      </c>
      <c r="D318" s="454">
        <v>0</v>
      </c>
      <c r="E318" s="480">
        <f t="shared" si="166"/>
        <v>0</v>
      </c>
      <c r="F318" s="480">
        <f t="shared" si="166"/>
        <v>0</v>
      </c>
      <c r="G318" s="480">
        <f t="shared" si="166"/>
        <v>0</v>
      </c>
      <c r="H318" s="480">
        <f t="shared" si="166"/>
        <v>0.1158035999999987</v>
      </c>
      <c r="I318" s="480">
        <f t="shared" si="166"/>
        <v>0</v>
      </c>
      <c r="J318" s="480">
        <f t="shared" si="166"/>
        <v>0</v>
      </c>
    </row>
    <row r="319" spans="2:10" s="254" customFormat="1" x14ac:dyDescent="0.35">
      <c r="B319" s="198" t="s">
        <v>647</v>
      </c>
      <c r="C319" s="464" t="s">
        <v>671</v>
      </c>
      <c r="D319" s="454">
        <v>0</v>
      </c>
      <c r="E319" s="480">
        <f t="shared" si="166"/>
        <v>0</v>
      </c>
      <c r="F319" s="480">
        <f t="shared" si="166"/>
        <v>0</v>
      </c>
      <c r="G319" s="480">
        <f t="shared" si="166"/>
        <v>0</v>
      </c>
      <c r="H319" s="480">
        <f t="shared" si="166"/>
        <v>1.9052600000000093E-2</v>
      </c>
      <c r="I319" s="480">
        <f t="shared" si="166"/>
        <v>0</v>
      </c>
      <c r="J319" s="480">
        <f t="shared" si="166"/>
        <v>0</v>
      </c>
    </row>
    <row r="320" spans="2:10" s="254" customFormat="1" x14ac:dyDescent="0.35">
      <c r="B320" s="198" t="s">
        <v>648</v>
      </c>
      <c r="C320" s="464" t="s">
        <v>671</v>
      </c>
      <c r="D320" s="454">
        <v>0</v>
      </c>
      <c r="E320" s="480">
        <f t="shared" si="166"/>
        <v>0</v>
      </c>
      <c r="F320" s="480">
        <f t="shared" si="166"/>
        <v>0</v>
      </c>
      <c r="G320" s="480">
        <f t="shared" si="166"/>
        <v>4.4853999999910597E-3</v>
      </c>
      <c r="H320" s="480">
        <f t="shared" si="166"/>
        <v>0</v>
      </c>
      <c r="I320" s="480">
        <f t="shared" si="166"/>
        <v>0</v>
      </c>
      <c r="J320" s="480">
        <f t="shared" si="166"/>
        <v>0</v>
      </c>
    </row>
    <row r="321" spans="2:10" s="254" customFormat="1" x14ac:dyDescent="0.35">
      <c r="B321" s="199" t="s">
        <v>649</v>
      </c>
      <c r="C321" s="464" t="s">
        <v>671</v>
      </c>
      <c r="D321" s="460">
        <f>SUM(D317:D320)</f>
        <v>0</v>
      </c>
      <c r="E321" s="480">
        <f t="shared" si="166"/>
        <v>0</v>
      </c>
      <c r="F321" s="480">
        <f t="shared" si="166"/>
        <v>0</v>
      </c>
      <c r="G321" s="480">
        <f t="shared" si="166"/>
        <v>4.4853999999910597E-3</v>
      </c>
      <c r="H321" s="480">
        <f t="shared" si="166"/>
        <v>0.13485619999999879</v>
      </c>
      <c r="I321" s="480">
        <f t="shared" si="166"/>
        <v>0</v>
      </c>
      <c r="J321" s="480">
        <f t="shared" si="166"/>
        <v>0</v>
      </c>
    </row>
    <row r="322" spans="2:10" s="254" customFormat="1" x14ac:dyDescent="0.35">
      <c r="B322" s="248" t="s">
        <v>754</v>
      </c>
      <c r="C322" s="467" t="s">
        <v>671</v>
      </c>
      <c r="D322" s="442">
        <f t="shared" ref="D322:I322" si="167">D321+D315+D308</f>
        <v>1.2432691999999999</v>
      </c>
      <c r="E322" s="442">
        <f t="shared" si="167"/>
        <v>0.1067603000000015</v>
      </c>
      <c r="F322" s="442">
        <f t="shared" si="167"/>
        <v>0.68101540000000005</v>
      </c>
      <c r="G322" s="442">
        <f t="shared" si="167"/>
        <v>1.7160365999999534</v>
      </c>
      <c r="H322" s="442">
        <f t="shared" si="167"/>
        <v>1.9657337999999884</v>
      </c>
      <c r="I322" s="442">
        <f t="shared" si="167"/>
        <v>1.3489925000000014</v>
      </c>
      <c r="J322" s="442">
        <f t="shared" ref="J322" si="168">J321+J315+J308</f>
        <v>0.50255289999999997</v>
      </c>
    </row>
    <row r="323" spans="2:10" s="254" customFormat="1" x14ac:dyDescent="0.35">
      <c r="B323" s="481"/>
      <c r="C323" s="460"/>
      <c r="D323" s="460"/>
      <c r="E323" s="460"/>
      <c r="F323" s="460"/>
      <c r="G323" s="460"/>
      <c r="H323" s="460"/>
      <c r="I323" s="460"/>
      <c r="J323" s="460"/>
    </row>
    <row r="324" spans="2:10" s="254" customFormat="1" x14ac:dyDescent="0.35">
      <c r="B324" s="431" t="s">
        <v>821</v>
      </c>
      <c r="C324" s="461"/>
      <c r="D324" s="461"/>
      <c r="E324" s="461"/>
      <c r="F324" s="461"/>
      <c r="G324" s="461"/>
      <c r="H324" s="461"/>
      <c r="I324" s="461"/>
      <c r="J324" s="461"/>
    </row>
    <row r="325" spans="2:10" s="254" customFormat="1" x14ac:dyDescent="0.35">
      <c r="B325" s="199" t="s">
        <v>664</v>
      </c>
      <c r="C325" s="455"/>
      <c r="D325" s="460"/>
      <c r="E325" s="460"/>
      <c r="F325" s="460"/>
      <c r="G325" s="460"/>
      <c r="H325" s="460"/>
      <c r="I325" s="460"/>
      <c r="J325" s="460"/>
    </row>
    <row r="326" spans="2:10" s="254" customFormat="1" x14ac:dyDescent="0.35">
      <c r="B326" s="199" t="s">
        <v>630</v>
      </c>
      <c r="C326" s="455"/>
      <c r="D326" s="460"/>
      <c r="E326" s="460"/>
      <c r="F326" s="460"/>
      <c r="G326" s="460"/>
      <c r="H326" s="460"/>
      <c r="I326" s="460"/>
      <c r="J326" s="460"/>
    </row>
    <row r="327" spans="2:10" s="254" customFormat="1" x14ac:dyDescent="0.35">
      <c r="B327" s="198" t="s">
        <v>631</v>
      </c>
      <c r="C327" s="464" t="s">
        <v>671</v>
      </c>
      <c r="D327" s="454">
        <v>0</v>
      </c>
      <c r="E327" s="454">
        <v>5.10725E-2</v>
      </c>
      <c r="F327" s="454">
        <v>0.42270050000000747</v>
      </c>
      <c r="G327" s="454">
        <v>0.54652270000000014</v>
      </c>
      <c r="H327" s="483">
        <v>0.32002079999999999</v>
      </c>
      <c r="I327" s="454">
        <f>23278.84/10^5</f>
        <v>0.23278840000000001</v>
      </c>
      <c r="J327" s="454">
        <v>0.15975439999999999</v>
      </c>
    </row>
    <row r="328" spans="2:10" s="254" customFormat="1" x14ac:dyDescent="0.35">
      <c r="B328" s="198" t="s">
        <v>632</v>
      </c>
      <c r="C328" s="464" t="s">
        <v>671</v>
      </c>
      <c r="D328" s="454">
        <v>0</v>
      </c>
      <c r="E328" s="454">
        <v>0.2394868</v>
      </c>
      <c r="F328" s="454">
        <v>0.22191169999996199</v>
      </c>
      <c r="G328" s="454">
        <v>0.25562319999999367</v>
      </c>
      <c r="H328" s="454">
        <v>0.1850089</v>
      </c>
      <c r="I328" s="454">
        <f>11693.48/10^5</f>
        <v>0.11693479999999999</v>
      </c>
      <c r="J328" s="454">
        <v>0.18967790000000001</v>
      </c>
    </row>
    <row r="329" spans="2:10" s="254" customFormat="1" x14ac:dyDescent="0.35">
      <c r="B329" s="198" t="s">
        <v>633</v>
      </c>
      <c r="C329" s="464" t="s">
        <v>671</v>
      </c>
      <c r="D329" s="454">
        <v>7.3329100000001493E-2</v>
      </c>
      <c r="E329" s="454">
        <v>0.1331965</v>
      </c>
      <c r="F329" s="454">
        <v>7.3316099999994042E-2</v>
      </c>
      <c r="G329" s="454">
        <v>5.6021499999994409E-2</v>
      </c>
      <c r="H329" s="454">
        <v>0.1017038</v>
      </c>
      <c r="I329" s="454">
        <f>2700.52/10^5</f>
        <v>2.70052E-2</v>
      </c>
      <c r="J329" s="454">
        <v>0.4037036</v>
      </c>
    </row>
    <row r="330" spans="2:10" s="254" customFormat="1" x14ac:dyDescent="0.35">
      <c r="B330" s="198" t="s">
        <v>634</v>
      </c>
      <c r="C330" s="464" t="s">
        <v>671</v>
      </c>
      <c r="D330" s="454">
        <v>3.3431200000000001E-2</v>
      </c>
      <c r="E330" s="454">
        <v>0.16880130000000002</v>
      </c>
      <c r="F330" s="454">
        <v>0.30148990000002085</v>
      </c>
      <c r="G330" s="454">
        <v>0.18133699999999719</v>
      </c>
      <c r="H330" s="454">
        <v>0.1155176</v>
      </c>
      <c r="I330" s="454">
        <f>6875.33/10^5</f>
        <v>6.8753300000000003E-2</v>
      </c>
      <c r="J330" s="454">
        <v>6.7560899999999993E-2</v>
      </c>
    </row>
    <row r="331" spans="2:10" s="254" customFormat="1" x14ac:dyDescent="0.35">
      <c r="B331" s="198" t="s">
        <v>635</v>
      </c>
      <c r="C331" s="464" t="s">
        <v>671</v>
      </c>
      <c r="D331" s="454">
        <v>0</v>
      </c>
      <c r="E331" s="454">
        <v>2.68731E-2</v>
      </c>
      <c r="F331" s="454">
        <v>0.2605195999999903</v>
      </c>
      <c r="G331" s="454">
        <v>0.26299410000000151</v>
      </c>
      <c r="H331" s="454">
        <v>1.7430399999999999E-2</v>
      </c>
      <c r="I331" s="454">
        <f>4511.98/10^5</f>
        <v>4.5119799999999995E-2</v>
      </c>
      <c r="J331" s="454">
        <v>0.19743050000000001</v>
      </c>
    </row>
    <row r="332" spans="2:10" s="254" customFormat="1" x14ac:dyDescent="0.35">
      <c r="B332" s="199" t="s">
        <v>636</v>
      </c>
      <c r="C332" s="464" t="s">
        <v>671</v>
      </c>
      <c r="D332" s="458">
        <f t="shared" ref="D332:I332" si="169">SUM(D327:D331)</f>
        <v>0.1067603000000015</v>
      </c>
      <c r="E332" s="458">
        <f t="shared" si="169"/>
        <v>0.61943020000000004</v>
      </c>
      <c r="F332" s="458">
        <f t="shared" si="169"/>
        <v>1.2799377999999746</v>
      </c>
      <c r="G332" s="458">
        <f t="shared" si="169"/>
        <v>1.3024984999999869</v>
      </c>
      <c r="H332" s="458">
        <f t="shared" si="169"/>
        <v>0.73968149999999999</v>
      </c>
      <c r="I332" s="458">
        <f t="shared" si="169"/>
        <v>0.49060150000000002</v>
      </c>
      <c r="J332" s="458">
        <f t="shared" ref="J332" si="170">SUM(J327:J331)</f>
        <v>1.0181273</v>
      </c>
    </row>
    <row r="333" spans="2:10" s="254" customFormat="1" x14ac:dyDescent="0.35">
      <c r="B333" s="199" t="s">
        <v>637</v>
      </c>
      <c r="C333" s="464"/>
      <c r="D333" s="460"/>
      <c r="E333" s="460"/>
      <c r="F333" s="460"/>
      <c r="G333" s="460"/>
      <c r="H333" s="460"/>
      <c r="I333" s="460"/>
      <c r="J333" s="460"/>
    </row>
    <row r="334" spans="2:10" s="254" customFormat="1" x14ac:dyDescent="0.35">
      <c r="B334" s="198" t="s">
        <v>638</v>
      </c>
      <c r="C334" s="464" t="s">
        <v>671</v>
      </c>
      <c r="D334" s="454">
        <v>0</v>
      </c>
      <c r="E334" s="454">
        <v>6.1585200000000007E-2</v>
      </c>
      <c r="F334" s="454">
        <v>0.10886949999999256</v>
      </c>
      <c r="G334" s="454">
        <v>6.3443099999995908E-2</v>
      </c>
      <c r="H334" s="454">
        <v>0.15268100000000093</v>
      </c>
      <c r="I334" s="454">
        <v>0</v>
      </c>
      <c r="J334" s="454">
        <v>0</v>
      </c>
    </row>
    <row r="335" spans="2:10" s="254" customFormat="1" x14ac:dyDescent="0.35">
      <c r="B335" s="198" t="s">
        <v>639</v>
      </c>
      <c r="C335" s="464" t="s">
        <v>671</v>
      </c>
      <c r="D335" s="454">
        <v>0</v>
      </c>
      <c r="E335" s="454">
        <v>0</v>
      </c>
      <c r="F335" s="454">
        <v>0.18853520000000334</v>
      </c>
      <c r="G335" s="454">
        <v>0.18562170000000278</v>
      </c>
      <c r="H335" s="454">
        <v>0.20313319999999999</v>
      </c>
      <c r="I335" s="454">
        <v>0</v>
      </c>
      <c r="J335" s="454">
        <v>0.33389239999999998</v>
      </c>
    </row>
    <row r="336" spans="2:10" s="254" customFormat="1" x14ac:dyDescent="0.35">
      <c r="B336" s="198" t="s">
        <v>640</v>
      </c>
      <c r="C336" s="464" t="s">
        <v>671</v>
      </c>
      <c r="D336" s="454">
        <v>0</v>
      </c>
      <c r="E336" s="454">
        <v>0</v>
      </c>
      <c r="F336" s="454">
        <v>4.923640000000596E-2</v>
      </c>
      <c r="G336" s="454">
        <v>4.6873200000002981E-2</v>
      </c>
      <c r="H336" s="454">
        <v>4.30105E-2</v>
      </c>
      <c r="I336" s="454">
        <v>0</v>
      </c>
      <c r="J336" s="454">
        <v>0</v>
      </c>
    </row>
    <row r="337" spans="2:10" s="254" customFormat="1" x14ac:dyDescent="0.35">
      <c r="B337" s="198" t="s">
        <v>641</v>
      </c>
      <c r="C337" s="464" t="s">
        <v>671</v>
      </c>
      <c r="D337" s="454">
        <v>0</v>
      </c>
      <c r="E337" s="454">
        <v>0</v>
      </c>
      <c r="F337" s="454">
        <v>6.1606899999994788E-2</v>
      </c>
      <c r="G337" s="454">
        <v>0.13158550000000047</v>
      </c>
      <c r="H337" s="454">
        <v>0.19413290000000039</v>
      </c>
      <c r="I337" s="454">
        <f>1195.14/10^5</f>
        <v>1.1951400000000001E-2</v>
      </c>
      <c r="J337" s="454">
        <v>5.1367999999999995E-3</v>
      </c>
    </row>
    <row r="338" spans="2:10" s="254" customFormat="1" x14ac:dyDescent="0.35">
      <c r="B338" s="198" t="s">
        <v>642</v>
      </c>
      <c r="C338" s="464" t="s">
        <v>671</v>
      </c>
      <c r="D338" s="454">
        <v>0</v>
      </c>
      <c r="E338" s="454">
        <v>0</v>
      </c>
      <c r="F338" s="454">
        <v>2.3365399999991061E-2</v>
      </c>
      <c r="G338" s="454">
        <v>0.10085560000000056</v>
      </c>
      <c r="H338" s="454">
        <v>1.6353400000000001E-2</v>
      </c>
      <c r="I338" s="454">
        <v>0</v>
      </c>
      <c r="J338" s="454">
        <v>0</v>
      </c>
    </row>
    <row r="339" spans="2:10" s="254" customFormat="1" x14ac:dyDescent="0.35">
      <c r="B339" s="199" t="s">
        <v>643</v>
      </c>
      <c r="C339" s="464" t="s">
        <v>671</v>
      </c>
      <c r="D339" s="458">
        <f t="shared" ref="D339:I339" si="171">SUM(D334:D338)</f>
        <v>0</v>
      </c>
      <c r="E339" s="458">
        <f t="shared" si="171"/>
        <v>6.1585200000000007E-2</v>
      </c>
      <c r="F339" s="458">
        <f t="shared" si="171"/>
        <v>0.43161339999998771</v>
      </c>
      <c r="G339" s="458">
        <f t="shared" si="171"/>
        <v>0.52837910000000277</v>
      </c>
      <c r="H339" s="458">
        <f t="shared" si="171"/>
        <v>0.60931100000000127</v>
      </c>
      <c r="I339" s="458">
        <f t="shared" si="171"/>
        <v>1.1951400000000001E-2</v>
      </c>
      <c r="J339" s="458">
        <f t="shared" ref="J339" si="172">SUM(J334:J338)</f>
        <v>0.33902919999999998</v>
      </c>
    </row>
    <row r="340" spans="2:10" x14ac:dyDescent="0.35">
      <c r="B340" s="199" t="s">
        <v>644</v>
      </c>
      <c r="C340" s="464"/>
      <c r="D340" s="460"/>
      <c r="E340" s="460"/>
      <c r="F340" s="460"/>
      <c r="G340" s="460"/>
      <c r="H340" s="460"/>
      <c r="I340" s="460"/>
      <c r="J340" s="460"/>
    </row>
    <row r="341" spans="2:10" x14ac:dyDescent="0.35">
      <c r="B341" s="198" t="s">
        <v>645</v>
      </c>
      <c r="C341" s="464" t="s">
        <v>671</v>
      </c>
      <c r="D341" s="454">
        <v>0</v>
      </c>
      <c r="E341" s="454">
        <v>0</v>
      </c>
      <c r="F341" s="454">
        <v>0</v>
      </c>
      <c r="G341" s="454">
        <v>0</v>
      </c>
      <c r="H341" s="454">
        <v>0</v>
      </c>
      <c r="I341" s="454">
        <v>0</v>
      </c>
      <c r="J341" s="454">
        <v>0</v>
      </c>
    </row>
    <row r="342" spans="2:10" x14ac:dyDescent="0.35">
      <c r="B342" s="198" t="s">
        <v>646</v>
      </c>
      <c r="C342" s="464" t="s">
        <v>671</v>
      </c>
      <c r="D342" s="454">
        <v>0</v>
      </c>
      <c r="E342" s="454">
        <v>0</v>
      </c>
      <c r="F342" s="454">
        <v>0</v>
      </c>
      <c r="G342" s="454">
        <v>0.1158035999999987</v>
      </c>
      <c r="H342" s="454">
        <v>0</v>
      </c>
      <c r="I342" s="454">
        <v>0</v>
      </c>
      <c r="J342" s="454">
        <v>0</v>
      </c>
    </row>
    <row r="343" spans="2:10" x14ac:dyDescent="0.35">
      <c r="B343" s="198" t="s">
        <v>647</v>
      </c>
      <c r="C343" s="464" t="s">
        <v>671</v>
      </c>
      <c r="D343" s="454">
        <v>0</v>
      </c>
      <c r="E343" s="454">
        <v>0</v>
      </c>
      <c r="F343" s="454">
        <v>0</v>
      </c>
      <c r="G343" s="454">
        <v>1.9052600000000093E-2</v>
      </c>
      <c r="H343" s="454">
        <v>0</v>
      </c>
      <c r="I343" s="454">
        <v>0</v>
      </c>
      <c r="J343" s="454">
        <v>0</v>
      </c>
    </row>
    <row r="344" spans="2:10" x14ac:dyDescent="0.35">
      <c r="B344" s="198" t="s">
        <v>648</v>
      </c>
      <c r="C344" s="464" t="s">
        <v>671</v>
      </c>
      <c r="D344" s="454">
        <v>0</v>
      </c>
      <c r="E344" s="454">
        <v>0</v>
      </c>
      <c r="F344" s="454">
        <v>4.4853999999910597E-3</v>
      </c>
      <c r="G344" s="454">
        <v>0</v>
      </c>
      <c r="H344" s="454">
        <v>0</v>
      </c>
      <c r="I344" s="454">
        <v>0</v>
      </c>
      <c r="J344" s="454">
        <v>0</v>
      </c>
    </row>
    <row r="345" spans="2:10" x14ac:dyDescent="0.35">
      <c r="B345" s="199" t="s">
        <v>649</v>
      </c>
      <c r="C345" s="464" t="s">
        <v>671</v>
      </c>
      <c r="D345" s="460">
        <f t="shared" ref="D345:I345" si="173">SUM(D341:D344)</f>
        <v>0</v>
      </c>
      <c r="E345" s="460">
        <f t="shared" si="173"/>
        <v>0</v>
      </c>
      <c r="F345" s="460">
        <f t="shared" si="173"/>
        <v>4.4853999999910597E-3</v>
      </c>
      <c r="G345" s="460">
        <f t="shared" si="173"/>
        <v>0.13485619999999879</v>
      </c>
      <c r="H345" s="460">
        <f t="shared" si="173"/>
        <v>0</v>
      </c>
      <c r="I345" s="460">
        <f t="shared" si="173"/>
        <v>0</v>
      </c>
      <c r="J345" s="460">
        <f t="shared" ref="J345" si="174">SUM(J341:J344)</f>
        <v>0</v>
      </c>
    </row>
    <row r="346" spans="2:10" x14ac:dyDescent="0.35">
      <c r="B346" s="248" t="s">
        <v>756</v>
      </c>
      <c r="C346" s="467" t="s">
        <v>671</v>
      </c>
      <c r="D346" s="442">
        <f t="shared" ref="D346:I346" si="175">D345+D339+D332</f>
        <v>0.1067603000000015</v>
      </c>
      <c r="E346" s="442">
        <f t="shared" si="175"/>
        <v>0.68101540000000005</v>
      </c>
      <c r="F346" s="442">
        <f t="shared" si="175"/>
        <v>1.7160365999999534</v>
      </c>
      <c r="G346" s="442">
        <f t="shared" si="175"/>
        <v>1.9657337999999884</v>
      </c>
      <c r="H346" s="442">
        <f t="shared" si="175"/>
        <v>1.3489925000000014</v>
      </c>
      <c r="I346" s="442">
        <f t="shared" si="175"/>
        <v>0.50255289999999997</v>
      </c>
      <c r="J346" s="442">
        <f t="shared" ref="J346" si="176">J345+J339+J332</f>
        <v>1.3571564999999999</v>
      </c>
    </row>
    <row r="347" spans="2:10" x14ac:dyDescent="0.35">
      <c r="B347" s="455"/>
      <c r="C347" s="455"/>
    </row>
    <row r="348" spans="2:10" x14ac:dyDescent="0.35">
      <c r="B348" s="431" t="s">
        <v>757</v>
      </c>
      <c r="C348" s="461"/>
      <c r="D348" s="461"/>
      <c r="E348" s="461"/>
      <c r="F348" s="461"/>
      <c r="G348" s="461"/>
      <c r="H348" s="461"/>
      <c r="I348" s="461"/>
      <c r="J348" s="461"/>
    </row>
    <row r="349" spans="2:10" x14ac:dyDescent="0.35">
      <c r="B349" s="199" t="s">
        <v>664</v>
      </c>
      <c r="C349" s="455"/>
      <c r="D349" s="460"/>
      <c r="E349" s="460"/>
      <c r="F349" s="460"/>
      <c r="G349" s="460"/>
      <c r="H349" s="460"/>
      <c r="I349" s="460"/>
      <c r="J349" s="460"/>
    </row>
    <row r="350" spans="2:10" x14ac:dyDescent="0.35">
      <c r="B350" s="199" t="s">
        <v>630</v>
      </c>
      <c r="C350" s="455"/>
      <c r="D350" s="460"/>
      <c r="E350" s="460"/>
      <c r="F350" s="460"/>
      <c r="G350" s="460"/>
      <c r="H350" s="460"/>
      <c r="I350" s="460"/>
      <c r="J350" s="460"/>
    </row>
    <row r="351" spans="2:10" x14ac:dyDescent="0.35">
      <c r="B351" s="198" t="s">
        <v>631</v>
      </c>
      <c r="C351" s="464" t="s">
        <v>671</v>
      </c>
      <c r="D351" s="480">
        <f t="shared" ref="D351:I355" si="177">+D303+D278-D327</f>
        <v>147.6696431</v>
      </c>
      <c r="E351" s="480">
        <f t="shared" si="177"/>
        <v>133.285</v>
      </c>
      <c r="F351" s="480">
        <f t="shared" si="177"/>
        <v>154.72134049999997</v>
      </c>
      <c r="G351" s="480">
        <f t="shared" si="177"/>
        <v>174.77325880000001</v>
      </c>
      <c r="H351" s="480">
        <f t="shared" si="177"/>
        <v>171.53322079999995</v>
      </c>
      <c r="I351" s="480">
        <f t="shared" si="177"/>
        <v>187.5213846</v>
      </c>
      <c r="J351" s="480">
        <f t="shared" ref="J351" si="178">+J303+J278-J327</f>
        <v>179.17690240000002</v>
      </c>
    </row>
    <row r="352" spans="2:10" x14ac:dyDescent="0.35">
      <c r="B352" s="198" t="s">
        <v>632</v>
      </c>
      <c r="C352" s="464" t="s">
        <v>671</v>
      </c>
      <c r="D352" s="480">
        <f t="shared" si="177"/>
        <v>80.351798099999996</v>
      </c>
      <c r="E352" s="480">
        <f t="shared" si="177"/>
        <v>102.4040002</v>
      </c>
      <c r="F352" s="480">
        <f t="shared" si="177"/>
        <v>124.45265140000005</v>
      </c>
      <c r="G352" s="480">
        <f t="shared" si="177"/>
        <v>142.47413819999994</v>
      </c>
      <c r="H352" s="480">
        <f t="shared" si="177"/>
        <v>137.97648939999999</v>
      </c>
      <c r="I352" s="480">
        <f t="shared" si="177"/>
        <v>155.77833690000003</v>
      </c>
      <c r="J352" s="480">
        <f t="shared" ref="J352" si="179">+J304+J279-J328</f>
        <v>129.38682120000001</v>
      </c>
    </row>
    <row r="353" spans="2:10" x14ac:dyDescent="0.35">
      <c r="B353" s="198" t="s">
        <v>633</v>
      </c>
      <c r="C353" s="464" t="s">
        <v>671</v>
      </c>
      <c r="D353" s="480">
        <f t="shared" si="177"/>
        <v>121.8406019</v>
      </c>
      <c r="E353" s="480">
        <f t="shared" si="177"/>
        <v>120.64194530000002</v>
      </c>
      <c r="F353" s="480">
        <f t="shared" si="177"/>
        <v>135.19198779999999</v>
      </c>
      <c r="G353" s="480">
        <f t="shared" si="177"/>
        <v>138.46833570000001</v>
      </c>
      <c r="H353" s="480">
        <f t="shared" si="177"/>
        <v>139.6247731</v>
      </c>
      <c r="I353" s="480">
        <f t="shared" si="177"/>
        <v>149.0245649</v>
      </c>
      <c r="J353" s="480">
        <f t="shared" ref="J353" si="180">+J305+J280-J329</f>
        <v>133.90909360000001</v>
      </c>
    </row>
    <row r="354" spans="2:10" x14ac:dyDescent="0.35">
      <c r="B354" s="198" t="s">
        <v>634</v>
      </c>
      <c r="C354" s="464" t="s">
        <v>671</v>
      </c>
      <c r="D354" s="480">
        <f t="shared" si="177"/>
        <v>108.2569956</v>
      </c>
      <c r="E354" s="480">
        <f t="shared" si="177"/>
        <v>106.8893786</v>
      </c>
      <c r="F354" s="480">
        <f t="shared" si="177"/>
        <v>114.68630289999996</v>
      </c>
      <c r="G354" s="480">
        <f t="shared" si="177"/>
        <v>124.64062520000002</v>
      </c>
      <c r="H354" s="480">
        <f t="shared" si="177"/>
        <v>125.8626735</v>
      </c>
      <c r="I354" s="480">
        <f t="shared" si="177"/>
        <v>151.34196070000002</v>
      </c>
      <c r="J354" s="480">
        <f t="shared" ref="J354" si="181">+J306+J281-J330</f>
        <v>131.76943550000001</v>
      </c>
    </row>
    <row r="355" spans="2:10" x14ac:dyDescent="0.35">
      <c r="B355" s="198" t="s">
        <v>635</v>
      </c>
      <c r="C355" s="464" t="s">
        <v>671</v>
      </c>
      <c r="D355" s="480">
        <f t="shared" si="177"/>
        <v>32.287270899999996</v>
      </c>
      <c r="E355" s="480">
        <f t="shared" si="177"/>
        <v>62.034999999999997</v>
      </c>
      <c r="F355" s="480">
        <f t="shared" si="177"/>
        <v>83.482859899999994</v>
      </c>
      <c r="G355" s="480">
        <f t="shared" si="177"/>
        <v>87.020623600000008</v>
      </c>
      <c r="H355" s="480">
        <f t="shared" si="177"/>
        <v>88.549499999999995</v>
      </c>
      <c r="I355" s="480">
        <f t="shared" si="177"/>
        <v>110.37548770000001</v>
      </c>
      <c r="J355" s="480">
        <f t="shared" ref="J355" si="182">+J307+J282-J331</f>
        <v>92.972719699999999</v>
      </c>
    </row>
    <row r="356" spans="2:10" x14ac:dyDescent="0.35">
      <c r="B356" s="199" t="s">
        <v>636</v>
      </c>
      <c r="C356" s="464" t="s">
        <v>671</v>
      </c>
      <c r="D356" s="484">
        <f t="shared" ref="D356:I356" si="183">SUM(D351:D355)</f>
        <v>490.40630959999999</v>
      </c>
      <c r="E356" s="484">
        <f t="shared" si="183"/>
        <v>525.25532410000005</v>
      </c>
      <c r="F356" s="484">
        <f t="shared" si="183"/>
        <v>612.53514250000001</v>
      </c>
      <c r="G356" s="484">
        <f t="shared" si="183"/>
        <v>667.37698150000006</v>
      </c>
      <c r="H356" s="484">
        <f t="shared" si="183"/>
        <v>663.54665679999994</v>
      </c>
      <c r="I356" s="484">
        <f t="shared" si="183"/>
        <v>754.04173479999997</v>
      </c>
      <c r="J356" s="484">
        <f t="shared" ref="J356" si="184">SUM(J351:J355)</f>
        <v>667.21497239999997</v>
      </c>
    </row>
    <row r="357" spans="2:10" x14ac:dyDescent="0.35">
      <c r="B357" s="199" t="s">
        <v>637</v>
      </c>
      <c r="C357" s="464"/>
      <c r="D357" s="473"/>
      <c r="E357" s="473"/>
      <c r="F357" s="473"/>
      <c r="G357" s="473"/>
      <c r="H357" s="473"/>
      <c r="I357" s="473"/>
      <c r="J357" s="473"/>
    </row>
    <row r="358" spans="2:10" x14ac:dyDescent="0.35">
      <c r="B358" s="198" t="s">
        <v>638</v>
      </c>
      <c r="C358" s="464" t="s">
        <v>671</v>
      </c>
      <c r="D358" s="480">
        <f t="shared" ref="D358:I362" si="185">+D310+D285-D334</f>
        <v>139.01693440000003</v>
      </c>
      <c r="E358" s="480">
        <f t="shared" si="185"/>
        <v>166.173</v>
      </c>
      <c r="F358" s="480">
        <f t="shared" si="185"/>
        <v>189.53078930000001</v>
      </c>
      <c r="G358" s="480">
        <f t="shared" si="185"/>
        <v>244.76497950000001</v>
      </c>
      <c r="H358" s="480">
        <f t="shared" si="185"/>
        <v>197.75605999999999</v>
      </c>
      <c r="I358" s="480">
        <f t="shared" si="185"/>
        <v>194.31872530000001</v>
      </c>
      <c r="J358" s="480">
        <f t="shared" ref="J358" si="186">+J310+J285-J334</f>
        <v>137.44061869999996</v>
      </c>
    </row>
    <row r="359" spans="2:10" x14ac:dyDescent="0.35">
      <c r="B359" s="198" t="s">
        <v>639</v>
      </c>
      <c r="C359" s="464" t="s">
        <v>671</v>
      </c>
      <c r="D359" s="480">
        <f t="shared" si="185"/>
        <v>108.07204809999999</v>
      </c>
      <c r="E359" s="480">
        <f t="shared" si="185"/>
        <v>123.8067928</v>
      </c>
      <c r="F359" s="480">
        <f t="shared" si="185"/>
        <v>138.30643560000004</v>
      </c>
      <c r="G359" s="480">
        <f t="shared" si="185"/>
        <v>149.42340659999999</v>
      </c>
      <c r="H359" s="480">
        <f t="shared" si="185"/>
        <v>147.3249639</v>
      </c>
      <c r="I359" s="480">
        <f t="shared" si="185"/>
        <v>143.22732049999999</v>
      </c>
      <c r="J359" s="480">
        <f t="shared" ref="J359" si="187">+J311+J286-J335</f>
        <v>95.009200899999996</v>
      </c>
    </row>
    <row r="360" spans="2:10" x14ac:dyDescent="0.35">
      <c r="B360" s="198" t="s">
        <v>640</v>
      </c>
      <c r="C360" s="464" t="s">
        <v>671</v>
      </c>
      <c r="D360" s="480">
        <f t="shared" si="185"/>
        <v>106.03589509999999</v>
      </c>
      <c r="E360" s="480">
        <f t="shared" si="185"/>
        <v>119.20295109999999</v>
      </c>
      <c r="F360" s="480">
        <f t="shared" si="185"/>
        <v>121.575</v>
      </c>
      <c r="G360" s="480">
        <f t="shared" si="185"/>
        <v>143.35955340000004</v>
      </c>
      <c r="H360" s="480">
        <f t="shared" si="185"/>
        <v>142.4057396</v>
      </c>
      <c r="I360" s="480">
        <f t="shared" si="185"/>
        <v>127.82519789999998</v>
      </c>
      <c r="J360" s="480">
        <f t="shared" ref="J360" si="188">+J312+J287-J336</f>
        <v>86.513793399999983</v>
      </c>
    </row>
    <row r="361" spans="2:10" x14ac:dyDescent="0.35">
      <c r="B361" s="198" t="s">
        <v>641</v>
      </c>
      <c r="C361" s="464" t="s">
        <v>671</v>
      </c>
      <c r="D361" s="480">
        <f t="shared" si="185"/>
        <v>47.540767599999995</v>
      </c>
      <c r="E361" s="480">
        <f t="shared" si="185"/>
        <v>71.119572299999987</v>
      </c>
      <c r="F361" s="480">
        <f t="shared" si="185"/>
        <v>93.923000000000016</v>
      </c>
      <c r="G361" s="480">
        <f t="shared" si="185"/>
        <v>105.1821546</v>
      </c>
      <c r="H361" s="480">
        <f t="shared" si="185"/>
        <v>97.806433200000001</v>
      </c>
      <c r="I361" s="480">
        <f t="shared" si="185"/>
        <v>105.9465261</v>
      </c>
      <c r="J361" s="480">
        <f t="shared" ref="J361" si="189">+J313+J288-J337</f>
        <v>88.206508499999998</v>
      </c>
    </row>
    <row r="362" spans="2:10" x14ac:dyDescent="0.35">
      <c r="B362" s="198" t="s">
        <v>642</v>
      </c>
      <c r="C362" s="464" t="s">
        <v>671</v>
      </c>
      <c r="D362" s="480">
        <f t="shared" si="185"/>
        <v>42.237387699999999</v>
      </c>
      <c r="E362" s="480">
        <f t="shared" si="185"/>
        <v>68.261400499999993</v>
      </c>
      <c r="F362" s="480">
        <f t="shared" si="185"/>
        <v>82.736999999999995</v>
      </c>
      <c r="G362" s="480">
        <f t="shared" si="185"/>
        <v>112.11484109999996</v>
      </c>
      <c r="H362" s="480">
        <f t="shared" si="185"/>
        <v>88.407581800000003</v>
      </c>
      <c r="I362" s="480">
        <f t="shared" si="185"/>
        <v>73.126097700000003</v>
      </c>
      <c r="J362" s="480">
        <f t="shared" ref="J362" si="190">+J314+J289-J338</f>
        <v>58.258389600000001</v>
      </c>
    </row>
    <row r="363" spans="2:10" x14ac:dyDescent="0.35">
      <c r="B363" s="199" t="s">
        <v>643</v>
      </c>
      <c r="C363" s="464" t="s">
        <v>671</v>
      </c>
      <c r="D363" s="484">
        <f t="shared" ref="D363:I363" si="191">SUM(D358:D362)</f>
        <v>442.90303289999997</v>
      </c>
      <c r="E363" s="484">
        <f t="shared" si="191"/>
        <v>548.56371669999999</v>
      </c>
      <c r="F363" s="484">
        <f t="shared" si="191"/>
        <v>626.07222490000004</v>
      </c>
      <c r="G363" s="484">
        <f t="shared" si="191"/>
        <v>754.8449351999999</v>
      </c>
      <c r="H363" s="484">
        <f t="shared" si="191"/>
        <v>673.70077849999996</v>
      </c>
      <c r="I363" s="484">
        <f t="shared" si="191"/>
        <v>644.4438674999999</v>
      </c>
      <c r="J363" s="484">
        <f t="shared" ref="J363" si="192">SUM(J358:J362)</f>
        <v>465.42851109999992</v>
      </c>
    </row>
    <row r="364" spans="2:10" x14ac:dyDescent="0.35">
      <c r="B364" s="199" t="s">
        <v>644</v>
      </c>
      <c r="C364" s="464"/>
      <c r="D364" s="473"/>
      <c r="E364" s="473"/>
      <c r="F364" s="473"/>
      <c r="G364" s="473"/>
      <c r="H364" s="473"/>
      <c r="I364" s="473"/>
      <c r="J364" s="473"/>
    </row>
    <row r="365" spans="2:10" x14ac:dyDescent="0.35">
      <c r="B365" s="198" t="s">
        <v>645</v>
      </c>
      <c r="C365" s="464" t="s">
        <v>671</v>
      </c>
      <c r="D365" s="480">
        <f t="shared" ref="D365:I368" si="193">+D317+D292-D341</f>
        <v>13.199074799999998</v>
      </c>
      <c r="E365" s="480">
        <f t="shared" si="193"/>
        <v>10.903745000000001</v>
      </c>
      <c r="F365" s="480">
        <f t="shared" si="193"/>
        <v>18.451499800000001</v>
      </c>
      <c r="G365" s="480">
        <f t="shared" si="193"/>
        <v>24.568218300000002</v>
      </c>
      <c r="H365" s="480">
        <f t="shared" si="193"/>
        <v>25.837214200000002</v>
      </c>
      <c r="I365" s="480">
        <f t="shared" si="193"/>
        <v>14.743242200000001</v>
      </c>
      <c r="J365" s="480">
        <f t="shared" ref="J365" si="194">+J317+J292-J341</f>
        <v>11.3007527</v>
      </c>
    </row>
    <row r="366" spans="2:10" x14ac:dyDescent="0.35">
      <c r="B366" s="198" t="s">
        <v>646</v>
      </c>
      <c r="C366" s="464" t="s">
        <v>671</v>
      </c>
      <c r="D366" s="480">
        <f t="shared" si="193"/>
        <v>35.728744300000002</v>
      </c>
      <c r="E366" s="480">
        <f t="shared" si="193"/>
        <v>37.5843937</v>
      </c>
      <c r="F366" s="480">
        <f t="shared" si="193"/>
        <v>50.861587799999995</v>
      </c>
      <c r="G366" s="480">
        <f t="shared" si="193"/>
        <v>55.929999799999997</v>
      </c>
      <c r="H366" s="480">
        <f t="shared" si="193"/>
        <v>49.550107400000002</v>
      </c>
      <c r="I366" s="480">
        <f t="shared" si="193"/>
        <v>19.907723400000002</v>
      </c>
      <c r="J366" s="480">
        <f t="shared" ref="J366" si="195">+J318+J293-J342</f>
        <v>18.081154000000002</v>
      </c>
    </row>
    <row r="367" spans="2:10" x14ac:dyDescent="0.35">
      <c r="B367" s="198" t="s">
        <v>647</v>
      </c>
      <c r="C367" s="464" t="s">
        <v>671</v>
      </c>
      <c r="D367" s="480">
        <f t="shared" si="193"/>
        <v>45.490027800000036</v>
      </c>
      <c r="E367" s="480">
        <f t="shared" si="193"/>
        <v>55.55246630000002</v>
      </c>
      <c r="F367" s="480">
        <f t="shared" si="193"/>
        <v>65.412051200000008</v>
      </c>
      <c r="G367" s="480">
        <f t="shared" si="193"/>
        <v>67.803000000000011</v>
      </c>
      <c r="H367" s="480">
        <f t="shared" si="193"/>
        <v>66.354242600000006</v>
      </c>
      <c r="I367" s="480">
        <f t="shared" si="193"/>
        <v>44.0910273</v>
      </c>
      <c r="J367" s="480">
        <f t="shared" ref="J367" si="196">+J319+J294-J343</f>
        <v>31.969068099999998</v>
      </c>
    </row>
    <row r="368" spans="2:10" x14ac:dyDescent="0.35">
      <c r="B368" s="198" t="s">
        <v>648</v>
      </c>
      <c r="C368" s="464" t="s">
        <v>671</v>
      </c>
      <c r="D368" s="480">
        <f t="shared" si="193"/>
        <v>64.543245800000008</v>
      </c>
      <c r="E368" s="480">
        <f t="shared" si="193"/>
        <v>73.020268000000002</v>
      </c>
      <c r="F368" s="480">
        <f t="shared" si="193"/>
        <v>103.086</v>
      </c>
      <c r="G368" s="480">
        <f t="shared" si="193"/>
        <v>105.63598250000001</v>
      </c>
      <c r="H368" s="480">
        <f t="shared" si="193"/>
        <v>105.6096728</v>
      </c>
      <c r="I368" s="480">
        <f t="shared" si="193"/>
        <v>83.111793700000007</v>
      </c>
      <c r="J368" s="480">
        <f t="shared" ref="J368" si="197">+J320+J295-J344</f>
        <v>64.950354800000014</v>
      </c>
    </row>
    <row r="369" spans="2:10" x14ac:dyDescent="0.35">
      <c r="B369" s="199" t="s">
        <v>649</v>
      </c>
      <c r="C369" s="464" t="s">
        <v>671</v>
      </c>
      <c r="D369" s="473">
        <f t="shared" ref="D369:I369" si="198">SUM(D365:D368)</f>
        <v>158.96109270000005</v>
      </c>
      <c r="E369" s="473">
        <f t="shared" si="198"/>
        <v>177.06087300000002</v>
      </c>
      <c r="F369" s="473">
        <f t="shared" si="198"/>
        <v>237.81113879999998</v>
      </c>
      <c r="G369" s="473">
        <f t="shared" si="198"/>
        <v>253.93720060000004</v>
      </c>
      <c r="H369" s="473">
        <f t="shared" si="198"/>
        <v>247.35123700000003</v>
      </c>
      <c r="I369" s="473">
        <f t="shared" si="198"/>
        <v>161.85378660000003</v>
      </c>
      <c r="J369" s="473">
        <f t="shared" ref="J369" si="199">SUM(J365:J368)</f>
        <v>126.30132960000002</v>
      </c>
    </row>
    <row r="370" spans="2:10" x14ac:dyDescent="0.35">
      <c r="B370" s="248" t="s">
        <v>758</v>
      </c>
      <c r="C370" s="467" t="s">
        <v>671</v>
      </c>
      <c r="D370" s="442">
        <f t="shared" ref="D370:I370" si="200">D369+D363+D356</f>
        <v>1092.2704352000001</v>
      </c>
      <c r="E370" s="442">
        <f t="shared" si="200"/>
        <v>1250.8799137999999</v>
      </c>
      <c r="F370" s="442">
        <f t="shared" si="200"/>
        <v>1476.4185062000001</v>
      </c>
      <c r="G370" s="442">
        <f t="shared" si="200"/>
        <v>1676.1591172999999</v>
      </c>
      <c r="H370" s="442">
        <f t="shared" si="200"/>
        <v>1584.5986722999999</v>
      </c>
      <c r="I370" s="442">
        <f t="shared" si="200"/>
        <v>1560.3393888999999</v>
      </c>
      <c r="J370" s="442">
        <f t="shared" ref="J370" si="201">J369+J363+J356</f>
        <v>1258.9448130999999</v>
      </c>
    </row>
    <row r="371" spans="2:10" x14ac:dyDescent="0.35">
      <c r="C371" s="111"/>
      <c r="D371" s="111"/>
      <c r="E371" s="111"/>
      <c r="F371" s="111"/>
      <c r="G371" s="111"/>
      <c r="H371" s="111"/>
    </row>
    <row r="372" spans="2:10" x14ac:dyDescent="0.35">
      <c r="C372" s="111"/>
      <c r="D372" s="111"/>
      <c r="E372" s="111"/>
      <c r="F372" s="111"/>
      <c r="G372" s="111"/>
      <c r="H372" s="111"/>
    </row>
    <row r="373" spans="2:10" x14ac:dyDescent="0.35">
      <c r="C373" s="111"/>
      <c r="D373" s="111"/>
      <c r="E373" s="111"/>
      <c r="F373" s="111"/>
      <c r="G373" s="111"/>
      <c r="H373" s="111"/>
    </row>
    <row r="374" spans="2:10" x14ac:dyDescent="0.35">
      <c r="C374" s="111"/>
      <c r="D374" s="111"/>
      <c r="E374" s="111"/>
      <c r="F374" s="111"/>
      <c r="G374" s="111"/>
      <c r="H374" s="111"/>
    </row>
    <row r="375" spans="2:10" x14ac:dyDescent="0.35">
      <c r="C375" s="111"/>
      <c r="D375" s="111"/>
      <c r="E375" s="111"/>
      <c r="F375" s="111"/>
      <c r="G375" s="111"/>
      <c r="H375" s="111"/>
    </row>
    <row r="376" spans="2:10" x14ac:dyDescent="0.35">
      <c r="C376" s="111"/>
      <c r="D376" s="111"/>
      <c r="E376" s="111"/>
      <c r="F376" s="111"/>
      <c r="G376" s="111"/>
      <c r="H376" s="111"/>
    </row>
    <row r="377" spans="2:10" x14ac:dyDescent="0.35">
      <c r="C377" s="111"/>
      <c r="D377" s="111"/>
      <c r="E377" s="111"/>
      <c r="F377" s="111"/>
      <c r="G377" s="111"/>
      <c r="H377" s="111"/>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7" tint="0.79998168889431442"/>
  </sheetPr>
  <dimension ref="A1:Z303"/>
  <sheetViews>
    <sheetView showGridLines="0" zoomScale="80" zoomScaleNormal="100" workbookViewId="0">
      <pane xSplit="4" ySplit="5" topLeftCell="E6" activePane="bottomRight" state="frozen"/>
      <selection activeCell="E102" sqref="E101:E102"/>
      <selection pane="topRight" activeCell="E102" sqref="E101:E102"/>
      <selection pane="bottomLeft" activeCell="E102" sqref="E101:E102"/>
      <selection pane="bottomRight" activeCell="I138" sqref="I138"/>
    </sheetView>
  </sheetViews>
  <sheetFormatPr defaultRowHeight="14.5" outlineLevelCol="1" x14ac:dyDescent="0.35"/>
  <cols>
    <col min="2" max="2" width="35" bestFit="1" customWidth="1"/>
    <col min="3" max="4" width="10.7265625" customWidth="1"/>
    <col min="5" max="6" width="15.453125" customWidth="1" outlineLevel="1"/>
    <col min="7" max="8" width="13.54296875" customWidth="1" outlineLevel="1"/>
    <col min="9" max="9" width="13.54296875" style="658" customWidth="1" outlineLevel="1"/>
    <col min="10" max="12" width="11" customWidth="1"/>
    <col min="13" max="13" width="11.453125" customWidth="1"/>
    <col min="14" max="17" width="10.453125" customWidth="1"/>
    <col min="18" max="19" width="10.453125" hidden="1" customWidth="1"/>
    <col min="20" max="20" width="9.26953125" customWidth="1"/>
    <col min="21" max="21" width="9.81640625" bestFit="1" customWidth="1"/>
  </cols>
  <sheetData>
    <row r="1" spans="1:19" x14ac:dyDescent="0.35">
      <c r="E1" s="705"/>
      <c r="F1" s="705"/>
      <c r="G1" s="705"/>
      <c r="H1" s="705"/>
      <c r="I1" s="705"/>
    </row>
    <row r="2" spans="1:19" s="658" customFormat="1" x14ac:dyDescent="0.35">
      <c r="B2" s="50" t="str">
        <f>'Debt Assumptions &amp; working'!B3</f>
        <v>All figures in INR Crores</v>
      </c>
      <c r="E2" s="705"/>
      <c r="F2" s="705"/>
      <c r="G2" s="705"/>
      <c r="H2" s="705"/>
      <c r="I2" s="705"/>
    </row>
    <row r="3" spans="1:19" x14ac:dyDescent="0.35">
      <c r="E3" s="706"/>
      <c r="F3" s="706"/>
      <c r="G3" s="706"/>
      <c r="H3" s="706"/>
      <c r="I3" s="706"/>
      <c r="J3" s="706"/>
      <c r="K3" s="706"/>
      <c r="L3" s="706"/>
      <c r="M3" s="706"/>
      <c r="N3" s="706"/>
      <c r="O3" s="706"/>
      <c r="P3" s="706"/>
      <c r="Q3" s="706"/>
      <c r="R3" s="706"/>
      <c r="S3" s="706"/>
    </row>
    <row r="4" spans="1:19" s="658" customFormat="1" x14ac:dyDescent="0.35">
      <c r="B4" s="85" t="s">
        <v>418</v>
      </c>
      <c r="C4" s="296"/>
      <c r="D4" s="85"/>
      <c r="E4" s="1621" t="s">
        <v>920</v>
      </c>
      <c r="F4" s="1621" t="s">
        <v>920</v>
      </c>
      <c r="G4" s="1621" t="s">
        <v>920</v>
      </c>
      <c r="H4" s="1621" t="s">
        <v>920</v>
      </c>
      <c r="I4" s="1621" t="s">
        <v>920</v>
      </c>
      <c r="J4" s="1621" t="s">
        <v>368</v>
      </c>
      <c r="K4" s="1621" t="s">
        <v>368</v>
      </c>
      <c r="L4" s="1621" t="s">
        <v>368</v>
      </c>
      <c r="M4" s="1621" t="s">
        <v>368</v>
      </c>
      <c r="N4" s="1621" t="s">
        <v>368</v>
      </c>
      <c r="O4" s="1621" t="s">
        <v>368</v>
      </c>
      <c r="P4" s="1621" t="s">
        <v>368</v>
      </c>
      <c r="Q4" s="1621" t="s">
        <v>368</v>
      </c>
      <c r="R4" s="1621" t="s">
        <v>368</v>
      </c>
      <c r="S4" s="1621" t="s">
        <v>368</v>
      </c>
    </row>
    <row r="5" spans="1:19" s="135" customFormat="1" x14ac:dyDescent="0.35">
      <c r="A5" s="168"/>
      <c r="B5" s="85"/>
      <c r="C5" s="296"/>
      <c r="D5" s="85"/>
      <c r="E5" s="127">
        <f>'Working - Distillery'!E5</f>
        <v>43190</v>
      </c>
      <c r="F5" s="127">
        <f>'Working - Distillery'!F5</f>
        <v>43555</v>
      </c>
      <c r="G5" s="127">
        <f>'Working - Distillery'!G5</f>
        <v>43921</v>
      </c>
      <c r="H5" s="127">
        <f>'Working - Distillery'!H5</f>
        <v>44286</v>
      </c>
      <c r="I5" s="127">
        <f>EOMONTH(H5,12)</f>
        <v>44651</v>
      </c>
      <c r="J5" s="127">
        <f>'Working - Distillery'!J5</f>
        <v>45016</v>
      </c>
      <c r="K5" s="127">
        <f>'Working - Distillery'!K5</f>
        <v>45382</v>
      </c>
      <c r="L5" s="127">
        <f>'Working - Distillery'!L5</f>
        <v>45747</v>
      </c>
      <c r="M5" s="127">
        <f>'Working - Distillery'!M5</f>
        <v>46112</v>
      </c>
      <c r="N5" s="127">
        <f>'Working - Distillery'!N5</f>
        <v>46477</v>
      </c>
      <c r="O5" s="127">
        <f>'Working - Distillery'!O5</f>
        <v>46843</v>
      </c>
      <c r="P5" s="127">
        <f>'Working - Distillery'!P5</f>
        <v>47208</v>
      </c>
      <c r="Q5" s="127">
        <f>'Working - Distillery'!Q5</f>
        <v>47573</v>
      </c>
      <c r="R5" s="127">
        <f>'Working - Distillery'!R5</f>
        <v>47938</v>
      </c>
      <c r="S5" s="127">
        <f>'Working - Distillery'!S5</f>
        <v>48304</v>
      </c>
    </row>
    <row r="6" spans="1:19" s="135" customFormat="1" x14ac:dyDescent="0.35">
      <c r="A6" s="168"/>
      <c r="B6" s="106" t="s">
        <v>95</v>
      </c>
      <c r="C6" s="299"/>
      <c r="D6" s="106"/>
      <c r="E6" s="106"/>
      <c r="F6" s="106"/>
      <c r="G6" s="304"/>
      <c r="H6" s="304"/>
      <c r="I6" s="304"/>
      <c r="J6" s="304"/>
      <c r="K6" s="304"/>
      <c r="L6" s="304"/>
      <c r="M6" s="304"/>
      <c r="N6" s="304"/>
      <c r="O6" s="304"/>
      <c r="P6" s="304"/>
      <c r="Q6" s="304"/>
      <c r="R6" s="304"/>
      <c r="S6" s="304"/>
    </row>
    <row r="7" spans="1:19" s="135" customFormat="1" x14ac:dyDescent="0.35">
      <c r="A7" s="168"/>
      <c r="B7" s="106" t="s">
        <v>96</v>
      </c>
      <c r="C7" s="78"/>
      <c r="D7" s="126"/>
      <c r="E7" s="169">
        <f t="shared" ref="E7:S7" si="0">SUM(E8:E16)</f>
        <v>5457.391709691</v>
      </c>
      <c r="F7" s="169">
        <f t="shared" si="0"/>
        <v>6283.9837801100002</v>
      </c>
      <c r="G7" s="169">
        <f t="shared" si="0"/>
        <v>6389.4688949699994</v>
      </c>
      <c r="H7" s="169">
        <f t="shared" si="0"/>
        <v>6260.2799819359998</v>
      </c>
      <c r="I7" s="169">
        <f t="shared" si="0"/>
        <v>4624.5209039772644</v>
      </c>
      <c r="J7" s="169">
        <f t="shared" si="0"/>
        <v>5487.3900203862513</v>
      </c>
      <c r="K7" s="169">
        <f t="shared" si="0"/>
        <v>5773.6653920673834</v>
      </c>
      <c r="L7" s="169">
        <f t="shared" si="0"/>
        <v>6259.3813334081124</v>
      </c>
      <c r="M7" s="169">
        <f t="shared" si="0"/>
        <v>6492.1184661222505</v>
      </c>
      <c r="N7" s="169">
        <f t="shared" si="0"/>
        <v>6653.5213250343486</v>
      </c>
      <c r="O7" s="169">
        <f t="shared" si="0"/>
        <v>6818.9808464015314</v>
      </c>
      <c r="P7" s="169">
        <f t="shared" si="0"/>
        <v>6988.5638544686708</v>
      </c>
      <c r="Q7" s="169">
        <f t="shared" si="0"/>
        <v>7162.3731763765818</v>
      </c>
      <c r="R7" s="169">
        <f t="shared" si="0"/>
        <v>7340.5142047440659</v>
      </c>
      <c r="S7" s="169">
        <f t="shared" si="0"/>
        <v>7523.0949617008464</v>
      </c>
    </row>
    <row r="8" spans="1:19" s="583" customFormat="1" x14ac:dyDescent="0.35">
      <c r="A8" s="586"/>
      <c r="B8" s="581" t="s">
        <v>13</v>
      </c>
      <c r="C8" s="579"/>
      <c r="D8" s="581"/>
      <c r="E8" s="77">
        <v>5190.71</v>
      </c>
      <c r="F8" s="77">
        <v>5986.52</v>
      </c>
      <c r="G8" s="77">
        <v>6100.0294792249997</v>
      </c>
      <c r="H8" s="77">
        <v>5930.5703884789991</v>
      </c>
      <c r="I8" s="77">
        <v>4453.62</v>
      </c>
      <c r="J8" s="63">
        <f>+Assumptions!J46*'Stock movement'!J10/100</f>
        <v>5360.9778292682931</v>
      </c>
      <c r="K8" s="63">
        <f>+Assumptions!K46*'Stock movement'!K10/100</f>
        <v>5645.9576249999982</v>
      </c>
      <c r="L8" s="63">
        <f>+Assumptions!L46*'Stock movement'!L10/100</f>
        <v>6125.3140921874974</v>
      </c>
      <c r="M8" s="63">
        <f>+Assumptions!M46*'Stock movement'!M10/100</f>
        <v>6355.4831033203091</v>
      </c>
      <c r="N8" s="63">
        <f>+Assumptions!N46*'Stock movement'!N10/100</f>
        <v>6514.3701809033146</v>
      </c>
      <c r="O8" s="63">
        <f>+Assumptions!O46*'Stock movement'!O10/100</f>
        <v>6677.2294354258975</v>
      </c>
      <c r="P8" s="63">
        <f>+Assumptions!P46*'Stock movement'!P10/100</f>
        <v>6844.1601713115442</v>
      </c>
      <c r="Q8" s="63">
        <f>+Assumptions!Q46*'Stock movement'!Q10/100</f>
        <v>7015.2641755943323</v>
      </c>
      <c r="R8" s="63">
        <f>+Assumptions!R46*'Stock movement'!R10/100</f>
        <v>7190.645779984191</v>
      </c>
      <c r="S8" s="63">
        <f>+Assumptions!S46*'Stock movement'!S10/100</f>
        <v>7370.4119244837939</v>
      </c>
    </row>
    <row r="9" spans="1:19" s="583" customFormat="1" x14ac:dyDescent="0.35">
      <c r="A9" s="586"/>
      <c r="B9" s="581" t="s">
        <v>1477</v>
      </c>
      <c r="C9" s="579"/>
      <c r="D9" s="581"/>
      <c r="E9" s="77"/>
      <c r="F9" s="77"/>
      <c r="G9" s="77"/>
      <c r="H9" s="77"/>
      <c r="I9" s="77">
        <v>25.433747049999997</v>
      </c>
      <c r="J9" s="63">
        <v>0</v>
      </c>
      <c r="K9" s="63">
        <v>0</v>
      </c>
      <c r="L9" s="63">
        <v>0</v>
      </c>
      <c r="M9" s="63">
        <v>0</v>
      </c>
      <c r="N9" s="63">
        <v>0</v>
      </c>
      <c r="O9" s="63">
        <v>0</v>
      </c>
      <c r="P9" s="63">
        <v>0</v>
      </c>
      <c r="Q9" s="63">
        <v>0</v>
      </c>
      <c r="R9" s="63">
        <v>0</v>
      </c>
      <c r="S9" s="63">
        <v>0</v>
      </c>
    </row>
    <row r="10" spans="1:19" s="583" customFormat="1" x14ac:dyDescent="0.35">
      <c r="A10" s="586"/>
      <c r="B10" s="581" t="s">
        <v>900</v>
      </c>
      <c r="C10" s="579"/>
      <c r="D10" s="581"/>
      <c r="E10" s="77">
        <v>13.2716718</v>
      </c>
      <c r="F10" s="77">
        <f>78121591/10^7</f>
        <v>7.8121590999999997</v>
      </c>
      <c r="G10" s="77">
        <v>160.06387354000003</v>
      </c>
      <c r="H10" s="77">
        <v>156.89909894099998</v>
      </c>
      <c r="I10" s="77">
        <v>11.62038064</v>
      </c>
      <c r="J10" s="63">
        <f>+Assumptions!J47*'Stock movement'!J25/100</f>
        <v>18.018398558570201</v>
      </c>
      <c r="K10" s="63">
        <f>+Assumptions!K47*'Stock movement'!K25/100</f>
        <v>20.280018239714874</v>
      </c>
      <c r="L10" s="63">
        <f>+Assumptions!L47*'Stock movement'!L25/100</f>
        <v>21.332044185900081</v>
      </c>
      <c r="M10" s="63">
        <f>+Assumptions!M47*'Stock movement'!M25/100</f>
        <v>21.758685069618082</v>
      </c>
      <c r="N10" s="63">
        <f>+Assumptions!N47*'Stock movement'!N25/100</f>
        <v>22.193858771010447</v>
      </c>
      <c r="O10" s="63">
        <f>+Assumptions!O47*'Stock movement'!O25/100</f>
        <v>22.637735946430652</v>
      </c>
      <c r="P10" s="63">
        <f>+Assumptions!P47*'Stock movement'!P25/100</f>
        <v>23.090490665359265</v>
      </c>
      <c r="Q10" s="63">
        <f>+Assumptions!Q47*'Stock movement'!Q25/100</f>
        <v>23.552300478666453</v>
      </c>
      <c r="R10" s="63">
        <f>+Assumptions!R47*'Stock movement'!R25/100</f>
        <v>24.023346488239781</v>
      </c>
      <c r="S10" s="63">
        <f>+Assumptions!S47*'Stock movement'!S25/100</f>
        <v>24.503813418004576</v>
      </c>
    </row>
    <row r="11" spans="1:19" s="583" customFormat="1" x14ac:dyDescent="0.35">
      <c r="A11" s="586"/>
      <c r="B11" s="581" t="s">
        <v>25</v>
      </c>
      <c r="C11" s="579"/>
      <c r="D11" s="581"/>
      <c r="E11" s="77"/>
      <c r="F11" s="77"/>
      <c r="G11" s="77"/>
      <c r="H11" s="77"/>
      <c r="I11" s="63"/>
      <c r="J11" s="63">
        <f>+Assumptions!J50*'Stock movement'!J37/100</f>
        <v>0</v>
      </c>
      <c r="K11" s="63">
        <f>+Assumptions!K50*'Stock movement'!K37/100</f>
        <v>0</v>
      </c>
      <c r="L11" s="63">
        <f>+Assumptions!L50*'Stock movement'!L37/100</f>
        <v>0</v>
      </c>
      <c r="M11" s="63">
        <f>+Assumptions!M50*'Stock movement'!M37/100</f>
        <v>0</v>
      </c>
      <c r="N11" s="63">
        <f>+Assumptions!N50*'Stock movement'!N37/100</f>
        <v>0</v>
      </c>
      <c r="O11" s="63">
        <f>+Assumptions!O50*'Stock movement'!O37/100</f>
        <v>0</v>
      </c>
      <c r="P11" s="63">
        <f>+Assumptions!P50*'Stock movement'!P37/100</f>
        <v>0</v>
      </c>
      <c r="Q11" s="63">
        <f>+Assumptions!Q50*'Stock movement'!Q37/100</f>
        <v>0</v>
      </c>
      <c r="R11" s="63">
        <f>+Assumptions!R50*'Stock movement'!R37/100</f>
        <v>0</v>
      </c>
      <c r="S11" s="63">
        <f>+Assumptions!S50*'Stock movement'!S37/100</f>
        <v>0</v>
      </c>
    </row>
    <row r="12" spans="1:19" s="583" customFormat="1" x14ac:dyDescent="0.35">
      <c r="A12" s="167"/>
      <c r="B12" s="581" t="s">
        <v>899</v>
      </c>
      <c r="C12" s="579"/>
      <c r="D12" s="581"/>
      <c r="E12" s="77">
        <v>5.3286357889999998</v>
      </c>
      <c r="F12" s="77">
        <f>42155509/10^7</f>
        <v>4.2155509000000002</v>
      </c>
      <c r="G12" s="170">
        <v>6.3987757049999994</v>
      </c>
      <c r="H12" s="170">
        <v>5.0816786110000001</v>
      </c>
      <c r="I12" s="170">
        <v>8.1116370409999998</v>
      </c>
      <c r="J12" s="143">
        <f>+'Stock movement'!J124*Assumptions!J124/100</f>
        <v>8.8218000000000014</v>
      </c>
      <c r="K12" s="143">
        <f>+'Stock movement'!K124*Assumptions!K124/100</f>
        <v>9.9290880000000001</v>
      </c>
      <c r="L12" s="143">
        <f>+'Stock movement'!L124*Assumptions!L124/100</f>
        <v>10.44415944</v>
      </c>
      <c r="M12" s="143">
        <f>+'Stock movement'!M124*Assumptions!M124/100</f>
        <v>10.653042628800002</v>
      </c>
      <c r="N12" s="143">
        <f>+'Stock movement'!N124*Assumptions!N124/100</f>
        <v>10.866103481376001</v>
      </c>
      <c r="O12" s="143">
        <f>+'Stock movement'!O124*Assumptions!O124/100</f>
        <v>11.08342555100352</v>
      </c>
      <c r="P12" s="143">
        <f>+'Stock movement'!P124*Assumptions!P124/100</f>
        <v>11.30509406202359</v>
      </c>
      <c r="Q12" s="143">
        <f>+'Stock movement'!Q124*Assumptions!Q124/100</f>
        <v>11.531195943264063</v>
      </c>
      <c r="R12" s="143">
        <f>+'Stock movement'!R124*Assumptions!R124/100</f>
        <v>11.761819862129347</v>
      </c>
      <c r="S12" s="143">
        <f>+'Stock movement'!S124*Assumptions!S124/100</f>
        <v>11.997056259371934</v>
      </c>
    </row>
    <row r="13" spans="1:19" s="583" customFormat="1" x14ac:dyDescent="0.35">
      <c r="A13" s="586"/>
      <c r="B13" s="581" t="s">
        <v>253</v>
      </c>
      <c r="C13" s="579"/>
      <c r="D13" s="581"/>
      <c r="E13" s="581"/>
      <c r="F13" s="581"/>
      <c r="G13" s="170">
        <v>0</v>
      </c>
      <c r="H13" s="170">
        <v>0.41688030500000001</v>
      </c>
      <c r="I13" s="170">
        <f>957835.5/10^7</f>
        <v>9.5783549999999995E-2</v>
      </c>
      <c r="J13" s="143">
        <v>0</v>
      </c>
      <c r="K13" s="143">
        <v>0</v>
      </c>
      <c r="L13" s="143">
        <v>0</v>
      </c>
      <c r="M13" s="143">
        <v>0</v>
      </c>
      <c r="N13" s="143">
        <v>0</v>
      </c>
      <c r="O13" s="143">
        <v>0</v>
      </c>
      <c r="P13" s="143">
        <v>0</v>
      </c>
      <c r="Q13" s="143">
        <v>0</v>
      </c>
      <c r="R13" s="143">
        <v>0</v>
      </c>
      <c r="S13" s="143">
        <v>0</v>
      </c>
    </row>
    <row r="14" spans="1:19" s="583" customFormat="1" x14ac:dyDescent="0.35">
      <c r="A14" s="167"/>
      <c r="B14" s="581" t="s">
        <v>11</v>
      </c>
      <c r="C14" s="579"/>
      <c r="D14" s="581"/>
      <c r="E14" s="77">
        <v>10.86887074</v>
      </c>
      <c r="F14" s="77">
        <f>5216549/10^7</f>
        <v>0.52165490000000003</v>
      </c>
      <c r="G14" s="77">
        <v>1.4303600000000001</v>
      </c>
      <c r="H14" s="77">
        <v>0</v>
      </c>
      <c r="I14" s="77">
        <v>5.4021291200000006</v>
      </c>
      <c r="J14" s="125"/>
      <c r="K14" s="125"/>
      <c r="L14" s="125"/>
      <c r="M14" s="125"/>
      <c r="N14" s="125"/>
      <c r="O14" s="125"/>
      <c r="P14" s="125"/>
      <c r="Q14" s="125"/>
      <c r="R14" s="125"/>
      <c r="S14" s="125"/>
    </row>
    <row r="15" spans="1:19" s="583" customFormat="1" x14ac:dyDescent="0.35">
      <c r="A15" s="167"/>
      <c r="B15" s="581" t="s">
        <v>939</v>
      </c>
      <c r="C15" s="579"/>
      <c r="D15" s="581"/>
      <c r="E15" s="63">
        <f t="shared" ref="E15:I15" si="1">E197</f>
        <v>159.58417739999996</v>
      </c>
      <c r="F15" s="63">
        <f t="shared" si="1"/>
        <v>174.4165739</v>
      </c>
      <c r="G15" s="63">
        <f t="shared" si="1"/>
        <v>68.514091300000004</v>
      </c>
      <c r="H15" s="63">
        <f t="shared" si="1"/>
        <v>58.545862399999997</v>
      </c>
      <c r="I15" s="63">
        <f t="shared" si="1"/>
        <v>46.123576701263922</v>
      </c>
      <c r="J15" s="63">
        <f t="shared" ref="J15:R15" si="2">J197</f>
        <v>42.962451368948607</v>
      </c>
      <c r="K15" s="63">
        <f t="shared" si="2"/>
        <v>39.939684851441392</v>
      </c>
      <c r="L15" s="63">
        <f t="shared" si="2"/>
        <v>43.763638136981164</v>
      </c>
      <c r="M15" s="63">
        <f t="shared" si="2"/>
        <v>44.708443694654903</v>
      </c>
      <c r="N15" s="63">
        <f t="shared" si="2"/>
        <v>45.568442679622052</v>
      </c>
      <c r="O15" s="63">
        <f t="shared" si="2"/>
        <v>46.479811533214487</v>
      </c>
      <c r="P15" s="63">
        <f t="shared" si="2"/>
        <v>47.409407763878782</v>
      </c>
      <c r="Q15" s="63">
        <f t="shared" si="2"/>
        <v>48.357595919156353</v>
      </c>
      <c r="R15" s="63">
        <f t="shared" si="2"/>
        <v>49.324747837539483</v>
      </c>
      <c r="S15" s="63">
        <f>S197</f>
        <v>50.311242794290273</v>
      </c>
    </row>
    <row r="16" spans="1:19" s="135" customFormat="1" x14ac:dyDescent="0.35">
      <c r="A16" s="167"/>
      <c r="B16" s="562" t="s">
        <v>419</v>
      </c>
      <c r="C16" s="561"/>
      <c r="D16" s="562"/>
      <c r="E16" s="1203">
        <f>+E139</f>
        <v>77.628353962000006</v>
      </c>
      <c r="F16" s="1203">
        <f>+F139</f>
        <v>110.49784131000001</v>
      </c>
      <c r="G16" s="1204">
        <f>+G139</f>
        <v>53.032315199999999</v>
      </c>
      <c r="H16" s="1204">
        <f t="shared" ref="H16:S16" si="3">+H139</f>
        <v>108.76607319999999</v>
      </c>
      <c r="I16" s="1204">
        <f t="shared" si="3"/>
        <v>74.113649875000007</v>
      </c>
      <c r="J16" s="1204">
        <f t="shared" si="3"/>
        <v>56.609541190440005</v>
      </c>
      <c r="K16" s="1204">
        <f t="shared" si="3"/>
        <v>57.558975976228808</v>
      </c>
      <c r="L16" s="1204">
        <f t="shared" si="3"/>
        <v>58.527399457733388</v>
      </c>
      <c r="M16" s="1204">
        <f t="shared" si="3"/>
        <v>59.515191408868056</v>
      </c>
      <c r="N16" s="1204">
        <f t="shared" si="3"/>
        <v>60.522739199025416</v>
      </c>
      <c r="O16" s="1204">
        <f t="shared" si="3"/>
        <v>61.550437944985923</v>
      </c>
      <c r="P16" s="1204">
        <f t="shared" si="3"/>
        <v>62.598690665865639</v>
      </c>
      <c r="Q16" s="1204">
        <f t="shared" si="3"/>
        <v>63.66790844116295</v>
      </c>
      <c r="R16" s="1204">
        <f t="shared" si="3"/>
        <v>64.758510571966212</v>
      </c>
      <c r="S16" s="1204">
        <f t="shared" si="3"/>
        <v>65.870924745385537</v>
      </c>
    </row>
    <row r="17" spans="1:20" s="135" customFormat="1" x14ac:dyDescent="0.35">
      <c r="A17" s="167"/>
      <c r="B17" s="1774" t="s">
        <v>531</v>
      </c>
      <c r="C17" s="1775"/>
      <c r="D17" s="1774"/>
      <c r="E17" s="1203">
        <f t="shared" ref="E17:R17" si="4">SUM(E18:E25)</f>
        <v>197.46739511499999</v>
      </c>
      <c r="F17" s="1203">
        <f t="shared" si="4"/>
        <v>128.711737607</v>
      </c>
      <c r="G17" s="1203">
        <f t="shared" si="4"/>
        <v>118.24477139999998</v>
      </c>
      <c r="H17" s="1203">
        <f t="shared" si="4"/>
        <v>238.77764609999997</v>
      </c>
      <c r="I17" s="1203">
        <f t="shared" si="4"/>
        <v>646.10586833520017</v>
      </c>
      <c r="J17" s="1203">
        <f t="shared" si="4"/>
        <v>870.84594973022752</v>
      </c>
      <c r="K17" s="1203">
        <f t="shared" si="4"/>
        <v>1129.137935955901</v>
      </c>
      <c r="L17" s="1203">
        <f t="shared" si="4"/>
        <v>1166.9636114269808</v>
      </c>
      <c r="M17" s="1203">
        <f t="shared" si="4"/>
        <v>1203.4725927218606</v>
      </c>
      <c r="N17" s="1203">
        <f t="shared" si="4"/>
        <v>1224.48448909325</v>
      </c>
      <c r="O17" s="1203">
        <f t="shared" si="4"/>
        <v>1245.7867756978208</v>
      </c>
      <c r="P17" s="1203">
        <f t="shared" si="4"/>
        <v>1267.5151080344835</v>
      </c>
      <c r="Q17" s="1203">
        <f t="shared" si="4"/>
        <v>1289.6780070178788</v>
      </c>
      <c r="R17" s="1203">
        <f t="shared" si="4"/>
        <v>1312.2841639809421</v>
      </c>
      <c r="S17" s="1203">
        <f>SUM(S18:S25)</f>
        <v>1335.3424440832669</v>
      </c>
    </row>
    <row r="18" spans="1:20" s="135" customFormat="1" x14ac:dyDescent="0.35">
      <c r="A18" s="168"/>
      <c r="B18" s="1205" t="s">
        <v>126</v>
      </c>
      <c r="C18" s="1206"/>
      <c r="D18" s="1205"/>
      <c r="E18" s="1205"/>
      <c r="F18" s="1205"/>
      <c r="G18" s="1207"/>
      <c r="H18" s="1207"/>
      <c r="I18" s="1207"/>
      <c r="J18" s="1208"/>
      <c r="K18" s="1208"/>
      <c r="L18" s="1208"/>
      <c r="M18" s="1208"/>
      <c r="N18" s="1208"/>
      <c r="O18" s="1208"/>
      <c r="P18" s="1208"/>
      <c r="Q18" s="1208"/>
      <c r="R18" s="1208"/>
      <c r="S18" s="1208"/>
    </row>
    <row r="19" spans="1:20" s="135" customFormat="1" x14ac:dyDescent="0.35">
      <c r="A19" s="168"/>
      <c r="B19" s="171" t="s">
        <v>18</v>
      </c>
      <c r="C19" s="78"/>
      <c r="D19" s="126"/>
      <c r="E19" s="63">
        <f>+'Working - Distillery'!E23</f>
        <v>114.45666294999999</v>
      </c>
      <c r="F19" s="63">
        <f>+'Working - Distillery'!F23</f>
        <v>37.700539399999997</v>
      </c>
      <c r="G19" s="63">
        <f>+'Working - Distillery'!G23</f>
        <v>64.589317999999992</v>
      </c>
      <c r="H19" s="63">
        <f>+'Working - Distillery'!H23</f>
        <v>81.925701000000004</v>
      </c>
      <c r="I19" s="63">
        <f>+'Working - Distillery'!I23</f>
        <v>131.35673500000001</v>
      </c>
      <c r="J19" s="63">
        <f>+'Working - Distillery'!J23</f>
        <v>28.426766499999985</v>
      </c>
      <c r="K19" s="63">
        <f>+'Working - Distillery'!K23</f>
        <v>9.9653618690354057E-15</v>
      </c>
      <c r="L19" s="63">
        <f>+'Working - Distillery'!L23</f>
        <v>0</v>
      </c>
      <c r="M19" s="63">
        <f>+'Working - Distillery'!M23</f>
        <v>0</v>
      </c>
      <c r="N19" s="63">
        <f>+'Working - Distillery'!N23</f>
        <v>0</v>
      </c>
      <c r="O19" s="63">
        <f>+'Working - Distillery'!O23</f>
        <v>0</v>
      </c>
      <c r="P19" s="63">
        <f>+'Working - Distillery'!P23</f>
        <v>0</v>
      </c>
      <c r="Q19" s="63">
        <f>+'Working - Distillery'!Q23</f>
        <v>0</v>
      </c>
      <c r="R19" s="63">
        <f>+'Working - Distillery'!R23</f>
        <v>0</v>
      </c>
      <c r="S19" s="63">
        <f>+'Working - Distillery'!S23</f>
        <v>0</v>
      </c>
    </row>
    <row r="20" spans="1:20" s="135" customFormat="1" x14ac:dyDescent="0.35">
      <c r="A20" s="168"/>
      <c r="B20" s="171" t="s">
        <v>19</v>
      </c>
      <c r="C20" s="78"/>
      <c r="D20" s="126"/>
      <c r="E20" s="63">
        <f>+'Working - Distillery'!E24</f>
        <v>0</v>
      </c>
      <c r="F20" s="63">
        <f>+'Working - Distillery'!F24</f>
        <v>0</v>
      </c>
      <c r="G20" s="63">
        <f>+'Working - Distillery'!G24</f>
        <v>0</v>
      </c>
      <c r="H20" s="63">
        <f>+'Working - Distillery'!H24</f>
        <v>85.817097199999992</v>
      </c>
      <c r="I20" s="63">
        <f>+'Working - Distillery'!I24</f>
        <v>329.55054595420006</v>
      </c>
      <c r="J20" s="63">
        <f>+'Working - Distillery'!J24</f>
        <v>693.24435470731703</v>
      </c>
      <c r="K20" s="63">
        <f>+'Working - Distillery'!K24</f>
        <v>943.94786707317076</v>
      </c>
      <c r="L20" s="63">
        <f>+'Working - Distillery'!L24</f>
        <v>976.32439671951204</v>
      </c>
      <c r="M20" s="63">
        <f>+'Working - Distillery'!M24</f>
        <v>1009.618408404878</v>
      </c>
      <c r="N20" s="63">
        <f>+'Working - Distillery'!N24</f>
        <v>1029.8107765729756</v>
      </c>
      <c r="O20" s="63">
        <f>+'Working - Distillery'!O24</f>
        <v>1050.4069921044349</v>
      </c>
      <c r="P20" s="63">
        <f>+'Working - Distillery'!P24</f>
        <v>1071.4151319465238</v>
      </c>
      <c r="Q20" s="63">
        <f>+'Working - Distillery'!Q24</f>
        <v>1092.8434345854544</v>
      </c>
      <c r="R20" s="63">
        <f>+'Working - Distillery'!R24</f>
        <v>1114.7003032771634</v>
      </c>
      <c r="S20" s="63">
        <f>+'Working - Distillery'!S24</f>
        <v>1136.9943093427066</v>
      </c>
    </row>
    <row r="21" spans="1:20" s="583" customFormat="1" x14ac:dyDescent="0.35">
      <c r="A21" s="586"/>
      <c r="B21" s="581" t="s">
        <v>1586</v>
      </c>
      <c r="C21" s="579"/>
      <c r="D21" s="581"/>
      <c r="E21" s="63"/>
      <c r="F21" s="63"/>
      <c r="G21" s="63"/>
      <c r="H21" s="63"/>
      <c r="I21" s="63">
        <f>+'Working - Distillery'!I25</f>
        <v>69.224000000000004</v>
      </c>
      <c r="J21" s="63">
        <f>+'Working - Distillery'!J25</f>
        <v>0</v>
      </c>
      <c r="K21" s="63">
        <f>+'Working - Distillery'!K25</f>
        <v>0</v>
      </c>
      <c r="L21" s="63">
        <f>+'Working - Distillery'!L25</f>
        <v>0</v>
      </c>
      <c r="M21" s="63">
        <f>+'Working - Distillery'!M25</f>
        <v>0</v>
      </c>
      <c r="N21" s="63">
        <f>+'Working - Distillery'!N25</f>
        <v>0</v>
      </c>
      <c r="O21" s="63">
        <f>+'Working - Distillery'!O25</f>
        <v>0</v>
      </c>
      <c r="P21" s="63">
        <f>+'Working - Distillery'!P25</f>
        <v>0</v>
      </c>
      <c r="Q21" s="63">
        <f>+'Working - Distillery'!Q25</f>
        <v>0</v>
      </c>
      <c r="R21" s="63">
        <f>+'Working - Distillery'!R25</f>
        <v>0</v>
      </c>
      <c r="S21" s="63">
        <f>+'Working - Distillery'!S25</f>
        <v>0</v>
      </c>
    </row>
    <row r="22" spans="1:20" s="583" customFormat="1" x14ac:dyDescent="0.35">
      <c r="A22" s="586"/>
      <c r="B22" s="581" t="s">
        <v>901</v>
      </c>
      <c r="C22" s="579"/>
      <c r="D22" s="581"/>
      <c r="E22" s="63">
        <f>+'Working - Distillery'!E28</f>
        <v>6.5658997000000001</v>
      </c>
      <c r="F22" s="63">
        <f>+'Working - Distillery'!F28</f>
        <v>6.8246403000000004</v>
      </c>
      <c r="G22" s="63">
        <f>+'Working - Distillery'!G28</f>
        <v>6.025061</v>
      </c>
      <c r="H22" s="63">
        <f>+'Working - Distillery'!H28</f>
        <v>5.5783385999999995</v>
      </c>
      <c r="I22" s="63">
        <f>+'Working - Distillery'!I28</f>
        <v>1.5896668</v>
      </c>
      <c r="J22" s="63">
        <f>+'Working - Distillery'!J28</f>
        <v>3.7700001185783116</v>
      </c>
      <c r="K22" s="63">
        <f>+'Working - Distillery'!K28</f>
        <v>4.1600001308450336</v>
      </c>
      <c r="L22" s="63">
        <f>+'Working - Distillery'!L28</f>
        <v>4.2900001349339405</v>
      </c>
      <c r="M22" s="63">
        <f>+'Working - Distillery'!M28</f>
        <v>4.2900001349339405</v>
      </c>
      <c r="N22" s="63">
        <f>+'Working - Distillery'!N28</f>
        <v>4.2900001349339405</v>
      </c>
      <c r="O22" s="63">
        <f>+'Working - Distillery'!O28</f>
        <v>4.2900001349339405</v>
      </c>
      <c r="P22" s="63">
        <f>+'Working - Distillery'!P28</f>
        <v>4.2900001349339405</v>
      </c>
      <c r="Q22" s="63">
        <f>+'Working - Distillery'!Q28</f>
        <v>4.2900001349339405</v>
      </c>
      <c r="R22" s="63">
        <f>+'Working - Distillery'!R28</f>
        <v>4.2900001349339405</v>
      </c>
      <c r="S22" s="63">
        <f>+'Working - Distillery'!S28</f>
        <v>4.2900001349339405</v>
      </c>
      <c r="T22" s="151"/>
    </row>
    <row r="23" spans="1:20" s="583" customFormat="1" x14ac:dyDescent="0.35">
      <c r="A23" s="586"/>
      <c r="B23" s="581" t="s">
        <v>959</v>
      </c>
      <c r="C23" s="579"/>
      <c r="D23" s="581"/>
      <c r="E23" s="63">
        <f t="shared" ref="E23:I23" si="5">E205</f>
        <v>18.309999999999999</v>
      </c>
      <c r="F23" s="63">
        <f t="shared" si="5"/>
        <v>21.89</v>
      </c>
      <c r="G23" s="63">
        <f t="shared" si="5"/>
        <v>9.39</v>
      </c>
      <c r="H23" s="63">
        <f t="shared" si="5"/>
        <v>13.86</v>
      </c>
      <c r="I23" s="63">
        <f t="shared" si="5"/>
        <v>23.371795355</v>
      </c>
      <c r="J23" s="63">
        <f t="shared" ref="J23:R23" si="6">J205</f>
        <v>25.147752526213836</v>
      </c>
      <c r="K23" s="63">
        <f t="shared" si="6"/>
        <v>31.954076094477031</v>
      </c>
      <c r="L23" s="63">
        <f t="shared" si="6"/>
        <v>33.446819449728721</v>
      </c>
      <c r="M23" s="63">
        <f t="shared" si="6"/>
        <v>34.587728481177393</v>
      </c>
      <c r="N23" s="63">
        <f t="shared" si="6"/>
        <v>35.303553655566105</v>
      </c>
      <c r="O23" s="63">
        <f t="shared" si="6"/>
        <v>36.00962472867743</v>
      </c>
      <c r="P23" s="63">
        <f t="shared" si="6"/>
        <v>36.729817223250983</v>
      </c>
      <c r="Q23" s="63">
        <f t="shared" si="6"/>
        <v>37.464413567715994</v>
      </c>
      <c r="R23" s="63">
        <f t="shared" si="6"/>
        <v>38.213701839070318</v>
      </c>
      <c r="S23" s="63">
        <f>S205</f>
        <v>38.977975875851726</v>
      </c>
    </row>
    <row r="24" spans="1:20" s="583" customFormat="1" x14ac:dyDescent="0.35">
      <c r="A24" s="586"/>
      <c r="B24" s="581" t="s">
        <v>960</v>
      </c>
      <c r="C24" s="579"/>
      <c r="D24" s="581"/>
      <c r="E24" s="63">
        <f t="shared" ref="E24:I24" si="7">E202+E203</f>
        <v>50.628147400000003</v>
      </c>
      <c r="F24" s="63">
        <f t="shared" si="7"/>
        <v>50.906095199999996</v>
      </c>
      <c r="G24" s="63">
        <f t="shared" si="7"/>
        <v>29.3773768</v>
      </c>
      <c r="H24" s="63">
        <f t="shared" si="7"/>
        <v>41.421611999999996</v>
      </c>
      <c r="I24" s="63">
        <f t="shared" si="7"/>
        <v>74.780634200000009</v>
      </c>
      <c r="J24" s="63">
        <f t="shared" ref="J24:R24" si="8">J202+J203</f>
        <v>117.2746928731184</v>
      </c>
      <c r="K24" s="63">
        <f t="shared" si="8"/>
        <v>146.09360965240825</v>
      </c>
      <c r="L24" s="63">
        <f t="shared" si="8"/>
        <v>149.92001211780618</v>
      </c>
      <c r="M24" s="63">
        <f t="shared" si="8"/>
        <v>151.9940726958713</v>
      </c>
      <c r="N24" s="63">
        <f t="shared" si="8"/>
        <v>152.09777572477458</v>
      </c>
      <c r="O24" s="63">
        <f t="shared" si="8"/>
        <v>152.09777572477458</v>
      </c>
      <c r="P24" s="63">
        <f t="shared" si="8"/>
        <v>152.09777572477458</v>
      </c>
      <c r="Q24" s="63">
        <f t="shared" si="8"/>
        <v>152.09777572477458</v>
      </c>
      <c r="R24" s="63">
        <f t="shared" si="8"/>
        <v>152.09777572477458</v>
      </c>
      <c r="S24" s="63">
        <f>S202+S203</f>
        <v>152.09777572477458</v>
      </c>
    </row>
    <row r="25" spans="1:20" s="135" customFormat="1" x14ac:dyDescent="0.35">
      <c r="A25" s="167"/>
      <c r="B25" s="562" t="s">
        <v>102</v>
      </c>
      <c r="C25" s="561"/>
      <c r="D25" s="562"/>
      <c r="E25" s="551">
        <f>'Working - Sugar + Cogen'!E149</f>
        <v>7.5066850650000001</v>
      </c>
      <c r="F25" s="551">
        <f>'Working - Sugar + Cogen'!F149</f>
        <v>11.390462706999999</v>
      </c>
      <c r="G25" s="551">
        <f>'Working - Sugar + Cogen'!G149</f>
        <v>8.8630156000000007</v>
      </c>
      <c r="H25" s="551">
        <f>'Working - Sugar + Cogen'!H149</f>
        <v>10.174897300000001</v>
      </c>
      <c r="I25" s="551">
        <f>'Working - Sugar + Cogen'!I149</f>
        <v>16.232491026000002</v>
      </c>
      <c r="J25" s="551">
        <f>'Working - Sugar + Cogen'!J149</f>
        <v>2.9823830050000004</v>
      </c>
      <c r="K25" s="551">
        <f>'Working - Sugar + Cogen'!K149</f>
        <v>2.9823830050000004</v>
      </c>
      <c r="L25" s="551">
        <f>'Working - Sugar + Cogen'!L149</f>
        <v>2.9823830050000004</v>
      </c>
      <c r="M25" s="551">
        <f>'Working - Sugar + Cogen'!M149</f>
        <v>2.9823830050000004</v>
      </c>
      <c r="N25" s="551">
        <f>'Working - Sugar + Cogen'!N149</f>
        <v>2.9823830050000004</v>
      </c>
      <c r="O25" s="551">
        <f>'Working - Sugar + Cogen'!O149</f>
        <v>2.9823830050000004</v>
      </c>
      <c r="P25" s="551">
        <f>'Working - Sugar + Cogen'!P149</f>
        <v>2.9823830050000004</v>
      </c>
      <c r="Q25" s="551">
        <f>'Working - Sugar + Cogen'!Q149</f>
        <v>2.9823830050000004</v>
      </c>
      <c r="R25" s="551">
        <f>'Working - Sugar + Cogen'!R149</f>
        <v>2.9823830050000004</v>
      </c>
      <c r="S25" s="551">
        <f>'Working - Sugar + Cogen'!S149</f>
        <v>2.9823830050000004</v>
      </c>
    </row>
    <row r="26" spans="1:20" s="135" customFormat="1" x14ac:dyDescent="0.35">
      <c r="A26" s="168"/>
      <c r="B26" s="1776" t="s">
        <v>421</v>
      </c>
      <c r="C26" s="1777"/>
      <c r="D26" s="1776"/>
      <c r="E26" s="1778">
        <f t="shared" ref="E26:S26" si="9">E7+E17</f>
        <v>5654.8591048059998</v>
      </c>
      <c r="F26" s="1778">
        <f t="shared" si="9"/>
        <v>6412.6955177170003</v>
      </c>
      <c r="G26" s="1778">
        <f t="shared" si="9"/>
        <v>6507.7136663699994</v>
      </c>
      <c r="H26" s="1778">
        <f t="shared" si="9"/>
        <v>6499.0576280360001</v>
      </c>
      <c r="I26" s="1778">
        <f t="shared" si="9"/>
        <v>5270.6267723124647</v>
      </c>
      <c r="J26" s="1778">
        <f t="shared" si="9"/>
        <v>6358.2359701164787</v>
      </c>
      <c r="K26" s="1778">
        <f t="shared" si="9"/>
        <v>6902.8033280232848</v>
      </c>
      <c r="L26" s="1778">
        <f t="shared" si="9"/>
        <v>7426.344944835093</v>
      </c>
      <c r="M26" s="1778">
        <f t="shared" si="9"/>
        <v>7695.5910588441111</v>
      </c>
      <c r="N26" s="1778">
        <f t="shared" si="9"/>
        <v>7878.0058141275986</v>
      </c>
      <c r="O26" s="1778">
        <f t="shared" si="9"/>
        <v>8064.7676220993526</v>
      </c>
      <c r="P26" s="1778">
        <f t="shared" si="9"/>
        <v>8256.0789625031539</v>
      </c>
      <c r="Q26" s="1778">
        <f t="shared" si="9"/>
        <v>8452.0511833944602</v>
      </c>
      <c r="R26" s="1778">
        <f t="shared" si="9"/>
        <v>8652.7983687250089</v>
      </c>
      <c r="S26" s="1778">
        <f t="shared" si="9"/>
        <v>8858.4374057841123</v>
      </c>
    </row>
    <row r="27" spans="1:20" s="135" customFormat="1" x14ac:dyDescent="0.35">
      <c r="A27" s="168"/>
      <c r="B27" s="1209" t="s">
        <v>51</v>
      </c>
      <c r="C27" s="1206"/>
      <c r="D27" s="1205"/>
      <c r="E27" s="1205"/>
      <c r="F27" s="1205"/>
      <c r="G27" s="1205"/>
      <c r="H27" s="1205"/>
      <c r="I27" s="1205"/>
      <c r="J27" s="1205"/>
      <c r="K27" s="1205"/>
      <c r="L27" s="1205"/>
      <c r="M27" s="1205"/>
      <c r="N27" s="1205"/>
      <c r="O27" s="1205"/>
      <c r="P27" s="1205"/>
      <c r="Q27" s="1205"/>
      <c r="R27" s="1205"/>
      <c r="S27" s="1205"/>
    </row>
    <row r="28" spans="1:20" s="135" customFormat="1" x14ac:dyDescent="0.35">
      <c r="A28" s="168"/>
      <c r="B28" s="106" t="s">
        <v>40</v>
      </c>
      <c r="C28" s="78"/>
      <c r="D28" s="126"/>
      <c r="E28" s="126"/>
      <c r="F28" s="126"/>
      <c r="G28" s="126"/>
      <c r="H28" s="126"/>
      <c r="I28" s="581"/>
      <c r="J28" s="126"/>
      <c r="K28" s="126"/>
      <c r="L28" s="126"/>
      <c r="M28" s="126"/>
      <c r="N28" s="126"/>
      <c r="O28" s="126"/>
      <c r="P28" s="126"/>
      <c r="Q28" s="126"/>
      <c r="R28" s="126"/>
      <c r="S28" s="581"/>
    </row>
    <row r="29" spans="1:20" s="135" customFormat="1" x14ac:dyDescent="0.35">
      <c r="A29" s="168"/>
      <c r="B29" s="126" t="s">
        <v>216</v>
      </c>
      <c r="C29" s="78"/>
      <c r="D29" s="126"/>
      <c r="E29" s="143">
        <f>'Plant wise cane details'!F11+'Plant wise cane details'!F63-'Plant wise cane details'!F64</f>
        <v>4686.6226969970003</v>
      </c>
      <c r="F29" s="143">
        <f>'Plant wise cane details'!G11+'Plant wise cane details'!G63-'Plant wise cane details'!G64</f>
        <v>5359.3387451029994</v>
      </c>
      <c r="G29" s="143">
        <f>'Plant wise cane details'!H11+'Plant wise cane details'!H63-'Plant wise cane details'!H64</f>
        <v>5081.5118900310008</v>
      </c>
      <c r="H29" s="143">
        <f>'Plant wise cane details'!I11+'Plant wise cane details'!I63-'Plant wise cane details'!I64</f>
        <v>5011.9267109990005</v>
      </c>
      <c r="I29" s="143">
        <f>'Plant wise cane details'!J11+'Plant wise cane details'!J63-'Plant wise cane details'!J64</f>
        <v>4333.3754498579992</v>
      </c>
      <c r="J29" s="143">
        <f>+Assumptions!J17*Assumptions!J40/100</f>
        <v>5117.34</v>
      </c>
      <c r="K29" s="143">
        <f>+Assumptions!K17*Assumptions!K40/100</f>
        <v>5759.6544000000004</v>
      </c>
      <c r="L29" s="143">
        <f>+Assumptions!L17*Assumptions!L40/100</f>
        <v>6058.4364720000003</v>
      </c>
      <c r="M29" s="143">
        <f>+Assumptions!M17*Assumptions!M40/100</f>
        <v>6179.6052014400011</v>
      </c>
      <c r="N29" s="143">
        <f>+Assumptions!N17*Assumptions!N40/100</f>
        <v>6303.1973054688006</v>
      </c>
      <c r="O29" s="143">
        <f>+Assumptions!O17*Assumptions!O40/100</f>
        <v>6429.2612515781775</v>
      </c>
      <c r="P29" s="143">
        <f>+Assumptions!P17*Assumptions!P40/100</f>
        <v>6557.8464766097404</v>
      </c>
      <c r="Q29" s="143">
        <f>+Assumptions!Q17*Assumptions!Q40/100</f>
        <v>6689.0034061419356</v>
      </c>
      <c r="R29" s="143">
        <f>+Assumptions!R17*Assumptions!R40/100</f>
        <v>6822.7834742647747</v>
      </c>
      <c r="S29" s="143">
        <f>+Assumptions!S17*Assumptions!S40/100</f>
        <v>6959.2391437500701</v>
      </c>
    </row>
    <row r="30" spans="1:20" s="583" customFormat="1" x14ac:dyDescent="0.35">
      <c r="A30" s="586"/>
      <c r="B30" s="581" t="s">
        <v>1674</v>
      </c>
      <c r="C30" s="579"/>
      <c r="D30" s="581"/>
      <c r="E30" s="143">
        <f>+Assumptions!E17*Assumptions!E41/100</f>
        <v>59.442595011695154</v>
      </c>
      <c r="F30" s="143">
        <f>+Assumptions!F17*Assumptions!F41/100</f>
        <v>88.81724531941623</v>
      </c>
      <c r="G30" s="143">
        <f>+Assumptions!G17*Assumptions!G41/100</f>
        <v>86.891867977219135</v>
      </c>
      <c r="H30" s="143">
        <f>+Assumptions!H17*Assumptions!H41/100</f>
        <v>85.733504870305609</v>
      </c>
      <c r="I30" s="143">
        <f>+Assumptions!I17*Assumptions!I41/100</f>
        <v>69.131607514264445</v>
      </c>
      <c r="J30" s="143">
        <f>+Assumptions!J17*Assumptions!J41/100</f>
        <v>81.215353087503118</v>
      </c>
      <c r="K30" s="143">
        <f>+Assumptions!K17*Assumptions!K41/100</f>
        <v>91.409280164693172</v>
      </c>
      <c r="L30" s="143">
        <f>+Assumptions!L17*Assumptions!L41/100</f>
        <v>96.151136573236641</v>
      </c>
      <c r="M30" s="143">
        <f>+Assumptions!M17*Assumptions!M41/100</f>
        <v>98.074159304701368</v>
      </c>
      <c r="N30" s="143">
        <f>+Assumptions!N17*Assumptions!N41/100</f>
        <v>100.03564249079538</v>
      </c>
      <c r="O30" s="143">
        <f>+Assumptions!O17*Assumptions!O41/100</f>
        <v>102.03635534061129</v>
      </c>
      <c r="P30" s="143">
        <f>+Assumptions!P17*Assumptions!P41/100</f>
        <v>104.07708244742352</v>
      </c>
      <c r="Q30" s="143">
        <f>+Assumptions!Q17*Assumptions!Q41/100</f>
        <v>106.15862409637201</v>
      </c>
      <c r="R30" s="143"/>
      <c r="S30" s="143"/>
    </row>
    <row r="31" spans="1:20" s="135" customFormat="1" x14ac:dyDescent="0.35">
      <c r="A31" s="168"/>
      <c r="B31" s="581" t="s">
        <v>217</v>
      </c>
      <c r="C31" s="579"/>
      <c r="D31" s="126"/>
      <c r="E31" s="143">
        <f>'Plant wise cane details'!F26-E30</f>
        <v>124.42594467730484</v>
      </c>
      <c r="F31" s="143">
        <f>'Plant wise cane details'!G26-F30</f>
        <v>177.04542729758381</v>
      </c>
      <c r="G31" s="143">
        <f>'Plant wise cane details'!H26-G30</f>
        <v>168.67972227778088</v>
      </c>
      <c r="H31" s="143">
        <f>'Plant wise cane details'!I26-H30</f>
        <v>177.96206915069436</v>
      </c>
      <c r="I31" s="143">
        <f>'Plant wise cane details'!J26-I30</f>
        <v>146.66507794273554</v>
      </c>
      <c r="J31" s="143">
        <f>+Assumptions!J17*Assumptions!J42/100</f>
        <v>172.30115889128791</v>
      </c>
      <c r="K31" s="143">
        <f>+Assumptions!K17*Assumptions!K42/100</f>
        <v>193.92792504178067</v>
      </c>
      <c r="L31" s="143">
        <f>+Assumptions!L17*Assumptions!L42/100</f>
        <v>203.98793615332303</v>
      </c>
      <c r="M31" s="143">
        <f>+Assumptions!M17*Assumptions!M42/100</f>
        <v>208.06769487638951</v>
      </c>
      <c r="N31" s="143">
        <f>+Assumptions!N17*Assumptions!N42/100</f>
        <v>212.2290487739173</v>
      </c>
      <c r="O31" s="143">
        <f>+Assumptions!O17*Assumptions!O42/100</f>
        <v>216.47362974939566</v>
      </c>
      <c r="P31" s="143">
        <f>+Assumptions!P17*Assumptions!P42/100</f>
        <v>220.80310234438357</v>
      </c>
      <c r="Q31" s="143">
        <f>+Assumptions!Q17*Assumptions!Q42/100</f>
        <v>225.21916439127125</v>
      </c>
      <c r="R31" s="143">
        <f>+Assumptions!R17*Assumptions!R42/100</f>
        <v>229.72354767909667</v>
      </c>
      <c r="S31" s="143">
        <f>+Assumptions!S17*Assumptions!S42/100</f>
        <v>234.31801863267859</v>
      </c>
    </row>
    <row r="32" spans="1:20" s="135" customFormat="1" x14ac:dyDescent="0.35">
      <c r="A32" s="167"/>
      <c r="B32" s="562" t="s">
        <v>981</v>
      </c>
      <c r="C32" s="561"/>
      <c r="D32" s="562"/>
      <c r="E32" s="550">
        <f>26.7324566140014-24.240303003+3.30511139599912</f>
        <v>5.7972650070005187</v>
      </c>
      <c r="F32" s="550">
        <f>12.15+0.982581744000527</f>
        <v>13.132581744000527</v>
      </c>
      <c r="G32" s="1210">
        <f>14.130841376-3.68118569200124</f>
        <v>10.44965568399876</v>
      </c>
      <c r="H32" s="1210">
        <f>9.362990935+0.04</f>
        <v>9.4029909349999983</v>
      </c>
      <c r="I32" s="1210">
        <f>(317689408.9+71409103.69)/10^7</f>
        <v>38.909851259</v>
      </c>
      <c r="J32" s="550">
        <f>H32*(1+Assumptions!J57)</f>
        <v>9.5910507536999976</v>
      </c>
      <c r="K32" s="551">
        <f>+J32*(1+Assumptions!K57)</f>
        <v>9.7828717687739974</v>
      </c>
      <c r="L32" s="551">
        <f>+K32*(1+Assumptions!L57)</f>
        <v>9.9785292041494777</v>
      </c>
      <c r="M32" s="551">
        <f>+L32*(1+Assumptions!M57)</f>
        <v>10.178099788232467</v>
      </c>
      <c r="N32" s="551">
        <f>+M32*(1+Assumptions!N57)</f>
        <v>10.381661783997117</v>
      </c>
      <c r="O32" s="551">
        <f>+N32*(1+Assumptions!O57)</f>
        <v>10.58929501967706</v>
      </c>
      <c r="P32" s="551">
        <f>+O32*(1+Assumptions!P57)</f>
        <v>10.801080920070602</v>
      </c>
      <c r="Q32" s="551">
        <f>+P32*(100%+$A32)</f>
        <v>10.801080920070602</v>
      </c>
      <c r="R32" s="551">
        <f>+Q32*(100%+$A32)</f>
        <v>10.801080920070602</v>
      </c>
      <c r="S32" s="551">
        <f>+R32*(100%+$A32)</f>
        <v>10.801080920070602</v>
      </c>
    </row>
    <row r="33" spans="1:19" s="583" customFormat="1" x14ac:dyDescent="0.35">
      <c r="A33" s="586"/>
      <c r="B33" s="1783" t="s">
        <v>420</v>
      </c>
      <c r="C33" s="1779"/>
      <c r="D33" s="1780"/>
      <c r="E33" s="1781">
        <f t="shared" ref="E33:R33" si="10">SUM(E29:E32)</f>
        <v>4876.2885016930004</v>
      </c>
      <c r="F33" s="1781">
        <f t="shared" si="10"/>
        <v>5638.333999464</v>
      </c>
      <c r="G33" s="1781">
        <f t="shared" si="10"/>
        <v>5347.5331359699994</v>
      </c>
      <c r="H33" s="1781">
        <f t="shared" si="10"/>
        <v>5285.0252759550003</v>
      </c>
      <c r="I33" s="1781">
        <f t="shared" si="10"/>
        <v>4588.0819865739986</v>
      </c>
      <c r="J33" s="1781">
        <f t="shared" si="10"/>
        <v>5380.447562732491</v>
      </c>
      <c r="K33" s="1781">
        <f t="shared" si="10"/>
        <v>6054.774476975248</v>
      </c>
      <c r="L33" s="1781">
        <f t="shared" si="10"/>
        <v>6368.5540739307098</v>
      </c>
      <c r="M33" s="1781">
        <f t="shared" si="10"/>
        <v>6495.9251554093244</v>
      </c>
      <c r="N33" s="1781">
        <f t="shared" si="10"/>
        <v>6625.8436585175104</v>
      </c>
      <c r="O33" s="1781">
        <f t="shared" si="10"/>
        <v>6758.3605316878611</v>
      </c>
      <c r="P33" s="1781">
        <f t="shared" si="10"/>
        <v>6893.5277423216185</v>
      </c>
      <c r="Q33" s="1781">
        <f t="shared" si="10"/>
        <v>7031.1822755496487</v>
      </c>
      <c r="R33" s="1781">
        <f t="shared" si="10"/>
        <v>7063.3081028639417</v>
      </c>
      <c r="S33" s="1782">
        <f>SUM(S29:S32)</f>
        <v>7204.3582433028196</v>
      </c>
    </row>
    <row r="34" spans="1:19" s="583" customFormat="1" x14ac:dyDescent="0.35">
      <c r="A34" s="586"/>
      <c r="B34" s="1209" t="s">
        <v>762</v>
      </c>
      <c r="C34" s="1206"/>
      <c r="D34" s="1205"/>
      <c r="E34" s="1211">
        <v>95.99</v>
      </c>
      <c r="F34" s="1211"/>
      <c r="G34" s="1211"/>
      <c r="H34" s="1211"/>
      <c r="I34" s="1211"/>
      <c r="J34" s="1211"/>
      <c r="K34" s="1211"/>
      <c r="L34" s="1211"/>
      <c r="M34" s="1211"/>
      <c r="N34" s="1211"/>
      <c r="O34" s="1211"/>
      <c r="P34" s="1211"/>
      <c r="Q34" s="1211"/>
      <c r="R34" s="1211"/>
      <c r="S34" s="1211"/>
    </row>
    <row r="35" spans="1:19" s="583" customFormat="1" x14ac:dyDescent="0.35">
      <c r="A35" s="586"/>
      <c r="B35" s="106" t="s">
        <v>961</v>
      </c>
      <c r="C35" s="579"/>
      <c r="D35" s="581"/>
      <c r="E35" s="169">
        <f t="shared" ref="E35:I35" si="11">E126</f>
        <v>-36.335255499999803</v>
      </c>
      <c r="F35" s="169">
        <f t="shared" si="11"/>
        <v>66.729926119931861</v>
      </c>
      <c r="G35" s="169">
        <f t="shared" si="11"/>
        <v>66.359330283563395</v>
      </c>
      <c r="H35" s="169">
        <f t="shared" si="11"/>
        <v>239.6802802020984</v>
      </c>
      <c r="I35" s="169">
        <f t="shared" si="11"/>
        <v>-221.1508890860614</v>
      </c>
      <c r="J35" s="169">
        <f t="shared" ref="J35:R35" si="12">J126</f>
        <v>-40.303161322632604</v>
      </c>
      <c r="K35" s="169">
        <f t="shared" si="12"/>
        <v>-238.42143874594558</v>
      </c>
      <c r="L35" s="169">
        <f t="shared" si="12"/>
        <v>-149.53810634574666</v>
      </c>
      <c r="M35" s="169">
        <f t="shared" si="12"/>
        <v>-70.336704191242916</v>
      </c>
      <c r="N35" s="169">
        <f t="shared" si="12"/>
        <v>-69.518599196673676</v>
      </c>
      <c r="O35" s="169">
        <f t="shared" si="12"/>
        <v>-71.786908198253968</v>
      </c>
      <c r="P35" s="169">
        <f t="shared" si="12"/>
        <v>-74.250358404770395</v>
      </c>
      <c r="Q35" s="169">
        <f t="shared" si="12"/>
        <v>-76.600803751589865</v>
      </c>
      <c r="R35" s="169">
        <f t="shared" si="12"/>
        <v>-35.303901504716123</v>
      </c>
      <c r="S35" s="169">
        <f>S126</f>
        <v>-79.060308941988751</v>
      </c>
    </row>
    <row r="36" spans="1:19" s="583" customFormat="1" x14ac:dyDescent="0.35">
      <c r="A36" s="586"/>
      <c r="B36" s="106"/>
      <c r="C36" s="579"/>
      <c r="D36" s="581"/>
      <c r="E36" s="169"/>
      <c r="F36" s="169"/>
      <c r="G36" s="169"/>
      <c r="H36" s="169"/>
      <c r="I36" s="169"/>
      <c r="J36" s="169"/>
      <c r="K36" s="169"/>
      <c r="L36" s="169"/>
      <c r="M36" s="169"/>
      <c r="N36" s="169"/>
      <c r="O36" s="169"/>
      <c r="P36" s="169"/>
      <c r="Q36" s="169"/>
      <c r="R36" s="169"/>
      <c r="S36" s="169"/>
    </row>
    <row r="37" spans="1:19" s="135" customFormat="1" x14ac:dyDescent="0.35">
      <c r="A37" s="167"/>
      <c r="B37" s="126" t="s">
        <v>104</v>
      </c>
      <c r="C37" s="78"/>
      <c r="D37" s="126"/>
      <c r="E37" s="77">
        <v>206.70140958200005</v>
      </c>
      <c r="F37" s="77">
        <f>2293114900/10^7</f>
        <v>229.31148999999999</v>
      </c>
      <c r="G37" s="77">
        <v>249.46146992500002</v>
      </c>
      <c r="H37" s="77">
        <v>271.56519395200002</v>
      </c>
      <c r="I37" s="77">
        <f>2881519666.51/10^7</f>
        <v>288.15196665100001</v>
      </c>
      <c r="J37" s="63">
        <f>I37*(1+Assumptions!J58)</f>
        <v>316.96716331610003</v>
      </c>
      <c r="K37" s="63">
        <f>J37*(1+Assumptions!K58)</f>
        <v>348.66387964771008</v>
      </c>
      <c r="L37" s="63">
        <f>K37*(1+Assumptions!L58)</f>
        <v>383.53026761248111</v>
      </c>
      <c r="M37" s="63">
        <f>L37*(1+Assumptions!M58)</f>
        <v>421.88329437372926</v>
      </c>
      <c r="N37" s="63">
        <f>M37*(1+Assumptions!N58)</f>
        <v>455.63395792362763</v>
      </c>
      <c r="O37" s="63">
        <f>N37*(1+Assumptions!O58)</f>
        <v>492.08467455751787</v>
      </c>
      <c r="P37" s="63">
        <f>O37*(1+Assumptions!P58)</f>
        <v>531.45144852211934</v>
      </c>
      <c r="Q37" s="63">
        <f>P37*(1+Assumptions!Q58)</f>
        <v>573.9675644038889</v>
      </c>
      <c r="R37" s="63">
        <f>Q37*(1+Assumptions!R58)</f>
        <v>619.88496955620008</v>
      </c>
      <c r="S37" s="63">
        <f>R37*(1+Assumptions!S58)</f>
        <v>669.4757671206961</v>
      </c>
    </row>
    <row r="38" spans="1:19" s="135" customFormat="1" x14ac:dyDescent="0.35">
      <c r="A38" s="168"/>
      <c r="B38" s="106" t="s">
        <v>55</v>
      </c>
      <c r="C38" s="78"/>
      <c r="D38" s="126"/>
      <c r="E38" s="126"/>
      <c r="F38" s="140"/>
      <c r="G38" s="140"/>
      <c r="H38" s="140"/>
      <c r="I38" s="140"/>
      <c r="J38" s="140"/>
      <c r="K38" s="140"/>
      <c r="L38" s="140"/>
      <c r="M38" s="140"/>
      <c r="N38" s="63"/>
      <c r="O38" s="63"/>
      <c r="P38" s="63"/>
      <c r="Q38" s="63"/>
      <c r="R38" s="63"/>
      <c r="S38" s="63"/>
    </row>
    <row r="39" spans="1:19" s="135" customFormat="1" x14ac:dyDescent="0.35">
      <c r="A39" s="168"/>
      <c r="B39" s="126" t="s">
        <v>56</v>
      </c>
      <c r="C39" s="78"/>
      <c r="D39" s="126"/>
      <c r="E39" s="77">
        <v>45.637560809999997</v>
      </c>
      <c r="F39" s="77">
        <f>148.069058555-70.928991278-19.009408923</f>
        <v>58.130658354000005</v>
      </c>
      <c r="G39" s="77">
        <v>52.055262283999994</v>
      </c>
      <c r="H39" s="77">
        <f>57.991266661-0.03</f>
        <v>57.961266660999996</v>
      </c>
      <c r="I39" s="77">
        <f>604767295.63/10^7</f>
        <v>60.476729562999999</v>
      </c>
      <c r="J39" s="63">
        <f>+Assumptions!J69*Assumptions!J17/100</f>
        <v>71.0476599871199</v>
      </c>
      <c r="K39" s="63">
        <f>+Assumptions!K69*Assumptions!K17/100</f>
        <v>79.965366275158402</v>
      </c>
      <c r="L39" s="63">
        <f>+Assumptions!L69*Assumptions!L17/100</f>
        <v>84.113569650682251</v>
      </c>
      <c r="M39" s="63">
        <f>+Assumptions!M69*Assumptions!M17/100</f>
        <v>85.795841043695887</v>
      </c>
      <c r="N39" s="63">
        <f>+Assumptions!N69*Assumptions!N17/100</f>
        <v>87.511757864569802</v>
      </c>
      <c r="O39" s="63">
        <f>+Assumptions!O69*Assumptions!O17/100</f>
        <v>89.261993021861201</v>
      </c>
      <c r="P39" s="63">
        <f>+Assumptions!P69*Assumptions!P17/100</f>
        <v>91.047232882298431</v>
      </c>
      <c r="Q39" s="63">
        <f>+Assumptions!Q69*Assumptions!Q17/100</f>
        <v>92.868177539944384</v>
      </c>
      <c r="R39" s="63">
        <f>+Assumptions!R69*Assumptions!R17/100</f>
        <v>94.725541090743278</v>
      </c>
      <c r="S39" s="63">
        <f>+Assumptions!S69*Assumptions!S17/100</f>
        <v>96.620051912558154</v>
      </c>
    </row>
    <row r="40" spans="1:19" s="135" customFormat="1" x14ac:dyDescent="0.35">
      <c r="A40" s="168"/>
      <c r="B40" s="126" t="s">
        <v>58</v>
      </c>
      <c r="C40" s="78"/>
      <c r="D40" s="126"/>
      <c r="E40" s="77">
        <v>55.430362779999996</v>
      </c>
      <c r="F40" s="77">
        <v>70.928991277999998</v>
      </c>
      <c r="G40" s="77">
        <v>64.531457869999997</v>
      </c>
      <c r="H40" s="77">
        <v>66.441441089000008</v>
      </c>
      <c r="I40" s="77">
        <f>621949671.55/10^7</f>
        <v>62.194967154999993</v>
      </c>
      <c r="J40" s="63">
        <f>+Assumptions!J70*'Stock movement'!J9/100</f>
        <v>73.161098985990236</v>
      </c>
      <c r="K40" s="63">
        <f>+Assumptions!K70*'Stock movement'!K9/100</f>
        <v>82.344078306990383</v>
      </c>
      <c r="L40" s="63">
        <f>+Assumptions!L70*'Stock movement'!L9/100</f>
        <v>86.61567736916551</v>
      </c>
      <c r="M40" s="63">
        <f>+Assumptions!M70*'Stock movement'!M9/100</f>
        <v>88.347990916548824</v>
      </c>
      <c r="N40" s="63">
        <f>+Assumptions!N70*'Stock movement'!N9/100</f>
        <v>90.114950734879798</v>
      </c>
      <c r="O40" s="63">
        <f>+Assumptions!O70*'Stock movement'!O9/100</f>
        <v>91.917249749577408</v>
      </c>
      <c r="P40" s="63">
        <f>+Assumptions!P70*'Stock movement'!P9/100</f>
        <v>93.755594744568953</v>
      </c>
      <c r="Q40" s="63">
        <f>+Assumptions!Q70*'Stock movement'!Q9/100</f>
        <v>95.630706639460328</v>
      </c>
      <c r="R40" s="63">
        <f>+Assumptions!R70*'Stock movement'!R9/100</f>
        <v>97.54332077224953</v>
      </c>
      <c r="S40" s="63">
        <f>+Assumptions!S70*'Stock movement'!S9/100</f>
        <v>99.494187187694536</v>
      </c>
    </row>
    <row r="41" spans="1:19" s="135" customFormat="1" x14ac:dyDescent="0.35">
      <c r="A41" s="168"/>
      <c r="B41" s="126" t="s">
        <v>47</v>
      </c>
      <c r="C41" s="78"/>
      <c r="D41" s="126"/>
      <c r="E41" s="77">
        <v>37.027598262000005</v>
      </c>
      <c r="F41" s="77">
        <v>35.561227164000002</v>
      </c>
      <c r="G41" s="77">
        <v>26.259108955999999</v>
      </c>
      <c r="H41" s="77">
        <v>23.733508928000003</v>
      </c>
      <c r="I41" s="77">
        <f>151173746.76/10^7</f>
        <v>15.117374675999999</v>
      </c>
      <c r="J41" s="63">
        <f>+Assumptions!J71*'Stock movement'!J10/100</f>
        <v>18.094956745308512</v>
      </c>
      <c r="K41" s="63">
        <f>+Assumptions!K71*'Stock movement'!K10/100</f>
        <v>18.963891364435181</v>
      </c>
      <c r="L41" s="63">
        <f>+Assumptions!L71*'Stock movement'!L10/100</f>
        <v>20.473614144486966</v>
      </c>
      <c r="M41" s="63">
        <f>+Assumptions!M71*'Stock movement'!M10/100</f>
        <v>21.139320616669671</v>
      </c>
      <c r="N41" s="63">
        <f>+Assumptions!N71*'Stock movement'!N10/100</f>
        <v>21.562107029003062</v>
      </c>
      <c r="O41" s="63">
        <f>+Assumptions!O71*'Stock movement'!O10/100</f>
        <v>21.993349169583126</v>
      </c>
      <c r="P41" s="63">
        <f>+Assumptions!P71*'Stock movement'!P10/100</f>
        <v>22.433216152974786</v>
      </c>
      <c r="Q41" s="63">
        <f>+Assumptions!Q71*'Stock movement'!Q10/100</f>
        <v>22.881880476034283</v>
      </c>
      <c r="R41" s="63">
        <f>+Assumptions!R71*'Stock movement'!R10/100</f>
        <v>23.339518085554968</v>
      </c>
      <c r="S41" s="63">
        <f>+Assumptions!S71*'Stock movement'!S10/100</f>
        <v>23.806308447266069</v>
      </c>
    </row>
    <row r="42" spans="1:19" s="135" customFormat="1" x14ac:dyDescent="0.35">
      <c r="A42" s="168"/>
      <c r="B42" s="126" t="s">
        <v>65</v>
      </c>
      <c r="C42" s="78"/>
      <c r="D42" s="126"/>
      <c r="E42" s="77">
        <v>12.649409334</v>
      </c>
      <c r="F42" s="77">
        <v>15.477437988</v>
      </c>
      <c r="G42" s="77">
        <v>15.140340988000002</v>
      </c>
      <c r="H42" s="77">
        <v>15.419252444</v>
      </c>
      <c r="I42" s="77">
        <f>124579670.25/10^7</f>
        <v>12.457967025</v>
      </c>
      <c r="J42" s="63">
        <f>+Assumptions!J72*'Stock movement'!J10/100</f>
        <v>14.911740912907089</v>
      </c>
      <c r="K42" s="63">
        <f>+Assumptions!K72*'Stock movement'!K10/100</f>
        <v>15.627814904851386</v>
      </c>
      <c r="L42" s="63">
        <f>+Assumptions!L72*'Stock movement'!L10/100</f>
        <v>16.871951338185653</v>
      </c>
      <c r="M42" s="63">
        <f>+Assumptions!M72*'Stock movement'!M10/100</f>
        <v>17.420548528936475</v>
      </c>
      <c r="N42" s="63">
        <f>+Assumptions!N72*'Stock movement'!N10/100</f>
        <v>17.768959499515205</v>
      </c>
      <c r="O42" s="63">
        <f>+Assumptions!O72*'Stock movement'!O10/100</f>
        <v>18.12433868950551</v>
      </c>
      <c r="P42" s="63">
        <f>+Assumptions!P72*'Stock movement'!P10/100</f>
        <v>18.48682546329562</v>
      </c>
      <c r="Q42" s="63">
        <f>+Assumptions!Q72*'Stock movement'!Q10/100</f>
        <v>18.856561972561536</v>
      </c>
      <c r="R42" s="63">
        <f>+Assumptions!R72*'Stock movement'!R10/100</f>
        <v>19.233693212012767</v>
      </c>
      <c r="S42" s="63">
        <f>+Assumptions!S72*'Stock movement'!S10/100</f>
        <v>19.618367076253019</v>
      </c>
    </row>
    <row r="43" spans="1:19" s="135" customFormat="1" x14ac:dyDescent="0.35">
      <c r="A43" s="167"/>
      <c r="B43" s="126" t="s">
        <v>57</v>
      </c>
      <c r="C43" s="78"/>
      <c r="D43" s="126"/>
      <c r="E43" s="77">
        <v>0</v>
      </c>
      <c r="F43" s="77">
        <v>19.009408922999999</v>
      </c>
      <c r="G43" s="77">
        <v>36.323621506000002</v>
      </c>
      <c r="H43" s="77">
        <v>41.601154691000005</v>
      </c>
      <c r="I43" s="77">
        <f>465409208.72/10^7</f>
        <v>46.540920872000001</v>
      </c>
      <c r="J43" s="63">
        <f>I43*(1+Assumptions!J59)</f>
        <v>47.471739289440002</v>
      </c>
      <c r="K43" s="63">
        <f>J43*(1+Assumptions!K59)</f>
        <v>48.421174075228805</v>
      </c>
      <c r="L43" s="63">
        <f>K43*(1+Assumptions!L59)</f>
        <v>49.389597556733385</v>
      </c>
      <c r="M43" s="63">
        <f>L43*(1+Assumptions!M59)</f>
        <v>50.377389507868052</v>
      </c>
      <c r="N43" s="63">
        <f>M43*(1+Assumptions!N59)</f>
        <v>51.384937298025413</v>
      </c>
      <c r="O43" s="63">
        <f>N43*(1+Assumptions!O59)</f>
        <v>52.41263604398592</v>
      </c>
      <c r="P43" s="63">
        <f>O43*(1+Assumptions!P59)</f>
        <v>53.460888764865636</v>
      </c>
      <c r="Q43" s="63">
        <f>P43*(1+Assumptions!Q59)</f>
        <v>54.530106540162947</v>
      </c>
      <c r="R43" s="63">
        <f>Q43*(1+Assumptions!R59)</f>
        <v>55.620708670966209</v>
      </c>
      <c r="S43" s="63">
        <f>R43*(1+Assumptions!S59)</f>
        <v>56.733122844385534</v>
      </c>
    </row>
    <row r="44" spans="1:19" s="135" customFormat="1" x14ac:dyDescent="0.35">
      <c r="A44" s="167"/>
      <c r="B44" s="126" t="s">
        <v>59</v>
      </c>
      <c r="C44" s="78"/>
      <c r="D44" s="126"/>
      <c r="E44" s="77">
        <v>1.03</v>
      </c>
      <c r="F44" s="77">
        <f>1.533255419+0.1892472</f>
        <v>1.7225026190000001</v>
      </c>
      <c r="G44" s="77">
        <v>1.1662613279999998</v>
      </c>
      <c r="H44" s="77">
        <f>4.222303855-0.06</f>
        <v>4.1623038550000002</v>
      </c>
      <c r="I44" s="77">
        <f>(10390235.35+6687428.14)/10^7</f>
        <v>1.7077663489999999</v>
      </c>
      <c r="J44" s="63">
        <f>I44*(1+Assumptions!J60)</f>
        <v>1.74192167598</v>
      </c>
      <c r="K44" s="63">
        <f>J44*(1+Assumptions!K60)</f>
        <v>1.7767601094995999</v>
      </c>
      <c r="L44" s="63">
        <f>K44*(1+Assumptions!L60)</f>
        <v>1.8122953116895919</v>
      </c>
      <c r="M44" s="63">
        <f>L44*(1+Assumptions!M60)</f>
        <v>1.8485412179233838</v>
      </c>
      <c r="N44" s="63">
        <f>M44*(1+Assumptions!N60)</f>
        <v>1.8855120422818514</v>
      </c>
      <c r="O44" s="63">
        <f>N44*(1+Assumptions!O60)</f>
        <v>1.9232222831274886</v>
      </c>
      <c r="P44" s="63">
        <f>O44*(1+Assumptions!P60)</f>
        <v>1.9616867287900384</v>
      </c>
      <c r="Q44" s="63">
        <f>P44*(1+Assumptions!Q60)</f>
        <v>2.0009204633658393</v>
      </c>
      <c r="R44" s="63">
        <f>Q44*(1+Assumptions!R60)</f>
        <v>2.0409388726331561</v>
      </c>
      <c r="S44" s="63">
        <f>R44*(1+Assumptions!S60)</f>
        <v>2.0817576500858195</v>
      </c>
    </row>
    <row r="45" spans="1:19" s="135" customFormat="1" x14ac:dyDescent="0.35">
      <c r="A45" s="167"/>
      <c r="B45" s="126" t="s">
        <v>61</v>
      </c>
      <c r="C45" s="78"/>
      <c r="D45" s="126"/>
      <c r="E45" s="77">
        <v>3.2306734399999999</v>
      </c>
      <c r="F45" s="77">
        <v>4.8749560829999998</v>
      </c>
      <c r="G45" s="77">
        <v>6.3526075129999988</v>
      </c>
      <c r="H45" s="77">
        <v>10.051604512999999</v>
      </c>
      <c r="I45" s="77">
        <f>114763863.45/10^7</f>
        <v>11.476386345</v>
      </c>
      <c r="J45" s="63">
        <f>I45*(1+Assumptions!J61)</f>
        <v>11.705914071900001</v>
      </c>
      <c r="K45" s="63">
        <f>J45*(1+Assumptions!K61)</f>
        <v>11.940032353338001</v>
      </c>
      <c r="L45" s="63">
        <f>K45*(1+Assumptions!L61)</f>
        <v>12.178833000404762</v>
      </c>
      <c r="M45" s="63">
        <f>L45*(1+Assumptions!M61)</f>
        <v>12.422409660412857</v>
      </c>
      <c r="N45" s="63">
        <f>M45*(1+Assumptions!N61)</f>
        <v>12.670857853621115</v>
      </c>
      <c r="O45" s="63">
        <f>N45*(1+Assumptions!O61)</f>
        <v>12.924275010693538</v>
      </c>
      <c r="P45" s="63">
        <f>O45*(1+Assumptions!P61)</f>
        <v>13.182760510907409</v>
      </c>
      <c r="Q45" s="63">
        <f>P45*(1+Assumptions!Q61)</f>
        <v>13.446415721125557</v>
      </c>
      <c r="R45" s="63">
        <f>Q45*(1+Assumptions!R61)</f>
        <v>13.715344035548069</v>
      </c>
      <c r="S45" s="63">
        <f>R45*(1+Assumptions!S61)</f>
        <v>13.989650916259031</v>
      </c>
    </row>
    <row r="46" spans="1:19" s="135" customFormat="1" x14ac:dyDescent="0.35">
      <c r="A46" s="168"/>
      <c r="B46" s="106" t="s">
        <v>66</v>
      </c>
      <c r="C46" s="78"/>
      <c r="D46" s="126"/>
      <c r="E46" s="126"/>
      <c r="F46" s="126"/>
      <c r="G46" s="63"/>
      <c r="H46" s="63"/>
      <c r="I46" s="63"/>
      <c r="J46" s="63"/>
      <c r="K46" s="63"/>
      <c r="L46" s="63"/>
      <c r="M46" s="63"/>
      <c r="N46" s="63"/>
      <c r="O46" s="63"/>
      <c r="P46" s="63"/>
      <c r="Q46" s="63"/>
      <c r="R46" s="63"/>
      <c r="S46" s="63"/>
    </row>
    <row r="47" spans="1:19" s="135" customFormat="1" x14ac:dyDescent="0.35">
      <c r="A47" s="168"/>
      <c r="B47" s="171" t="s">
        <v>75</v>
      </c>
      <c r="C47" s="78"/>
      <c r="D47" s="126"/>
      <c r="E47" s="77">
        <v>79.862806654999972</v>
      </c>
      <c r="F47" s="77">
        <v>112.18830570199999</v>
      </c>
      <c r="G47" s="77">
        <v>111.45233264099998</v>
      </c>
      <c r="H47" s="77">
        <v>199.92114583600002</v>
      </c>
      <c r="I47" s="77">
        <f>1400665615.39/10^7</f>
        <v>140.06656153900002</v>
      </c>
      <c r="J47" s="63">
        <f>+Assumptions!J73*Assumptions!J17/100</f>
        <v>124.98999999999998</v>
      </c>
      <c r="K47" s="63">
        <f>+Assumptions!K73*Assumptions!K17/100</f>
        <v>120</v>
      </c>
      <c r="L47" s="63">
        <f>+Assumptions!L73*Assumptions!L17/100</f>
        <v>126.22499999999999</v>
      </c>
      <c r="M47" s="63">
        <f>+Assumptions!M73*Assumptions!M17/100</f>
        <v>128.74950000000001</v>
      </c>
      <c r="N47" s="63">
        <f>+Assumptions!N73*Assumptions!N17/100</f>
        <v>131.32449000000003</v>
      </c>
      <c r="O47" s="63">
        <f>+Assumptions!O73*Assumptions!O17/100</f>
        <v>133.95097980000003</v>
      </c>
      <c r="P47" s="63">
        <f>+Assumptions!P73*Assumptions!P17/100</f>
        <v>136.62999939600004</v>
      </c>
      <c r="Q47" s="63">
        <f>+Assumptions!Q73*Assumptions!Q17/100</f>
        <v>139.36259938392004</v>
      </c>
      <c r="R47" s="63">
        <f>+Assumptions!R73*Assumptions!R17/100</f>
        <v>142.14985137159846</v>
      </c>
      <c r="S47" s="63">
        <f>+Assumptions!S73*Assumptions!S17/100</f>
        <v>144.99284839903044</v>
      </c>
    </row>
    <row r="48" spans="1:19" s="135" customFormat="1" x14ac:dyDescent="0.35">
      <c r="A48" s="167"/>
      <c r="B48" s="171" t="s">
        <v>74</v>
      </c>
      <c r="C48" s="78"/>
      <c r="D48" s="126"/>
      <c r="E48" s="77">
        <v>0.946317674</v>
      </c>
      <c r="F48" s="77">
        <v>1.1254236420000001</v>
      </c>
      <c r="G48" s="77">
        <v>1.221411249</v>
      </c>
      <c r="H48" s="77">
        <v>1.4692462590000002</v>
      </c>
      <c r="I48" s="77">
        <f>18187956.65/10^7</f>
        <v>1.8187956649999999</v>
      </c>
      <c r="J48" s="63">
        <f>+I48*(1+Assumptions!J63)</f>
        <v>1.8551715783</v>
      </c>
      <c r="K48" s="63">
        <f>+J48*(1+Assumptions!K63)</f>
        <v>1.8922750098659999</v>
      </c>
      <c r="L48" s="63">
        <f>+K48*(1+Assumptions!L63)</f>
        <v>1.9301205100633201</v>
      </c>
      <c r="M48" s="63">
        <f>+L48*(1+Assumptions!M63)</f>
        <v>1.9687229202645866</v>
      </c>
      <c r="N48" s="63">
        <f>+M48*(1+Assumptions!N63)</f>
        <v>2.0080973786698784</v>
      </c>
      <c r="O48" s="63">
        <f>+N48*(1+Assumptions!O63)</f>
        <v>2.0482593262432758</v>
      </c>
      <c r="P48" s="63">
        <f>+O48*(1+Assumptions!P63)</f>
        <v>2.0892245127681415</v>
      </c>
      <c r="Q48" s="63">
        <f>+P48*(1+Assumptions!Q63)</f>
        <v>2.1310090030235043</v>
      </c>
      <c r="R48" s="63">
        <f>+Q48*(1+Assumptions!R63)</f>
        <v>2.1736291830839742</v>
      </c>
      <c r="S48" s="63">
        <f>+R48*(1+Assumptions!S63)</f>
        <v>2.2171017667456536</v>
      </c>
    </row>
    <row r="49" spans="1:26" s="135" customFormat="1" x14ac:dyDescent="0.35">
      <c r="A49" s="167"/>
      <c r="B49" s="171" t="s">
        <v>76</v>
      </c>
      <c r="C49" s="78"/>
      <c r="D49" s="126"/>
      <c r="E49" s="77">
        <v>3.4521508409999995</v>
      </c>
      <c r="F49" s="77">
        <v>3.5385225679999994</v>
      </c>
      <c r="G49" s="77">
        <v>3.2830234110000003</v>
      </c>
      <c r="H49" s="77">
        <v>3.6312266929999995</v>
      </c>
      <c r="I49" s="77">
        <f>33434112.94/10^7</f>
        <v>3.343411294</v>
      </c>
      <c r="J49" s="63">
        <f>+I49*(1+Assumptions!J64)</f>
        <v>3.41027951988</v>
      </c>
      <c r="K49" s="63">
        <f>+J49*(1+Assumptions!K64)</f>
        <v>3.4784851102776</v>
      </c>
      <c r="L49" s="63">
        <f>+K49*(1+Assumptions!L64)</f>
        <v>3.5480548124831519</v>
      </c>
      <c r="M49" s="63">
        <f>+L49*(1+Assumptions!M64)</f>
        <v>3.6190159087328149</v>
      </c>
      <c r="N49" s="63">
        <f>+M49*(1+Assumptions!N64)</f>
        <v>3.6913962269074712</v>
      </c>
      <c r="O49" s="63">
        <f>+N49*(1+Assumptions!O64)</f>
        <v>3.7652241514456208</v>
      </c>
      <c r="P49" s="63">
        <f>+O49*(1+Assumptions!P64)</f>
        <v>3.8405286344745333</v>
      </c>
      <c r="Q49" s="63">
        <f>+P49*(1+Assumptions!Q64)</f>
        <v>3.9173392071640238</v>
      </c>
      <c r="R49" s="63">
        <f>+Q49*(1+Assumptions!R64)</f>
        <v>3.9956859913073042</v>
      </c>
      <c r="S49" s="63">
        <f>+R49*(1+Assumptions!S64)</f>
        <v>4.0755997111334503</v>
      </c>
    </row>
    <row r="50" spans="1:26" s="135" customFormat="1" x14ac:dyDescent="0.35">
      <c r="A50" s="168"/>
      <c r="B50" s="106" t="s">
        <v>67</v>
      </c>
      <c r="C50" s="78"/>
      <c r="D50" s="126"/>
      <c r="E50" s="126"/>
      <c r="F50" s="126"/>
      <c r="G50" s="63"/>
      <c r="H50" s="63"/>
      <c r="I50" s="63"/>
      <c r="J50" s="63"/>
      <c r="K50" s="63"/>
      <c r="L50" s="63"/>
      <c r="M50" s="63"/>
      <c r="N50" s="63"/>
      <c r="O50" s="63"/>
      <c r="P50" s="63"/>
      <c r="Q50" s="63"/>
      <c r="R50" s="63"/>
      <c r="S50" s="63"/>
    </row>
    <row r="51" spans="1:26" s="135" customFormat="1" x14ac:dyDescent="0.35">
      <c r="A51" s="168"/>
      <c r="B51" s="171" t="s">
        <v>127</v>
      </c>
      <c r="C51" s="78"/>
      <c r="D51" s="126"/>
      <c r="E51" s="63">
        <f>+'Working - Distillery'!E15</f>
        <v>15.67899355</v>
      </c>
      <c r="F51" s="63">
        <f>+'Working - Distillery'!F15</f>
        <v>12.853037220000001</v>
      </c>
      <c r="G51" s="63">
        <f>+'Working - Distillery'!G15</f>
        <v>7.4158504999999995</v>
      </c>
      <c r="H51" s="63">
        <f>+'Working - Distillery'!H15</f>
        <v>10.71268369</v>
      </c>
      <c r="I51" s="63">
        <f>+'Working - Distillery'!I15</f>
        <v>19.845011299999999</v>
      </c>
      <c r="J51" s="63">
        <f>+'Working - Distillery'!J15</f>
        <v>3.2</v>
      </c>
      <c r="K51" s="63">
        <f>+'Working - Distillery'!K15</f>
        <v>3.2640000000000002</v>
      </c>
      <c r="L51" s="63">
        <f>+'Working - Distillery'!L15</f>
        <v>3.3292800000000002</v>
      </c>
      <c r="M51" s="63">
        <f>+'Working - Distillery'!M15</f>
        <v>3.3958656000000005</v>
      </c>
      <c r="N51" s="63">
        <f>+'Working - Distillery'!N15</f>
        <v>3.4637829120000005</v>
      </c>
      <c r="O51" s="63">
        <f>+'Working - Distillery'!O15</f>
        <v>3.5330585702400006</v>
      </c>
      <c r="P51" s="63">
        <f>+'Working - Distillery'!P15</f>
        <v>3.6037197416448006</v>
      </c>
      <c r="Q51" s="63">
        <f>+'Working - Distillery'!Q15</f>
        <v>3.6757941364776965</v>
      </c>
      <c r="R51" s="63">
        <f>+'Working - Distillery'!R15</f>
        <v>3.7493100192072504</v>
      </c>
      <c r="S51" s="63">
        <f>+'Working - Distillery'!S15</f>
        <v>3.8242962195913957</v>
      </c>
      <c r="T51" s="583"/>
    </row>
    <row r="52" spans="1:26" s="135" customFormat="1" x14ac:dyDescent="0.35">
      <c r="A52" s="167"/>
      <c r="B52" s="171" t="s">
        <v>68</v>
      </c>
      <c r="C52" s="78"/>
      <c r="D52" s="126"/>
      <c r="E52" s="77">
        <v>11.332436916000347</v>
      </c>
      <c r="F52" s="77">
        <v>13.336835547999954</v>
      </c>
      <c r="G52" s="77">
        <v>24.467560141999993</v>
      </c>
      <c r="H52" s="77">
        <v>23.378933625999998</v>
      </c>
      <c r="I52" s="77">
        <f>158741890.98/10^7</f>
        <v>15.874189097999999</v>
      </c>
      <c r="J52" s="63">
        <f>+I52*(1+Assumptions!J65)</f>
        <v>16.191672879959999</v>
      </c>
      <c r="K52" s="63">
        <f>+J52*(1+Assumptions!K65)</f>
        <v>16.515506337559199</v>
      </c>
      <c r="L52" s="63">
        <f>+K52*(1+Assumptions!L65)</f>
        <v>16.845816464310381</v>
      </c>
      <c r="M52" s="63">
        <f>+L52*(1+Assumptions!M65)</f>
        <v>17.182732793596589</v>
      </c>
      <c r="N52" s="63">
        <f>+M52*(1+Assumptions!N65)</f>
        <v>17.526387449468523</v>
      </c>
      <c r="O52" s="63">
        <f>+N52*(1+Assumptions!O65)</f>
        <v>17.876915198457894</v>
      </c>
      <c r="P52" s="63">
        <f>+O52*(1+Assumptions!P65)</f>
        <v>18.234453502427051</v>
      </c>
      <c r="Q52" s="63">
        <f>+P52*(1+Assumptions!Q65)</f>
        <v>18.599142572475593</v>
      </c>
      <c r="R52" s="63">
        <f>+Q52*(1+Assumptions!R65)</f>
        <v>18.971125423925105</v>
      </c>
      <c r="S52" s="63">
        <f>+R52*(1+Assumptions!S65)</f>
        <v>19.350547932403607</v>
      </c>
    </row>
    <row r="53" spans="1:26" s="135" customFormat="1" x14ac:dyDescent="0.35">
      <c r="A53" s="167"/>
      <c r="B53" s="126" t="s">
        <v>69</v>
      </c>
      <c r="C53" s="78"/>
      <c r="D53" s="126"/>
      <c r="E53" s="77">
        <v>31.79</v>
      </c>
      <c r="F53" s="77">
        <v>36.07</v>
      </c>
      <c r="G53" s="77">
        <v>37.818466344999997</v>
      </c>
      <c r="H53" s="77">
        <v>38.512547471999994</v>
      </c>
      <c r="I53" s="77">
        <f>413312174.03/10^7</f>
        <v>41.331217402999997</v>
      </c>
      <c r="J53" s="63">
        <f>+I53*(1+Assumptions!J66)</f>
        <v>42.157841751059998</v>
      </c>
      <c r="K53" s="63">
        <f>+J53*(1+Assumptions!K66)</f>
        <v>43.000998586081195</v>
      </c>
      <c r="L53" s="63">
        <f>+K53*(1+Assumptions!L66)</f>
        <v>43.861018557802822</v>
      </c>
      <c r="M53" s="63">
        <f>+L53*(1+Assumptions!M66)</f>
        <v>44.738238928958879</v>
      </c>
      <c r="N53" s="63">
        <f>+M53*(1+Assumptions!N66)</f>
        <v>45.633003707538059</v>
      </c>
      <c r="O53" s="63">
        <f>+N53*(1+Assumptions!O66)</f>
        <v>46.545663781688823</v>
      </c>
      <c r="P53" s="63">
        <f>+O53*(1+Assumptions!P66)</f>
        <v>47.476577057322601</v>
      </c>
      <c r="Q53" s="63">
        <f>+P53*(1+Assumptions!Q66)</f>
        <v>48.426108598469057</v>
      </c>
      <c r="R53" s="63">
        <f>+Q53*(1+Assumptions!R66)</f>
        <v>49.39463077043844</v>
      </c>
      <c r="S53" s="63">
        <f>+R53*(1+Assumptions!S66)</f>
        <v>50.382523385847207</v>
      </c>
    </row>
    <row r="54" spans="1:26" s="135" customFormat="1" x14ac:dyDescent="0.35">
      <c r="A54" s="168"/>
      <c r="B54" s="126" t="s">
        <v>70</v>
      </c>
      <c r="C54" s="78"/>
      <c r="D54" s="126"/>
      <c r="E54" s="63">
        <f t="shared" ref="E54:R54" si="13">SUM(E39:E53)</f>
        <v>298.06831026200035</v>
      </c>
      <c r="F54" s="63">
        <f t="shared" si="13"/>
        <v>384.81730708899994</v>
      </c>
      <c r="G54" s="63">
        <f t="shared" si="13"/>
        <v>387.48730473299992</v>
      </c>
      <c r="H54" s="63">
        <f t="shared" si="13"/>
        <v>496.99631575699999</v>
      </c>
      <c r="I54" s="63">
        <f t="shared" si="13"/>
        <v>432.25129828400003</v>
      </c>
      <c r="J54" s="63">
        <f t="shared" si="13"/>
        <v>429.93999739784567</v>
      </c>
      <c r="K54" s="63">
        <f t="shared" si="13"/>
        <v>447.19038243328578</v>
      </c>
      <c r="L54" s="63">
        <f t="shared" si="13"/>
        <v>467.19482871600775</v>
      </c>
      <c r="M54" s="63">
        <f t="shared" si="13"/>
        <v>477.00611764360809</v>
      </c>
      <c r="N54" s="63">
        <f t="shared" si="13"/>
        <v>486.54623999648021</v>
      </c>
      <c r="O54" s="63">
        <f t="shared" si="13"/>
        <v>496.27716479640981</v>
      </c>
      <c r="P54" s="63">
        <f t="shared" si="13"/>
        <v>506.20270809233807</v>
      </c>
      <c r="Q54" s="63">
        <f t="shared" si="13"/>
        <v>516.32676225418481</v>
      </c>
      <c r="R54" s="63">
        <f t="shared" si="13"/>
        <v>526.65329749926855</v>
      </c>
      <c r="S54" s="63">
        <f>SUM(S39:S53)</f>
        <v>537.18636344925403</v>
      </c>
    </row>
    <row r="55" spans="1:26" s="583" customFormat="1" x14ac:dyDescent="0.35">
      <c r="A55" s="586"/>
      <c r="B55" s="367" t="s">
        <v>394</v>
      </c>
      <c r="C55" s="368"/>
      <c r="D55" s="369"/>
      <c r="E55" s="372">
        <f>E33+E35+E34+E37+E54</f>
        <v>5440.712966037001</v>
      </c>
      <c r="F55" s="372">
        <f t="shared" ref="F55:S55" si="14">F33+F35+F37+F54</f>
        <v>6319.1927226729322</v>
      </c>
      <c r="G55" s="372">
        <f t="shared" si="14"/>
        <v>6050.8412409115626</v>
      </c>
      <c r="H55" s="372">
        <f t="shared" si="14"/>
        <v>6293.2670658660991</v>
      </c>
      <c r="I55" s="372">
        <f t="shared" si="14"/>
        <v>5087.3343624229374</v>
      </c>
      <c r="J55" s="372">
        <f t="shared" si="14"/>
        <v>6087.0515621238028</v>
      </c>
      <c r="K55" s="372">
        <f t="shared" si="14"/>
        <v>6612.2073003102987</v>
      </c>
      <c r="L55" s="372">
        <f t="shared" si="14"/>
        <v>7069.7410639134514</v>
      </c>
      <c r="M55" s="372">
        <f t="shared" si="14"/>
        <v>7324.4778632354191</v>
      </c>
      <c r="N55" s="372">
        <f t="shared" si="14"/>
        <v>7498.505257240944</v>
      </c>
      <c r="O55" s="372">
        <f t="shared" si="14"/>
        <v>7674.9354628435349</v>
      </c>
      <c r="P55" s="372">
        <f t="shared" si="14"/>
        <v>7856.9315405313046</v>
      </c>
      <c r="Q55" s="372">
        <f t="shared" si="14"/>
        <v>8044.8757984561325</v>
      </c>
      <c r="R55" s="372">
        <f t="shared" si="14"/>
        <v>8174.5424684146947</v>
      </c>
      <c r="S55" s="372">
        <f t="shared" si="14"/>
        <v>8331.9600649307813</v>
      </c>
    </row>
    <row r="56" spans="1:26" s="135" customFormat="1" x14ac:dyDescent="0.35">
      <c r="A56" s="168"/>
      <c r="B56" s="367" t="s">
        <v>72</v>
      </c>
      <c r="C56" s="368"/>
      <c r="D56" s="369"/>
      <c r="E56" s="372">
        <f t="shared" ref="E56" si="15">E26-E55</f>
        <v>214.14613876899875</v>
      </c>
      <c r="F56" s="372">
        <f t="shared" ref="F56:S56" si="16">F26-F55</f>
        <v>93.50279504406808</v>
      </c>
      <c r="G56" s="372">
        <f t="shared" si="16"/>
        <v>456.87242545843674</v>
      </c>
      <c r="H56" s="372">
        <f t="shared" si="16"/>
        <v>205.79056216990102</v>
      </c>
      <c r="I56" s="372">
        <f t="shared" si="16"/>
        <v>183.29240988952733</v>
      </c>
      <c r="J56" s="372">
        <f t="shared" si="16"/>
        <v>271.18440799267592</v>
      </c>
      <c r="K56" s="372">
        <f t="shared" si="16"/>
        <v>290.59602771298614</v>
      </c>
      <c r="L56" s="372">
        <f t="shared" si="16"/>
        <v>356.60388092164158</v>
      </c>
      <c r="M56" s="372">
        <f t="shared" si="16"/>
        <v>371.11319560869197</v>
      </c>
      <c r="N56" s="372">
        <f t="shared" si="16"/>
        <v>379.50055688665452</v>
      </c>
      <c r="O56" s="372">
        <f t="shared" si="16"/>
        <v>389.83215925581771</v>
      </c>
      <c r="P56" s="372">
        <f t="shared" si="16"/>
        <v>399.14742197184933</v>
      </c>
      <c r="Q56" s="372">
        <f t="shared" si="16"/>
        <v>407.17538493832762</v>
      </c>
      <c r="R56" s="372">
        <f t="shared" si="16"/>
        <v>478.25590031031425</v>
      </c>
      <c r="S56" s="372">
        <f t="shared" si="16"/>
        <v>526.47734085333104</v>
      </c>
    </row>
    <row r="57" spans="1:26" s="135" customFormat="1" x14ac:dyDescent="0.35">
      <c r="A57" s="168"/>
      <c r="B57" s="103" t="s">
        <v>380</v>
      </c>
      <c r="C57" s="97"/>
      <c r="D57" s="155"/>
      <c r="E57" s="587">
        <f>E56/E26</f>
        <v>3.7869403074428223E-2</v>
      </c>
      <c r="F57" s="587">
        <f t="shared" ref="F57:S57" si="17">F56/F26</f>
        <v>1.45808879878576E-2</v>
      </c>
      <c r="G57" s="587">
        <f t="shared" si="17"/>
        <v>7.0204752218804983E-2</v>
      </c>
      <c r="H57" s="587">
        <f t="shared" si="17"/>
        <v>3.1664677242151253E-2</v>
      </c>
      <c r="I57" s="587">
        <f t="shared" si="17"/>
        <v>3.4776207424208977E-2</v>
      </c>
      <c r="J57" s="587">
        <f t="shared" si="17"/>
        <v>4.2650887646704938E-2</v>
      </c>
      <c r="K57" s="587">
        <f t="shared" si="17"/>
        <v>4.2098262677317567E-2</v>
      </c>
      <c r="L57" s="587">
        <f t="shared" si="17"/>
        <v>4.8018760718845144E-2</v>
      </c>
      <c r="M57" s="587">
        <f t="shared" si="17"/>
        <v>4.8224131554156897E-2</v>
      </c>
      <c r="N57" s="587">
        <f t="shared" si="17"/>
        <v>4.8172160041580266E-2</v>
      </c>
      <c r="O57" s="587">
        <f t="shared" si="17"/>
        <v>4.8337680330377567E-2</v>
      </c>
      <c r="P57" s="587">
        <f t="shared" si="17"/>
        <v>4.8345882323154545E-2</v>
      </c>
      <c r="Q57" s="587">
        <f t="shared" si="17"/>
        <v>4.8174741977225037E-2</v>
      </c>
      <c r="R57" s="587">
        <f t="shared" si="17"/>
        <v>5.5271818425694501E-2</v>
      </c>
      <c r="S57" s="587">
        <f t="shared" si="17"/>
        <v>5.9432303547075689E-2</v>
      </c>
    </row>
    <row r="58" spans="1:26" s="135" customFormat="1" x14ac:dyDescent="0.35">
      <c r="A58" s="168"/>
      <c r="B58" s="370"/>
      <c r="C58" s="72"/>
      <c r="D58" s="117"/>
      <c r="E58" s="117"/>
      <c r="F58" s="117"/>
      <c r="G58" s="371"/>
      <c r="H58" s="1303"/>
      <c r="I58" s="1303"/>
      <c r="J58" s="371"/>
      <c r="K58" s="371"/>
      <c r="L58" s="371"/>
      <c r="M58" s="371"/>
      <c r="N58" s="371"/>
      <c r="O58" s="371"/>
      <c r="P58" s="371"/>
      <c r="Q58" s="371"/>
      <c r="R58" s="371"/>
      <c r="S58" s="371"/>
    </row>
    <row r="59" spans="1:26" s="135" customFormat="1" x14ac:dyDescent="0.35">
      <c r="A59" s="168"/>
      <c r="B59" s="130" t="s">
        <v>908</v>
      </c>
      <c r="C59" s="130"/>
      <c r="D59" s="130"/>
      <c r="E59" s="130"/>
      <c r="F59" s="130"/>
      <c r="G59" s="130"/>
      <c r="H59" s="130"/>
      <c r="I59" s="130"/>
      <c r="J59" s="130"/>
      <c r="K59" s="130"/>
      <c r="L59" s="130"/>
      <c r="M59" s="130"/>
      <c r="N59" s="130"/>
      <c r="O59" s="130"/>
      <c r="P59" s="130"/>
      <c r="Q59" s="130"/>
      <c r="R59" s="130"/>
      <c r="S59" s="130"/>
    </row>
    <row r="60" spans="1:26" s="135" customFormat="1" x14ac:dyDescent="0.35">
      <c r="A60" s="168"/>
      <c r="B60" s="126" t="s">
        <v>108</v>
      </c>
      <c r="C60" s="78" t="s">
        <v>5</v>
      </c>
      <c r="D60" s="126"/>
      <c r="E60" s="63">
        <f>+'Stock movement'!E9++'Stock movement'!E17+'Stock movement'!E20-'Stock movement'!E16-'Stock movement'!E19</f>
        <v>156.87378140000001</v>
      </c>
      <c r="F60" s="63">
        <f>+'Stock movement'!F9++'Stock movement'!F17+'Stock movement'!F20-'Stock movement'!F16-'Stock movement'!F19</f>
        <v>190.97687000000002</v>
      </c>
      <c r="G60" s="63">
        <f>+'Stock movement'!G9++'Stock movement'!G17+'Stock movement'!G20-'Stock movement'!G16-'Stock movement'!G19</f>
        <v>184.58097089999998</v>
      </c>
      <c r="H60" s="63">
        <f>+'Stock movement'!H9++'Stock movement'!H17+'Stock movement'!H20-'Stock movement'!H16-'Stock movement'!H19</f>
        <v>172.66333100000003</v>
      </c>
      <c r="I60" s="63">
        <f>+'Stock movement'!I9++'Stock movement'!I17+'Stock movement'!I20-'Stock movement'!I16-'Stock movement'!I19</f>
        <v>128.51500769999998</v>
      </c>
      <c r="J60" s="63">
        <f>+'Stock movement'!J9+'Stock movement'!J17+'Stock movement'!J20-'Stock movement'!J16-'Stock movement'!J19</f>
        <v>148.18115853658534</v>
      </c>
      <c r="K60" s="63">
        <f>+'Stock movement'!K9++'Stock movement'!K17+'Stock movement'!K20-'Stock movement'!K16-'Stock movement'!K19</f>
        <v>163.51024390243902</v>
      </c>
      <c r="L60" s="63">
        <f>+'Stock movement'!L9++'Stock movement'!L17+'Stock movement'!L20-'Stock movement'!L16-'Stock movement'!L19</f>
        <v>168.61993902439022</v>
      </c>
      <c r="M60" s="63">
        <f>+'Stock movement'!M9++'Stock movement'!M17+'Stock movement'!M20-'Stock movement'!M16-'Stock movement'!M19</f>
        <v>168.61993902439022</v>
      </c>
      <c r="N60" s="63">
        <f>+'Stock movement'!N9++'Stock movement'!N17+'Stock movement'!N20-'Stock movement'!N16-'Stock movement'!N19</f>
        <v>168.61993902439022</v>
      </c>
      <c r="O60" s="63">
        <f>+'Stock movement'!O9++'Stock movement'!O17+'Stock movement'!O20-'Stock movement'!O16-'Stock movement'!O19</f>
        <v>168.61993902439022</v>
      </c>
      <c r="P60" s="63">
        <f>+'Stock movement'!P9++'Stock movement'!P17+'Stock movement'!P20-'Stock movement'!P16-'Stock movement'!P19</f>
        <v>168.61993902439022</v>
      </c>
      <c r="Q60" s="63">
        <f>+'Stock movement'!Q9++'Stock movement'!Q17+'Stock movement'!Q20-'Stock movement'!Q16-'Stock movement'!Q19</f>
        <v>168.61993902439022</v>
      </c>
      <c r="R60" s="63">
        <f>+'Stock movement'!R9++'Stock movement'!R17+'Stock movement'!R20-'Stock movement'!R16-'Stock movement'!R19</f>
        <v>168.61993902439022</v>
      </c>
      <c r="S60" s="63">
        <f>+'Stock movement'!S9++'Stock movement'!S17+'Stock movement'!S20-'Stock movement'!S16-'Stock movement'!S19</f>
        <v>168.61993902439022</v>
      </c>
      <c r="T60" s="583"/>
      <c r="U60" s="583"/>
      <c r="V60" s="583"/>
      <c r="W60" s="583"/>
      <c r="X60" s="583"/>
      <c r="Y60" s="583"/>
      <c r="Z60" s="583"/>
    </row>
    <row r="61" spans="1:26" s="135" customFormat="1" x14ac:dyDescent="0.35">
      <c r="A61" s="168"/>
      <c r="B61" s="106" t="s">
        <v>109</v>
      </c>
      <c r="C61" s="78"/>
      <c r="D61" s="126"/>
      <c r="E61" s="126"/>
      <c r="F61" s="126"/>
      <c r="G61" s="63"/>
      <c r="H61" s="63"/>
      <c r="I61" s="63"/>
      <c r="J61" s="63"/>
      <c r="K61" s="63"/>
      <c r="L61" s="63"/>
      <c r="M61" s="63"/>
      <c r="N61" s="63"/>
      <c r="O61" s="63"/>
      <c r="P61" s="63"/>
      <c r="Q61" s="63"/>
      <c r="R61" s="63"/>
      <c r="S61" s="63"/>
      <c r="T61" s="583"/>
      <c r="U61" s="583"/>
      <c r="V61" s="583"/>
      <c r="W61" s="583"/>
      <c r="X61" s="583"/>
      <c r="Y61" s="583"/>
      <c r="Z61" s="583"/>
    </row>
    <row r="62" spans="1:26" s="135" customFormat="1" x14ac:dyDescent="0.35">
      <c r="A62" s="168"/>
      <c r="B62" s="126" t="s">
        <v>103</v>
      </c>
      <c r="C62" s="78" t="s">
        <v>88</v>
      </c>
      <c r="D62" s="126"/>
      <c r="E62" s="63">
        <f t="shared" ref="E62:S62" si="18">+E33</f>
        <v>4876.2885016930004</v>
      </c>
      <c r="F62" s="63">
        <f t="shared" si="18"/>
        <v>5638.333999464</v>
      </c>
      <c r="G62" s="63">
        <f t="shared" si="18"/>
        <v>5347.5331359699994</v>
      </c>
      <c r="H62" s="63">
        <f t="shared" si="18"/>
        <v>5285.0252759550003</v>
      </c>
      <c r="I62" s="63">
        <f>+I33</f>
        <v>4588.0819865739986</v>
      </c>
      <c r="J62" s="63">
        <f t="shared" si="18"/>
        <v>5380.447562732491</v>
      </c>
      <c r="K62" s="63">
        <f t="shared" si="18"/>
        <v>6054.774476975248</v>
      </c>
      <c r="L62" s="63">
        <f t="shared" si="18"/>
        <v>6368.5540739307098</v>
      </c>
      <c r="M62" s="63">
        <f t="shared" si="18"/>
        <v>6495.9251554093244</v>
      </c>
      <c r="N62" s="63">
        <f t="shared" si="18"/>
        <v>6625.8436585175104</v>
      </c>
      <c r="O62" s="63">
        <f t="shared" si="18"/>
        <v>6758.3605316878611</v>
      </c>
      <c r="P62" s="63">
        <f t="shared" si="18"/>
        <v>6893.5277423216185</v>
      </c>
      <c r="Q62" s="63">
        <f t="shared" si="18"/>
        <v>7031.1822755496487</v>
      </c>
      <c r="R62" s="63">
        <f t="shared" si="18"/>
        <v>7063.3081028639417</v>
      </c>
      <c r="S62" s="63">
        <f t="shared" si="18"/>
        <v>7204.3582433028196</v>
      </c>
      <c r="T62" s="583"/>
      <c r="U62" s="583"/>
      <c r="V62" s="583"/>
      <c r="W62" s="583"/>
      <c r="X62" s="583"/>
      <c r="Y62" s="583"/>
      <c r="Z62" s="583"/>
    </row>
    <row r="63" spans="1:26" s="135" customFormat="1" x14ac:dyDescent="0.35">
      <c r="A63" s="168"/>
      <c r="B63" s="126" t="s">
        <v>104</v>
      </c>
      <c r="C63" s="78" t="s">
        <v>88</v>
      </c>
      <c r="D63" s="126"/>
      <c r="E63" s="63">
        <f>+E37</f>
        <v>206.70140958200005</v>
      </c>
      <c r="F63" s="63">
        <f>+F37</f>
        <v>229.31148999999999</v>
      </c>
      <c r="G63" s="63">
        <f t="shared" ref="G63:R63" si="19">+G37</f>
        <v>249.46146992500002</v>
      </c>
      <c r="H63" s="63">
        <f t="shared" si="19"/>
        <v>271.56519395200002</v>
      </c>
      <c r="I63" s="63">
        <f t="shared" si="19"/>
        <v>288.15196665100001</v>
      </c>
      <c r="J63" s="63">
        <f t="shared" si="19"/>
        <v>316.96716331610003</v>
      </c>
      <c r="K63" s="63">
        <f t="shared" si="19"/>
        <v>348.66387964771008</v>
      </c>
      <c r="L63" s="63">
        <f t="shared" si="19"/>
        <v>383.53026761248111</v>
      </c>
      <c r="M63" s="63">
        <f t="shared" si="19"/>
        <v>421.88329437372926</v>
      </c>
      <c r="N63" s="63">
        <f t="shared" si="19"/>
        <v>455.63395792362763</v>
      </c>
      <c r="O63" s="63">
        <f t="shared" si="19"/>
        <v>492.08467455751787</v>
      </c>
      <c r="P63" s="63">
        <f t="shared" si="19"/>
        <v>531.45144852211934</v>
      </c>
      <c r="Q63" s="63">
        <f t="shared" si="19"/>
        <v>573.9675644038889</v>
      </c>
      <c r="R63" s="63">
        <f t="shared" si="19"/>
        <v>619.88496955620008</v>
      </c>
      <c r="S63" s="63">
        <f>+S37</f>
        <v>669.4757671206961</v>
      </c>
      <c r="T63" s="583"/>
      <c r="U63" s="583"/>
      <c r="V63" s="583"/>
      <c r="W63" s="583"/>
      <c r="X63" s="583"/>
      <c r="Y63" s="583"/>
      <c r="Z63" s="583"/>
    </row>
    <row r="64" spans="1:26" s="135" customFormat="1" x14ac:dyDescent="0.35">
      <c r="A64" s="168"/>
      <c r="B64" s="126" t="s">
        <v>54</v>
      </c>
      <c r="C64" s="78" t="s">
        <v>88</v>
      </c>
      <c r="D64" s="126"/>
      <c r="E64" s="63">
        <f>'Plant-wise details'!F1470</f>
        <v>171.52510617499999</v>
      </c>
      <c r="F64" s="63">
        <f>'Plant-wise details'!G1470</f>
        <v>186.47865637095933</v>
      </c>
      <c r="G64" s="63">
        <f>'Plant-wise details'!H1470</f>
        <v>186.83649319</v>
      </c>
      <c r="H64" s="63">
        <f>'Plant-wise details'!I1470</f>
        <v>186</v>
      </c>
      <c r="I64" s="63">
        <f>'Plant-wise details'!J1470</f>
        <v>184.63</v>
      </c>
      <c r="J64" s="63">
        <f>'Fixed Asset schedule'!J77</f>
        <v>184.49601941454816</v>
      </c>
      <c r="K64" s="63">
        <f>'Fixed Asset schedule'!K77</f>
        <v>184.91578091680711</v>
      </c>
      <c r="L64" s="63">
        <f>'Fixed Asset schedule'!L77</f>
        <v>185.33554241906609</v>
      </c>
      <c r="M64" s="63">
        <f>'Fixed Asset schedule'!M77</f>
        <v>185.75530392132504</v>
      </c>
      <c r="N64" s="63">
        <f>'Fixed Asset schedule'!N77</f>
        <v>185.77424675081485</v>
      </c>
      <c r="O64" s="63">
        <f>'Fixed Asset schedule'!O77</f>
        <v>185.84131192329181</v>
      </c>
      <c r="P64" s="63">
        <f>'Fixed Asset schedule'!P77</f>
        <v>186.26107342555079</v>
      </c>
      <c r="Q64" s="63">
        <f>'Fixed Asset schedule'!Q77</f>
        <v>186.68083492780974</v>
      </c>
      <c r="R64" s="63">
        <f>'Fixed Asset schedule'!R77</f>
        <v>187.05450676852371</v>
      </c>
      <c r="S64" s="63">
        <f>'Fixed Asset schedule'!S77</f>
        <v>182.73100012890751</v>
      </c>
      <c r="T64" s="583"/>
      <c r="U64" s="583"/>
      <c r="V64" s="583"/>
      <c r="W64" s="583"/>
      <c r="X64" s="583"/>
      <c r="Y64" s="583"/>
      <c r="Z64" s="583"/>
    </row>
    <row r="65" spans="1:26" s="135" customFormat="1" x14ac:dyDescent="0.35">
      <c r="A65" s="168"/>
      <c r="B65" s="126" t="s">
        <v>43</v>
      </c>
      <c r="C65" s="78" t="s">
        <v>88</v>
      </c>
      <c r="D65" s="78" t="s">
        <v>910</v>
      </c>
      <c r="E65" s="63">
        <f>+E54-E43-E41-E42</f>
        <v>248.39130266600031</v>
      </c>
      <c r="F65" s="63">
        <f>+F54-F43-F41-F42</f>
        <v>314.76923301399989</v>
      </c>
      <c r="G65" s="63">
        <f t="shared" ref="G65:Q65" si="20">+G54-G43-G41-G42</f>
        <v>309.76423328299995</v>
      </c>
      <c r="H65" s="63">
        <f t="shared" si="20"/>
        <v>416.24239969400003</v>
      </c>
      <c r="I65" s="63">
        <f t="shared" si="20"/>
        <v>358.135035711</v>
      </c>
      <c r="J65" s="63">
        <f t="shared" si="20"/>
        <v>349.46156045019006</v>
      </c>
      <c r="K65" s="63">
        <f t="shared" si="20"/>
        <v>364.17750208877038</v>
      </c>
      <c r="L65" s="63">
        <f t="shared" si="20"/>
        <v>380.45966567660173</v>
      </c>
      <c r="M65" s="63">
        <f t="shared" si="20"/>
        <v>388.06885899013389</v>
      </c>
      <c r="N65" s="63">
        <f t="shared" si="20"/>
        <v>395.83023616993648</v>
      </c>
      <c r="O65" s="63">
        <f t="shared" si="20"/>
        <v>403.74684089333527</v>
      </c>
      <c r="P65" s="63">
        <f t="shared" si="20"/>
        <v>411.821777711202</v>
      </c>
      <c r="Q65" s="63">
        <f t="shared" si="20"/>
        <v>420.05821326542605</v>
      </c>
      <c r="R65" s="63">
        <f>+R54-R43-R41-R42</f>
        <v>428.45937753073457</v>
      </c>
      <c r="S65" s="63">
        <f>+S54-S43-S41-S42</f>
        <v>437.02856508134937</v>
      </c>
      <c r="T65" s="583"/>
      <c r="U65" s="583"/>
      <c r="V65" s="583"/>
      <c r="W65" s="583"/>
      <c r="X65" s="583"/>
      <c r="Y65" s="583"/>
      <c r="Z65" s="583"/>
    </row>
    <row r="66" spans="1:26" s="135" customFormat="1" x14ac:dyDescent="0.35">
      <c r="A66" s="168"/>
      <c r="B66" s="106" t="s">
        <v>110</v>
      </c>
      <c r="C66" s="78"/>
      <c r="D66" s="126"/>
      <c r="E66" s="126"/>
      <c r="F66" s="126"/>
      <c r="G66" s="63"/>
      <c r="H66" s="63"/>
      <c r="I66" s="63"/>
      <c r="J66" s="63"/>
      <c r="K66" s="63"/>
      <c r="L66" s="63"/>
      <c r="M66" s="63"/>
      <c r="N66" s="63"/>
      <c r="O66" s="63"/>
      <c r="P66" s="63"/>
      <c r="Q66" s="63"/>
      <c r="R66" s="63"/>
      <c r="S66" s="63"/>
      <c r="T66" s="583"/>
      <c r="U66" s="583"/>
      <c r="V66" s="583"/>
      <c r="W66" s="583"/>
      <c r="X66" s="583"/>
      <c r="Y66" s="583"/>
      <c r="Z66" s="583"/>
    </row>
    <row r="67" spans="1:26" s="135" customFormat="1" x14ac:dyDescent="0.35">
      <c r="A67" s="168"/>
      <c r="B67" s="126" t="s">
        <v>111</v>
      </c>
      <c r="C67" s="78" t="s">
        <v>88</v>
      </c>
      <c r="D67" s="126"/>
      <c r="E67" s="63">
        <f>+D118+D119+D120+D121</f>
        <v>0</v>
      </c>
      <c r="F67" s="63">
        <f>+E118+E119+E120+E121</f>
        <v>37.737982800000005</v>
      </c>
      <c r="G67" s="63">
        <f>+F118+F119+F120+F121</f>
        <v>70.887097199999999</v>
      </c>
      <c r="H67" s="63">
        <f t="shared" ref="H67:S67" si="21">+G118+G119+G120+G121</f>
        <v>101.76847989999999</v>
      </c>
      <c r="I67" s="63">
        <f t="shared" si="21"/>
        <v>224.40082230000004</v>
      </c>
      <c r="J67" s="63">
        <f>+I118+I119+I120+I121</f>
        <v>309.31734525999997</v>
      </c>
      <c r="K67" s="63">
        <f t="shared" si="21"/>
        <v>423.71268746731704</v>
      </c>
      <c r="L67" s="63">
        <f t="shared" si="21"/>
        <v>429.24629365568785</v>
      </c>
      <c r="M67" s="63">
        <f t="shared" si="21"/>
        <v>451.32879183367959</v>
      </c>
      <c r="N67" s="63">
        <f t="shared" si="21"/>
        <v>460.35536767035319</v>
      </c>
      <c r="O67" s="63">
        <f t="shared" si="21"/>
        <v>469.56247502376027</v>
      </c>
      <c r="P67" s="63">
        <f t="shared" si="21"/>
        <v>478.9537245242355</v>
      </c>
      <c r="Q67" s="63">
        <f t="shared" si="21"/>
        <v>488.53279901472024</v>
      </c>
      <c r="R67" s="63">
        <f t="shared" si="21"/>
        <v>498.30345499501465</v>
      </c>
      <c r="S67" s="63">
        <f t="shared" si="21"/>
        <v>508.26952409491497</v>
      </c>
      <c r="T67" s="583"/>
      <c r="U67" s="583"/>
      <c r="V67" s="583"/>
      <c r="W67" s="583"/>
      <c r="X67" s="583"/>
      <c r="Y67" s="583"/>
      <c r="Z67" s="583"/>
    </row>
    <row r="68" spans="1:26" s="135" customFormat="1" x14ac:dyDescent="0.35">
      <c r="A68" s="168"/>
      <c r="B68" s="126" t="s">
        <v>112</v>
      </c>
      <c r="C68" s="78" t="s">
        <v>88</v>
      </c>
      <c r="D68" s="126"/>
      <c r="E68" s="63">
        <f t="shared" ref="E68:S68" si="22">-E9-E10-E11</f>
        <v>-13.2716718</v>
      </c>
      <c r="F68" s="63">
        <f t="shared" si="22"/>
        <v>-7.8121590999999997</v>
      </c>
      <c r="G68" s="63">
        <f t="shared" si="22"/>
        <v>-160.06387354000003</v>
      </c>
      <c r="H68" s="63">
        <f t="shared" si="22"/>
        <v>-156.89909894099998</v>
      </c>
      <c r="I68" s="63">
        <f t="shared" si="22"/>
        <v>-37.054127690000001</v>
      </c>
      <c r="J68" s="63">
        <f t="shared" si="22"/>
        <v>-18.018398558570201</v>
      </c>
      <c r="K68" s="63">
        <f t="shared" si="22"/>
        <v>-20.280018239714874</v>
      </c>
      <c r="L68" s="63">
        <f t="shared" si="22"/>
        <v>-21.332044185900081</v>
      </c>
      <c r="M68" s="63">
        <f t="shared" si="22"/>
        <v>-21.758685069618082</v>
      </c>
      <c r="N68" s="63">
        <f t="shared" si="22"/>
        <v>-22.193858771010447</v>
      </c>
      <c r="O68" s="63">
        <f t="shared" si="22"/>
        <v>-22.637735946430652</v>
      </c>
      <c r="P68" s="63">
        <f t="shared" si="22"/>
        <v>-23.090490665359265</v>
      </c>
      <c r="Q68" s="63">
        <f t="shared" si="22"/>
        <v>-23.552300478666453</v>
      </c>
      <c r="R68" s="63">
        <f t="shared" si="22"/>
        <v>-24.023346488239781</v>
      </c>
      <c r="S68" s="63">
        <f t="shared" si="22"/>
        <v>-24.503813418004576</v>
      </c>
      <c r="T68" s="583"/>
      <c r="U68" s="583"/>
      <c r="V68" s="583"/>
      <c r="W68" s="583"/>
      <c r="X68" s="583"/>
      <c r="Y68" s="583"/>
      <c r="Z68" s="583"/>
    </row>
    <row r="69" spans="1:26" s="135" customFormat="1" x14ac:dyDescent="0.35">
      <c r="A69" s="168"/>
      <c r="B69" s="126" t="s">
        <v>113</v>
      </c>
      <c r="C69" s="78" t="s">
        <v>88</v>
      </c>
      <c r="D69" s="126"/>
      <c r="E69" s="63">
        <f t="shared" ref="E69:S69" si="23">-E19-E20</f>
        <v>-114.45666294999999</v>
      </c>
      <c r="F69" s="63">
        <f t="shared" si="23"/>
        <v>-37.700539399999997</v>
      </c>
      <c r="G69" s="63">
        <f t="shared" si="23"/>
        <v>-64.589317999999992</v>
      </c>
      <c r="H69" s="63">
        <f t="shared" si="23"/>
        <v>-167.74279819999998</v>
      </c>
      <c r="I69" s="63">
        <f t="shared" si="23"/>
        <v>-460.90728095420008</v>
      </c>
      <c r="J69" s="63">
        <f t="shared" si="23"/>
        <v>-721.67112120731701</v>
      </c>
      <c r="K69" s="63">
        <f t="shared" si="23"/>
        <v>-943.94786707317076</v>
      </c>
      <c r="L69" s="63">
        <f t="shared" si="23"/>
        <v>-976.32439671951204</v>
      </c>
      <c r="M69" s="63">
        <f t="shared" si="23"/>
        <v>-1009.618408404878</v>
      </c>
      <c r="N69" s="63">
        <f t="shared" si="23"/>
        <v>-1029.8107765729756</v>
      </c>
      <c r="O69" s="63">
        <f t="shared" si="23"/>
        <v>-1050.4069921044349</v>
      </c>
      <c r="P69" s="63">
        <f t="shared" si="23"/>
        <v>-1071.4151319465238</v>
      </c>
      <c r="Q69" s="63">
        <f t="shared" si="23"/>
        <v>-1092.8434345854544</v>
      </c>
      <c r="R69" s="63">
        <f t="shared" si="23"/>
        <v>-1114.7003032771634</v>
      </c>
      <c r="S69" s="63">
        <f t="shared" si="23"/>
        <v>-1136.9943093427066</v>
      </c>
      <c r="T69" s="583"/>
      <c r="U69" s="583"/>
      <c r="V69" s="583"/>
      <c r="W69" s="583"/>
      <c r="X69" s="583"/>
      <c r="Y69" s="583"/>
      <c r="Z69" s="583"/>
    </row>
    <row r="70" spans="1:26" s="135" customFormat="1" x14ac:dyDescent="0.35">
      <c r="A70" s="168"/>
      <c r="B70" s="126" t="s">
        <v>114</v>
      </c>
      <c r="C70" s="78" t="s">
        <v>88</v>
      </c>
      <c r="D70" s="126"/>
      <c r="E70" s="63">
        <f>-(E118+E119+E120+E121)</f>
        <v>-37.737982800000005</v>
      </c>
      <c r="F70" s="63">
        <f>-(F118+F119+F120+F121)</f>
        <v>-70.887097199999999</v>
      </c>
      <c r="G70" s="63">
        <f t="shared" ref="G70:R70" si="24">-(G118+G119+G120+G121)</f>
        <v>-101.76847989999999</v>
      </c>
      <c r="H70" s="63">
        <f t="shared" si="24"/>
        <v>-224.40082230000004</v>
      </c>
      <c r="I70" s="63">
        <f t="shared" si="24"/>
        <v>-309.31734525999997</v>
      </c>
      <c r="J70" s="63">
        <f t="shared" si="24"/>
        <v>-423.71268746731704</v>
      </c>
      <c r="K70" s="63">
        <f t="shared" si="24"/>
        <v>-429.24629365568785</v>
      </c>
      <c r="L70" s="63">
        <f t="shared" si="24"/>
        <v>-451.32879183367959</v>
      </c>
      <c r="M70" s="63">
        <f t="shared" si="24"/>
        <v>-460.35536767035319</v>
      </c>
      <c r="N70" s="63">
        <f t="shared" si="24"/>
        <v>-469.56247502376027</v>
      </c>
      <c r="O70" s="63">
        <f t="shared" si="24"/>
        <v>-478.9537245242355</v>
      </c>
      <c r="P70" s="63">
        <f t="shared" si="24"/>
        <v>-488.53279901472024</v>
      </c>
      <c r="Q70" s="63">
        <f t="shared" si="24"/>
        <v>-498.30345499501465</v>
      </c>
      <c r="R70" s="63">
        <f t="shared" si="24"/>
        <v>-508.26952409491497</v>
      </c>
      <c r="S70" s="63">
        <f>-(S118+S119+S120+S121)</f>
        <v>-518.4349145768133</v>
      </c>
      <c r="T70" s="583"/>
      <c r="U70" s="583"/>
      <c r="V70" s="583"/>
      <c r="W70" s="583"/>
      <c r="X70" s="583"/>
      <c r="Y70" s="583"/>
      <c r="Z70" s="583"/>
    </row>
    <row r="71" spans="1:26" s="583" customFormat="1" x14ac:dyDescent="0.35">
      <c r="B71" s="581" t="s">
        <v>1593</v>
      </c>
      <c r="C71" s="579" t="s">
        <v>88</v>
      </c>
      <c r="D71" s="581"/>
      <c r="E71" s="581"/>
      <c r="F71" s="581"/>
      <c r="G71" s="63"/>
      <c r="H71" s="63"/>
      <c r="I71" s="63"/>
      <c r="J71" s="63">
        <f t="shared" ref="J71:S71" si="25">-J21</f>
        <v>0</v>
      </c>
      <c r="K71" s="63">
        <f t="shared" si="25"/>
        <v>0</v>
      </c>
      <c r="L71" s="63">
        <f t="shared" si="25"/>
        <v>0</v>
      </c>
      <c r="M71" s="63">
        <f t="shared" si="25"/>
        <v>0</v>
      </c>
      <c r="N71" s="63">
        <f t="shared" si="25"/>
        <v>0</v>
      </c>
      <c r="O71" s="63">
        <f t="shared" si="25"/>
        <v>0</v>
      </c>
      <c r="P71" s="63">
        <f t="shared" si="25"/>
        <v>0</v>
      </c>
      <c r="Q71" s="63">
        <f t="shared" si="25"/>
        <v>0</v>
      </c>
      <c r="R71" s="63">
        <f t="shared" si="25"/>
        <v>0</v>
      </c>
      <c r="S71" s="63">
        <f t="shared" si="25"/>
        <v>0</v>
      </c>
    </row>
    <row r="72" spans="1:26" s="583" customFormat="1" x14ac:dyDescent="0.35">
      <c r="A72" s="586"/>
      <c r="B72" s="581"/>
      <c r="C72" s="579"/>
      <c r="D72" s="581"/>
      <c r="E72" s="581"/>
      <c r="F72" s="581"/>
      <c r="G72" s="63"/>
      <c r="H72" s="63"/>
      <c r="I72" s="63"/>
      <c r="J72" s="63"/>
      <c r="K72" s="63"/>
      <c r="L72" s="63"/>
      <c r="M72" s="63"/>
      <c r="N72" s="63"/>
      <c r="O72" s="63"/>
      <c r="P72" s="63"/>
      <c r="Q72" s="63"/>
      <c r="R72" s="63"/>
      <c r="S72" s="63"/>
    </row>
    <row r="73" spans="1:26" s="135" customFormat="1" x14ac:dyDescent="0.35">
      <c r="A73" s="168"/>
      <c r="B73" s="126" t="s">
        <v>119</v>
      </c>
      <c r="C73" s="78" t="s">
        <v>88</v>
      </c>
      <c r="D73" s="126"/>
      <c r="E73" s="126"/>
      <c r="F73" s="126"/>
      <c r="G73" s="63">
        <f>+F122</f>
        <v>24.349492464331906</v>
      </c>
      <c r="H73" s="63">
        <f t="shared" ref="H73:S73" si="26">+G122</f>
        <v>37.494624118640935</v>
      </c>
      <c r="I73" s="63">
        <f t="shared" si="26"/>
        <v>43.753635056410893</v>
      </c>
      <c r="J73" s="63">
        <f>+I122</f>
        <v>73.460046750471804</v>
      </c>
      <c r="K73" s="63">
        <f t="shared" si="26"/>
        <v>72.5</v>
      </c>
      <c r="L73" s="63">
        <f t="shared" si="26"/>
        <v>80</v>
      </c>
      <c r="M73" s="63">
        <f t="shared" si="26"/>
        <v>82.5</v>
      </c>
      <c r="N73" s="63">
        <f t="shared" si="26"/>
        <v>82.5</v>
      </c>
      <c r="O73" s="63">
        <f t="shared" si="26"/>
        <v>82.5</v>
      </c>
      <c r="P73" s="63">
        <f t="shared" si="26"/>
        <v>82.5</v>
      </c>
      <c r="Q73" s="63">
        <f t="shared" si="26"/>
        <v>82.5</v>
      </c>
      <c r="R73" s="63">
        <f t="shared" si="26"/>
        <v>82.5</v>
      </c>
      <c r="S73" s="63">
        <f t="shared" si="26"/>
        <v>82.5</v>
      </c>
      <c r="T73" s="583"/>
      <c r="U73" s="583"/>
      <c r="V73" s="583"/>
      <c r="W73" s="583"/>
      <c r="X73" s="583"/>
      <c r="Y73" s="583"/>
      <c r="Z73" s="583"/>
    </row>
    <row r="74" spans="1:26" s="135" customFormat="1" x14ac:dyDescent="0.35">
      <c r="A74" s="168"/>
      <c r="B74" s="126" t="s">
        <v>115</v>
      </c>
      <c r="C74" s="78" t="s">
        <v>88</v>
      </c>
      <c r="D74" s="126"/>
      <c r="E74" s="126"/>
      <c r="F74" s="126"/>
      <c r="G74" s="63">
        <f t="shared" ref="G74:S74" si="27">-G14</f>
        <v>-1.4303600000000001</v>
      </c>
      <c r="H74" s="63">
        <f t="shared" si="27"/>
        <v>0</v>
      </c>
      <c r="I74" s="63">
        <f t="shared" si="27"/>
        <v>-5.4021291200000006</v>
      </c>
      <c r="J74" s="63">
        <f t="shared" si="27"/>
        <v>0</v>
      </c>
      <c r="K74" s="63">
        <f t="shared" si="27"/>
        <v>0</v>
      </c>
      <c r="L74" s="63">
        <f t="shared" si="27"/>
        <v>0</v>
      </c>
      <c r="M74" s="63">
        <f t="shared" si="27"/>
        <v>0</v>
      </c>
      <c r="N74" s="63">
        <f t="shared" si="27"/>
        <v>0</v>
      </c>
      <c r="O74" s="63">
        <f t="shared" si="27"/>
        <v>0</v>
      </c>
      <c r="P74" s="63">
        <f t="shared" si="27"/>
        <v>0</v>
      </c>
      <c r="Q74" s="63">
        <f t="shared" si="27"/>
        <v>0</v>
      </c>
      <c r="R74" s="63">
        <f t="shared" si="27"/>
        <v>0</v>
      </c>
      <c r="S74" s="63">
        <f t="shared" si="27"/>
        <v>0</v>
      </c>
      <c r="T74" s="583"/>
      <c r="U74" s="583"/>
      <c r="V74" s="583"/>
      <c r="W74" s="583"/>
      <c r="X74" s="583"/>
      <c r="Y74" s="583"/>
      <c r="Z74" s="583"/>
    </row>
    <row r="75" spans="1:26" s="135" customFormat="1" x14ac:dyDescent="0.35">
      <c r="A75" s="168"/>
      <c r="B75" s="126" t="s">
        <v>116</v>
      </c>
      <c r="C75" s="78" t="s">
        <v>88</v>
      </c>
      <c r="D75" s="126"/>
      <c r="E75" s="126"/>
      <c r="F75" s="126"/>
      <c r="G75" s="63"/>
      <c r="H75" s="63"/>
      <c r="I75" s="63"/>
      <c r="J75" s="63"/>
      <c r="K75" s="63"/>
      <c r="L75" s="63"/>
      <c r="M75" s="63"/>
      <c r="N75" s="63"/>
      <c r="O75" s="63"/>
      <c r="P75" s="63"/>
      <c r="Q75" s="63"/>
      <c r="R75" s="63"/>
      <c r="S75" s="63"/>
      <c r="T75" s="583"/>
      <c r="U75" s="583"/>
      <c r="V75" s="583"/>
      <c r="W75" s="583"/>
      <c r="X75" s="583"/>
      <c r="Y75" s="583"/>
      <c r="Z75" s="583"/>
    </row>
    <row r="76" spans="1:26" s="135" customFormat="1" x14ac:dyDescent="0.35">
      <c r="A76" s="168"/>
      <c r="B76" s="126" t="s">
        <v>117</v>
      </c>
      <c r="C76" s="78" t="s">
        <v>88</v>
      </c>
      <c r="D76" s="126"/>
      <c r="E76" s="126"/>
      <c r="F76" s="126"/>
      <c r="G76" s="63">
        <f t="shared" ref="G76:R76" si="28">-G122</f>
        <v>-37.494624118640935</v>
      </c>
      <c r="H76" s="63">
        <f t="shared" si="28"/>
        <v>-43.753635056410893</v>
      </c>
      <c r="I76" s="63">
        <f t="shared" si="28"/>
        <v>-73.460046750471804</v>
      </c>
      <c r="J76" s="63">
        <f t="shared" si="28"/>
        <v>-72.5</v>
      </c>
      <c r="K76" s="63">
        <f t="shared" si="28"/>
        <v>-80</v>
      </c>
      <c r="L76" s="63">
        <f t="shared" si="28"/>
        <v>-82.5</v>
      </c>
      <c r="M76" s="63">
        <f t="shared" si="28"/>
        <v>-82.5</v>
      </c>
      <c r="N76" s="63">
        <f t="shared" si="28"/>
        <v>-82.5</v>
      </c>
      <c r="O76" s="63">
        <f t="shared" si="28"/>
        <v>-82.5</v>
      </c>
      <c r="P76" s="63">
        <f t="shared" si="28"/>
        <v>-82.5</v>
      </c>
      <c r="Q76" s="63">
        <f t="shared" si="28"/>
        <v>-82.5</v>
      </c>
      <c r="R76" s="63">
        <f t="shared" si="28"/>
        <v>-82.5</v>
      </c>
      <c r="S76" s="63">
        <f>-S122</f>
        <v>-82.5</v>
      </c>
    </row>
    <row r="77" spans="1:26" s="135" customFormat="1" x14ac:dyDescent="0.35">
      <c r="A77" s="168"/>
      <c r="B77" s="126"/>
      <c r="C77" s="78"/>
      <c r="D77" s="126"/>
      <c r="E77" s="126"/>
      <c r="F77" s="126"/>
      <c r="G77" s="63"/>
      <c r="H77" s="63"/>
      <c r="I77" s="63"/>
      <c r="J77" s="63"/>
      <c r="K77" s="63"/>
      <c r="L77" s="63"/>
      <c r="M77" s="63"/>
      <c r="N77" s="63"/>
      <c r="O77" s="63"/>
      <c r="P77" s="63"/>
      <c r="Q77" s="63"/>
      <c r="R77" s="63"/>
      <c r="S77" s="63"/>
    </row>
    <row r="78" spans="1:26" s="135" customFormat="1" x14ac:dyDescent="0.35">
      <c r="A78" s="168"/>
      <c r="B78" s="126" t="s">
        <v>118</v>
      </c>
      <c r="C78" s="78" t="s">
        <v>88</v>
      </c>
      <c r="D78" s="126"/>
      <c r="E78" s="126"/>
      <c r="F78" s="126"/>
      <c r="G78" s="63">
        <f t="shared" ref="G78:S78" si="29">-G15</f>
        <v>-68.514091300000004</v>
      </c>
      <c r="H78" s="63">
        <f t="shared" si="29"/>
        <v>-58.545862399999997</v>
      </c>
      <c r="I78" s="63">
        <f t="shared" si="29"/>
        <v>-46.123576701263922</v>
      </c>
      <c r="J78" s="63">
        <f t="shared" si="29"/>
        <v>-42.962451368948607</v>
      </c>
      <c r="K78" s="63">
        <f t="shared" si="29"/>
        <v>-39.939684851441392</v>
      </c>
      <c r="L78" s="63">
        <f t="shared" si="29"/>
        <v>-43.763638136981164</v>
      </c>
      <c r="M78" s="63">
        <f t="shared" si="29"/>
        <v>-44.708443694654903</v>
      </c>
      <c r="N78" s="63">
        <f t="shared" si="29"/>
        <v>-45.568442679622052</v>
      </c>
      <c r="O78" s="63">
        <f t="shared" si="29"/>
        <v>-46.479811533214487</v>
      </c>
      <c r="P78" s="63">
        <f t="shared" si="29"/>
        <v>-47.409407763878782</v>
      </c>
      <c r="Q78" s="63">
        <f t="shared" si="29"/>
        <v>-48.357595919156353</v>
      </c>
      <c r="R78" s="63">
        <f t="shared" si="29"/>
        <v>-49.324747837539483</v>
      </c>
      <c r="S78" s="63">
        <f t="shared" si="29"/>
        <v>-50.311242794290273</v>
      </c>
    </row>
    <row r="79" spans="1:26" s="135" customFormat="1" x14ac:dyDescent="0.35">
      <c r="A79" s="168"/>
      <c r="B79" s="126" t="s">
        <v>978</v>
      </c>
      <c r="C79" s="78" t="s">
        <v>88</v>
      </c>
      <c r="D79" s="126"/>
      <c r="E79" s="126"/>
      <c r="F79" s="126"/>
      <c r="G79" s="63">
        <f t="shared" ref="G79:S79" si="30">-G23</f>
        <v>-9.39</v>
      </c>
      <c r="H79" s="63">
        <f t="shared" si="30"/>
        <v>-13.86</v>
      </c>
      <c r="I79" s="63">
        <f t="shared" si="30"/>
        <v>-23.371795355</v>
      </c>
      <c r="J79" s="63">
        <f t="shared" si="30"/>
        <v>-25.147752526213836</v>
      </c>
      <c r="K79" s="63">
        <f t="shared" si="30"/>
        <v>-31.954076094477031</v>
      </c>
      <c r="L79" s="63">
        <f t="shared" si="30"/>
        <v>-33.446819449728721</v>
      </c>
      <c r="M79" s="63">
        <f t="shared" si="30"/>
        <v>-34.587728481177393</v>
      </c>
      <c r="N79" s="63">
        <f t="shared" si="30"/>
        <v>-35.303553655566105</v>
      </c>
      <c r="O79" s="63">
        <f t="shared" si="30"/>
        <v>-36.00962472867743</v>
      </c>
      <c r="P79" s="63">
        <f t="shared" si="30"/>
        <v>-36.729817223250983</v>
      </c>
      <c r="Q79" s="63">
        <f t="shared" si="30"/>
        <v>-37.464413567715994</v>
      </c>
      <c r="R79" s="63">
        <f t="shared" si="30"/>
        <v>-38.213701839070318</v>
      </c>
      <c r="S79" s="63">
        <f t="shared" si="30"/>
        <v>-38.977975875851726</v>
      </c>
    </row>
    <row r="80" spans="1:26" s="583" customFormat="1" x14ac:dyDescent="0.35">
      <c r="A80" s="586"/>
      <c r="B80" s="581" t="s">
        <v>1047</v>
      </c>
      <c r="C80" s="579" t="s">
        <v>88</v>
      </c>
      <c r="D80" s="581"/>
      <c r="E80" s="581"/>
      <c r="F80" s="581"/>
      <c r="G80" s="63">
        <f t="shared" ref="G80:S80" si="31">-G24</f>
        <v>-29.3773768</v>
      </c>
      <c r="H80" s="63">
        <f t="shared" si="31"/>
        <v>-41.421611999999996</v>
      </c>
      <c r="I80" s="63">
        <f t="shared" si="31"/>
        <v>-74.780634200000009</v>
      </c>
      <c r="J80" s="63">
        <f t="shared" si="31"/>
        <v>-117.2746928731184</v>
      </c>
      <c r="K80" s="63">
        <f t="shared" si="31"/>
        <v>-146.09360965240825</v>
      </c>
      <c r="L80" s="63">
        <f t="shared" si="31"/>
        <v>-149.92001211780618</v>
      </c>
      <c r="M80" s="63">
        <f t="shared" si="31"/>
        <v>-151.9940726958713</v>
      </c>
      <c r="N80" s="63">
        <f t="shared" si="31"/>
        <v>-152.09777572477458</v>
      </c>
      <c r="O80" s="63">
        <f t="shared" si="31"/>
        <v>-152.09777572477458</v>
      </c>
      <c r="P80" s="63">
        <f t="shared" si="31"/>
        <v>-152.09777572477458</v>
      </c>
      <c r="Q80" s="63">
        <f t="shared" si="31"/>
        <v>-152.09777572477458</v>
      </c>
      <c r="R80" s="63">
        <f t="shared" si="31"/>
        <v>-152.09777572477458</v>
      </c>
      <c r="S80" s="63">
        <f t="shared" si="31"/>
        <v>-152.09777572477458</v>
      </c>
    </row>
    <row r="81" spans="1:19" s="135" customFormat="1" x14ac:dyDescent="0.35">
      <c r="A81" s="168"/>
      <c r="B81" s="126" t="s">
        <v>129</v>
      </c>
      <c r="C81" s="78" t="s">
        <v>88</v>
      </c>
      <c r="D81" s="126"/>
      <c r="E81" s="126"/>
      <c r="F81" s="126"/>
      <c r="G81" s="63">
        <f t="shared" ref="G81:S81" si="32">-G12</f>
        <v>-6.3987757049999994</v>
      </c>
      <c r="H81" s="63">
        <f t="shared" si="32"/>
        <v>-5.0816786110000001</v>
      </c>
      <c r="I81" s="63">
        <f t="shared" si="32"/>
        <v>-8.1116370409999998</v>
      </c>
      <c r="J81" s="63">
        <f t="shared" si="32"/>
        <v>-8.8218000000000014</v>
      </c>
      <c r="K81" s="63">
        <f t="shared" si="32"/>
        <v>-9.9290880000000001</v>
      </c>
      <c r="L81" s="63">
        <f t="shared" si="32"/>
        <v>-10.44415944</v>
      </c>
      <c r="M81" s="63">
        <f t="shared" si="32"/>
        <v>-10.653042628800002</v>
      </c>
      <c r="N81" s="63">
        <f t="shared" si="32"/>
        <v>-10.866103481376001</v>
      </c>
      <c r="O81" s="63">
        <f t="shared" si="32"/>
        <v>-11.08342555100352</v>
      </c>
      <c r="P81" s="63">
        <f t="shared" si="32"/>
        <v>-11.30509406202359</v>
      </c>
      <c r="Q81" s="63">
        <f t="shared" si="32"/>
        <v>-11.531195943264063</v>
      </c>
      <c r="R81" s="63">
        <f t="shared" si="32"/>
        <v>-11.761819862129347</v>
      </c>
      <c r="S81" s="63">
        <f t="shared" si="32"/>
        <v>-11.997056259371934</v>
      </c>
    </row>
    <row r="82" spans="1:19" s="135" customFormat="1" x14ac:dyDescent="0.35">
      <c r="A82" s="168"/>
      <c r="B82" s="126" t="s">
        <v>130</v>
      </c>
      <c r="C82" s="78" t="s">
        <v>88</v>
      </c>
      <c r="D82" s="126"/>
      <c r="E82" s="126"/>
      <c r="F82" s="126"/>
      <c r="G82" s="63">
        <f t="shared" ref="G82:S82" si="33">-G22</f>
        <v>-6.025061</v>
      </c>
      <c r="H82" s="63">
        <f t="shared" si="33"/>
        <v>-5.5783385999999995</v>
      </c>
      <c r="I82" s="63">
        <f t="shared" si="33"/>
        <v>-1.5896668</v>
      </c>
      <c r="J82" s="63">
        <f t="shared" si="33"/>
        <v>-3.7700001185783116</v>
      </c>
      <c r="K82" s="63">
        <f t="shared" si="33"/>
        <v>-4.1600001308450336</v>
      </c>
      <c r="L82" s="63">
        <f t="shared" si="33"/>
        <v>-4.2900001349339405</v>
      </c>
      <c r="M82" s="63">
        <f t="shared" si="33"/>
        <v>-4.2900001349339405</v>
      </c>
      <c r="N82" s="63">
        <f t="shared" si="33"/>
        <v>-4.2900001349339405</v>
      </c>
      <c r="O82" s="63">
        <f t="shared" si="33"/>
        <v>-4.2900001349339405</v>
      </c>
      <c r="P82" s="63">
        <f t="shared" si="33"/>
        <v>-4.2900001349339405</v>
      </c>
      <c r="Q82" s="63">
        <f t="shared" si="33"/>
        <v>-4.2900001349339405</v>
      </c>
      <c r="R82" s="63">
        <f t="shared" si="33"/>
        <v>-4.2900001349339405</v>
      </c>
      <c r="S82" s="63">
        <f t="shared" si="33"/>
        <v>-4.2900001349339405</v>
      </c>
    </row>
    <row r="83" spans="1:19" s="135" customFormat="1" x14ac:dyDescent="0.35">
      <c r="A83" s="168"/>
      <c r="B83" s="126"/>
      <c r="C83" s="78"/>
      <c r="D83" s="126"/>
      <c r="E83" s="126"/>
      <c r="F83" s="126"/>
      <c r="G83" s="63"/>
      <c r="H83" s="63"/>
      <c r="I83" s="63"/>
      <c r="J83" s="63"/>
      <c r="K83" s="63"/>
      <c r="L83" s="63"/>
      <c r="M83" s="63"/>
      <c r="N83" s="63"/>
      <c r="O83" s="63"/>
      <c r="P83" s="63"/>
      <c r="Q83" s="63"/>
      <c r="R83" s="63"/>
      <c r="S83" s="63"/>
    </row>
    <row r="84" spans="1:19" s="135" customFormat="1" x14ac:dyDescent="0.35">
      <c r="A84" s="168"/>
      <c r="B84" s="106" t="s">
        <v>131</v>
      </c>
      <c r="C84" s="299" t="s">
        <v>88</v>
      </c>
      <c r="D84" s="106"/>
      <c r="E84" s="106"/>
      <c r="F84" s="106"/>
      <c r="G84" s="107">
        <f t="shared" ref="G84:R84" si="34">SUM(G62:G83)</f>
        <v>5703.7799616686898</v>
      </c>
      <c r="H84" s="107">
        <f t="shared" si="34"/>
        <v>5580.8121275112298</v>
      </c>
      <c r="I84" s="107">
        <f t="shared" si="34"/>
        <v>4647.0352064204726</v>
      </c>
      <c r="J84" s="107">
        <f t="shared" si="34"/>
        <v>5180.2707938037374</v>
      </c>
      <c r="K84" s="107">
        <f t="shared" si="34"/>
        <v>5743.1936893981074</v>
      </c>
      <c r="L84" s="107">
        <f t="shared" si="34"/>
        <v>6053.775981276005</v>
      </c>
      <c r="M84" s="107">
        <f t="shared" si="34"/>
        <v>6204.9956557479054</v>
      </c>
      <c r="N84" s="107">
        <f t="shared" si="34"/>
        <v>6353.7444809882236</v>
      </c>
      <c r="O84" s="107">
        <f t="shared" si="34"/>
        <v>6507.6367438380621</v>
      </c>
      <c r="P84" s="107">
        <f t="shared" si="34"/>
        <v>6667.1452499692623</v>
      </c>
      <c r="Q84" s="107">
        <f t="shared" si="34"/>
        <v>6831.981515812513</v>
      </c>
      <c r="R84" s="107">
        <f t="shared" si="34"/>
        <v>6894.3291924556479</v>
      </c>
      <c r="S84" s="107">
        <f>SUM(S62:S83)</f>
        <v>7064.2560116019404</v>
      </c>
    </row>
    <row r="85" spans="1:19" s="135" customFormat="1" x14ac:dyDescent="0.35">
      <c r="A85" s="168"/>
      <c r="B85" s="128" t="s">
        <v>85</v>
      </c>
      <c r="C85" s="78" t="s">
        <v>84</v>
      </c>
      <c r="D85" s="126"/>
      <c r="E85" s="126"/>
      <c r="F85" s="126"/>
      <c r="G85" s="63">
        <f t="shared" ref="G85:R85" si="35">+G84*100/G60</f>
        <v>3090.1235018201382</v>
      </c>
      <c r="H85" s="63">
        <f t="shared" si="35"/>
        <v>3232.1930170055789</v>
      </c>
      <c r="I85" s="63">
        <f t="shared" si="35"/>
        <v>3615.9474987297326</v>
      </c>
      <c r="J85" s="63">
        <f t="shared" si="35"/>
        <v>3495.9038281002163</v>
      </c>
      <c r="K85" s="63">
        <f t="shared" si="35"/>
        <v>3512.4366231297872</v>
      </c>
      <c r="L85" s="63">
        <f t="shared" si="35"/>
        <v>3590.1898768925244</v>
      </c>
      <c r="M85" s="63">
        <f t="shared" si="35"/>
        <v>3679.870655658568</v>
      </c>
      <c r="N85" s="63">
        <f t="shared" si="35"/>
        <v>3768.0860980913885</v>
      </c>
      <c r="O85" s="63">
        <f t="shared" si="35"/>
        <v>3859.3518545257907</v>
      </c>
      <c r="P85" s="63">
        <f t="shared" si="35"/>
        <v>3953.948322211696</v>
      </c>
      <c r="Q85" s="63">
        <f t="shared" si="35"/>
        <v>4051.704416062144</v>
      </c>
      <c r="R85" s="63">
        <f t="shared" si="35"/>
        <v>4088.6796854187041</v>
      </c>
      <c r="S85" s="63">
        <f>+S84*100/S60</f>
        <v>4189.454730249975</v>
      </c>
    </row>
    <row r="86" spans="1:19" s="135" customFormat="1" x14ac:dyDescent="0.35">
      <c r="A86" s="168"/>
      <c r="B86" s="128" t="s">
        <v>92</v>
      </c>
      <c r="C86" s="78" t="s">
        <v>84</v>
      </c>
      <c r="D86" s="126"/>
      <c r="E86" s="126"/>
      <c r="F86" s="126"/>
      <c r="G86" s="63"/>
      <c r="H86" s="63"/>
      <c r="I86" s="63"/>
      <c r="J86" s="63">
        <f>+Assumptions!J46</f>
        <v>3500</v>
      </c>
      <c r="K86" s="63">
        <f>+Assumptions!K46</f>
        <v>3587.4999999999995</v>
      </c>
      <c r="L86" s="63">
        <f>+Assumptions!L46</f>
        <v>3677.1874999999991</v>
      </c>
      <c r="M86" s="63">
        <f>+Assumptions!M46</f>
        <v>3769.1171874999986</v>
      </c>
      <c r="N86" s="63">
        <f>+Assumptions!N46</f>
        <v>3863.3451171874981</v>
      </c>
      <c r="O86" s="63">
        <f>+Assumptions!O46</f>
        <v>3959.9287451171854</v>
      </c>
      <c r="P86" s="63">
        <f>+Assumptions!P46</f>
        <v>4058.9269637451148</v>
      </c>
      <c r="Q86" s="63">
        <f>+Assumptions!Q46</f>
        <v>4160.400137838742</v>
      </c>
      <c r="R86" s="63">
        <f>+Assumptions!R46</f>
        <v>4264.4101412847103</v>
      </c>
      <c r="S86" s="63">
        <f>+Assumptions!S46</f>
        <v>4371.0203948168273</v>
      </c>
    </row>
    <row r="87" spans="1:19" s="135" customFormat="1" x14ac:dyDescent="0.35">
      <c r="A87" s="168"/>
      <c r="B87" s="560" t="s">
        <v>94</v>
      </c>
      <c r="C87" s="561" t="s">
        <v>84</v>
      </c>
      <c r="D87" s="561"/>
      <c r="E87" s="562"/>
      <c r="F87" s="562"/>
      <c r="G87" s="551"/>
      <c r="H87" s="551"/>
      <c r="I87" s="551"/>
      <c r="J87" s="551">
        <f t="shared" ref="J87:R87" si="36">MIN(J85:J86)</f>
        <v>3495.9038281002163</v>
      </c>
      <c r="K87" s="551">
        <f t="shared" si="36"/>
        <v>3512.4366231297872</v>
      </c>
      <c r="L87" s="551">
        <f t="shared" si="36"/>
        <v>3590.1898768925244</v>
      </c>
      <c r="M87" s="551">
        <f t="shared" si="36"/>
        <v>3679.870655658568</v>
      </c>
      <c r="N87" s="551">
        <f t="shared" si="36"/>
        <v>3768.0860980913885</v>
      </c>
      <c r="O87" s="551">
        <f t="shared" si="36"/>
        <v>3859.3518545257907</v>
      </c>
      <c r="P87" s="551">
        <f t="shared" si="36"/>
        <v>3953.948322211696</v>
      </c>
      <c r="Q87" s="551">
        <f t="shared" si="36"/>
        <v>4051.704416062144</v>
      </c>
      <c r="R87" s="551">
        <f t="shared" si="36"/>
        <v>4088.6796854187041</v>
      </c>
      <c r="S87" s="551">
        <f>MIN(S85:S86)</f>
        <v>4189.454730249975</v>
      </c>
    </row>
    <row r="88" spans="1:19" s="135" customFormat="1" x14ac:dyDescent="0.35">
      <c r="A88" s="168"/>
      <c r="B88" s="164" t="s">
        <v>416</v>
      </c>
      <c r="C88" s="164" t="s">
        <v>373</v>
      </c>
      <c r="D88" s="164"/>
      <c r="E88" s="164"/>
      <c r="F88" s="164"/>
      <c r="G88" s="165"/>
      <c r="H88" s="165"/>
      <c r="I88" s="585"/>
      <c r="J88" s="165">
        <f t="shared" ref="J88:R88" si="37">+J85/J86</f>
        <v>0.99882966517149041</v>
      </c>
      <c r="K88" s="165">
        <f t="shared" si="37"/>
        <v>0.97907641062851225</v>
      </c>
      <c r="L88" s="165">
        <f t="shared" si="37"/>
        <v>0.97634125996907295</v>
      </c>
      <c r="M88" s="165">
        <f t="shared" si="37"/>
        <v>0.97632163517297621</v>
      </c>
      <c r="N88" s="165">
        <f t="shared" si="37"/>
        <v>0.97534286577911067</v>
      </c>
      <c r="O88" s="165">
        <f t="shared" si="37"/>
        <v>0.97460133829038931</v>
      </c>
      <c r="P88" s="165">
        <f t="shared" si="37"/>
        <v>0.97413635611798333</v>
      </c>
      <c r="Q88" s="165">
        <f t="shared" si="37"/>
        <v>0.97387373373344233</v>
      </c>
      <c r="R88" s="165">
        <f t="shared" si="37"/>
        <v>0.95879138027444399</v>
      </c>
      <c r="S88" s="585">
        <f>+S85/S86</f>
        <v>0.95846149224511656</v>
      </c>
    </row>
    <row r="89" spans="1:19" s="135" customFormat="1" x14ac:dyDescent="0.35">
      <c r="A89" s="168"/>
      <c r="B89" s="86"/>
      <c r="C89" s="86"/>
      <c r="D89" s="86"/>
      <c r="E89" s="86"/>
      <c r="F89" s="86"/>
      <c r="G89" s="316"/>
      <c r="H89" s="316"/>
      <c r="I89" s="316"/>
      <c r="J89" s="316"/>
      <c r="K89" s="316"/>
      <c r="L89" s="316"/>
      <c r="M89" s="316"/>
      <c r="N89" s="316"/>
      <c r="O89" s="316"/>
      <c r="P89" s="316"/>
      <c r="Q89" s="316"/>
      <c r="R89" s="316"/>
      <c r="S89" s="316"/>
    </row>
    <row r="90" spans="1:19" s="135" customFormat="1" x14ac:dyDescent="0.35">
      <c r="A90" s="168"/>
      <c r="B90" s="138" t="s">
        <v>928</v>
      </c>
      <c r="C90" s="298"/>
      <c r="D90" s="139"/>
      <c r="E90" s="139"/>
      <c r="F90" s="139"/>
      <c r="G90" s="139"/>
      <c r="H90" s="139"/>
      <c r="I90" s="139"/>
      <c r="J90" s="139"/>
      <c r="K90" s="139"/>
      <c r="L90" s="139"/>
      <c r="M90" s="139"/>
      <c r="N90" s="139"/>
      <c r="O90" s="139"/>
      <c r="P90" s="139"/>
      <c r="Q90" s="139"/>
      <c r="R90" s="139"/>
      <c r="S90" s="139"/>
    </row>
    <row r="91" spans="1:19" s="135" customFormat="1" x14ac:dyDescent="0.35">
      <c r="A91" s="168"/>
      <c r="B91" s="106" t="s">
        <v>315</v>
      </c>
      <c r="C91" s="78"/>
      <c r="D91" s="126"/>
      <c r="E91" s="126"/>
      <c r="F91" s="126"/>
      <c r="G91" s="63"/>
      <c r="H91" s="63"/>
      <c r="I91" s="63"/>
      <c r="J91" s="63"/>
      <c r="K91" s="63"/>
      <c r="L91" s="63"/>
      <c r="M91" s="126"/>
      <c r="N91" s="126"/>
      <c r="O91" s="126"/>
      <c r="P91" s="126"/>
      <c r="Q91" s="126"/>
      <c r="R91" s="126"/>
      <c r="S91" s="581"/>
    </row>
    <row r="92" spans="1:19" s="135" customFormat="1" x14ac:dyDescent="0.35">
      <c r="B92" s="126" t="s">
        <v>120</v>
      </c>
      <c r="C92" s="78" t="s">
        <v>5</v>
      </c>
      <c r="D92" s="143"/>
      <c r="E92" s="63">
        <f>'Stock movement'!E12</f>
        <v>85.002160000000003</v>
      </c>
      <c r="F92" s="63">
        <f>'Stock movement'!F12</f>
        <v>80.626499999999993</v>
      </c>
      <c r="G92" s="63">
        <f>'Stock movement'!G12</f>
        <v>77.875529999999998</v>
      </c>
      <c r="H92" s="63">
        <f>'Stock movement'!H12</f>
        <v>66.372320000000002</v>
      </c>
      <c r="I92" s="63">
        <f>'Stock movement'!I12-I93</f>
        <v>64.168779999999998</v>
      </c>
      <c r="J92" s="63">
        <f>'Stock movement'!J12-J93</f>
        <v>59.17914341463414</v>
      </c>
      <c r="K92" s="63">
        <f>'Stock movement'!K12-K93</f>
        <v>65.310777560975609</v>
      </c>
      <c r="L92" s="63">
        <f>'Stock movement'!L12-L93</f>
        <v>67.35465560975608</v>
      </c>
      <c r="M92" s="63">
        <f>'Stock movement'!M12-M93</f>
        <v>67.35465560975608</v>
      </c>
      <c r="N92" s="63">
        <f>'Stock movement'!N12-N93</f>
        <v>67.35465560975608</v>
      </c>
      <c r="O92" s="63">
        <f>'Stock movement'!O12-O93</f>
        <v>67.35465560975608</v>
      </c>
      <c r="P92" s="63">
        <f>'Stock movement'!P12-P93</f>
        <v>67.35465560975608</v>
      </c>
      <c r="Q92" s="63">
        <f>'Stock movement'!Q12-Q93</f>
        <v>67.35465560975608</v>
      </c>
      <c r="R92" s="63">
        <f>'Stock movement'!R12-R93</f>
        <v>67.35465560975608</v>
      </c>
      <c r="S92" s="63">
        <f>'Stock movement'!S12-S93</f>
        <v>67.35465560975608</v>
      </c>
    </row>
    <row r="93" spans="1:19" s="135" customFormat="1" x14ac:dyDescent="0.35">
      <c r="B93" s="126" t="s">
        <v>16</v>
      </c>
      <c r="C93" s="78" t="s">
        <v>5</v>
      </c>
      <c r="D93" s="143"/>
      <c r="E93" s="63">
        <f>'Stock movement'!E17</f>
        <v>6.0760000000000002E-2</v>
      </c>
      <c r="F93" s="63">
        <f>'Stock movement'!F17</f>
        <v>5.1819999999999998E-2</v>
      </c>
      <c r="G93" s="63">
        <f>'Stock movement'!G17</f>
        <v>0.10580000000000001</v>
      </c>
      <c r="H93" s="63">
        <f>'Stock movement'!H17</f>
        <v>0.17101999999999998</v>
      </c>
      <c r="I93" s="63">
        <f>'Stock movement'!I17</f>
        <v>9.332E-2</v>
      </c>
      <c r="J93" s="63">
        <f>'Stock movement'!J17</f>
        <v>9.332E-2</v>
      </c>
      <c r="K93" s="63">
        <f>'Stock movement'!K17</f>
        <v>9.332E-2</v>
      </c>
      <c r="L93" s="63">
        <f>'Stock movement'!L17</f>
        <v>9.332E-2</v>
      </c>
      <c r="M93" s="63">
        <f>'Stock movement'!M17</f>
        <v>9.332E-2</v>
      </c>
      <c r="N93" s="63">
        <f>'Stock movement'!N17</f>
        <v>9.332E-2</v>
      </c>
      <c r="O93" s="63">
        <f>'Stock movement'!O17</f>
        <v>9.332E-2</v>
      </c>
      <c r="P93" s="63">
        <f>'Stock movement'!P17</f>
        <v>9.332E-2</v>
      </c>
      <c r="Q93" s="63">
        <f>'Stock movement'!Q17</f>
        <v>9.332E-2</v>
      </c>
      <c r="R93" s="63">
        <f>'Stock movement'!R17</f>
        <v>9.332E-2</v>
      </c>
      <c r="S93" s="63">
        <f>'Stock movement'!S17</f>
        <v>9.332E-2</v>
      </c>
    </row>
    <row r="94" spans="1:19" s="135" customFormat="1" x14ac:dyDescent="0.35">
      <c r="B94" s="126" t="s">
        <v>121</v>
      </c>
      <c r="C94" s="78" t="s">
        <v>5</v>
      </c>
      <c r="D94" s="143"/>
      <c r="E94" s="63">
        <f>'Stock movement'!E20</f>
        <v>1.80623</v>
      </c>
      <c r="F94" s="63">
        <f>'Stock movement'!F20</f>
        <v>1.78081</v>
      </c>
      <c r="G94" s="63">
        <f>'Stock movement'!G20</f>
        <v>1.9542900000000001</v>
      </c>
      <c r="H94" s="63">
        <f>'Stock movement'!H20</f>
        <v>0.77544520000000006</v>
      </c>
      <c r="I94" s="63">
        <f>'Stock movement'!I20</f>
        <v>0.87849290000000013</v>
      </c>
      <c r="J94" s="63">
        <f>'Stock movement'!J20</f>
        <v>0.87849290000000013</v>
      </c>
      <c r="K94" s="63">
        <f>'Stock movement'!K20</f>
        <v>0.87849290000000013</v>
      </c>
      <c r="L94" s="63">
        <f>'Stock movement'!L20</f>
        <v>0.87849290000000013</v>
      </c>
      <c r="M94" s="63">
        <f>'Stock movement'!M20</f>
        <v>0.87849290000000013</v>
      </c>
      <c r="N94" s="63">
        <f>'Stock movement'!N20</f>
        <v>0.87849290000000013</v>
      </c>
      <c r="O94" s="63">
        <f>'Stock movement'!O20</f>
        <v>0.87849290000000013</v>
      </c>
      <c r="P94" s="63">
        <f>'Stock movement'!P20</f>
        <v>0.87849290000000013</v>
      </c>
      <c r="Q94" s="63">
        <f>'Stock movement'!Q20</f>
        <v>0.87849290000000013</v>
      </c>
      <c r="R94" s="63">
        <f>'Stock movement'!R20</f>
        <v>0.87849290000000013</v>
      </c>
      <c r="S94" s="63">
        <f>'Stock movement'!S20</f>
        <v>0.87849290000000013</v>
      </c>
    </row>
    <row r="95" spans="1:19" s="135" customFormat="1" x14ac:dyDescent="0.35">
      <c r="B95" s="126" t="s">
        <v>24</v>
      </c>
      <c r="C95" s="78" t="s">
        <v>5</v>
      </c>
      <c r="D95" s="143"/>
      <c r="E95" s="63">
        <f>'Stock movement'!E28</f>
        <v>36.444870800000004</v>
      </c>
      <c r="F95" s="63">
        <f>'Stock movement'!F28</f>
        <v>34.214044600000001</v>
      </c>
      <c r="G95" s="63">
        <f>'Stock movement'!G28</f>
        <v>32.669792000000001</v>
      </c>
      <c r="H95" s="63">
        <f>'Stock movement'!H28</f>
        <v>21.393773000000003</v>
      </c>
      <c r="I95" s="63">
        <f>'Stock movement'!I28</f>
        <v>5.1685029999999959</v>
      </c>
      <c r="J95" s="63">
        <f>'Stock movement'!J28</f>
        <v>0</v>
      </c>
      <c r="K95" s="63">
        <f>'Stock movement'!K28</f>
        <v>0</v>
      </c>
      <c r="L95" s="63">
        <f>'Stock movement'!L28</f>
        <v>0</v>
      </c>
      <c r="M95" s="63">
        <f>'Stock movement'!M28</f>
        <v>0</v>
      </c>
      <c r="N95" s="63">
        <f>'Stock movement'!N28</f>
        <v>0</v>
      </c>
      <c r="O95" s="63">
        <f>'Stock movement'!O28</f>
        <v>0</v>
      </c>
      <c r="P95" s="63">
        <f>'Stock movement'!P28</f>
        <v>0</v>
      </c>
      <c r="Q95" s="63">
        <f>'Stock movement'!Q28</f>
        <v>0</v>
      </c>
      <c r="R95" s="63">
        <f>'Stock movement'!R28</f>
        <v>0</v>
      </c>
      <c r="S95" s="63">
        <f>'Stock movement'!S28</f>
        <v>0</v>
      </c>
    </row>
    <row r="96" spans="1:19" s="135" customFormat="1" x14ac:dyDescent="0.35">
      <c r="B96" s="126" t="s">
        <v>25</v>
      </c>
      <c r="C96" s="78" t="s">
        <v>5</v>
      </c>
      <c r="D96" s="143"/>
      <c r="E96" s="63">
        <f>'Stock movement'!E39</f>
        <v>0</v>
      </c>
      <c r="F96" s="63">
        <f>'Stock movement'!F39</f>
        <v>0</v>
      </c>
      <c r="G96" s="63">
        <f>'Stock movement'!G39</f>
        <v>0</v>
      </c>
      <c r="H96" s="63">
        <f>'Stock movement'!H39</f>
        <v>12.073831</v>
      </c>
      <c r="I96" s="63">
        <f>'Stock movement'!I39</f>
        <v>25.019192999999998</v>
      </c>
      <c r="J96" s="63">
        <f>'Stock movement'!J39</f>
        <v>38.003021064301549</v>
      </c>
      <c r="K96" s="63">
        <f>'Stock movement'!K39</f>
        <v>37.740931263858094</v>
      </c>
      <c r="L96" s="63">
        <f>'Stock movement'!L39</f>
        <v>38.92033536585366</v>
      </c>
      <c r="M96" s="63">
        <f>'Stock movement'!M39</f>
        <v>38.92033536585366</v>
      </c>
      <c r="N96" s="63">
        <f>'Stock movement'!N39</f>
        <v>38.92033536585366</v>
      </c>
      <c r="O96" s="63">
        <f>'Stock movement'!O39</f>
        <v>38.92033536585366</v>
      </c>
      <c r="P96" s="63">
        <f>'Stock movement'!P39</f>
        <v>38.92033536585366</v>
      </c>
      <c r="Q96" s="63">
        <f>'Stock movement'!Q39</f>
        <v>38.92033536585366</v>
      </c>
      <c r="R96" s="63">
        <f>'Stock movement'!R39</f>
        <v>38.92033536585366</v>
      </c>
      <c r="S96" s="63">
        <f>'Stock movement'!S39</f>
        <v>38.92033536585366</v>
      </c>
    </row>
    <row r="97" spans="2:19" s="135" customFormat="1" x14ac:dyDescent="0.35">
      <c r="B97" s="126" t="s">
        <v>122</v>
      </c>
      <c r="C97" s="78" t="s">
        <v>5</v>
      </c>
      <c r="D97" s="143"/>
      <c r="E97" s="63">
        <f>'Stock movement'!E32</f>
        <v>1.61639</v>
      </c>
      <c r="F97" s="63">
        <f>'Stock movement'!F32</f>
        <v>1.53688</v>
      </c>
      <c r="G97" s="63">
        <f>'Stock movement'!G32</f>
        <v>1.5662933000000001</v>
      </c>
      <c r="H97" s="63">
        <f>'Stock movement'!H32</f>
        <v>0.53457369999999993</v>
      </c>
      <c r="I97" s="63">
        <f>'Stock movement'!I32</f>
        <v>0</v>
      </c>
      <c r="J97" s="63">
        <f>'Stock movement'!J32</f>
        <v>0</v>
      </c>
      <c r="K97" s="63">
        <f>'Stock movement'!K32</f>
        <v>0</v>
      </c>
      <c r="L97" s="63">
        <f>'Stock movement'!L32</f>
        <v>0</v>
      </c>
      <c r="M97" s="63">
        <f>'Stock movement'!M32</f>
        <v>0</v>
      </c>
      <c r="N97" s="63">
        <f>'Stock movement'!N32</f>
        <v>0</v>
      </c>
      <c r="O97" s="63">
        <f>'Stock movement'!O32</f>
        <v>0</v>
      </c>
      <c r="P97" s="63">
        <f>'Stock movement'!P32</f>
        <v>0</v>
      </c>
      <c r="Q97" s="63">
        <f>'Stock movement'!Q32</f>
        <v>0</v>
      </c>
      <c r="R97" s="63">
        <f>'Stock movement'!R32</f>
        <v>0</v>
      </c>
      <c r="S97" s="63">
        <f>'Stock movement'!S32</f>
        <v>0</v>
      </c>
    </row>
    <row r="98" spans="2:19" s="135" customFormat="1" x14ac:dyDescent="0.35">
      <c r="B98" s="126" t="s">
        <v>123</v>
      </c>
      <c r="C98" s="78" t="s">
        <v>5</v>
      </c>
      <c r="D98" s="143"/>
      <c r="E98" s="63">
        <f>'Stock movement'!E44</f>
        <v>0</v>
      </c>
      <c r="F98" s="63">
        <f>'Stock movement'!F44</f>
        <v>0</v>
      </c>
      <c r="G98" s="63">
        <f>'Stock movement'!G44</f>
        <v>0</v>
      </c>
      <c r="H98" s="63">
        <f>'Stock movement'!H44</f>
        <v>7.7929999999999999E-2</v>
      </c>
      <c r="I98" s="63">
        <f>'Stock movement'!I44</f>
        <v>0.64539270000000004</v>
      </c>
      <c r="J98" s="63">
        <f>'Stock movement'!J44</f>
        <v>0.64539270000000004</v>
      </c>
      <c r="K98" s="63">
        <f>'Stock movement'!K44</f>
        <v>0.64539270000000004</v>
      </c>
      <c r="L98" s="63">
        <f>'Stock movement'!L44</f>
        <v>0.64539270000000004</v>
      </c>
      <c r="M98" s="63">
        <f>'Stock movement'!M44</f>
        <v>0.64539270000000004</v>
      </c>
      <c r="N98" s="63">
        <f>'Stock movement'!N44</f>
        <v>0.64539270000000004</v>
      </c>
      <c r="O98" s="63">
        <f>'Stock movement'!O44</f>
        <v>0.64539270000000004</v>
      </c>
      <c r="P98" s="63">
        <f>'Stock movement'!P44</f>
        <v>0.64539270000000004</v>
      </c>
      <c r="Q98" s="63">
        <f>'Stock movement'!Q44</f>
        <v>0.64539270000000004</v>
      </c>
      <c r="R98" s="63">
        <f>'Stock movement'!R44</f>
        <v>0.64539270000000004</v>
      </c>
      <c r="S98" s="63">
        <f>'Stock movement'!S44</f>
        <v>0.64539270000000004</v>
      </c>
    </row>
    <row r="99" spans="2:19" s="135" customFormat="1" x14ac:dyDescent="0.35">
      <c r="B99" s="126" t="s">
        <v>11</v>
      </c>
      <c r="C99" s="78" t="s">
        <v>5</v>
      </c>
      <c r="D99" s="63"/>
      <c r="E99" s="77">
        <f>1615181.14/10^5</f>
        <v>16.1518114</v>
      </c>
      <c r="F99" s="77">
        <v>13.527495740000001</v>
      </c>
      <c r="G99" s="77">
        <v>20.83034674</v>
      </c>
      <c r="H99" s="77">
        <v>24.30757504</v>
      </c>
      <c r="I99" s="63">
        <f>+'Stock movement'!I60+'Stock movement'!I67-'Stock movement'!I68</f>
        <v>29.384018700188726</v>
      </c>
      <c r="J99" s="63">
        <f>+'Stock movement'!J60</f>
        <v>29</v>
      </c>
      <c r="K99" s="63">
        <f>+'Stock movement'!K60</f>
        <v>32</v>
      </c>
      <c r="L99" s="63">
        <f>+'Stock movement'!L60</f>
        <v>33</v>
      </c>
      <c r="M99" s="63">
        <f>+'Stock movement'!M60</f>
        <v>33</v>
      </c>
      <c r="N99" s="63">
        <f>+'Stock movement'!N60</f>
        <v>33</v>
      </c>
      <c r="O99" s="63">
        <f>+'Stock movement'!O60</f>
        <v>33</v>
      </c>
      <c r="P99" s="63">
        <f>+'Stock movement'!P60</f>
        <v>33</v>
      </c>
      <c r="Q99" s="63">
        <f>+'Stock movement'!Q60</f>
        <v>33</v>
      </c>
      <c r="R99" s="63">
        <f>+'Stock movement'!R60</f>
        <v>33</v>
      </c>
      <c r="S99" s="63">
        <f>+'Stock movement'!S60</f>
        <v>33</v>
      </c>
    </row>
    <row r="100" spans="2:19" s="135" customFormat="1" x14ac:dyDescent="0.35">
      <c r="B100" s="126" t="s">
        <v>34</v>
      </c>
      <c r="C100" s="78" t="s">
        <v>35</v>
      </c>
      <c r="D100" s="63"/>
      <c r="E100" s="77">
        <f>17084743.44/10^5</f>
        <v>170.84743440000003</v>
      </c>
      <c r="F100" s="77">
        <v>158.16156269999996</v>
      </c>
      <c r="G100" s="77">
        <v>158.15226145</v>
      </c>
      <c r="H100" s="77">
        <v>134.39653790000003</v>
      </c>
      <c r="I100" s="77">
        <f>12877704.96/10^5</f>
        <v>128.7770496</v>
      </c>
      <c r="J100" s="63">
        <f>I100</f>
        <v>128.7770496</v>
      </c>
      <c r="K100" s="63">
        <f t="shared" ref="K100:S100" si="38">+J100</f>
        <v>128.7770496</v>
      </c>
      <c r="L100" s="63">
        <f t="shared" si="38"/>
        <v>128.7770496</v>
      </c>
      <c r="M100" s="63">
        <f t="shared" si="38"/>
        <v>128.7770496</v>
      </c>
      <c r="N100" s="63">
        <f t="shared" si="38"/>
        <v>128.7770496</v>
      </c>
      <c r="O100" s="63">
        <f t="shared" si="38"/>
        <v>128.7770496</v>
      </c>
      <c r="P100" s="63">
        <f t="shared" si="38"/>
        <v>128.7770496</v>
      </c>
      <c r="Q100" s="63">
        <f t="shared" si="38"/>
        <v>128.7770496</v>
      </c>
      <c r="R100" s="63">
        <f t="shared" si="38"/>
        <v>128.7770496</v>
      </c>
      <c r="S100" s="63">
        <f t="shared" si="38"/>
        <v>128.7770496</v>
      </c>
    </row>
    <row r="101" spans="2:19" s="583" customFormat="1" x14ac:dyDescent="0.35">
      <c r="B101" s="581" t="s">
        <v>10</v>
      </c>
      <c r="C101" s="579" t="s">
        <v>5</v>
      </c>
      <c r="D101" s="63"/>
      <c r="E101" s="77">
        <v>0</v>
      </c>
      <c r="F101" s="77">
        <v>0</v>
      </c>
      <c r="G101" s="77">
        <v>0</v>
      </c>
      <c r="H101" s="77">
        <v>0</v>
      </c>
      <c r="I101" s="77">
        <f>1434309.08/10^5</f>
        <v>14.343090800000001</v>
      </c>
      <c r="J101" s="63">
        <f>'Stock movement'!J126</f>
        <v>14.343090800000006</v>
      </c>
      <c r="K101" s="63">
        <f>'Stock movement'!K126</f>
        <v>14.343090799999999</v>
      </c>
      <c r="L101" s="63">
        <f>'Stock movement'!L126</f>
        <v>14.343090799999999</v>
      </c>
      <c r="M101" s="63">
        <f>'Stock movement'!M126</f>
        <v>14.343090799999999</v>
      </c>
      <c r="N101" s="63">
        <f>'Stock movement'!N126</f>
        <v>14.343090799999999</v>
      </c>
      <c r="O101" s="63">
        <f>'Stock movement'!O126</f>
        <v>14.343090799999999</v>
      </c>
      <c r="P101" s="63">
        <f>'Stock movement'!P126</f>
        <v>14.343090799999999</v>
      </c>
      <c r="Q101" s="63">
        <f>'Stock movement'!Q126</f>
        <v>14.343090799999999</v>
      </c>
      <c r="R101" s="63">
        <f>'Stock movement'!R126</f>
        <v>14.343090799999999</v>
      </c>
      <c r="S101" s="63">
        <f>'Stock movement'!S126</f>
        <v>14.343090799999999</v>
      </c>
    </row>
    <row r="102" spans="2:19" s="135" customFormat="1" x14ac:dyDescent="0.35">
      <c r="B102" s="106" t="s">
        <v>81</v>
      </c>
      <c r="C102" s="78"/>
      <c r="D102" s="126"/>
      <c r="E102" s="63"/>
      <c r="F102" s="63"/>
      <c r="G102" s="63"/>
      <c r="H102" s="63"/>
      <c r="I102" s="63"/>
      <c r="J102" s="63"/>
      <c r="K102" s="63"/>
      <c r="L102" s="63"/>
      <c r="M102" s="63"/>
      <c r="N102" s="63"/>
      <c r="O102" s="63"/>
      <c r="P102" s="63"/>
      <c r="Q102" s="63"/>
      <c r="R102" s="63"/>
      <c r="S102" s="63"/>
    </row>
    <row r="103" spans="2:19" s="135" customFormat="1" x14ac:dyDescent="0.35">
      <c r="B103" s="126" t="s">
        <v>120</v>
      </c>
      <c r="C103" s="78" t="s">
        <v>84</v>
      </c>
      <c r="D103" s="63"/>
      <c r="E103" s="77">
        <v>3046.47</v>
      </c>
      <c r="F103" s="77">
        <v>3094.6738281405501</v>
      </c>
      <c r="G103" s="77">
        <v>3056.138741923</v>
      </c>
      <c r="H103" s="77">
        <v>3080.74</v>
      </c>
      <c r="I103" s="77">
        <v>3340.2679611487083</v>
      </c>
      <c r="J103" s="63">
        <f t="shared" ref="J103:R103" si="39">+J87</f>
        <v>3495.9038281002163</v>
      </c>
      <c r="K103" s="63">
        <f t="shared" si="39"/>
        <v>3512.4366231297872</v>
      </c>
      <c r="L103" s="63">
        <f t="shared" si="39"/>
        <v>3590.1898768925244</v>
      </c>
      <c r="M103" s="63">
        <f t="shared" si="39"/>
        <v>3679.870655658568</v>
      </c>
      <c r="N103" s="63">
        <f t="shared" si="39"/>
        <v>3768.0860980913885</v>
      </c>
      <c r="O103" s="63">
        <f t="shared" si="39"/>
        <v>3859.3518545257907</v>
      </c>
      <c r="P103" s="63">
        <f t="shared" si="39"/>
        <v>3953.948322211696</v>
      </c>
      <c r="Q103" s="63">
        <f t="shared" si="39"/>
        <v>4051.704416062144</v>
      </c>
      <c r="R103" s="63">
        <f t="shared" si="39"/>
        <v>4088.6796854187041</v>
      </c>
      <c r="S103" s="63">
        <f>+S87</f>
        <v>4189.454730249975</v>
      </c>
    </row>
    <row r="104" spans="2:19" s="135" customFormat="1" x14ac:dyDescent="0.35">
      <c r="B104" s="126" t="s">
        <v>16</v>
      </c>
      <c r="C104" s="78" t="s">
        <v>84</v>
      </c>
      <c r="D104" s="102" t="s">
        <v>904</v>
      </c>
      <c r="E104" s="77">
        <v>2604.5238643844636</v>
      </c>
      <c r="F104" s="77">
        <v>2681.0287533770738</v>
      </c>
      <c r="G104" s="77">
        <v>2707.9345935727788</v>
      </c>
      <c r="H104" s="77">
        <v>2699</v>
      </c>
      <c r="I104" s="77">
        <v>2898.0332190312902</v>
      </c>
      <c r="J104" s="63">
        <f t="shared" ref="J104:R104" si="40">+J103*85%</f>
        <v>2971.5182538851836</v>
      </c>
      <c r="K104" s="63">
        <f t="shared" si="40"/>
        <v>2985.571129660319</v>
      </c>
      <c r="L104" s="63">
        <f t="shared" si="40"/>
        <v>3051.6613953586457</v>
      </c>
      <c r="M104" s="63">
        <f t="shared" si="40"/>
        <v>3127.8900573097826</v>
      </c>
      <c r="N104" s="63">
        <f t="shared" si="40"/>
        <v>3202.8731833776801</v>
      </c>
      <c r="O104" s="63">
        <f t="shared" si="40"/>
        <v>3280.4490763469221</v>
      </c>
      <c r="P104" s="63">
        <f t="shared" si="40"/>
        <v>3360.8560738799415</v>
      </c>
      <c r="Q104" s="63">
        <f t="shared" si="40"/>
        <v>3443.9487536528222</v>
      </c>
      <c r="R104" s="63">
        <f t="shared" si="40"/>
        <v>3475.3777326058985</v>
      </c>
      <c r="S104" s="63">
        <f>+S103*85%</f>
        <v>3561.0365207124787</v>
      </c>
    </row>
    <row r="105" spans="2:19" s="135" customFormat="1" x14ac:dyDescent="0.35">
      <c r="B105" s="126" t="s">
        <v>121</v>
      </c>
      <c r="C105" s="78" t="s">
        <v>84</v>
      </c>
      <c r="D105" s="102" t="s">
        <v>905</v>
      </c>
      <c r="E105" s="77">
        <v>2973.498629742613</v>
      </c>
      <c r="F105" s="77">
        <v>3016.8556162645086</v>
      </c>
      <c r="G105" s="77">
        <v>2968.2836477697792</v>
      </c>
      <c r="H105" s="77">
        <v>2973.5684481637131</v>
      </c>
      <c r="I105" s="77">
        <v>3231.1779070724415</v>
      </c>
      <c r="J105" s="63">
        <f t="shared" ref="J105:R105" si="41">+J103*95%</f>
        <v>3321.1086366952054</v>
      </c>
      <c r="K105" s="63">
        <f t="shared" si="41"/>
        <v>3336.8147919732978</v>
      </c>
      <c r="L105" s="63">
        <f t="shared" si="41"/>
        <v>3410.680383047898</v>
      </c>
      <c r="M105" s="63">
        <f t="shared" si="41"/>
        <v>3495.8771228756395</v>
      </c>
      <c r="N105" s="63">
        <f t="shared" si="41"/>
        <v>3579.681793186819</v>
      </c>
      <c r="O105" s="63">
        <f t="shared" si="41"/>
        <v>3666.384261799501</v>
      </c>
      <c r="P105" s="63">
        <f t="shared" si="41"/>
        <v>3756.250906101111</v>
      </c>
      <c r="Q105" s="63">
        <f t="shared" si="41"/>
        <v>3849.1191952590366</v>
      </c>
      <c r="R105" s="63">
        <f t="shared" si="41"/>
        <v>3884.2457011477686</v>
      </c>
      <c r="S105" s="63">
        <f>+S103*95%</f>
        <v>3979.9819937374759</v>
      </c>
    </row>
    <row r="106" spans="2:19" s="135" customFormat="1" x14ac:dyDescent="0.35">
      <c r="B106" s="126" t="s">
        <v>24</v>
      </c>
      <c r="C106" s="78" t="s">
        <v>84</v>
      </c>
      <c r="D106" s="63"/>
      <c r="E106" s="77">
        <v>100</v>
      </c>
      <c r="F106" s="77">
        <v>200</v>
      </c>
      <c r="G106" s="77">
        <v>299.99999999999994</v>
      </c>
      <c r="H106" s="77">
        <v>500</v>
      </c>
      <c r="I106" s="77">
        <v>550</v>
      </c>
      <c r="J106" s="63">
        <f>+Assumptions!J49</f>
        <v>550</v>
      </c>
      <c r="K106" s="63">
        <f>+Assumptions!K49</f>
        <v>561</v>
      </c>
      <c r="L106" s="63">
        <f>+Assumptions!L49</f>
        <v>572.22</v>
      </c>
      <c r="M106" s="63">
        <f>+Assumptions!M49</f>
        <v>583.6644</v>
      </c>
      <c r="N106" s="63">
        <f>+Assumptions!N49</f>
        <v>595.33768799999996</v>
      </c>
      <c r="O106" s="63">
        <f>+Assumptions!O49</f>
        <v>607.24444175999997</v>
      </c>
      <c r="P106" s="63">
        <f>+Assumptions!P49</f>
        <v>619.38933059520002</v>
      </c>
      <c r="Q106" s="63">
        <f>+Assumptions!Q49</f>
        <v>631.77711720710408</v>
      </c>
      <c r="R106" s="63">
        <f>+Assumptions!R49</f>
        <v>644.41265955124618</v>
      </c>
      <c r="S106" s="63">
        <f>+Assumptions!S49</f>
        <v>657.30091274227107</v>
      </c>
    </row>
    <row r="107" spans="2:19" s="135" customFormat="1" x14ac:dyDescent="0.35">
      <c r="B107" s="126" t="s">
        <v>25</v>
      </c>
      <c r="C107" s="78" t="s">
        <v>84</v>
      </c>
      <c r="D107" s="63"/>
      <c r="E107" s="77">
        <v>0</v>
      </c>
      <c r="F107" s="63">
        <f>+Assumptions!F50</f>
        <v>950</v>
      </c>
      <c r="G107" s="63">
        <f>+Assumptions!G50</f>
        <v>950</v>
      </c>
      <c r="H107" s="63">
        <f>+Assumptions!H50</f>
        <v>950</v>
      </c>
      <c r="I107" s="77">
        <v>1100</v>
      </c>
      <c r="J107" s="63">
        <f>+Assumptions!J50</f>
        <v>1100</v>
      </c>
      <c r="K107" s="63">
        <f>+Assumptions!K50</f>
        <v>1122</v>
      </c>
      <c r="L107" s="63">
        <f>+Assumptions!L50</f>
        <v>1144.44</v>
      </c>
      <c r="M107" s="63">
        <f>+Assumptions!M50</f>
        <v>1167.3288</v>
      </c>
      <c r="N107" s="63">
        <f>+Assumptions!N50</f>
        <v>1190.6753759999999</v>
      </c>
      <c r="O107" s="63">
        <f>+Assumptions!O50</f>
        <v>1214.4888835199999</v>
      </c>
      <c r="P107" s="63">
        <f>+Assumptions!P50</f>
        <v>1238.7786611904</v>
      </c>
      <c r="Q107" s="63">
        <f>+Assumptions!Q50</f>
        <v>1263.5542344142082</v>
      </c>
      <c r="R107" s="63">
        <f>+Assumptions!R50</f>
        <v>1288.8253191024924</v>
      </c>
      <c r="S107" s="63">
        <f>+Assumptions!S50</f>
        <v>1314.6018254845421</v>
      </c>
    </row>
    <row r="108" spans="2:19" s="135" customFormat="1" x14ac:dyDescent="0.35">
      <c r="B108" s="126" t="s">
        <v>122</v>
      </c>
      <c r="C108" s="78" t="s">
        <v>84</v>
      </c>
      <c r="D108" s="102" t="s">
        <v>906</v>
      </c>
      <c r="E108" s="77">
        <v>80</v>
      </c>
      <c r="F108" s="77">
        <v>160.00000000000003</v>
      </c>
      <c r="G108" s="77">
        <v>239.99999872309991</v>
      </c>
      <c r="H108" s="77">
        <v>400</v>
      </c>
      <c r="I108" s="77">
        <v>440</v>
      </c>
      <c r="J108" s="63">
        <f t="shared" ref="J108:R108" si="42">+J106*80%</f>
        <v>440</v>
      </c>
      <c r="K108" s="63">
        <f t="shared" si="42"/>
        <v>448.8</v>
      </c>
      <c r="L108" s="63">
        <f t="shared" si="42"/>
        <v>457.77600000000007</v>
      </c>
      <c r="M108" s="63">
        <f t="shared" si="42"/>
        <v>466.93152000000003</v>
      </c>
      <c r="N108" s="63">
        <f t="shared" si="42"/>
        <v>476.27015039999998</v>
      </c>
      <c r="O108" s="63">
        <f t="shared" si="42"/>
        <v>485.79555340799999</v>
      </c>
      <c r="P108" s="63">
        <f t="shared" si="42"/>
        <v>495.51146447616003</v>
      </c>
      <c r="Q108" s="63">
        <f t="shared" si="42"/>
        <v>505.4216937656833</v>
      </c>
      <c r="R108" s="63">
        <f t="shared" si="42"/>
        <v>515.53012764099697</v>
      </c>
      <c r="S108" s="63">
        <f>+S106*80%</f>
        <v>525.84073019381685</v>
      </c>
    </row>
    <row r="109" spans="2:19" s="135" customFormat="1" x14ac:dyDescent="0.35">
      <c r="B109" s="126" t="s">
        <v>123</v>
      </c>
      <c r="C109" s="78" t="s">
        <v>84</v>
      </c>
      <c r="D109" s="102" t="s">
        <v>907</v>
      </c>
      <c r="E109" s="77">
        <v>0</v>
      </c>
      <c r="F109" s="77">
        <v>0</v>
      </c>
      <c r="G109" s="77"/>
      <c r="H109" s="77">
        <v>760</v>
      </c>
      <c r="I109" s="77">
        <v>880</v>
      </c>
      <c r="J109" s="63">
        <f t="shared" ref="J109:R109" si="43">+J107*80%</f>
        <v>880</v>
      </c>
      <c r="K109" s="63">
        <f t="shared" si="43"/>
        <v>897.6</v>
      </c>
      <c r="L109" s="63">
        <f t="shared" si="43"/>
        <v>915.55200000000013</v>
      </c>
      <c r="M109" s="63">
        <f t="shared" si="43"/>
        <v>933.86304000000007</v>
      </c>
      <c r="N109" s="63">
        <f t="shared" si="43"/>
        <v>952.54030079999995</v>
      </c>
      <c r="O109" s="63">
        <f t="shared" si="43"/>
        <v>971.59110681599998</v>
      </c>
      <c r="P109" s="63">
        <f t="shared" si="43"/>
        <v>991.02292895232006</v>
      </c>
      <c r="Q109" s="63">
        <f t="shared" si="43"/>
        <v>1010.8433875313666</v>
      </c>
      <c r="R109" s="63">
        <f t="shared" si="43"/>
        <v>1031.0602552819939</v>
      </c>
      <c r="S109" s="63">
        <f>+S107*80%</f>
        <v>1051.6814603876337</v>
      </c>
    </row>
    <row r="110" spans="2:19" s="135" customFormat="1" x14ac:dyDescent="0.35">
      <c r="B110" s="126" t="s">
        <v>11</v>
      </c>
      <c r="C110" s="78" t="s">
        <v>84</v>
      </c>
      <c r="D110" s="63"/>
      <c r="E110" s="77">
        <v>180.00000097824392</v>
      </c>
      <c r="F110" s="63">
        <f>+Assumptions!F123</f>
        <v>180.00000097824392</v>
      </c>
      <c r="G110" s="63">
        <f>+Assumptions!G123</f>
        <v>179.99999993586729</v>
      </c>
      <c r="H110" s="63">
        <f>+Assumptions!H123</f>
        <v>179.99999993586729</v>
      </c>
      <c r="I110" s="63">
        <v>250</v>
      </c>
      <c r="J110" s="63">
        <f>+Assumptions!J123</f>
        <v>250</v>
      </c>
      <c r="K110" s="63">
        <f>+Assumptions!K123</f>
        <v>250</v>
      </c>
      <c r="L110" s="63">
        <f>+Assumptions!L123</f>
        <v>250</v>
      </c>
      <c r="M110" s="63">
        <f>+Assumptions!M123</f>
        <v>250</v>
      </c>
      <c r="N110" s="63">
        <f>+Assumptions!N123</f>
        <v>250</v>
      </c>
      <c r="O110" s="63">
        <f>+Assumptions!O123</f>
        <v>250</v>
      </c>
      <c r="P110" s="63">
        <f>+Assumptions!P123</f>
        <v>250</v>
      </c>
      <c r="Q110" s="63">
        <f>+Assumptions!Q123</f>
        <v>250</v>
      </c>
      <c r="R110" s="63">
        <f>+Assumptions!R123</f>
        <v>250</v>
      </c>
      <c r="S110" s="63">
        <f>+Assumptions!S123</f>
        <v>250</v>
      </c>
    </row>
    <row r="111" spans="2:19" s="135" customFormat="1" x14ac:dyDescent="0.35">
      <c r="B111" s="126" t="s">
        <v>34</v>
      </c>
      <c r="C111" s="78" t="s">
        <v>124</v>
      </c>
      <c r="D111" s="63"/>
      <c r="E111" s="77">
        <v>2.5706483772635451</v>
      </c>
      <c r="F111" s="77">
        <v>2.4352829690396076</v>
      </c>
      <c r="G111" s="77">
        <v>1.8012379171072554</v>
      </c>
      <c r="H111" s="77">
        <v>2.0107201734695868</v>
      </c>
      <c r="I111" s="77">
        <v>2.778478239029325</v>
      </c>
      <c r="J111" s="63">
        <f t="shared" ref="J111:S111" si="44">J196</f>
        <v>3.2230557289547619</v>
      </c>
      <c r="K111" s="63">
        <f t="shared" si="44"/>
        <v>3.2875168435338571</v>
      </c>
      <c r="L111" s="63">
        <f t="shared" si="44"/>
        <v>3.3532671804045342</v>
      </c>
      <c r="M111" s="63">
        <f t="shared" si="44"/>
        <v>3.420332524012625</v>
      </c>
      <c r="N111" s="63">
        <f t="shared" si="44"/>
        <v>3.4887391744928777</v>
      </c>
      <c r="O111" s="63">
        <f t="shared" si="44"/>
        <v>3.5585139579827354</v>
      </c>
      <c r="P111" s="63">
        <f t="shared" si="44"/>
        <v>3.6296842371423903</v>
      </c>
      <c r="Q111" s="63">
        <f t="shared" si="44"/>
        <v>3.702277921885238</v>
      </c>
      <c r="R111" s="63">
        <f t="shared" si="44"/>
        <v>3.7763234803229428</v>
      </c>
      <c r="S111" s="63">
        <f t="shared" si="44"/>
        <v>3.8518499499294019</v>
      </c>
    </row>
    <row r="112" spans="2:19" s="583" customFormat="1" x14ac:dyDescent="0.35">
      <c r="B112" s="581" t="s">
        <v>10</v>
      </c>
      <c r="C112" s="579" t="s">
        <v>124</v>
      </c>
      <c r="D112" s="63"/>
      <c r="E112" s="77"/>
      <c r="F112" s="77"/>
      <c r="G112" s="77"/>
      <c r="H112" s="77"/>
      <c r="I112" s="77">
        <v>25</v>
      </c>
      <c r="J112" s="63">
        <f>Assumptions!J125</f>
        <v>25.000000786328329</v>
      </c>
      <c r="K112" s="63">
        <f>Assumptions!K125</f>
        <v>25.000000786328329</v>
      </c>
      <c r="L112" s="63">
        <f>Assumptions!L125</f>
        <v>25.000000786328329</v>
      </c>
      <c r="M112" s="63">
        <f>Assumptions!M125</f>
        <v>25.000000786328329</v>
      </c>
      <c r="N112" s="63">
        <f>Assumptions!N125</f>
        <v>25.000000786328329</v>
      </c>
      <c r="O112" s="63">
        <f>Assumptions!O125</f>
        <v>25.000000786328329</v>
      </c>
      <c r="P112" s="63">
        <f>Assumptions!P125</f>
        <v>25.000000786328329</v>
      </c>
      <c r="Q112" s="63">
        <f>Assumptions!Q125</f>
        <v>25.000000786328329</v>
      </c>
      <c r="R112" s="63">
        <f>Assumptions!R125</f>
        <v>25.000000786328329</v>
      </c>
      <c r="S112" s="63">
        <f>Assumptions!S125</f>
        <v>25.000000786328329</v>
      </c>
    </row>
    <row r="113" spans="1:19" s="135" customFormat="1" x14ac:dyDescent="0.35">
      <c r="B113" s="126"/>
      <c r="C113" s="78"/>
      <c r="D113" s="63"/>
      <c r="E113" s="63"/>
      <c r="F113" s="77"/>
      <c r="G113" s="77"/>
      <c r="H113" s="77"/>
      <c r="I113" s="77"/>
      <c r="J113" s="77"/>
      <c r="K113" s="77"/>
      <c r="L113" s="77"/>
      <c r="M113" s="77"/>
      <c r="N113" s="77"/>
      <c r="O113" s="77"/>
      <c r="P113" s="77"/>
      <c r="Q113" s="77"/>
      <c r="R113" s="77"/>
      <c r="S113" s="77"/>
    </row>
    <row r="114" spans="1:19" s="135" customFormat="1" x14ac:dyDescent="0.35">
      <c r="B114" s="106" t="s">
        <v>125</v>
      </c>
      <c r="C114" s="78"/>
      <c r="D114" s="126"/>
      <c r="E114" s="126"/>
      <c r="F114" s="143"/>
      <c r="G114" s="63"/>
      <c r="H114" s="63"/>
      <c r="I114" s="63"/>
      <c r="J114" s="63"/>
      <c r="K114" s="63"/>
      <c r="L114" s="63"/>
      <c r="M114" s="63"/>
      <c r="N114" s="63"/>
      <c r="O114" s="63"/>
      <c r="P114" s="63"/>
      <c r="Q114" s="63"/>
      <c r="R114" s="63"/>
      <c r="S114" s="63"/>
    </row>
    <row r="115" spans="1:19" s="135" customFormat="1" x14ac:dyDescent="0.35">
      <c r="B115" s="126" t="s">
        <v>120</v>
      </c>
      <c r="C115" s="78" t="s">
        <v>88</v>
      </c>
      <c r="D115" s="143"/>
      <c r="E115" s="143">
        <f t="shared" ref="E115:S115" si="45">+E92*E103/100</f>
        <v>2589.5653037520001</v>
      </c>
      <c r="F115" s="143">
        <f t="shared" si="45"/>
        <v>2495.1271940457405</v>
      </c>
      <c r="G115" s="143">
        <f t="shared" si="45"/>
        <v>2379.9842428078682</v>
      </c>
      <c r="H115" s="143">
        <f t="shared" si="45"/>
        <v>2044.758611168</v>
      </c>
      <c r="I115" s="143">
        <f t="shared" si="45"/>
        <v>2143.4091994</v>
      </c>
      <c r="J115" s="143">
        <f t="shared" si="45"/>
        <v>2068.8459400691117</v>
      </c>
      <c r="K115" s="143">
        <f t="shared" si="45"/>
        <v>2293.9996699025387</v>
      </c>
      <c r="L115" s="143">
        <f t="shared" si="45"/>
        <v>2418.1600273172853</v>
      </c>
      <c r="M115" s="143">
        <f t="shared" si="45"/>
        <v>2478.5642070033014</v>
      </c>
      <c r="N115" s="143">
        <f t="shared" si="45"/>
        <v>2537.9814144485504</v>
      </c>
      <c r="O115" s="143">
        <f t="shared" si="45"/>
        <v>2599.4531503845806</v>
      </c>
      <c r="P115" s="143">
        <f t="shared" si="45"/>
        <v>2663.1682754134167</v>
      </c>
      <c r="Q115" s="143">
        <f t="shared" si="45"/>
        <v>2729.011555763936</v>
      </c>
      <c r="R115" s="143">
        <f t="shared" si="45"/>
        <v>2753.9161210998263</v>
      </c>
      <c r="S115" s="143">
        <f t="shared" si="45"/>
        <v>2821.792805486506</v>
      </c>
    </row>
    <row r="116" spans="1:19" s="135" customFormat="1" x14ac:dyDescent="0.35">
      <c r="B116" s="126" t="s">
        <v>16</v>
      </c>
      <c r="C116" s="78" t="s">
        <v>88</v>
      </c>
      <c r="D116" s="143"/>
      <c r="E116" s="143">
        <f t="shared" ref="E116:S116" si="46">+E93*E104/100</f>
        <v>1.5825087000000002</v>
      </c>
      <c r="F116" s="143">
        <f t="shared" si="46"/>
        <v>1.3893090999999995</v>
      </c>
      <c r="G116" s="143">
        <f t="shared" si="46"/>
        <v>2.8649947999999998</v>
      </c>
      <c r="H116" s="143">
        <f t="shared" si="46"/>
        <v>4.6158297999999993</v>
      </c>
      <c r="I116" s="143">
        <f t="shared" si="46"/>
        <v>2.7044446</v>
      </c>
      <c r="J116" s="143">
        <f t="shared" si="46"/>
        <v>2.7730208345256533</v>
      </c>
      <c r="K116" s="143">
        <f t="shared" si="46"/>
        <v>2.7861349781990095</v>
      </c>
      <c r="L116" s="143">
        <f t="shared" si="46"/>
        <v>2.8478104141486882</v>
      </c>
      <c r="M116" s="143">
        <f t="shared" si="46"/>
        <v>2.9189470014814889</v>
      </c>
      <c r="N116" s="143">
        <f t="shared" si="46"/>
        <v>2.988921254728051</v>
      </c>
      <c r="O116" s="143">
        <f t="shared" si="46"/>
        <v>3.0613150780469476</v>
      </c>
      <c r="P116" s="143">
        <f t="shared" si="46"/>
        <v>3.1363508881447615</v>
      </c>
      <c r="Q116" s="143">
        <f t="shared" si="46"/>
        <v>3.2138929769088138</v>
      </c>
      <c r="R116" s="143">
        <f t="shared" si="46"/>
        <v>3.2432225000678243</v>
      </c>
      <c r="S116" s="143">
        <f t="shared" si="46"/>
        <v>3.323159281128885</v>
      </c>
    </row>
    <row r="117" spans="1:19" s="135" customFormat="1" x14ac:dyDescent="0.35">
      <c r="B117" s="126" t="s">
        <v>121</v>
      </c>
      <c r="C117" s="78" t="s">
        <v>88</v>
      </c>
      <c r="D117" s="143"/>
      <c r="E117" s="143">
        <f t="shared" ref="E117:R117" si="47">+E94*E105/100</f>
        <v>53.708224300000005</v>
      </c>
      <c r="F117" s="143">
        <f t="shared" si="47"/>
        <v>53.724466499999998</v>
      </c>
      <c r="G117" s="143">
        <f t="shared" si="47"/>
        <v>58.008870500000022</v>
      </c>
      <c r="H117" s="143">
        <f t="shared" si="47"/>
        <v>23.058393800000005</v>
      </c>
      <c r="I117" s="143">
        <f t="shared" si="47"/>
        <v>28.385668500000001</v>
      </c>
      <c r="J117" s="143">
        <f t="shared" si="47"/>
        <v>29.175703574654179</v>
      </c>
      <c r="K117" s="143">
        <f t="shared" si="47"/>
        <v>29.313681033635195</v>
      </c>
      <c r="L117" s="143">
        <f t="shared" si="47"/>
        <v>29.962585006768592</v>
      </c>
      <c r="M117" s="143">
        <f t="shared" si="47"/>
        <v>30.711032317186774</v>
      </c>
      <c r="N117" s="143">
        <f t="shared" si="47"/>
        <v>31.447250395738891</v>
      </c>
      <c r="O117" s="143">
        <f t="shared" si="47"/>
        <v>32.208925426626031</v>
      </c>
      <c r="P117" s="143">
        <f t="shared" si="47"/>
        <v>32.99839751628393</v>
      </c>
      <c r="Q117" s="143">
        <f t="shared" si="47"/>
        <v>33.814238842887782</v>
      </c>
      <c r="R117" s="143">
        <f t="shared" si="47"/>
        <v>34.122822703138375</v>
      </c>
      <c r="S117" s="143">
        <f t="shared" ref="S117:S123" si="48">+S94*S105/100</f>
        <v>34.963859236262174</v>
      </c>
    </row>
    <row r="118" spans="1:19" s="135" customFormat="1" x14ac:dyDescent="0.35">
      <c r="B118" s="126" t="s">
        <v>24</v>
      </c>
      <c r="C118" s="78" t="s">
        <v>88</v>
      </c>
      <c r="D118" s="143"/>
      <c r="E118" s="143">
        <f t="shared" ref="E118:R118" si="49">+E95*E106/100</f>
        <v>36.444870800000004</v>
      </c>
      <c r="F118" s="143">
        <f t="shared" si="49"/>
        <v>68.428089200000002</v>
      </c>
      <c r="G118" s="143">
        <f t="shared" si="49"/>
        <v>98.009375999999989</v>
      </c>
      <c r="H118" s="143">
        <f t="shared" si="49"/>
        <v>106.96886500000002</v>
      </c>
      <c r="I118" s="143">
        <f t="shared" si="49"/>
        <v>28.426766499999975</v>
      </c>
      <c r="J118" s="143">
        <f t="shared" si="49"/>
        <v>0</v>
      </c>
      <c r="K118" s="143">
        <f t="shared" si="49"/>
        <v>0</v>
      </c>
      <c r="L118" s="143">
        <f t="shared" si="49"/>
        <v>0</v>
      </c>
      <c r="M118" s="143">
        <f t="shared" si="49"/>
        <v>0</v>
      </c>
      <c r="N118" s="143">
        <f t="shared" si="49"/>
        <v>0</v>
      </c>
      <c r="O118" s="143">
        <f t="shared" si="49"/>
        <v>0</v>
      </c>
      <c r="P118" s="143">
        <f t="shared" si="49"/>
        <v>0</v>
      </c>
      <c r="Q118" s="143">
        <f t="shared" si="49"/>
        <v>0</v>
      </c>
      <c r="R118" s="143">
        <f t="shared" si="49"/>
        <v>0</v>
      </c>
      <c r="S118" s="143">
        <f t="shared" si="48"/>
        <v>0</v>
      </c>
    </row>
    <row r="119" spans="1:19" s="135" customFormat="1" x14ac:dyDescent="0.35">
      <c r="B119" s="126" t="s">
        <v>25</v>
      </c>
      <c r="C119" s="78" t="s">
        <v>88</v>
      </c>
      <c r="D119" s="143"/>
      <c r="E119" s="143">
        <f t="shared" ref="E119:R119" si="50">+E96*E107/100</f>
        <v>0</v>
      </c>
      <c r="F119" s="143">
        <f t="shared" si="50"/>
        <v>0</v>
      </c>
      <c r="G119" s="143">
        <f t="shared" si="50"/>
        <v>0</v>
      </c>
      <c r="H119" s="143">
        <f t="shared" si="50"/>
        <v>114.70139450000001</v>
      </c>
      <c r="I119" s="143">
        <f t="shared" si="50"/>
        <v>275.21112299999999</v>
      </c>
      <c r="J119" s="143">
        <f t="shared" si="50"/>
        <v>418.03323170731704</v>
      </c>
      <c r="K119" s="143">
        <f t="shared" si="50"/>
        <v>423.45324878048785</v>
      </c>
      <c r="L119" s="143">
        <f t="shared" si="50"/>
        <v>445.41988606097561</v>
      </c>
      <c r="M119" s="143">
        <f t="shared" si="50"/>
        <v>454.32828378219511</v>
      </c>
      <c r="N119" s="143">
        <f t="shared" si="50"/>
        <v>463.41484945783901</v>
      </c>
      <c r="O119" s="143">
        <f t="shared" si="50"/>
        <v>472.68314644699581</v>
      </c>
      <c r="P119" s="143">
        <f t="shared" si="50"/>
        <v>482.1368093759358</v>
      </c>
      <c r="Q119" s="143">
        <f t="shared" si="50"/>
        <v>491.77954556345452</v>
      </c>
      <c r="R119" s="143">
        <f t="shared" si="50"/>
        <v>501.61513647472361</v>
      </c>
      <c r="S119" s="143">
        <f t="shared" si="48"/>
        <v>511.64743920421807</v>
      </c>
    </row>
    <row r="120" spans="1:19" s="135" customFormat="1" x14ac:dyDescent="0.35">
      <c r="B120" s="126" t="s">
        <v>122</v>
      </c>
      <c r="C120" s="78" t="s">
        <v>88</v>
      </c>
      <c r="D120" s="143"/>
      <c r="E120" s="143">
        <f t="shared" ref="E120:R120" si="51">+E97*E108/100</f>
        <v>1.2931119999999998</v>
      </c>
      <c r="F120" s="143">
        <f t="shared" si="51"/>
        <v>2.4590080000000007</v>
      </c>
      <c r="G120" s="143">
        <f t="shared" si="51"/>
        <v>3.7591038999999995</v>
      </c>
      <c r="H120" s="143">
        <f t="shared" si="51"/>
        <v>2.1382947999999997</v>
      </c>
      <c r="I120" s="143">
        <f t="shared" si="51"/>
        <v>0</v>
      </c>
      <c r="J120" s="143">
        <f t="shared" si="51"/>
        <v>0</v>
      </c>
      <c r="K120" s="143">
        <f t="shared" si="51"/>
        <v>0</v>
      </c>
      <c r="L120" s="143">
        <f t="shared" si="51"/>
        <v>0</v>
      </c>
      <c r="M120" s="143">
        <f t="shared" si="51"/>
        <v>0</v>
      </c>
      <c r="N120" s="143">
        <f t="shared" si="51"/>
        <v>0</v>
      </c>
      <c r="O120" s="143">
        <f t="shared" si="51"/>
        <v>0</v>
      </c>
      <c r="P120" s="143">
        <f t="shared" si="51"/>
        <v>0</v>
      </c>
      <c r="Q120" s="143">
        <f t="shared" si="51"/>
        <v>0</v>
      </c>
      <c r="R120" s="143">
        <f t="shared" si="51"/>
        <v>0</v>
      </c>
      <c r="S120" s="143">
        <f t="shared" si="48"/>
        <v>0</v>
      </c>
    </row>
    <row r="121" spans="1:19" s="135" customFormat="1" x14ac:dyDescent="0.35">
      <c r="B121" s="126" t="s">
        <v>123</v>
      </c>
      <c r="C121" s="78" t="s">
        <v>88</v>
      </c>
      <c r="D121" s="143"/>
      <c r="E121" s="143">
        <f t="shared" ref="E121:R121" si="52">+E98*E109/100</f>
        <v>0</v>
      </c>
      <c r="F121" s="143">
        <f t="shared" si="52"/>
        <v>0</v>
      </c>
      <c r="G121" s="143">
        <f t="shared" si="52"/>
        <v>0</v>
      </c>
      <c r="H121" s="143">
        <f t="shared" si="52"/>
        <v>0.59226800000000002</v>
      </c>
      <c r="I121" s="143">
        <f t="shared" si="52"/>
        <v>5.6794557600000006</v>
      </c>
      <c r="J121" s="143">
        <f t="shared" si="52"/>
        <v>5.6794557600000006</v>
      </c>
      <c r="K121" s="143">
        <f t="shared" si="52"/>
        <v>5.7930448752000006</v>
      </c>
      <c r="L121" s="143">
        <f t="shared" si="52"/>
        <v>5.908905772704002</v>
      </c>
      <c r="M121" s="143">
        <f t="shared" si="52"/>
        <v>6.0270838881580815</v>
      </c>
      <c r="N121" s="143">
        <f t="shared" si="52"/>
        <v>6.147625565921242</v>
      </c>
      <c r="O121" s="143">
        <f t="shared" si="52"/>
        <v>6.2705780772396666</v>
      </c>
      <c r="P121" s="143">
        <f t="shared" si="52"/>
        <v>6.3959896387844601</v>
      </c>
      <c r="Q121" s="143">
        <f t="shared" si="52"/>
        <v>6.5239094315601509</v>
      </c>
      <c r="R121" s="143">
        <f t="shared" si="52"/>
        <v>6.6543876201913541</v>
      </c>
      <c r="S121" s="143">
        <f t="shared" si="48"/>
        <v>6.7874753725951802</v>
      </c>
    </row>
    <row r="122" spans="1:19" s="135" customFormat="1" x14ac:dyDescent="0.35">
      <c r="B122" s="126" t="s">
        <v>11</v>
      </c>
      <c r="C122" s="78" t="s">
        <v>88</v>
      </c>
      <c r="D122" s="143"/>
      <c r="E122" s="143">
        <f t="shared" ref="E122:R122" si="53">+E99*E110/100</f>
        <v>29.073260678004111</v>
      </c>
      <c r="F122" s="143">
        <f t="shared" si="53"/>
        <v>24.349492464331906</v>
      </c>
      <c r="G122" s="143">
        <f t="shared" si="53"/>
        <v>37.494624118640935</v>
      </c>
      <c r="H122" s="143">
        <f t="shared" si="53"/>
        <v>43.753635056410893</v>
      </c>
      <c r="I122" s="143">
        <f t="shared" si="53"/>
        <v>73.460046750471804</v>
      </c>
      <c r="J122" s="143">
        <f t="shared" si="53"/>
        <v>72.5</v>
      </c>
      <c r="K122" s="143">
        <f t="shared" si="53"/>
        <v>80</v>
      </c>
      <c r="L122" s="143">
        <f t="shared" si="53"/>
        <v>82.5</v>
      </c>
      <c r="M122" s="143">
        <f t="shared" si="53"/>
        <v>82.5</v>
      </c>
      <c r="N122" s="143">
        <f t="shared" si="53"/>
        <v>82.5</v>
      </c>
      <c r="O122" s="143">
        <f t="shared" si="53"/>
        <v>82.5</v>
      </c>
      <c r="P122" s="143">
        <f t="shared" si="53"/>
        <v>82.5</v>
      </c>
      <c r="Q122" s="143">
        <f t="shared" si="53"/>
        <v>82.5</v>
      </c>
      <c r="R122" s="143">
        <f t="shared" si="53"/>
        <v>82.5</v>
      </c>
      <c r="S122" s="143">
        <f t="shared" si="48"/>
        <v>82.5</v>
      </c>
    </row>
    <row r="123" spans="1:19" s="135" customFormat="1" x14ac:dyDescent="0.35">
      <c r="B123" s="126" t="s">
        <v>34</v>
      </c>
      <c r="C123" s="78" t="s">
        <v>88</v>
      </c>
      <c r="D123" s="143"/>
      <c r="E123" s="143">
        <f t="shared" ref="E123:S124" si="54">+E100*E111/100</f>
        <v>4.3918868</v>
      </c>
      <c r="F123" s="143">
        <f t="shared" si="54"/>
        <v>3.8516815999999996</v>
      </c>
      <c r="G123" s="143">
        <f t="shared" si="54"/>
        <v>2.8486985000000011</v>
      </c>
      <c r="H123" s="143">
        <f t="shared" si="54"/>
        <v>2.7023382999999996</v>
      </c>
      <c r="I123" s="143">
        <f t="shared" si="54"/>
        <v>3.5780423000000003</v>
      </c>
      <c r="J123" s="143">
        <f t="shared" si="54"/>
        <v>4.1505560747117149</v>
      </c>
      <c r="K123" s="143">
        <f t="shared" si="54"/>
        <v>4.23356719620595</v>
      </c>
      <c r="L123" s="143">
        <f t="shared" si="54"/>
        <v>4.3182385401300687</v>
      </c>
      <c r="M123" s="143">
        <f t="shared" si="54"/>
        <v>4.4046033109326697</v>
      </c>
      <c r="N123" s="143">
        <f t="shared" si="54"/>
        <v>4.4926953771513238</v>
      </c>
      <c r="O123" s="143">
        <f t="shared" si="54"/>
        <v>4.5825492846943501</v>
      </c>
      <c r="P123" s="143">
        <f t="shared" si="54"/>
        <v>4.6742002703882379</v>
      </c>
      <c r="Q123" s="143">
        <f t="shared" si="54"/>
        <v>4.7676842757960021</v>
      </c>
      <c r="R123" s="143">
        <f t="shared" si="54"/>
        <v>4.8630379613119219</v>
      </c>
      <c r="S123" s="143">
        <f t="shared" si="48"/>
        <v>4.9602987205381615</v>
      </c>
    </row>
    <row r="124" spans="1:19" s="583" customFormat="1" x14ac:dyDescent="0.35">
      <c r="B124" s="581" t="s">
        <v>10</v>
      </c>
      <c r="C124" s="579" t="s">
        <v>88</v>
      </c>
      <c r="D124" s="143"/>
      <c r="E124" s="143">
        <f t="shared" si="54"/>
        <v>0</v>
      </c>
      <c r="F124" s="143">
        <f t="shared" si="54"/>
        <v>0</v>
      </c>
      <c r="G124" s="143">
        <f t="shared" si="54"/>
        <v>0</v>
      </c>
      <c r="H124" s="143">
        <f t="shared" si="54"/>
        <v>0</v>
      </c>
      <c r="I124" s="143">
        <f t="shared" si="54"/>
        <v>3.5857727000000001</v>
      </c>
      <c r="J124" s="143">
        <f t="shared" si="54"/>
        <v>3.5857728127837878</v>
      </c>
      <c r="K124" s="143">
        <f t="shared" si="54"/>
        <v>3.5857728127837856</v>
      </c>
      <c r="L124" s="143">
        <f t="shared" si="54"/>
        <v>3.5857728127837856</v>
      </c>
      <c r="M124" s="143">
        <f t="shared" si="54"/>
        <v>3.5857728127837856</v>
      </c>
      <c r="N124" s="143">
        <f t="shared" si="54"/>
        <v>3.5857728127837856</v>
      </c>
      <c r="O124" s="143">
        <f t="shared" si="54"/>
        <v>3.5857728127837856</v>
      </c>
      <c r="P124" s="143">
        <f t="shared" si="54"/>
        <v>3.5857728127837856</v>
      </c>
      <c r="Q124" s="143">
        <f t="shared" si="54"/>
        <v>3.5857728127837856</v>
      </c>
      <c r="R124" s="143">
        <f t="shared" si="54"/>
        <v>3.5857728127837856</v>
      </c>
      <c r="S124" s="143">
        <f t="shared" si="54"/>
        <v>3.5857728127837856</v>
      </c>
    </row>
    <row r="125" spans="1:19" s="135" customFormat="1" x14ac:dyDescent="0.35">
      <c r="A125" s="168"/>
      <c r="B125" s="106" t="s">
        <v>422</v>
      </c>
      <c r="C125" s="78"/>
      <c r="D125" s="169"/>
      <c r="E125" s="169">
        <f>SUM(E115:E124)</f>
        <v>2716.0591670300041</v>
      </c>
      <c r="F125" s="169">
        <f t="shared" ref="F125:S125" si="55">SUM(F115:F124)</f>
        <v>2649.3292409100723</v>
      </c>
      <c r="G125" s="169">
        <f t="shared" si="55"/>
        <v>2582.9699106265089</v>
      </c>
      <c r="H125" s="169">
        <f t="shared" si="55"/>
        <v>2343.2896304244105</v>
      </c>
      <c r="I125" s="169">
        <f t="shared" si="55"/>
        <v>2564.4405195104719</v>
      </c>
      <c r="J125" s="169">
        <f t="shared" si="55"/>
        <v>2604.7436808331045</v>
      </c>
      <c r="K125" s="169">
        <f t="shared" si="55"/>
        <v>2843.16511957905</v>
      </c>
      <c r="L125" s="169">
        <f t="shared" si="55"/>
        <v>2992.7032259247967</v>
      </c>
      <c r="M125" s="169">
        <f t="shared" si="55"/>
        <v>3063.0399301160396</v>
      </c>
      <c r="N125" s="169">
        <f t="shared" si="55"/>
        <v>3132.5585293127133</v>
      </c>
      <c r="O125" s="169">
        <f t="shared" si="55"/>
        <v>3204.3454375109673</v>
      </c>
      <c r="P125" s="169">
        <f t="shared" si="55"/>
        <v>3278.5957959157377</v>
      </c>
      <c r="Q125" s="169">
        <f t="shared" si="55"/>
        <v>3355.1965996673275</v>
      </c>
      <c r="R125" s="169">
        <f t="shared" si="55"/>
        <v>3390.5005011720436</v>
      </c>
      <c r="S125" s="169">
        <f t="shared" si="55"/>
        <v>3469.5608101140324</v>
      </c>
    </row>
    <row r="126" spans="1:19" s="135" customFormat="1" x14ac:dyDescent="0.35">
      <c r="A126" s="168"/>
      <c r="B126" s="106" t="s">
        <v>80</v>
      </c>
      <c r="C126" s="299"/>
      <c r="D126" s="106"/>
      <c r="E126" s="355">
        <v>-36.335255499999803</v>
      </c>
      <c r="F126" s="169">
        <f>+E125-F125</f>
        <v>66.729926119931861</v>
      </c>
      <c r="G126" s="169">
        <f>+F125-G125</f>
        <v>66.359330283563395</v>
      </c>
      <c r="H126" s="169">
        <f t="shared" ref="H126:S126" si="56">+G125-H125</f>
        <v>239.6802802020984</v>
      </c>
      <c r="I126" s="169">
        <f t="shared" si="56"/>
        <v>-221.1508890860614</v>
      </c>
      <c r="J126" s="169">
        <f>+I125-J125</f>
        <v>-40.303161322632604</v>
      </c>
      <c r="K126" s="169">
        <f>+J125-K125</f>
        <v>-238.42143874594558</v>
      </c>
      <c r="L126" s="169">
        <f t="shared" si="56"/>
        <v>-149.53810634574666</v>
      </c>
      <c r="M126" s="169">
        <f t="shared" si="56"/>
        <v>-70.336704191242916</v>
      </c>
      <c r="N126" s="169">
        <f t="shared" si="56"/>
        <v>-69.518599196673676</v>
      </c>
      <c r="O126" s="169">
        <f t="shared" si="56"/>
        <v>-71.786908198253968</v>
      </c>
      <c r="P126" s="169">
        <f t="shared" si="56"/>
        <v>-74.250358404770395</v>
      </c>
      <c r="Q126" s="169">
        <f t="shared" si="56"/>
        <v>-76.600803751589865</v>
      </c>
      <c r="R126" s="169">
        <f t="shared" si="56"/>
        <v>-35.303901504716123</v>
      </c>
      <c r="S126" s="169">
        <f t="shared" si="56"/>
        <v>-79.060308941988751</v>
      </c>
    </row>
    <row r="128" spans="1:19" s="33" customFormat="1" x14ac:dyDescent="0.35">
      <c r="B128" s="429" t="s">
        <v>251</v>
      </c>
      <c r="C128" s="56"/>
      <c r="D128" s="56"/>
      <c r="E128" s="56">
        <f t="shared" ref="E128:S128" si="57">E5</f>
        <v>43190</v>
      </c>
      <c r="F128" s="56">
        <f t="shared" si="57"/>
        <v>43555</v>
      </c>
      <c r="G128" s="56">
        <f t="shared" si="57"/>
        <v>43921</v>
      </c>
      <c r="H128" s="56">
        <f t="shared" si="57"/>
        <v>44286</v>
      </c>
      <c r="I128" s="56">
        <f t="shared" si="57"/>
        <v>44651</v>
      </c>
      <c r="J128" s="56">
        <f t="shared" si="57"/>
        <v>45016</v>
      </c>
      <c r="K128" s="56">
        <f t="shared" si="57"/>
        <v>45382</v>
      </c>
      <c r="L128" s="56">
        <f t="shared" si="57"/>
        <v>45747</v>
      </c>
      <c r="M128" s="56">
        <f t="shared" si="57"/>
        <v>46112</v>
      </c>
      <c r="N128" s="56">
        <f t="shared" si="57"/>
        <v>46477</v>
      </c>
      <c r="O128" s="56">
        <f t="shared" si="57"/>
        <v>46843</v>
      </c>
      <c r="P128" s="56">
        <f t="shared" si="57"/>
        <v>47208</v>
      </c>
      <c r="Q128" s="56">
        <f t="shared" si="57"/>
        <v>47573</v>
      </c>
      <c r="R128" s="56">
        <f t="shared" si="57"/>
        <v>47938</v>
      </c>
      <c r="S128" s="56">
        <f t="shared" si="57"/>
        <v>48304</v>
      </c>
    </row>
    <row r="129" spans="2:19" s="33" customFormat="1" x14ac:dyDescent="0.35">
      <c r="B129" s="85" t="s">
        <v>810</v>
      </c>
      <c r="C129" s="85"/>
      <c r="D129" s="85"/>
      <c r="E129" s="85"/>
      <c r="F129" s="85"/>
      <c r="G129" s="85"/>
      <c r="H129" s="85"/>
      <c r="I129" s="85"/>
      <c r="J129" s="85"/>
      <c r="K129" s="85"/>
      <c r="L129" s="85"/>
      <c r="M129" s="85"/>
      <c r="N129" s="85"/>
      <c r="O129" s="85"/>
      <c r="P129" s="85"/>
      <c r="Q129" s="85"/>
      <c r="R129" s="85"/>
      <c r="S129" s="85"/>
    </row>
    <row r="130" spans="2:19" s="33" customFormat="1" x14ac:dyDescent="0.35">
      <c r="B130" s="126" t="s">
        <v>844</v>
      </c>
      <c r="C130" s="78"/>
      <c r="D130" s="143"/>
      <c r="E130" s="170">
        <v>4.8489093249999993</v>
      </c>
      <c r="F130" s="170">
        <v>6.5319629720000005</v>
      </c>
      <c r="G130" s="170">
        <v>5.8826970999999997</v>
      </c>
      <c r="H130" s="170">
        <v>5.0232013000000002</v>
      </c>
      <c r="I130" s="170">
        <f>130681245.86/10^7</f>
        <v>13.068124586</v>
      </c>
      <c r="J130" s="143">
        <f>H130</f>
        <v>5.0232013000000002</v>
      </c>
      <c r="K130" s="143">
        <f t="shared" ref="K130:S130" si="58">J130</f>
        <v>5.0232013000000002</v>
      </c>
      <c r="L130" s="143">
        <f t="shared" si="58"/>
        <v>5.0232013000000002</v>
      </c>
      <c r="M130" s="143">
        <f t="shared" si="58"/>
        <v>5.0232013000000002</v>
      </c>
      <c r="N130" s="143">
        <f t="shared" si="58"/>
        <v>5.0232013000000002</v>
      </c>
      <c r="O130" s="143">
        <f t="shared" si="58"/>
        <v>5.0232013000000002</v>
      </c>
      <c r="P130" s="143">
        <f t="shared" si="58"/>
        <v>5.0232013000000002</v>
      </c>
      <c r="Q130" s="143">
        <f t="shared" si="58"/>
        <v>5.0232013000000002</v>
      </c>
      <c r="R130" s="143">
        <f t="shared" si="58"/>
        <v>5.0232013000000002</v>
      </c>
      <c r="S130" s="143">
        <f t="shared" si="58"/>
        <v>5.0232013000000002</v>
      </c>
    </row>
    <row r="131" spans="2:19" s="33" customFormat="1" x14ac:dyDescent="0.35">
      <c r="B131" s="126" t="s">
        <v>805</v>
      </c>
      <c r="C131" s="78"/>
      <c r="D131" s="143"/>
      <c r="E131" s="170">
        <v>0</v>
      </c>
      <c r="F131" s="170">
        <v>0</v>
      </c>
      <c r="G131" s="170">
        <v>0</v>
      </c>
      <c r="H131" s="170">
        <v>50.48</v>
      </c>
      <c r="I131" s="170">
        <f>84764800/10^7</f>
        <v>8.4764800000000005</v>
      </c>
      <c r="J131" s="143">
        <v>0</v>
      </c>
      <c r="K131" s="143">
        <f t="shared" ref="K131:S131" si="59">J131</f>
        <v>0</v>
      </c>
      <c r="L131" s="143">
        <f t="shared" si="59"/>
        <v>0</v>
      </c>
      <c r="M131" s="143">
        <f t="shared" si="59"/>
        <v>0</v>
      </c>
      <c r="N131" s="143">
        <f t="shared" si="59"/>
        <v>0</v>
      </c>
      <c r="O131" s="143">
        <f t="shared" si="59"/>
        <v>0</v>
      </c>
      <c r="P131" s="143">
        <f t="shared" si="59"/>
        <v>0</v>
      </c>
      <c r="Q131" s="143">
        <f t="shared" si="59"/>
        <v>0</v>
      </c>
      <c r="R131" s="143">
        <f t="shared" si="59"/>
        <v>0</v>
      </c>
      <c r="S131" s="143">
        <f t="shared" si="59"/>
        <v>0</v>
      </c>
    </row>
    <row r="132" spans="2:19" s="33" customFormat="1" x14ac:dyDescent="0.35">
      <c r="B132" s="126" t="s">
        <v>806</v>
      </c>
      <c r="C132" s="78"/>
      <c r="D132" s="143"/>
      <c r="E132" s="170">
        <v>0.17267923700000001</v>
      </c>
      <c r="F132" s="170">
        <f>5976056.1/10^7</f>
        <v>0.59760561000000001</v>
      </c>
      <c r="G132" s="170">
        <v>0.84931080000000003</v>
      </c>
      <c r="H132" s="170">
        <v>1.491538</v>
      </c>
      <c r="I132" s="170">
        <f>7802121.33/10^7</f>
        <v>0.78021213300000003</v>
      </c>
      <c r="J132" s="143">
        <f>I132</f>
        <v>0.78021213300000003</v>
      </c>
      <c r="K132" s="143">
        <f t="shared" ref="K132:S132" si="60">J132</f>
        <v>0.78021213300000003</v>
      </c>
      <c r="L132" s="143">
        <f t="shared" si="60"/>
        <v>0.78021213300000003</v>
      </c>
      <c r="M132" s="143">
        <f t="shared" si="60"/>
        <v>0.78021213300000003</v>
      </c>
      <c r="N132" s="143">
        <f t="shared" si="60"/>
        <v>0.78021213300000003</v>
      </c>
      <c r="O132" s="143">
        <f t="shared" si="60"/>
        <v>0.78021213300000003</v>
      </c>
      <c r="P132" s="143">
        <f t="shared" si="60"/>
        <v>0.78021213300000003</v>
      </c>
      <c r="Q132" s="143">
        <f t="shared" si="60"/>
        <v>0.78021213300000003</v>
      </c>
      <c r="R132" s="143">
        <f t="shared" si="60"/>
        <v>0.78021213300000003</v>
      </c>
      <c r="S132" s="143">
        <f t="shared" si="60"/>
        <v>0.78021213300000003</v>
      </c>
    </row>
    <row r="133" spans="2:19" s="33" customFormat="1" x14ac:dyDescent="0.35">
      <c r="B133" s="126" t="s">
        <v>845</v>
      </c>
      <c r="C133" s="78"/>
      <c r="D133" s="143"/>
      <c r="E133" s="170"/>
      <c r="F133" s="170">
        <f>189854627.52/10^7</f>
        <v>18.985462752</v>
      </c>
      <c r="G133" s="170">
        <v>37.352143300000002</v>
      </c>
      <c r="H133" s="170">
        <v>44.627090899999999</v>
      </c>
      <c r="I133" s="170">
        <f>458236848.3/10^7</f>
        <v>45.823684829999998</v>
      </c>
      <c r="J133" s="143">
        <f t="shared" ref="J133:R133" si="61">J43</f>
        <v>47.471739289440002</v>
      </c>
      <c r="K133" s="143">
        <f t="shared" si="61"/>
        <v>48.421174075228805</v>
      </c>
      <c r="L133" s="143">
        <f t="shared" si="61"/>
        <v>49.389597556733385</v>
      </c>
      <c r="M133" s="143">
        <f t="shared" si="61"/>
        <v>50.377389507868052</v>
      </c>
      <c r="N133" s="143">
        <f t="shared" si="61"/>
        <v>51.384937298025413</v>
      </c>
      <c r="O133" s="143">
        <f t="shared" si="61"/>
        <v>52.41263604398592</v>
      </c>
      <c r="P133" s="143">
        <f t="shared" si="61"/>
        <v>53.460888764865636</v>
      </c>
      <c r="Q133" s="143">
        <f t="shared" si="61"/>
        <v>54.530106540162947</v>
      </c>
      <c r="R133" s="143">
        <f t="shared" si="61"/>
        <v>55.620708670966209</v>
      </c>
      <c r="S133" s="143">
        <f>S43</f>
        <v>56.733122844385534</v>
      </c>
    </row>
    <row r="134" spans="2:19" s="33" customFormat="1" x14ac:dyDescent="0.35">
      <c r="B134" s="581" t="s">
        <v>962</v>
      </c>
      <c r="C134" s="579"/>
      <c r="D134" s="143"/>
      <c r="E134" s="170">
        <v>61.2973</v>
      </c>
      <c r="F134" s="170">
        <v>0</v>
      </c>
      <c r="G134" s="170">
        <v>0</v>
      </c>
      <c r="H134" s="170">
        <v>0</v>
      </c>
      <c r="I134" s="170"/>
      <c r="J134" s="143">
        <v>0</v>
      </c>
      <c r="K134" s="143">
        <f t="shared" ref="K134:S134" si="62">J134</f>
        <v>0</v>
      </c>
      <c r="L134" s="143">
        <f t="shared" si="62"/>
        <v>0</v>
      </c>
      <c r="M134" s="143">
        <f t="shared" si="62"/>
        <v>0</v>
      </c>
      <c r="N134" s="143">
        <f t="shared" si="62"/>
        <v>0</v>
      </c>
      <c r="O134" s="143">
        <f t="shared" si="62"/>
        <v>0</v>
      </c>
      <c r="P134" s="143">
        <f t="shared" si="62"/>
        <v>0</v>
      </c>
      <c r="Q134" s="143">
        <f t="shared" si="62"/>
        <v>0</v>
      </c>
      <c r="R134" s="143">
        <f t="shared" si="62"/>
        <v>0</v>
      </c>
      <c r="S134" s="143">
        <f t="shared" si="62"/>
        <v>0</v>
      </c>
    </row>
    <row r="135" spans="2:19" s="33" customFormat="1" x14ac:dyDescent="0.35">
      <c r="B135" s="126" t="s">
        <v>846</v>
      </c>
      <c r="C135" s="78"/>
      <c r="D135" s="143"/>
      <c r="E135" s="170">
        <v>2.0994654000000001</v>
      </c>
      <c r="F135" s="170">
        <f>39045398/10^7</f>
        <v>3.9045397999999998</v>
      </c>
      <c r="G135" s="170">
        <v>3.7407233999999998</v>
      </c>
      <c r="H135" s="170">
        <v>3.7053196000000002</v>
      </c>
      <c r="I135" s="170">
        <f>26104973.58/10^7</f>
        <v>2.6104973579999999</v>
      </c>
      <c r="J135" s="143">
        <v>0</v>
      </c>
      <c r="K135" s="143">
        <f t="shared" ref="K135:S137" si="63">J135</f>
        <v>0</v>
      </c>
      <c r="L135" s="143">
        <f t="shared" si="63"/>
        <v>0</v>
      </c>
      <c r="M135" s="143">
        <f t="shared" si="63"/>
        <v>0</v>
      </c>
      <c r="N135" s="143">
        <f t="shared" si="63"/>
        <v>0</v>
      </c>
      <c r="O135" s="143">
        <f t="shared" si="63"/>
        <v>0</v>
      </c>
      <c r="P135" s="143">
        <f t="shared" si="63"/>
        <v>0</v>
      </c>
      <c r="Q135" s="143">
        <f t="shared" si="63"/>
        <v>0</v>
      </c>
      <c r="R135" s="143">
        <f t="shared" si="63"/>
        <v>0</v>
      </c>
      <c r="S135" s="143">
        <f t="shared" si="63"/>
        <v>0</v>
      </c>
    </row>
    <row r="136" spans="2:19" s="33" customFormat="1" x14ac:dyDescent="0.35">
      <c r="B136" s="126" t="s">
        <v>807</v>
      </c>
      <c r="C136" s="78"/>
      <c r="D136" s="143"/>
      <c r="E136" s="170">
        <v>6.18</v>
      </c>
      <c r="F136" s="170">
        <f>6378269.72/10^7</f>
        <v>0.63782697199999994</v>
      </c>
      <c r="G136" s="170">
        <v>1.3087629999999999</v>
      </c>
      <c r="H136" s="170">
        <v>4.7041000000000001E-3</v>
      </c>
      <c r="I136" s="170">
        <f>202625/10^7</f>
        <v>2.0262499999999999E-2</v>
      </c>
      <c r="J136" s="143">
        <v>0</v>
      </c>
      <c r="K136" s="143">
        <f t="shared" si="63"/>
        <v>0</v>
      </c>
      <c r="L136" s="143">
        <f t="shared" si="63"/>
        <v>0</v>
      </c>
      <c r="M136" s="143">
        <f t="shared" si="63"/>
        <v>0</v>
      </c>
      <c r="N136" s="143">
        <f t="shared" si="63"/>
        <v>0</v>
      </c>
      <c r="O136" s="143">
        <f t="shared" si="63"/>
        <v>0</v>
      </c>
      <c r="P136" s="143">
        <f t="shared" si="63"/>
        <v>0</v>
      </c>
      <c r="Q136" s="143">
        <f t="shared" si="63"/>
        <v>0</v>
      </c>
      <c r="R136" s="143">
        <f t="shared" si="63"/>
        <v>0</v>
      </c>
      <c r="S136" s="143">
        <f t="shared" si="63"/>
        <v>0</v>
      </c>
    </row>
    <row r="137" spans="2:19" s="33" customFormat="1" x14ac:dyDescent="0.35">
      <c r="B137" s="126" t="s">
        <v>847</v>
      </c>
      <c r="C137" s="78"/>
      <c r="D137" s="143"/>
      <c r="E137" s="170">
        <v>0</v>
      </c>
      <c r="F137" s="170">
        <f>765480842/10^7</f>
        <v>76.548084200000005</v>
      </c>
      <c r="G137" s="170">
        <v>0.69542559999999998</v>
      </c>
      <c r="H137" s="170">
        <v>0.16703100000000001</v>
      </c>
      <c r="I137" s="170">
        <f>72000/10^7</f>
        <v>7.1999999999999998E-3</v>
      </c>
      <c r="J137" s="143">
        <f>I137</f>
        <v>7.1999999999999998E-3</v>
      </c>
      <c r="K137" s="143">
        <f t="shared" si="63"/>
        <v>7.1999999999999998E-3</v>
      </c>
      <c r="L137" s="143">
        <f t="shared" si="63"/>
        <v>7.1999999999999998E-3</v>
      </c>
      <c r="M137" s="143">
        <f t="shared" si="63"/>
        <v>7.1999999999999998E-3</v>
      </c>
      <c r="N137" s="143">
        <f t="shared" si="63"/>
        <v>7.1999999999999998E-3</v>
      </c>
      <c r="O137" s="143">
        <f t="shared" si="63"/>
        <v>7.1999999999999998E-3</v>
      </c>
      <c r="P137" s="143">
        <f t="shared" si="63"/>
        <v>7.1999999999999998E-3</v>
      </c>
      <c r="Q137" s="143">
        <f t="shared" si="63"/>
        <v>7.1999999999999998E-3</v>
      </c>
      <c r="R137" s="143">
        <f t="shared" si="63"/>
        <v>7.1999999999999998E-3</v>
      </c>
      <c r="S137" s="143">
        <f t="shared" si="63"/>
        <v>7.1999999999999998E-3</v>
      </c>
    </row>
    <row r="138" spans="2:19" s="33" customFormat="1" x14ac:dyDescent="0.35">
      <c r="B138" s="126" t="s">
        <v>970</v>
      </c>
      <c r="C138" s="78"/>
      <c r="D138" s="143"/>
      <c r="E138" s="170">
        <v>3.03</v>
      </c>
      <c r="F138" s="170">
        <f>32923590.04/10^7</f>
        <v>3.2923590039999997</v>
      </c>
      <c r="G138" s="170">
        <v>3.203252</v>
      </c>
      <c r="H138" s="170">
        <v>3.2671882999999999</v>
      </c>
      <c r="I138" s="170">
        <f>33271884.68/10^7</f>
        <v>3.3271884680000001</v>
      </c>
      <c r="J138" s="143">
        <f>I138*(1+Assumptions!J55)</f>
        <v>3.3271884680000001</v>
      </c>
      <c r="K138" s="143">
        <f>J138*(1+Assumptions!K55)</f>
        <v>3.3271884680000001</v>
      </c>
      <c r="L138" s="143">
        <f>K138*(1+Assumptions!L55)</f>
        <v>3.3271884680000001</v>
      </c>
      <c r="M138" s="143">
        <f>L138*(1+Assumptions!M55)</f>
        <v>3.3271884680000001</v>
      </c>
      <c r="N138" s="143">
        <f>M138*(1+Assumptions!N55)</f>
        <v>3.3271884680000001</v>
      </c>
      <c r="O138" s="143">
        <f>N138*(1+Assumptions!O55)</f>
        <v>3.3271884680000001</v>
      </c>
      <c r="P138" s="143">
        <f>O138*(1+Assumptions!P55)</f>
        <v>3.3271884680000001</v>
      </c>
      <c r="Q138" s="143">
        <f>P138*(1+Assumptions!Q55)</f>
        <v>3.3271884680000001</v>
      </c>
      <c r="R138" s="143">
        <f>Q138*(1+Assumptions!R55)</f>
        <v>3.3271884680000001</v>
      </c>
      <c r="S138" s="143">
        <f>R138*(1+Assumptions!S55)</f>
        <v>3.3271884680000001</v>
      </c>
    </row>
    <row r="139" spans="2:19" s="33" customFormat="1" x14ac:dyDescent="0.35">
      <c r="B139" s="106" t="s">
        <v>809</v>
      </c>
      <c r="C139" s="299"/>
      <c r="D139" s="169"/>
      <c r="E139" s="169">
        <f t="shared" ref="E139:R139" si="64">SUM(E130:E138)</f>
        <v>77.628353962000006</v>
      </c>
      <c r="F139" s="169">
        <f t="shared" si="64"/>
        <v>110.49784131000001</v>
      </c>
      <c r="G139" s="169">
        <f t="shared" si="64"/>
        <v>53.032315199999999</v>
      </c>
      <c r="H139" s="169">
        <f t="shared" si="64"/>
        <v>108.76607319999999</v>
      </c>
      <c r="I139" s="169">
        <f t="shared" si="64"/>
        <v>74.113649875000007</v>
      </c>
      <c r="J139" s="169">
        <f t="shared" si="64"/>
        <v>56.609541190440005</v>
      </c>
      <c r="K139" s="169">
        <f t="shared" si="64"/>
        <v>57.558975976228808</v>
      </c>
      <c r="L139" s="169">
        <f t="shared" si="64"/>
        <v>58.527399457733388</v>
      </c>
      <c r="M139" s="169">
        <f t="shared" si="64"/>
        <v>59.515191408868056</v>
      </c>
      <c r="N139" s="169">
        <f t="shared" si="64"/>
        <v>60.522739199025416</v>
      </c>
      <c r="O139" s="169">
        <f t="shared" si="64"/>
        <v>61.550437944985923</v>
      </c>
      <c r="P139" s="169">
        <f t="shared" si="64"/>
        <v>62.598690665865639</v>
      </c>
      <c r="Q139" s="169">
        <f t="shared" si="64"/>
        <v>63.66790844116295</v>
      </c>
      <c r="R139" s="169">
        <f t="shared" si="64"/>
        <v>64.758510571966212</v>
      </c>
      <c r="S139" s="169">
        <f>SUM(S130:S138)</f>
        <v>65.870924745385537</v>
      </c>
    </row>
    <row r="140" spans="2:19" s="33" customFormat="1" x14ac:dyDescent="0.35">
      <c r="B140" s="106"/>
      <c r="C140" s="106"/>
      <c r="D140" s="106"/>
      <c r="E140" s="106"/>
      <c r="F140" s="106"/>
      <c r="G140" s="143"/>
      <c r="H140" s="143"/>
      <c r="I140" s="143"/>
      <c r="J140" s="143"/>
      <c r="K140" s="143"/>
      <c r="L140" s="143"/>
      <c r="M140" s="143"/>
      <c r="N140" s="143"/>
      <c r="O140" s="143"/>
      <c r="P140" s="143"/>
      <c r="Q140" s="143"/>
      <c r="R140" s="143"/>
      <c r="S140" s="143"/>
    </row>
    <row r="141" spans="2:19" s="33" customFormat="1" x14ac:dyDescent="0.35">
      <c r="B141" s="85" t="s">
        <v>802</v>
      </c>
      <c r="C141" s="85"/>
      <c r="D141" s="85"/>
      <c r="E141" s="85"/>
      <c r="F141" s="85"/>
      <c r="G141" s="85"/>
      <c r="H141" s="85"/>
      <c r="I141" s="85"/>
      <c r="J141" s="85"/>
      <c r="K141" s="85"/>
      <c r="L141" s="85"/>
      <c r="M141" s="85"/>
      <c r="N141" s="85"/>
      <c r="O141" s="85"/>
      <c r="P141" s="85"/>
      <c r="Q141" s="85"/>
      <c r="R141" s="85"/>
      <c r="S141" s="85"/>
    </row>
    <row r="142" spans="2:19" s="33" customFormat="1" x14ac:dyDescent="0.35">
      <c r="B142" s="126" t="s">
        <v>797</v>
      </c>
      <c r="C142" s="78"/>
      <c r="D142" s="143"/>
      <c r="E142" s="143">
        <v>0</v>
      </c>
      <c r="F142" s="170">
        <f>36508096.92/10^7</f>
        <v>3.6508096920000002</v>
      </c>
      <c r="G142" s="170">
        <v>3.8732264999999999</v>
      </c>
      <c r="H142" s="170">
        <v>7.3815881000000001</v>
      </c>
      <c r="I142" s="170">
        <f>100054694.72/10^7</f>
        <v>10.005469472</v>
      </c>
      <c r="J142" s="143">
        <v>0</v>
      </c>
      <c r="K142" s="143">
        <v>0</v>
      </c>
      <c r="L142" s="143">
        <v>0</v>
      </c>
      <c r="M142" s="143">
        <v>0</v>
      </c>
      <c r="N142" s="143">
        <v>0</v>
      </c>
      <c r="O142" s="143">
        <v>0</v>
      </c>
      <c r="P142" s="143">
        <v>0</v>
      </c>
      <c r="Q142" s="143">
        <v>0</v>
      </c>
      <c r="R142" s="143">
        <v>0</v>
      </c>
      <c r="S142" s="143">
        <v>0</v>
      </c>
    </row>
    <row r="143" spans="2:19" s="33" customFormat="1" x14ac:dyDescent="0.35">
      <c r="B143" s="126" t="s">
        <v>798</v>
      </c>
      <c r="C143" s="78"/>
      <c r="D143" s="143"/>
      <c r="E143" s="143">
        <v>3.943402587</v>
      </c>
      <c r="F143" s="170">
        <f>13036852.36/10^7</f>
        <v>1.303685236</v>
      </c>
      <c r="G143" s="170">
        <v>1.6016201000000001</v>
      </c>
      <c r="H143" s="170">
        <v>1.4428947000000001</v>
      </c>
      <c r="I143" s="170">
        <f>20028670.99/10^7</f>
        <v>2.0028670989999999</v>
      </c>
      <c r="J143" s="143">
        <f>I143</f>
        <v>2.0028670989999999</v>
      </c>
      <c r="K143" s="143">
        <f t="shared" ref="K143:S143" si="65">J143</f>
        <v>2.0028670989999999</v>
      </c>
      <c r="L143" s="143">
        <f t="shared" si="65"/>
        <v>2.0028670989999999</v>
      </c>
      <c r="M143" s="143">
        <f t="shared" si="65"/>
        <v>2.0028670989999999</v>
      </c>
      <c r="N143" s="143">
        <f t="shared" si="65"/>
        <v>2.0028670989999999</v>
      </c>
      <c r="O143" s="143">
        <f t="shared" si="65"/>
        <v>2.0028670989999999</v>
      </c>
      <c r="P143" s="143">
        <f t="shared" si="65"/>
        <v>2.0028670989999999</v>
      </c>
      <c r="Q143" s="143">
        <f t="shared" si="65"/>
        <v>2.0028670989999999</v>
      </c>
      <c r="R143" s="143">
        <f t="shared" si="65"/>
        <v>2.0028670989999999</v>
      </c>
      <c r="S143" s="143">
        <f t="shared" si="65"/>
        <v>2.0028670989999999</v>
      </c>
    </row>
    <row r="144" spans="2:19" s="33" customFormat="1" x14ac:dyDescent="0.35">
      <c r="B144" s="126" t="s">
        <v>848</v>
      </c>
      <c r="C144" s="78"/>
      <c r="D144" s="143"/>
      <c r="E144" s="143">
        <f>0.121180635+0.52</f>
        <v>0.641180635</v>
      </c>
      <c r="F144" s="170">
        <f>3554219.33/10^7</f>
        <v>0.35542193300000002</v>
      </c>
      <c r="G144" s="170">
        <v>0.55597810000000003</v>
      </c>
      <c r="H144" s="170">
        <v>0.43753320000000001</v>
      </c>
      <c r="I144" s="170">
        <v>0</v>
      </c>
      <c r="J144" s="143">
        <f>I144</f>
        <v>0</v>
      </c>
      <c r="K144" s="143">
        <f t="shared" ref="K144:S144" si="66">J144</f>
        <v>0</v>
      </c>
      <c r="L144" s="143">
        <f t="shared" si="66"/>
        <v>0</v>
      </c>
      <c r="M144" s="143">
        <f t="shared" si="66"/>
        <v>0</v>
      </c>
      <c r="N144" s="143">
        <f t="shared" si="66"/>
        <v>0</v>
      </c>
      <c r="O144" s="143">
        <f t="shared" si="66"/>
        <v>0</v>
      </c>
      <c r="P144" s="143">
        <f t="shared" si="66"/>
        <v>0</v>
      </c>
      <c r="Q144" s="143">
        <f t="shared" si="66"/>
        <v>0</v>
      </c>
      <c r="R144" s="143">
        <f t="shared" si="66"/>
        <v>0</v>
      </c>
      <c r="S144" s="143">
        <f t="shared" si="66"/>
        <v>0</v>
      </c>
    </row>
    <row r="145" spans="2:19" s="33" customFormat="1" x14ac:dyDescent="0.35">
      <c r="B145" s="126" t="s">
        <v>800</v>
      </c>
      <c r="C145" s="78"/>
      <c r="D145" s="143"/>
      <c r="E145" s="143">
        <v>0.33</v>
      </c>
      <c r="F145" s="170">
        <f>5995544/10^7</f>
        <v>0.59955440000000004</v>
      </c>
      <c r="G145" s="170">
        <v>0.63263139999999995</v>
      </c>
      <c r="H145" s="170">
        <v>0.60752200000000001</v>
      </c>
      <c r="I145" s="170">
        <f>7645693.74/10^7</f>
        <v>0.76456937400000002</v>
      </c>
      <c r="J145" s="143">
        <f>I145</f>
        <v>0.76456937400000002</v>
      </c>
      <c r="K145" s="143">
        <f t="shared" ref="K145:S145" si="67">J145</f>
        <v>0.76456937400000002</v>
      </c>
      <c r="L145" s="143">
        <f t="shared" si="67"/>
        <v>0.76456937400000002</v>
      </c>
      <c r="M145" s="143">
        <f t="shared" si="67"/>
        <v>0.76456937400000002</v>
      </c>
      <c r="N145" s="143">
        <f t="shared" si="67"/>
        <v>0.76456937400000002</v>
      </c>
      <c r="O145" s="143">
        <f t="shared" si="67"/>
        <v>0.76456937400000002</v>
      </c>
      <c r="P145" s="143">
        <f t="shared" si="67"/>
        <v>0.76456937400000002</v>
      </c>
      <c r="Q145" s="143">
        <f t="shared" si="67"/>
        <v>0.76456937400000002</v>
      </c>
      <c r="R145" s="143">
        <f t="shared" si="67"/>
        <v>0.76456937400000002</v>
      </c>
      <c r="S145" s="143">
        <f t="shared" si="67"/>
        <v>0.76456937400000002</v>
      </c>
    </row>
    <row r="146" spans="2:19" s="33" customFormat="1" x14ac:dyDescent="0.35">
      <c r="B146" s="126" t="s">
        <v>849</v>
      </c>
      <c r="C146" s="78"/>
      <c r="D146" s="143"/>
      <c r="E146" s="143">
        <v>1.173764187</v>
      </c>
      <c r="F146" s="170">
        <f>50785869/10^7</f>
        <v>5.0785869000000003</v>
      </c>
      <c r="G146" s="170">
        <v>1.9323302</v>
      </c>
      <c r="H146" s="170">
        <v>0.1188742</v>
      </c>
      <c r="I146" s="170">
        <f>33278290.89/10^7</f>
        <v>3.3278290890000002</v>
      </c>
      <c r="J146" s="143">
        <f>H146</f>
        <v>0.1188742</v>
      </c>
      <c r="K146" s="143">
        <f t="shared" ref="K146:S146" si="68">J146</f>
        <v>0.1188742</v>
      </c>
      <c r="L146" s="143">
        <f t="shared" si="68"/>
        <v>0.1188742</v>
      </c>
      <c r="M146" s="143">
        <f t="shared" si="68"/>
        <v>0.1188742</v>
      </c>
      <c r="N146" s="143">
        <f t="shared" si="68"/>
        <v>0.1188742</v>
      </c>
      <c r="O146" s="143">
        <f t="shared" si="68"/>
        <v>0.1188742</v>
      </c>
      <c r="P146" s="143">
        <f t="shared" si="68"/>
        <v>0.1188742</v>
      </c>
      <c r="Q146" s="143">
        <f t="shared" si="68"/>
        <v>0.1188742</v>
      </c>
      <c r="R146" s="143">
        <f t="shared" si="68"/>
        <v>0.1188742</v>
      </c>
      <c r="S146" s="143">
        <f t="shared" si="68"/>
        <v>0.1188742</v>
      </c>
    </row>
    <row r="147" spans="2:19" s="33" customFormat="1" x14ac:dyDescent="0.35">
      <c r="B147" s="126" t="s">
        <v>850</v>
      </c>
      <c r="C147" s="78"/>
      <c r="D147" s="143"/>
      <c r="E147" s="143">
        <v>1.1256769390000001</v>
      </c>
      <c r="F147" s="170">
        <f>1887204/10^7</f>
        <v>0.18872040000000001</v>
      </c>
      <c r="G147" s="170">
        <v>6.2424300000000002E-2</v>
      </c>
      <c r="H147" s="170">
        <v>1.2310000000000001E-3</v>
      </c>
      <c r="I147" s="170">
        <f>369146.6/10^7</f>
        <v>3.6914659999999995E-2</v>
      </c>
      <c r="J147" s="63">
        <f>H147</f>
        <v>1.2310000000000001E-3</v>
      </c>
      <c r="K147" s="143">
        <f t="shared" ref="K147:S147" si="69">J147</f>
        <v>1.2310000000000001E-3</v>
      </c>
      <c r="L147" s="143">
        <f t="shared" si="69"/>
        <v>1.2310000000000001E-3</v>
      </c>
      <c r="M147" s="143">
        <f t="shared" si="69"/>
        <v>1.2310000000000001E-3</v>
      </c>
      <c r="N147" s="143">
        <f t="shared" si="69"/>
        <v>1.2310000000000001E-3</v>
      </c>
      <c r="O147" s="143">
        <f t="shared" si="69"/>
        <v>1.2310000000000001E-3</v>
      </c>
      <c r="P147" s="143">
        <f t="shared" si="69"/>
        <v>1.2310000000000001E-3</v>
      </c>
      <c r="Q147" s="143">
        <f t="shared" si="69"/>
        <v>1.2310000000000001E-3</v>
      </c>
      <c r="R147" s="143">
        <f t="shared" si="69"/>
        <v>1.2310000000000001E-3</v>
      </c>
      <c r="S147" s="143">
        <f t="shared" si="69"/>
        <v>1.2310000000000001E-3</v>
      </c>
    </row>
    <row r="148" spans="2:19" s="33" customFormat="1" x14ac:dyDescent="0.35">
      <c r="B148" s="126" t="s">
        <v>851</v>
      </c>
      <c r="C148" s="78"/>
      <c r="D148" s="143"/>
      <c r="E148" s="143">
        <v>0.29266071700000001</v>
      </c>
      <c r="F148" s="170">
        <v>0.21368414599999999</v>
      </c>
      <c r="G148" s="170">
        <v>0.20480499999999999</v>
      </c>
      <c r="H148" s="170">
        <v>0.1852541</v>
      </c>
      <c r="I148" s="170">
        <f>948413.32/10^7</f>
        <v>9.4841332E-2</v>
      </c>
      <c r="J148" s="143">
        <f>I148</f>
        <v>9.4841332E-2</v>
      </c>
      <c r="K148" s="143">
        <f t="shared" ref="K148:S148" si="70">J148</f>
        <v>9.4841332E-2</v>
      </c>
      <c r="L148" s="143">
        <f t="shared" si="70"/>
        <v>9.4841332E-2</v>
      </c>
      <c r="M148" s="143">
        <f t="shared" si="70"/>
        <v>9.4841332E-2</v>
      </c>
      <c r="N148" s="143">
        <f t="shared" si="70"/>
        <v>9.4841332E-2</v>
      </c>
      <c r="O148" s="143">
        <f t="shared" si="70"/>
        <v>9.4841332E-2</v>
      </c>
      <c r="P148" s="143">
        <f t="shared" si="70"/>
        <v>9.4841332E-2</v>
      </c>
      <c r="Q148" s="143">
        <f t="shared" si="70"/>
        <v>9.4841332E-2</v>
      </c>
      <c r="R148" s="143">
        <f t="shared" si="70"/>
        <v>9.4841332E-2</v>
      </c>
      <c r="S148" s="143">
        <f t="shared" si="70"/>
        <v>9.4841332E-2</v>
      </c>
    </row>
    <row r="149" spans="2:19" s="33" customFormat="1" x14ac:dyDescent="0.35">
      <c r="B149" s="106" t="s">
        <v>801</v>
      </c>
      <c r="C149" s="299"/>
      <c r="D149" s="169"/>
      <c r="E149" s="169">
        <f t="shared" ref="E149:R149" si="71">SUM(E142:E148)</f>
        <v>7.5066850650000001</v>
      </c>
      <c r="F149" s="169">
        <f t="shared" si="71"/>
        <v>11.390462706999999</v>
      </c>
      <c r="G149" s="169">
        <f t="shared" si="71"/>
        <v>8.8630156000000007</v>
      </c>
      <c r="H149" s="169">
        <f t="shared" si="71"/>
        <v>10.174897300000001</v>
      </c>
      <c r="I149" s="169">
        <f t="shared" si="71"/>
        <v>16.232491026000002</v>
      </c>
      <c r="J149" s="169">
        <f t="shared" si="71"/>
        <v>2.9823830050000004</v>
      </c>
      <c r="K149" s="169">
        <f t="shared" si="71"/>
        <v>2.9823830050000004</v>
      </c>
      <c r="L149" s="169">
        <f t="shared" si="71"/>
        <v>2.9823830050000004</v>
      </c>
      <c r="M149" s="169">
        <f t="shared" si="71"/>
        <v>2.9823830050000004</v>
      </c>
      <c r="N149" s="169">
        <f t="shared" si="71"/>
        <v>2.9823830050000004</v>
      </c>
      <c r="O149" s="169">
        <f t="shared" si="71"/>
        <v>2.9823830050000004</v>
      </c>
      <c r="P149" s="169">
        <f t="shared" si="71"/>
        <v>2.9823830050000004</v>
      </c>
      <c r="Q149" s="169">
        <f t="shared" si="71"/>
        <v>2.9823830050000004</v>
      </c>
      <c r="R149" s="169">
        <f t="shared" si="71"/>
        <v>2.9823830050000004</v>
      </c>
      <c r="S149" s="169">
        <f>SUM(S142:S148)</f>
        <v>2.9823830050000004</v>
      </c>
    </row>
    <row r="150" spans="2:19" x14ac:dyDescent="0.35">
      <c r="B150" s="581"/>
      <c r="C150" s="579"/>
      <c r="D150" s="143"/>
      <c r="E150" s="143"/>
      <c r="F150" s="143"/>
      <c r="G150" s="170"/>
      <c r="H150" s="170"/>
      <c r="I150" s="170"/>
      <c r="J150" s="143"/>
      <c r="K150" s="143"/>
      <c r="L150" s="143"/>
      <c r="M150" s="143"/>
      <c r="N150" s="143"/>
      <c r="O150" s="143"/>
      <c r="P150" s="143"/>
      <c r="Q150" s="143"/>
      <c r="R150" s="143"/>
      <c r="S150" s="143"/>
    </row>
    <row r="151" spans="2:19" x14ac:dyDescent="0.35">
      <c r="B151" s="429" t="s">
        <v>993</v>
      </c>
      <c r="C151" s="56"/>
      <c r="D151" s="56"/>
      <c r="E151" s="56">
        <f t="shared" ref="E151:S151" si="72">E5</f>
        <v>43190</v>
      </c>
      <c r="F151" s="56">
        <f t="shared" si="72"/>
        <v>43555</v>
      </c>
      <c r="G151" s="56">
        <f t="shared" si="72"/>
        <v>43921</v>
      </c>
      <c r="H151" s="56">
        <f t="shared" si="72"/>
        <v>44286</v>
      </c>
      <c r="I151" s="56">
        <f t="shared" si="72"/>
        <v>44651</v>
      </c>
      <c r="J151" s="56">
        <f t="shared" si="72"/>
        <v>45016</v>
      </c>
      <c r="K151" s="56">
        <f t="shared" si="72"/>
        <v>45382</v>
      </c>
      <c r="L151" s="56">
        <f t="shared" si="72"/>
        <v>45747</v>
      </c>
      <c r="M151" s="56">
        <f t="shared" si="72"/>
        <v>46112</v>
      </c>
      <c r="N151" s="56">
        <f t="shared" si="72"/>
        <v>46477</v>
      </c>
      <c r="O151" s="56">
        <f t="shared" si="72"/>
        <v>46843</v>
      </c>
      <c r="P151" s="56">
        <f t="shared" si="72"/>
        <v>47208</v>
      </c>
      <c r="Q151" s="56">
        <f t="shared" si="72"/>
        <v>47573</v>
      </c>
      <c r="R151" s="56">
        <f t="shared" si="72"/>
        <v>47938</v>
      </c>
      <c r="S151" s="56">
        <f t="shared" si="72"/>
        <v>48304</v>
      </c>
    </row>
    <row r="152" spans="2:19" s="607" customFormat="1" x14ac:dyDescent="0.35">
      <c r="B152" s="130" t="s">
        <v>994</v>
      </c>
      <c r="C152" s="130"/>
      <c r="D152" s="130"/>
      <c r="E152" s="130"/>
      <c r="F152" s="130"/>
      <c r="G152" s="130"/>
      <c r="H152" s="130"/>
      <c r="I152" s="130"/>
      <c r="J152" s="130"/>
      <c r="K152" s="130"/>
      <c r="L152" s="130"/>
      <c r="M152" s="130"/>
      <c r="N152" s="130"/>
      <c r="O152" s="130"/>
      <c r="P152" s="130"/>
      <c r="Q152" s="130"/>
      <c r="R152" s="130"/>
      <c r="S152" s="130"/>
    </row>
    <row r="153" spans="2:19" s="606" customFormat="1" x14ac:dyDescent="0.35">
      <c r="B153" s="581" t="s">
        <v>601</v>
      </c>
      <c r="C153" s="106"/>
      <c r="D153" s="106"/>
      <c r="E153" s="143">
        <f>Assumptions!E17</f>
        <v>1476.4185062000001</v>
      </c>
      <c r="F153" s="143">
        <f>Assumptions!F17</f>
        <v>1676.1591172999999</v>
      </c>
      <c r="G153" s="143">
        <f>Assumptions!G17</f>
        <v>1584.5986722999999</v>
      </c>
      <c r="H153" s="143">
        <f>Assumptions!H17</f>
        <v>1560.3393888999999</v>
      </c>
      <c r="I153" s="143">
        <f>Assumptions!I17</f>
        <v>1258.9448130999999</v>
      </c>
      <c r="J153" s="143">
        <f>Assumptions!J17</f>
        <v>1450</v>
      </c>
      <c r="K153" s="143">
        <f>Assumptions!K17</f>
        <v>1600</v>
      </c>
      <c r="L153" s="143">
        <f>Assumptions!L17</f>
        <v>1650</v>
      </c>
      <c r="M153" s="143">
        <f>Assumptions!M17</f>
        <v>1650</v>
      </c>
      <c r="N153" s="143">
        <f>Assumptions!N17</f>
        <v>1650</v>
      </c>
      <c r="O153" s="143">
        <f>Assumptions!O17</f>
        <v>1650</v>
      </c>
      <c r="P153" s="143">
        <f>Assumptions!P17</f>
        <v>1650</v>
      </c>
      <c r="Q153" s="143">
        <f>Assumptions!Q17</f>
        <v>1650</v>
      </c>
      <c r="R153" s="143">
        <f>Assumptions!R17</f>
        <v>1650</v>
      </c>
      <c r="S153" s="143">
        <f>Assumptions!S17</f>
        <v>1650</v>
      </c>
    </row>
    <row r="154" spans="2:19" s="606" customFormat="1" x14ac:dyDescent="0.35">
      <c r="B154" s="581" t="s">
        <v>1003</v>
      </c>
      <c r="C154" s="579" t="s">
        <v>675</v>
      </c>
      <c r="D154" s="106"/>
      <c r="E154" s="170">
        <v>418.68597650073303</v>
      </c>
      <c r="F154" s="170">
        <v>489.67955300000006</v>
      </c>
      <c r="G154" s="170">
        <v>438.57490489999992</v>
      </c>
      <c r="H154" s="170">
        <v>439.31455010000008</v>
      </c>
      <c r="I154" s="170">
        <f>((93138.95+36428.31)+3406312.08+168646)/10^4</f>
        <v>370.45253399999996</v>
      </c>
      <c r="J154" s="143">
        <f>'Stock movement'!J57+'Stock movement'!J66</f>
        <v>398.85879647872116</v>
      </c>
      <c r="K154" s="143">
        <f>'Stock movement'!K57+'Stock movement'!K66</f>
        <v>435.57021735562205</v>
      </c>
      <c r="L154" s="143">
        <f>'Stock movement'!L57+'Stock movement'!L66</f>
        <v>451.27553664798523</v>
      </c>
      <c r="M154" s="143">
        <f>'Stock movement'!M57+'Stock movement'!M66</f>
        <v>452.27553664798523</v>
      </c>
      <c r="N154" s="143">
        <f>'Stock movement'!N57+'Stock movement'!N66</f>
        <v>452.27553664798523</v>
      </c>
      <c r="O154" s="143">
        <f>'Stock movement'!O57+'Stock movement'!O66</f>
        <v>452.27553664798523</v>
      </c>
      <c r="P154" s="143">
        <f>'Stock movement'!P57+'Stock movement'!P66</f>
        <v>452.27553664798523</v>
      </c>
      <c r="Q154" s="143">
        <f>'Stock movement'!Q57+'Stock movement'!Q66</f>
        <v>452.27553664798523</v>
      </c>
      <c r="R154" s="143">
        <f>'Stock movement'!R57+'Stock movement'!R66</f>
        <v>452.27553664798523</v>
      </c>
      <c r="S154" s="143">
        <f>'Stock movement'!S57+'Stock movement'!S66</f>
        <v>452.27553664798523</v>
      </c>
    </row>
    <row r="155" spans="2:19" s="606" customFormat="1" x14ac:dyDescent="0.35">
      <c r="B155" s="581" t="s">
        <v>940</v>
      </c>
      <c r="C155" s="581" t="s">
        <v>999</v>
      </c>
      <c r="D155" s="106"/>
      <c r="E155" s="63">
        <f>E156/E154</f>
        <v>2.1995557077092305</v>
      </c>
      <c r="F155" s="63">
        <f>F156/F154</f>
        <v>2.1401793552119175</v>
      </c>
      <c r="G155" s="63">
        <f>G156/G154</f>
        <v>2.1455244919098888</v>
      </c>
      <c r="H155" s="63">
        <f>H156/H154</f>
        <v>2.1168007519630745</v>
      </c>
      <c r="I155" s="63">
        <f>I156/I154</f>
        <v>2.0964071391667147</v>
      </c>
      <c r="J155" s="63">
        <f>Assumptions!J76</f>
        <v>2.1</v>
      </c>
      <c r="K155" s="63">
        <f>Assumptions!K76</f>
        <v>2.1</v>
      </c>
      <c r="L155" s="63">
        <f>Assumptions!L76</f>
        <v>2.1</v>
      </c>
      <c r="M155" s="63">
        <f>Assumptions!M76</f>
        <v>2.1</v>
      </c>
      <c r="N155" s="63">
        <f>Assumptions!N76</f>
        <v>2.1</v>
      </c>
      <c r="O155" s="63">
        <f>Assumptions!O76</f>
        <v>2.1</v>
      </c>
      <c r="P155" s="63">
        <f>Assumptions!P76</f>
        <v>2.1</v>
      </c>
      <c r="Q155" s="63">
        <f>Assumptions!Q76</f>
        <v>2.1</v>
      </c>
      <c r="R155" s="63">
        <f>Assumptions!R76</f>
        <v>2.1</v>
      </c>
      <c r="S155" s="63">
        <f>Assumptions!S76</f>
        <v>2.1</v>
      </c>
    </row>
    <row r="156" spans="2:19" s="606" customFormat="1" x14ac:dyDescent="0.35">
      <c r="B156" s="581" t="s">
        <v>941</v>
      </c>
      <c r="C156" s="579" t="s">
        <v>675</v>
      </c>
      <c r="D156" s="106"/>
      <c r="E156" s="650">
        <v>920.92312935000007</v>
      </c>
      <c r="F156" s="650">
        <v>1048.00207</v>
      </c>
      <c r="G156" s="650">
        <v>940.97320000000013</v>
      </c>
      <c r="H156" s="650">
        <v>929.94136999999989</v>
      </c>
      <c r="I156" s="650">
        <f>(273938.93+7492254.44)/10^4</f>
        <v>776.61933699999997</v>
      </c>
      <c r="J156" s="169">
        <f t="shared" ref="J156:S156" si="73">J154*J155</f>
        <v>837.60347260531444</v>
      </c>
      <c r="K156" s="169">
        <f t="shared" si="73"/>
        <v>914.69745644680631</v>
      </c>
      <c r="L156" s="169">
        <f t="shared" si="73"/>
        <v>947.67862696076907</v>
      </c>
      <c r="M156" s="169">
        <f t="shared" si="73"/>
        <v>949.77862696076909</v>
      </c>
      <c r="N156" s="169">
        <f t="shared" si="73"/>
        <v>949.77862696076909</v>
      </c>
      <c r="O156" s="169">
        <f t="shared" si="73"/>
        <v>949.77862696076909</v>
      </c>
      <c r="P156" s="169">
        <f t="shared" si="73"/>
        <v>949.77862696076909</v>
      </c>
      <c r="Q156" s="169">
        <f t="shared" si="73"/>
        <v>949.77862696076909</v>
      </c>
      <c r="R156" s="169">
        <f t="shared" si="73"/>
        <v>949.77862696076909</v>
      </c>
      <c r="S156" s="169">
        <f t="shared" si="73"/>
        <v>949.77862696076909</v>
      </c>
    </row>
    <row r="157" spans="2:19" s="606" customFormat="1" x14ac:dyDescent="0.35">
      <c r="B157" s="106"/>
      <c r="C157" s="106"/>
      <c r="D157" s="106"/>
      <c r="E157" s="143"/>
      <c r="F157" s="143"/>
      <c r="G157" s="143"/>
      <c r="H157" s="143"/>
      <c r="I157" s="143"/>
      <c r="J157" s="143"/>
      <c r="K157" s="143"/>
      <c r="L157" s="143"/>
      <c r="M157" s="143"/>
      <c r="N157" s="143"/>
      <c r="O157" s="143"/>
      <c r="P157" s="143"/>
      <c r="Q157" s="143"/>
      <c r="R157" s="143"/>
      <c r="S157" s="143"/>
    </row>
    <row r="158" spans="2:19" s="606" customFormat="1" x14ac:dyDescent="0.35">
      <c r="B158" s="500" t="s">
        <v>936</v>
      </c>
      <c r="C158" s="503"/>
      <c r="D158" s="106"/>
      <c r="E158" s="106"/>
      <c r="F158" s="106"/>
      <c r="G158" s="106"/>
      <c r="H158" s="169"/>
      <c r="I158" s="169"/>
      <c r="J158" s="106"/>
      <c r="K158" s="106"/>
      <c r="L158" s="106"/>
      <c r="M158" s="106"/>
      <c r="N158" s="106"/>
      <c r="O158" s="106"/>
      <c r="P158" s="106"/>
      <c r="Q158" s="106"/>
      <c r="R158" s="106"/>
      <c r="S158" s="106"/>
    </row>
    <row r="159" spans="2:19" s="606" customFormat="1" x14ac:dyDescent="0.35">
      <c r="B159" s="626" t="s">
        <v>937</v>
      </c>
      <c r="C159" s="604" t="s">
        <v>1033</v>
      </c>
      <c r="D159" s="106"/>
      <c r="E159" s="648">
        <f t="shared" ref="E159:H161" si="74">E163/E$153</f>
        <v>9.4769436587545802E-2</v>
      </c>
      <c r="F159" s="648">
        <f t="shared" si="74"/>
        <v>9.89728423082092E-2</v>
      </c>
      <c r="G159" s="648">
        <f t="shared" si="74"/>
        <v>0.15847478569164014</v>
      </c>
      <c r="H159" s="648">
        <f t="shared" si="74"/>
        <v>0.16415533301416615</v>
      </c>
      <c r="I159" s="648">
        <f t="shared" ref="I159" si="75">I163/I$153</f>
        <v>0.13508616281696487</v>
      </c>
      <c r="J159" s="648">
        <f>Assumptions!J78</f>
        <v>0.15</v>
      </c>
      <c r="K159" s="648">
        <f>Assumptions!K78</f>
        <v>0.15</v>
      </c>
      <c r="L159" s="648">
        <f>Assumptions!L78</f>
        <v>0.15</v>
      </c>
      <c r="M159" s="648">
        <f>Assumptions!M78</f>
        <v>0.15</v>
      </c>
      <c r="N159" s="648">
        <f>Assumptions!N78</f>
        <v>0.15</v>
      </c>
      <c r="O159" s="648">
        <f>Assumptions!O78</f>
        <v>0.15</v>
      </c>
      <c r="P159" s="648">
        <f>Assumptions!P78</f>
        <v>0.15</v>
      </c>
      <c r="Q159" s="648">
        <f>Assumptions!Q78</f>
        <v>0.15</v>
      </c>
      <c r="R159" s="648">
        <f>Assumptions!R78</f>
        <v>0.15</v>
      </c>
      <c r="S159" s="648">
        <f>Assumptions!S78</f>
        <v>0.15</v>
      </c>
    </row>
    <row r="160" spans="2:19" s="606" customFormat="1" x14ac:dyDescent="0.35">
      <c r="B160" s="626" t="s">
        <v>938</v>
      </c>
      <c r="C160" s="604" t="s">
        <v>1033</v>
      </c>
      <c r="D160" s="106"/>
      <c r="E160" s="648">
        <f t="shared" si="74"/>
        <v>0.44239228732040931</v>
      </c>
      <c r="F160" s="648">
        <f t="shared" si="74"/>
        <v>0.45308279635368004</v>
      </c>
      <c r="G160" s="648">
        <f t="shared" si="74"/>
        <v>0.38863425532607654</v>
      </c>
      <c r="H160" s="648">
        <f t="shared" si="74"/>
        <v>0.37302249058156817</v>
      </c>
      <c r="I160" s="648">
        <f t="shared" ref="I160" si="76">I164/I$153</f>
        <v>0.37298192828941884</v>
      </c>
      <c r="J160" s="648">
        <f>Assumptions!J79</f>
        <v>0.33</v>
      </c>
      <c r="K160" s="648">
        <f>Assumptions!K79</f>
        <v>0.33</v>
      </c>
      <c r="L160" s="648">
        <f>Assumptions!L79</f>
        <v>0.33</v>
      </c>
      <c r="M160" s="648">
        <f>Assumptions!M79</f>
        <v>0.33</v>
      </c>
      <c r="N160" s="648">
        <f>Assumptions!N79</f>
        <v>0.33</v>
      </c>
      <c r="O160" s="648">
        <f>Assumptions!O79</f>
        <v>0.33</v>
      </c>
      <c r="P160" s="648">
        <f>Assumptions!P79</f>
        <v>0.33</v>
      </c>
      <c r="Q160" s="648">
        <f>Assumptions!Q79</f>
        <v>0.33</v>
      </c>
      <c r="R160" s="648">
        <f>Assumptions!R79</f>
        <v>0.33</v>
      </c>
      <c r="S160" s="648">
        <f>Assumptions!S79</f>
        <v>0.33</v>
      </c>
    </row>
    <row r="161" spans="2:19" s="606" customFormat="1" x14ac:dyDescent="0.35">
      <c r="B161" s="601" t="s">
        <v>34</v>
      </c>
      <c r="C161" s="604" t="s">
        <v>1033</v>
      </c>
      <c r="D161" s="106"/>
      <c r="E161" s="648">
        <f t="shared" si="74"/>
        <v>2.8319076108540853</v>
      </c>
      <c r="F161" s="648">
        <f t="shared" si="74"/>
        <v>2.757754768937891</v>
      </c>
      <c r="G161" s="648">
        <f t="shared" si="74"/>
        <v>2.7356530226452791</v>
      </c>
      <c r="H161" s="648">
        <f t="shared" si="74"/>
        <v>2.6918941087945512</v>
      </c>
      <c r="I161" s="648">
        <f t="shared" ref="I161" si="77">I165/I$153</f>
        <v>2.6828435970463116</v>
      </c>
      <c r="J161" s="648">
        <f>Assumptions!J80</f>
        <v>2.72</v>
      </c>
      <c r="K161" s="648">
        <f>Assumptions!K80</f>
        <v>2.72</v>
      </c>
      <c r="L161" s="648">
        <f>Assumptions!L80</f>
        <v>2.72</v>
      </c>
      <c r="M161" s="648">
        <f>Assumptions!M80</f>
        <v>2.72</v>
      </c>
      <c r="N161" s="648">
        <f>Assumptions!N80</f>
        <v>2.72</v>
      </c>
      <c r="O161" s="648">
        <f>Assumptions!O80</f>
        <v>2.72</v>
      </c>
      <c r="P161" s="648">
        <f>Assumptions!P80</f>
        <v>2.72</v>
      </c>
      <c r="Q161" s="648">
        <f>Assumptions!Q80</f>
        <v>2.72</v>
      </c>
      <c r="R161" s="648">
        <f>Assumptions!R80</f>
        <v>2.72</v>
      </c>
      <c r="S161" s="648">
        <f>Assumptions!S80</f>
        <v>2.72</v>
      </c>
    </row>
    <row r="162" spans="2:19" s="606" customFormat="1" x14ac:dyDescent="0.35">
      <c r="B162" s="500" t="s">
        <v>1474</v>
      </c>
      <c r="C162" s="605"/>
      <c r="D162" s="106"/>
      <c r="E162" s="106"/>
      <c r="F162" s="106"/>
      <c r="G162" s="106"/>
      <c r="H162" s="106"/>
      <c r="I162" s="106"/>
      <c r="J162" s="106"/>
      <c r="K162" s="106"/>
      <c r="L162" s="106"/>
      <c r="M162" s="106"/>
      <c r="N162" s="106"/>
      <c r="O162" s="106"/>
      <c r="P162" s="106"/>
      <c r="Q162" s="106"/>
      <c r="R162" s="106"/>
      <c r="S162" s="106"/>
    </row>
    <row r="163" spans="2:19" s="606" customFormat="1" x14ac:dyDescent="0.35">
      <c r="B163" s="626" t="s">
        <v>937</v>
      </c>
      <c r="C163" s="604" t="s">
        <v>675</v>
      </c>
      <c r="D163" s="106"/>
      <c r="E163" s="170">
        <v>139.91935000000001</v>
      </c>
      <c r="F163" s="170">
        <v>165.89423200000002</v>
      </c>
      <c r="G163" s="170">
        <v>251.11893499999999</v>
      </c>
      <c r="H163" s="170">
        <v>256.13803200000001</v>
      </c>
      <c r="I163" s="170">
        <f>1700660.24/10^4</f>
        <v>170.066024</v>
      </c>
      <c r="J163" s="143">
        <f t="shared" ref="J163:R163" si="78">J$153*J159</f>
        <v>217.5</v>
      </c>
      <c r="K163" s="143">
        <f t="shared" si="78"/>
        <v>240</v>
      </c>
      <c r="L163" s="143">
        <f t="shared" si="78"/>
        <v>247.5</v>
      </c>
      <c r="M163" s="143">
        <f t="shared" si="78"/>
        <v>247.5</v>
      </c>
      <c r="N163" s="143">
        <f t="shared" si="78"/>
        <v>247.5</v>
      </c>
      <c r="O163" s="143">
        <f t="shared" si="78"/>
        <v>247.5</v>
      </c>
      <c r="P163" s="143">
        <f t="shared" si="78"/>
        <v>247.5</v>
      </c>
      <c r="Q163" s="143">
        <f t="shared" si="78"/>
        <v>247.5</v>
      </c>
      <c r="R163" s="143">
        <f t="shared" si="78"/>
        <v>247.5</v>
      </c>
      <c r="S163" s="143">
        <f>S$153*S159</f>
        <v>247.5</v>
      </c>
    </row>
    <row r="164" spans="2:19" s="606" customFormat="1" x14ac:dyDescent="0.35">
      <c r="B164" s="626" t="s">
        <v>938</v>
      </c>
      <c r="C164" s="604" t="s">
        <v>675</v>
      </c>
      <c r="D164" s="106"/>
      <c r="E164" s="170">
        <v>653.15616</v>
      </c>
      <c r="F164" s="170">
        <v>759.43885999999998</v>
      </c>
      <c r="G164" s="170">
        <v>615.82932500000004</v>
      </c>
      <c r="H164" s="170">
        <v>582.04168500000003</v>
      </c>
      <c r="I164" s="170">
        <f>4695636.64/10^4</f>
        <v>469.56366399999996</v>
      </c>
      <c r="J164" s="143">
        <f t="shared" ref="J164:R164" si="79">J$153*J160</f>
        <v>478.5</v>
      </c>
      <c r="K164" s="143">
        <f t="shared" si="79"/>
        <v>528</v>
      </c>
      <c r="L164" s="143">
        <f t="shared" si="79"/>
        <v>544.5</v>
      </c>
      <c r="M164" s="143">
        <f t="shared" si="79"/>
        <v>544.5</v>
      </c>
      <c r="N164" s="143">
        <f t="shared" si="79"/>
        <v>544.5</v>
      </c>
      <c r="O164" s="143">
        <f t="shared" si="79"/>
        <v>544.5</v>
      </c>
      <c r="P164" s="143">
        <f t="shared" si="79"/>
        <v>544.5</v>
      </c>
      <c r="Q164" s="143">
        <f t="shared" si="79"/>
        <v>544.5</v>
      </c>
      <c r="R164" s="143">
        <f t="shared" si="79"/>
        <v>544.5</v>
      </c>
      <c r="S164" s="143">
        <f>S$153*S160</f>
        <v>544.5</v>
      </c>
    </row>
    <row r="165" spans="2:19" s="606" customFormat="1" x14ac:dyDescent="0.35">
      <c r="B165" s="601" t="s">
        <v>34</v>
      </c>
      <c r="C165" s="604" t="s">
        <v>1000</v>
      </c>
      <c r="D165" s="106"/>
      <c r="E165" s="170">
        <v>4181.0808045136</v>
      </c>
      <c r="F165" s="170">
        <v>4622.4357992328005</v>
      </c>
      <c r="G165" s="170">
        <v>4334.912147557191</v>
      </c>
      <c r="H165" s="170">
        <v>4200.2684086999998</v>
      </c>
      <c r="I165" s="170">
        <f>337755203.086/10^5</f>
        <v>3377.5520308600003</v>
      </c>
      <c r="J165" s="143">
        <f t="shared" ref="J165:R165" si="80">J$153*J161</f>
        <v>3944.0000000000005</v>
      </c>
      <c r="K165" s="143">
        <f t="shared" si="80"/>
        <v>4352</v>
      </c>
      <c r="L165" s="143">
        <f t="shared" si="80"/>
        <v>4488</v>
      </c>
      <c r="M165" s="143">
        <f t="shared" si="80"/>
        <v>4488</v>
      </c>
      <c r="N165" s="143">
        <f t="shared" si="80"/>
        <v>4488</v>
      </c>
      <c r="O165" s="143">
        <f t="shared" si="80"/>
        <v>4488</v>
      </c>
      <c r="P165" s="143">
        <f t="shared" si="80"/>
        <v>4488</v>
      </c>
      <c r="Q165" s="143">
        <f t="shared" si="80"/>
        <v>4488</v>
      </c>
      <c r="R165" s="143">
        <f t="shared" si="80"/>
        <v>4488</v>
      </c>
      <c r="S165" s="143">
        <f>S$153*S161</f>
        <v>4488</v>
      </c>
    </row>
    <row r="166" spans="2:19" s="606" customFormat="1" x14ac:dyDescent="0.35">
      <c r="B166" s="604" t="s">
        <v>996</v>
      </c>
      <c r="C166" s="143"/>
      <c r="D166" s="143"/>
      <c r="E166" s="101">
        <f t="shared" ref="E166:S166" si="81">(E164+E163)/E153</f>
        <v>0.53716172390795514</v>
      </c>
      <c r="F166" s="101">
        <f t="shared" si="81"/>
        <v>0.55205563866188923</v>
      </c>
      <c r="G166" s="101">
        <f t="shared" si="81"/>
        <v>0.54710904101771662</v>
      </c>
      <c r="H166" s="101">
        <f t="shared" si="81"/>
        <v>0.53717782359573429</v>
      </c>
      <c r="I166" s="101">
        <f t="shared" si="81"/>
        <v>0.50806809110638373</v>
      </c>
      <c r="J166" s="101">
        <f t="shared" si="81"/>
        <v>0.48</v>
      </c>
      <c r="K166" s="101">
        <f t="shared" si="81"/>
        <v>0.48</v>
      </c>
      <c r="L166" s="101">
        <f t="shared" si="81"/>
        <v>0.48</v>
      </c>
      <c r="M166" s="101">
        <f t="shared" si="81"/>
        <v>0.48</v>
      </c>
      <c r="N166" s="101">
        <f t="shared" si="81"/>
        <v>0.48</v>
      </c>
      <c r="O166" s="101">
        <f t="shared" si="81"/>
        <v>0.48</v>
      </c>
      <c r="P166" s="101">
        <f t="shared" si="81"/>
        <v>0.48</v>
      </c>
      <c r="Q166" s="101">
        <f t="shared" si="81"/>
        <v>0.48</v>
      </c>
      <c r="R166" s="101">
        <f t="shared" si="81"/>
        <v>0.48</v>
      </c>
      <c r="S166" s="101">
        <f t="shared" si="81"/>
        <v>0.48</v>
      </c>
    </row>
    <row r="167" spans="2:19" s="606" customFormat="1" x14ac:dyDescent="0.35">
      <c r="B167" s="143"/>
      <c r="C167" s="143"/>
      <c r="D167" s="143"/>
      <c r="E167" s="101"/>
      <c r="F167" s="101"/>
      <c r="G167" s="101"/>
      <c r="H167" s="101"/>
      <c r="I167" s="101"/>
      <c r="J167" s="101"/>
      <c r="K167" s="101"/>
      <c r="L167" s="101"/>
      <c r="M167" s="101"/>
      <c r="N167" s="101"/>
      <c r="O167" s="101"/>
      <c r="P167" s="101"/>
      <c r="Q167" s="101"/>
      <c r="R167" s="101"/>
      <c r="S167" s="101"/>
    </row>
    <row r="168" spans="2:19" s="607" customFormat="1" x14ac:dyDescent="0.35">
      <c r="B168" s="130" t="s">
        <v>995</v>
      </c>
      <c r="C168" s="130"/>
      <c r="D168" s="130"/>
      <c r="E168" s="130"/>
      <c r="F168" s="130"/>
      <c r="G168" s="130"/>
      <c r="H168" s="130"/>
      <c r="I168" s="130"/>
      <c r="J168" s="130"/>
      <c r="K168" s="130"/>
      <c r="L168" s="130"/>
      <c r="M168" s="130"/>
      <c r="N168" s="130"/>
      <c r="O168" s="130"/>
      <c r="P168" s="130"/>
      <c r="Q168" s="130"/>
      <c r="R168" s="130"/>
      <c r="S168" s="130"/>
    </row>
    <row r="169" spans="2:19" s="606" customFormat="1" x14ac:dyDescent="0.35">
      <c r="B169" s="601" t="s">
        <v>931</v>
      </c>
      <c r="C169" s="604" t="str">
        <f>Assumptions!C101</f>
        <v>Litres (in Lakhs)</v>
      </c>
      <c r="D169" s="501"/>
      <c r="E169" s="603">
        <f>Assumptions!E101</f>
        <v>1079.26</v>
      </c>
      <c r="F169" s="603">
        <f>Assumptions!F101</f>
        <v>1077.2393399999999</v>
      </c>
      <c r="G169" s="603">
        <f>Assumptions!G101</f>
        <v>572.21398599999998</v>
      </c>
      <c r="H169" s="603">
        <f>Assumptions!H101</f>
        <v>909.03840000000002</v>
      </c>
      <c r="I169" s="603">
        <f>Assumptions!I101</f>
        <v>1732.60463</v>
      </c>
      <c r="J169" s="603">
        <f>Assumptions!J101</f>
        <v>2000.6299039325943</v>
      </c>
      <c r="K169" s="603">
        <f>Assumptions!K101</f>
        <v>2492.2618604534368</v>
      </c>
      <c r="L169" s="603">
        <f>Assumptions!L101</f>
        <v>2557.537795177383</v>
      </c>
      <c r="M169" s="603">
        <f>Assumptions!M101</f>
        <v>2592.9199182372504</v>
      </c>
      <c r="N169" s="603">
        <f>Assumptions!N101</f>
        <v>2594.689024390244</v>
      </c>
      <c r="O169" s="603">
        <f>Assumptions!O101</f>
        <v>2594.689024390244</v>
      </c>
      <c r="P169" s="603">
        <f>Assumptions!P101</f>
        <v>2594.689024390244</v>
      </c>
      <c r="Q169" s="603">
        <f>Assumptions!Q101</f>
        <v>2594.689024390244</v>
      </c>
      <c r="R169" s="603">
        <f>Assumptions!R101</f>
        <v>2594.689024390244</v>
      </c>
      <c r="S169" s="603">
        <f>Assumptions!S101</f>
        <v>2594.689024390244</v>
      </c>
    </row>
    <row r="170" spans="2:19" s="606" customFormat="1" x14ac:dyDescent="0.35">
      <c r="B170" s="500" t="s">
        <v>936</v>
      </c>
      <c r="C170" s="604"/>
      <c r="D170" s="501"/>
      <c r="E170" s="503"/>
      <c r="F170" s="503"/>
      <c r="G170" s="503"/>
      <c r="H170" s="503"/>
      <c r="I170" s="503"/>
      <c r="J170" s="503"/>
      <c r="K170" s="503"/>
      <c r="L170" s="503"/>
      <c r="M170" s="503"/>
      <c r="N170" s="503"/>
      <c r="O170" s="503"/>
      <c r="P170" s="503"/>
      <c r="Q170" s="503"/>
      <c r="R170" s="503"/>
      <c r="S170" s="503"/>
    </row>
    <row r="171" spans="2:19" s="606" customFormat="1" x14ac:dyDescent="0.35">
      <c r="B171" s="601" t="s">
        <v>937</v>
      </c>
      <c r="C171" s="604" t="s">
        <v>1032</v>
      </c>
      <c r="D171" s="501"/>
      <c r="E171" s="649">
        <f t="shared" ref="E171:I173" si="82">E176/E$169*10^5</f>
        <v>1520.9059309156276</v>
      </c>
      <c r="F171" s="649">
        <f t="shared" si="82"/>
        <v>1681.9778416187439</v>
      </c>
      <c r="G171" s="649">
        <f t="shared" si="82"/>
        <v>1786.5064905980821</v>
      </c>
      <c r="H171" s="649">
        <f t="shared" si="82"/>
        <v>1500.0202411691298</v>
      </c>
      <c r="I171" s="649">
        <f t="shared" si="82"/>
        <v>1589.2772374733868</v>
      </c>
      <c r="J171" s="668">
        <f>Assumptions!J82</f>
        <v>1589.2772374733868</v>
      </c>
      <c r="K171" s="668">
        <f>Assumptions!K82</f>
        <v>1589.2772374733868</v>
      </c>
      <c r="L171" s="668">
        <f>Assumptions!L82</f>
        <v>1589.2772374733868</v>
      </c>
      <c r="M171" s="668">
        <f>Assumptions!M82</f>
        <v>1589.2772374733868</v>
      </c>
      <c r="N171" s="668">
        <f>Assumptions!N82</f>
        <v>1589.2772374733868</v>
      </c>
      <c r="O171" s="668">
        <f>Assumptions!O82</f>
        <v>1589.2772374733868</v>
      </c>
      <c r="P171" s="668">
        <f>Assumptions!P82</f>
        <v>1589.2772374733868</v>
      </c>
      <c r="Q171" s="668">
        <f>Assumptions!Q82</f>
        <v>1589.2772374733868</v>
      </c>
      <c r="R171" s="668">
        <f>Assumptions!R82</f>
        <v>1589.2772374733868</v>
      </c>
      <c r="S171" s="668">
        <f>Assumptions!S82</f>
        <v>1589.2772374733868</v>
      </c>
    </row>
    <row r="172" spans="2:19" s="606" customFormat="1" x14ac:dyDescent="0.35">
      <c r="B172" s="601" t="s">
        <v>938</v>
      </c>
      <c r="C172" s="604" t="s">
        <v>1032</v>
      </c>
      <c r="D172" s="501"/>
      <c r="E172" s="649">
        <f t="shared" si="82"/>
        <v>3470.7910976039138</v>
      </c>
      <c r="F172" s="649">
        <f t="shared" si="82"/>
        <v>3620.7555323777915</v>
      </c>
      <c r="G172" s="649">
        <f t="shared" si="82"/>
        <v>4028.0280740988396</v>
      </c>
      <c r="H172" s="649">
        <f t="shared" si="82"/>
        <v>3645.9653409580947</v>
      </c>
      <c r="I172" s="649">
        <f t="shared" si="82"/>
        <v>3463.7145694341129</v>
      </c>
      <c r="J172" s="668">
        <f>Assumptions!J83</f>
        <v>3463.7145694341129</v>
      </c>
      <c r="K172" s="668">
        <f>Assumptions!K83</f>
        <v>3463.7145694341129</v>
      </c>
      <c r="L172" s="668">
        <f>Assumptions!L83</f>
        <v>3463.7145694341129</v>
      </c>
      <c r="M172" s="668">
        <f>Assumptions!M83</f>
        <v>3463.7145694341129</v>
      </c>
      <c r="N172" s="668">
        <f>Assumptions!N83</f>
        <v>3463.7145694341129</v>
      </c>
      <c r="O172" s="668">
        <f>Assumptions!O83</f>
        <v>3463.7145694341129</v>
      </c>
      <c r="P172" s="668">
        <f>Assumptions!P83</f>
        <v>3463.7145694341129</v>
      </c>
      <c r="Q172" s="668">
        <f>Assumptions!Q83</f>
        <v>3463.7145694341129</v>
      </c>
      <c r="R172" s="668">
        <f>Assumptions!R83</f>
        <v>3463.7145694341129</v>
      </c>
      <c r="S172" s="668">
        <f>Assumptions!S83</f>
        <v>3463.7145694341129</v>
      </c>
    </row>
    <row r="173" spans="2:19" s="606" customFormat="1" x14ac:dyDescent="0.35">
      <c r="B173" s="601" t="s">
        <v>34</v>
      </c>
      <c r="C173" s="604" t="s">
        <v>1032</v>
      </c>
      <c r="D173" s="501"/>
      <c r="E173" s="649">
        <f t="shared" si="82"/>
        <v>35594.235466893981</v>
      </c>
      <c r="F173" s="649">
        <f t="shared" si="82"/>
        <v>41402.797367203471</v>
      </c>
      <c r="G173" s="649">
        <f t="shared" si="82"/>
        <v>52921.948143855756</v>
      </c>
      <c r="H173" s="649">
        <f t="shared" si="82"/>
        <v>50966.707138004298</v>
      </c>
      <c r="I173" s="649">
        <f t="shared" si="82"/>
        <v>41323.286080564154</v>
      </c>
      <c r="J173" s="668">
        <f>Assumptions!J84</f>
        <v>39000</v>
      </c>
      <c r="K173" s="668">
        <f>Assumptions!K84</f>
        <v>39000</v>
      </c>
      <c r="L173" s="668">
        <f>Assumptions!L84</f>
        <v>39000</v>
      </c>
      <c r="M173" s="668">
        <f>Assumptions!M84</f>
        <v>39000</v>
      </c>
      <c r="N173" s="668">
        <f>Assumptions!N84</f>
        <v>39000</v>
      </c>
      <c r="O173" s="668">
        <f>Assumptions!O84</f>
        <v>39000</v>
      </c>
      <c r="P173" s="668">
        <f>Assumptions!P84</f>
        <v>39000</v>
      </c>
      <c r="Q173" s="668">
        <f>Assumptions!Q84</f>
        <v>39000</v>
      </c>
      <c r="R173" s="668">
        <f>Assumptions!R84</f>
        <v>39000</v>
      </c>
      <c r="S173" s="668">
        <f>Assumptions!S84</f>
        <v>39000</v>
      </c>
    </row>
    <row r="174" spans="2:19" s="606" customFormat="1" x14ac:dyDescent="0.35">
      <c r="B174" s="601"/>
      <c r="C174" s="604"/>
      <c r="D174" s="501"/>
      <c r="E174" s="627"/>
      <c r="F174" s="627"/>
      <c r="G174" s="627"/>
      <c r="H174" s="627"/>
      <c r="I174" s="627"/>
      <c r="J174" s="627"/>
      <c r="K174" s="627"/>
      <c r="L174" s="627"/>
      <c r="M174" s="627"/>
      <c r="N174" s="627"/>
      <c r="O174" s="627"/>
      <c r="P174" s="627"/>
      <c r="Q174" s="627"/>
      <c r="R174" s="627"/>
      <c r="S174" s="627"/>
    </row>
    <row r="175" spans="2:19" s="606" customFormat="1" x14ac:dyDescent="0.35">
      <c r="B175" s="500" t="s">
        <v>1475</v>
      </c>
      <c r="C175" s="604"/>
      <c r="D175" s="501"/>
      <c r="E175" s="605"/>
      <c r="F175" s="605"/>
      <c r="G175" s="605"/>
      <c r="H175" s="605"/>
      <c r="I175" s="605"/>
      <c r="J175" s="605"/>
      <c r="K175" s="605"/>
      <c r="L175" s="605"/>
      <c r="M175" s="605"/>
      <c r="N175" s="605"/>
      <c r="O175" s="605"/>
      <c r="P175" s="605"/>
      <c r="Q175" s="605"/>
      <c r="R175" s="605"/>
      <c r="S175" s="605"/>
    </row>
    <row r="176" spans="2:19" s="606" customFormat="1" x14ac:dyDescent="0.35">
      <c r="B176" s="601" t="s">
        <v>937</v>
      </c>
      <c r="C176" s="604" t="s">
        <v>675</v>
      </c>
      <c r="D176" s="501"/>
      <c r="E176" s="651">
        <v>16.414529350000002</v>
      </c>
      <c r="F176" s="651">
        <v>18.118926999999999</v>
      </c>
      <c r="G176" s="651">
        <v>10.22264</v>
      </c>
      <c r="H176" s="651">
        <v>13.635759999999999</v>
      </c>
      <c r="I176" s="651">
        <f>(250193+25165.91)/10^4</f>
        <v>27.535890999999996</v>
      </c>
      <c r="J176" s="603">
        <f t="shared" ref="J176:R176" si="83">J$169*J171/10^5</f>
        <v>31.795555669286404</v>
      </c>
      <c r="K176" s="603">
        <f t="shared" si="83"/>
        <v>39.608950446417218</v>
      </c>
      <c r="L176" s="603">
        <f t="shared" si="83"/>
        <v>40.646366018532881</v>
      </c>
      <c r="M176" s="603">
        <f t="shared" si="83"/>
        <v>41.208686046458169</v>
      </c>
      <c r="N176" s="603">
        <f t="shared" si="83"/>
        <v>41.236802047854439</v>
      </c>
      <c r="O176" s="603">
        <f t="shared" si="83"/>
        <v>41.236802047854439</v>
      </c>
      <c r="P176" s="603">
        <f t="shared" si="83"/>
        <v>41.236802047854439</v>
      </c>
      <c r="Q176" s="603">
        <f t="shared" si="83"/>
        <v>41.236802047854439</v>
      </c>
      <c r="R176" s="603">
        <f t="shared" si="83"/>
        <v>41.236802047854439</v>
      </c>
      <c r="S176" s="603">
        <f>S$169*S171/10^5</f>
        <v>41.236802047854439</v>
      </c>
    </row>
    <row r="177" spans="2:19" s="606" customFormat="1" x14ac:dyDescent="0.35">
      <c r="B177" s="601" t="s">
        <v>938</v>
      </c>
      <c r="C177" s="604" t="s">
        <v>675</v>
      </c>
      <c r="D177" s="501"/>
      <c r="E177" s="651">
        <v>37.458860000000001</v>
      </c>
      <c r="F177" s="651">
        <v>39.004203000000004</v>
      </c>
      <c r="G177" s="651">
        <v>23.048940000000005</v>
      </c>
      <c r="H177" s="651">
        <v>33.143225000000008</v>
      </c>
      <c r="I177" s="651">
        <f>600124.79/10^4</f>
        <v>60.012479000000006</v>
      </c>
      <c r="J177" s="603">
        <f t="shared" ref="J177:R177" si="84">J$169*J172/10^5</f>
        <v>69.296109462968971</v>
      </c>
      <c r="K177" s="603">
        <f t="shared" si="84"/>
        <v>86.324837168975378</v>
      </c>
      <c r="L177" s="603">
        <f t="shared" si="84"/>
        <v>88.585809230342988</v>
      </c>
      <c r="M177" s="603">
        <f t="shared" si="84"/>
        <v>89.811344981742721</v>
      </c>
      <c r="N177" s="603">
        <f t="shared" si="84"/>
        <v>89.87262176931273</v>
      </c>
      <c r="O177" s="603">
        <f t="shared" si="84"/>
        <v>89.87262176931273</v>
      </c>
      <c r="P177" s="603">
        <f t="shared" si="84"/>
        <v>89.87262176931273</v>
      </c>
      <c r="Q177" s="603">
        <f t="shared" si="84"/>
        <v>89.87262176931273</v>
      </c>
      <c r="R177" s="603">
        <f t="shared" si="84"/>
        <v>89.87262176931273</v>
      </c>
      <c r="S177" s="603">
        <f>S$169*S172/10^5</f>
        <v>89.87262176931273</v>
      </c>
    </row>
    <row r="178" spans="2:19" s="606" customFormat="1" x14ac:dyDescent="0.35">
      <c r="B178" s="601" t="s">
        <v>34</v>
      </c>
      <c r="C178" s="604" t="s">
        <v>1000</v>
      </c>
      <c r="D178" s="501"/>
      <c r="E178" s="651">
        <v>384.15434569999996</v>
      </c>
      <c r="F178" s="651">
        <v>446.00722109999998</v>
      </c>
      <c r="G178" s="651">
        <v>302.82678894281003</v>
      </c>
      <c r="H178" s="651">
        <v>463.30693910000002</v>
      </c>
      <c r="I178" s="651">
        <f>71596916.79/10^5</f>
        <v>715.96916790000012</v>
      </c>
      <c r="J178" s="603">
        <f t="shared" ref="J178:R178" si="85">J$169*J173/10^5</f>
        <v>780.24566253371177</v>
      </c>
      <c r="K178" s="603">
        <f t="shared" si="85"/>
        <v>971.9821255768403</v>
      </c>
      <c r="L178" s="603">
        <f t="shared" si="85"/>
        <v>997.43974011917931</v>
      </c>
      <c r="M178" s="603">
        <f t="shared" si="85"/>
        <v>1011.2387681125276</v>
      </c>
      <c r="N178" s="603">
        <f t="shared" si="85"/>
        <v>1011.9287195121951</v>
      </c>
      <c r="O178" s="603">
        <f t="shared" si="85"/>
        <v>1011.9287195121951</v>
      </c>
      <c r="P178" s="603">
        <f t="shared" si="85"/>
        <v>1011.9287195121951</v>
      </c>
      <c r="Q178" s="603">
        <f t="shared" si="85"/>
        <v>1011.9287195121951</v>
      </c>
      <c r="R178" s="603">
        <f t="shared" si="85"/>
        <v>1011.9287195121951</v>
      </c>
      <c r="S178" s="603">
        <f>S$169*S173/10^5</f>
        <v>1011.9287195121951</v>
      </c>
    </row>
    <row r="179" spans="2:19" s="606" customFormat="1" x14ac:dyDescent="0.35">
      <c r="B179" s="106"/>
      <c r="C179" s="106"/>
      <c r="D179" s="106"/>
      <c r="E179" s="106"/>
      <c r="F179" s="106"/>
      <c r="G179" s="106"/>
      <c r="H179" s="106"/>
      <c r="I179" s="106"/>
      <c r="J179" s="106"/>
      <c r="K179" s="106"/>
      <c r="L179" s="106"/>
      <c r="M179" s="106"/>
      <c r="N179" s="106"/>
      <c r="O179" s="106"/>
      <c r="P179" s="106"/>
      <c r="Q179" s="106"/>
      <c r="R179" s="106"/>
      <c r="S179" s="106"/>
    </row>
    <row r="180" spans="2:19" s="607" customFormat="1" x14ac:dyDescent="0.35">
      <c r="B180" s="130" t="s">
        <v>997</v>
      </c>
      <c r="C180" s="654"/>
      <c r="D180" s="130"/>
      <c r="E180" s="130"/>
      <c r="F180" s="130"/>
      <c r="G180" s="130"/>
      <c r="H180" s="130"/>
      <c r="I180" s="130"/>
      <c r="J180" s="130"/>
      <c r="K180" s="130"/>
      <c r="L180" s="130"/>
      <c r="M180" s="130"/>
      <c r="N180" s="130"/>
      <c r="O180" s="130"/>
      <c r="P180" s="130"/>
      <c r="Q180" s="130"/>
      <c r="R180" s="130"/>
      <c r="S180" s="130"/>
    </row>
    <row r="181" spans="2:19" s="606" customFormat="1" x14ac:dyDescent="0.35">
      <c r="B181" s="106" t="s">
        <v>979</v>
      </c>
      <c r="C181" s="137"/>
      <c r="D181" s="106"/>
      <c r="E181" s="106"/>
      <c r="F181" s="106"/>
      <c r="G181" s="106"/>
      <c r="H181" s="106"/>
      <c r="I181" s="106"/>
      <c r="J181" s="106"/>
      <c r="K181" s="106"/>
      <c r="L181" s="106"/>
      <c r="M181" s="106"/>
      <c r="N181" s="106"/>
      <c r="O181" s="106"/>
      <c r="P181" s="106"/>
      <c r="Q181" s="106"/>
      <c r="R181" s="106"/>
      <c r="S181" s="106"/>
    </row>
    <row r="182" spans="2:19" s="606" customFormat="1" x14ac:dyDescent="0.35">
      <c r="B182" s="601" t="s">
        <v>937</v>
      </c>
      <c r="C182" s="604" t="s">
        <v>675</v>
      </c>
      <c r="D182" s="106"/>
      <c r="E182" s="143">
        <f t="shared" ref="E182:S182" si="86">+E176+E163</f>
        <v>156.33387935000002</v>
      </c>
      <c r="F182" s="143">
        <f t="shared" si="86"/>
        <v>184.01315900000003</v>
      </c>
      <c r="G182" s="143">
        <f t="shared" si="86"/>
        <v>261.34157499999998</v>
      </c>
      <c r="H182" s="143">
        <f t="shared" si="86"/>
        <v>269.77379200000001</v>
      </c>
      <c r="I182" s="143">
        <f t="shared" si="86"/>
        <v>197.60191499999999</v>
      </c>
      <c r="J182" s="143">
        <f t="shared" si="86"/>
        <v>249.29555566928641</v>
      </c>
      <c r="K182" s="143">
        <f t="shared" si="86"/>
        <v>279.60895044641723</v>
      </c>
      <c r="L182" s="143">
        <f t="shared" si="86"/>
        <v>288.14636601853289</v>
      </c>
      <c r="M182" s="143">
        <f t="shared" si="86"/>
        <v>288.70868604645818</v>
      </c>
      <c r="N182" s="143">
        <f t="shared" si="86"/>
        <v>288.73680204785444</v>
      </c>
      <c r="O182" s="143">
        <f t="shared" si="86"/>
        <v>288.73680204785444</v>
      </c>
      <c r="P182" s="143">
        <f t="shared" si="86"/>
        <v>288.73680204785444</v>
      </c>
      <c r="Q182" s="143">
        <f t="shared" si="86"/>
        <v>288.73680204785444</v>
      </c>
      <c r="R182" s="143">
        <f t="shared" si="86"/>
        <v>288.73680204785444</v>
      </c>
      <c r="S182" s="143">
        <f t="shared" si="86"/>
        <v>288.73680204785444</v>
      </c>
    </row>
    <row r="183" spans="2:19" s="606" customFormat="1" x14ac:dyDescent="0.35">
      <c r="B183" s="601" t="s">
        <v>938</v>
      </c>
      <c r="C183" s="604" t="s">
        <v>675</v>
      </c>
      <c r="D183" s="106"/>
      <c r="E183" s="143">
        <f t="shared" ref="E183:S183" si="87">+E177+E164</f>
        <v>690.61501999999996</v>
      </c>
      <c r="F183" s="143">
        <f t="shared" si="87"/>
        <v>798.44306299999994</v>
      </c>
      <c r="G183" s="143">
        <f t="shared" si="87"/>
        <v>638.87826500000006</v>
      </c>
      <c r="H183" s="143">
        <f t="shared" si="87"/>
        <v>615.18491000000006</v>
      </c>
      <c r="I183" s="143">
        <f t="shared" si="87"/>
        <v>529.576143</v>
      </c>
      <c r="J183" s="143">
        <f t="shared" si="87"/>
        <v>547.79610946296896</v>
      </c>
      <c r="K183" s="143">
        <f t="shared" si="87"/>
        <v>614.32483716897536</v>
      </c>
      <c r="L183" s="143">
        <f t="shared" si="87"/>
        <v>633.08580923034299</v>
      </c>
      <c r="M183" s="143">
        <f t="shared" si="87"/>
        <v>634.31134498174276</v>
      </c>
      <c r="N183" s="143">
        <f t="shared" si="87"/>
        <v>634.37262176931267</v>
      </c>
      <c r="O183" s="143">
        <f t="shared" si="87"/>
        <v>634.37262176931267</v>
      </c>
      <c r="P183" s="143">
        <f t="shared" si="87"/>
        <v>634.37262176931267</v>
      </c>
      <c r="Q183" s="143">
        <f t="shared" si="87"/>
        <v>634.37262176931267</v>
      </c>
      <c r="R183" s="143">
        <f t="shared" si="87"/>
        <v>634.37262176931267</v>
      </c>
      <c r="S183" s="143">
        <f t="shared" si="87"/>
        <v>634.37262176931267</v>
      </c>
    </row>
    <row r="184" spans="2:19" s="606" customFormat="1" x14ac:dyDescent="0.35">
      <c r="B184" s="106"/>
      <c r="C184" s="106"/>
      <c r="D184" s="106"/>
      <c r="E184" s="106"/>
      <c r="F184" s="106"/>
      <c r="G184" s="106"/>
      <c r="H184" s="106"/>
      <c r="I184" s="106"/>
      <c r="J184" s="106"/>
      <c r="K184" s="106"/>
      <c r="L184" s="106"/>
      <c r="M184" s="106"/>
      <c r="N184" s="106"/>
      <c r="O184" s="106"/>
      <c r="P184" s="106"/>
      <c r="Q184" s="106"/>
      <c r="R184" s="106"/>
      <c r="S184" s="106"/>
    </row>
    <row r="185" spans="2:19" s="606" customFormat="1" x14ac:dyDescent="0.35">
      <c r="B185" s="581" t="s">
        <v>1004</v>
      </c>
      <c r="C185" s="604" t="s">
        <v>675</v>
      </c>
      <c r="D185" s="106"/>
      <c r="E185" s="77">
        <v>0</v>
      </c>
      <c r="F185" s="77">
        <v>0</v>
      </c>
      <c r="G185" s="77">
        <v>14.912153</v>
      </c>
      <c r="H185" s="77">
        <v>8.5014288100000002</v>
      </c>
      <c r="I185" s="77">
        <f>(44696.29+76340.65)/10^4</f>
        <v>12.103694000000001</v>
      </c>
      <c r="J185" s="63">
        <v>0</v>
      </c>
      <c r="K185" s="63">
        <v>0</v>
      </c>
      <c r="L185" s="63">
        <v>0</v>
      </c>
      <c r="M185" s="63">
        <v>0</v>
      </c>
      <c r="N185" s="63">
        <v>0</v>
      </c>
      <c r="O185" s="63">
        <v>0</v>
      </c>
      <c r="P185" s="63">
        <v>0</v>
      </c>
      <c r="Q185" s="63">
        <v>0</v>
      </c>
      <c r="R185" s="63">
        <v>0</v>
      </c>
      <c r="S185" s="63">
        <v>0</v>
      </c>
    </row>
    <row r="186" spans="2:19" s="606" customFormat="1" x14ac:dyDescent="0.35">
      <c r="B186" s="581" t="s">
        <v>1016</v>
      </c>
      <c r="C186" s="604" t="s">
        <v>675</v>
      </c>
      <c r="D186" s="106"/>
      <c r="E186" s="143">
        <f>E156-E182-E185</f>
        <v>764.58924999999999</v>
      </c>
      <c r="F186" s="143">
        <f t="shared" ref="F186:S186" si="88">F156-F182-F185</f>
        <v>863.98891099999992</v>
      </c>
      <c r="G186" s="143">
        <f t="shared" si="88"/>
        <v>664.71947200000022</v>
      </c>
      <c r="H186" s="143">
        <f t="shared" si="88"/>
        <v>651.66614918999983</v>
      </c>
      <c r="I186" s="143">
        <f t="shared" si="88"/>
        <v>566.91372799999999</v>
      </c>
      <c r="J186" s="143">
        <f t="shared" si="88"/>
        <v>588.30791693602805</v>
      </c>
      <c r="K186" s="143">
        <f t="shared" si="88"/>
        <v>635.08850600038909</v>
      </c>
      <c r="L186" s="143">
        <f t="shared" si="88"/>
        <v>659.53226094223623</v>
      </c>
      <c r="M186" s="143">
        <f t="shared" si="88"/>
        <v>661.06994091431091</v>
      </c>
      <c r="N186" s="143">
        <f t="shared" si="88"/>
        <v>661.04182491291465</v>
      </c>
      <c r="O186" s="143">
        <f t="shared" si="88"/>
        <v>661.04182491291465</v>
      </c>
      <c r="P186" s="143">
        <f t="shared" si="88"/>
        <v>661.04182491291465</v>
      </c>
      <c r="Q186" s="143">
        <f t="shared" si="88"/>
        <v>661.04182491291465</v>
      </c>
      <c r="R186" s="143">
        <f t="shared" si="88"/>
        <v>661.04182491291465</v>
      </c>
      <c r="S186" s="143">
        <f t="shared" si="88"/>
        <v>661.04182491291465</v>
      </c>
    </row>
    <row r="187" spans="2:19" s="606" customFormat="1" x14ac:dyDescent="0.35">
      <c r="B187" s="581" t="s">
        <v>1017</v>
      </c>
      <c r="C187" s="579" t="s">
        <v>943</v>
      </c>
      <c r="D187" s="106"/>
      <c r="E187" s="69">
        <f>E188/E186*10</f>
        <v>111.45956895518685</v>
      </c>
      <c r="F187" s="69">
        <f>F188/F186*10</f>
        <v>109.8881223143384</v>
      </c>
      <c r="G187" s="69">
        <f>G188/G186*10</f>
        <v>117.42119439221116</v>
      </c>
      <c r="H187" s="69">
        <f>H188/H186*10</f>
        <v>115.30920173067217</v>
      </c>
      <c r="I187" s="69">
        <f>I188/I186*10</f>
        <v>113.59067900363141</v>
      </c>
      <c r="J187" s="69">
        <f>Assumptions!J86</f>
        <v>117</v>
      </c>
      <c r="K187" s="69">
        <f>Assumptions!K86</f>
        <v>117</v>
      </c>
      <c r="L187" s="69">
        <f>Assumptions!L86</f>
        <v>117</v>
      </c>
      <c r="M187" s="69">
        <f>Assumptions!M86</f>
        <v>117</v>
      </c>
      <c r="N187" s="69">
        <f>Assumptions!N86</f>
        <v>117</v>
      </c>
      <c r="O187" s="69">
        <f>Assumptions!O86</f>
        <v>117</v>
      </c>
      <c r="P187" s="69">
        <f>Assumptions!P86</f>
        <v>117</v>
      </c>
      <c r="Q187" s="69">
        <f>Assumptions!Q86</f>
        <v>117</v>
      </c>
      <c r="R187" s="69">
        <f>Assumptions!R86</f>
        <v>117</v>
      </c>
      <c r="S187" s="69">
        <f>Assumptions!S86</f>
        <v>117</v>
      </c>
    </row>
    <row r="188" spans="2:19" s="606" customFormat="1" x14ac:dyDescent="0.35">
      <c r="B188" s="581" t="s">
        <v>942</v>
      </c>
      <c r="C188" s="604" t="s">
        <v>1000</v>
      </c>
      <c r="D188" s="106"/>
      <c r="E188" s="170">
        <v>8522.0788232769592</v>
      </c>
      <c r="F188" s="170">
        <v>9494.2119130200026</v>
      </c>
      <c r="G188" s="170">
        <v>7805.2154338</v>
      </c>
      <c r="H188" s="170">
        <v>7514.3103458000005</v>
      </c>
      <c r="I188" s="170">
        <f>643961153/10^5</f>
        <v>6439.6115300000001</v>
      </c>
      <c r="J188" s="143">
        <f t="shared" ref="J188:R188" si="89">J186*J187/10</f>
        <v>6883.2026281515282</v>
      </c>
      <c r="K188" s="143">
        <f t="shared" si="89"/>
        <v>7430.5355202045521</v>
      </c>
      <c r="L188" s="143">
        <f t="shared" si="89"/>
        <v>7716.5274530241641</v>
      </c>
      <c r="M188" s="143">
        <f t="shared" si="89"/>
        <v>7734.5183086974375</v>
      </c>
      <c r="N188" s="143">
        <f t="shared" si="89"/>
        <v>7734.1893514811018</v>
      </c>
      <c r="O188" s="143">
        <f t="shared" si="89"/>
        <v>7734.1893514811018</v>
      </c>
      <c r="P188" s="143">
        <f t="shared" si="89"/>
        <v>7734.1893514811018</v>
      </c>
      <c r="Q188" s="143">
        <f t="shared" si="89"/>
        <v>7734.1893514811018</v>
      </c>
      <c r="R188" s="143">
        <f t="shared" si="89"/>
        <v>7734.1893514811018</v>
      </c>
      <c r="S188" s="143">
        <f>S186*S187/10</f>
        <v>7734.1893514811018</v>
      </c>
    </row>
    <row r="189" spans="2:19" s="606" customFormat="1" x14ac:dyDescent="0.35">
      <c r="B189" s="106"/>
      <c r="C189" s="106"/>
      <c r="D189" s="106"/>
      <c r="E189" s="106"/>
      <c r="F189" s="106"/>
      <c r="G189" s="169"/>
      <c r="H189" s="169"/>
      <c r="I189" s="169"/>
      <c r="J189" s="106"/>
      <c r="K189" s="106"/>
      <c r="L189" s="106"/>
      <c r="M189" s="106"/>
      <c r="N189" s="106"/>
      <c r="O189" s="106"/>
      <c r="P189" s="106"/>
      <c r="Q189" s="106"/>
      <c r="R189" s="106"/>
      <c r="S189" s="106"/>
    </row>
    <row r="190" spans="2:19" s="606" customFormat="1" x14ac:dyDescent="0.35">
      <c r="B190" s="106" t="s">
        <v>982</v>
      </c>
      <c r="C190" s="106"/>
      <c r="D190" s="106"/>
      <c r="E190" s="106"/>
      <c r="F190" s="106"/>
      <c r="G190" s="106"/>
      <c r="H190" s="106"/>
      <c r="I190" s="106"/>
      <c r="J190" s="106"/>
      <c r="K190" s="106"/>
      <c r="L190" s="106"/>
      <c r="M190" s="106"/>
      <c r="N190" s="106"/>
      <c r="O190" s="106"/>
      <c r="P190" s="106"/>
      <c r="Q190" s="106"/>
      <c r="R190" s="106"/>
      <c r="S190" s="106"/>
    </row>
    <row r="191" spans="2:19" s="606" customFormat="1" x14ac:dyDescent="0.35">
      <c r="B191" s="174" t="s">
        <v>983</v>
      </c>
      <c r="C191" s="604" t="s">
        <v>1000</v>
      </c>
      <c r="D191" s="106"/>
      <c r="E191" s="170">
        <v>790.8262373169589</v>
      </c>
      <c r="F191" s="170">
        <v>1036.7660506839998</v>
      </c>
      <c r="G191" s="170">
        <v>988.07529933280011</v>
      </c>
      <c r="H191" s="170">
        <v>984.09628449999991</v>
      </c>
      <c r="I191" s="170">
        <f>(88968255-326441.16)/10^5</f>
        <v>886.41813840000009</v>
      </c>
      <c r="J191" s="143">
        <f>J188*Assumptions!J87</f>
        <v>825.9843153781834</v>
      </c>
      <c r="K191" s="143">
        <f>K188*Assumptions!K87</f>
        <v>891.66426242454622</v>
      </c>
      <c r="L191" s="143">
        <f>L188*Assumptions!L87</f>
        <v>925.98329436289964</v>
      </c>
      <c r="M191" s="143">
        <f>M188*Assumptions!M87</f>
        <v>928.14219704369248</v>
      </c>
      <c r="N191" s="143">
        <f>N188*Assumptions!N87</f>
        <v>928.10272217773218</v>
      </c>
      <c r="O191" s="143">
        <f>O188*Assumptions!O87</f>
        <v>928.10272217773218</v>
      </c>
      <c r="P191" s="143">
        <f>P188*Assumptions!P87</f>
        <v>928.10272217773218</v>
      </c>
      <c r="Q191" s="143">
        <f>Q188*Assumptions!Q87</f>
        <v>928.10272217773218</v>
      </c>
      <c r="R191" s="143">
        <f>R188*Assumptions!R87</f>
        <v>928.10272217773218</v>
      </c>
      <c r="S191" s="143">
        <f>S188*Assumptions!S87</f>
        <v>928.10272217773218</v>
      </c>
    </row>
    <row r="192" spans="2:19" s="641" customFormat="1" x14ac:dyDescent="0.35">
      <c r="B192" s="581" t="s">
        <v>984</v>
      </c>
      <c r="C192" s="604" t="s">
        <v>1000</v>
      </c>
      <c r="D192" s="581"/>
      <c r="E192" s="143">
        <f t="shared" ref="E192:S192" si="90">+E165</f>
        <v>4181.0808045136</v>
      </c>
      <c r="F192" s="143">
        <f t="shared" si="90"/>
        <v>4622.4357992328005</v>
      </c>
      <c r="G192" s="143">
        <f t="shared" si="90"/>
        <v>4334.912147557191</v>
      </c>
      <c r="H192" s="143">
        <f t="shared" si="90"/>
        <v>4200.2684086999998</v>
      </c>
      <c r="I192" s="143">
        <f t="shared" si="90"/>
        <v>3377.5520308600003</v>
      </c>
      <c r="J192" s="143">
        <f t="shared" si="90"/>
        <v>3944.0000000000005</v>
      </c>
      <c r="K192" s="143">
        <f t="shared" si="90"/>
        <v>4352</v>
      </c>
      <c r="L192" s="143">
        <f t="shared" si="90"/>
        <v>4488</v>
      </c>
      <c r="M192" s="143">
        <f t="shared" si="90"/>
        <v>4488</v>
      </c>
      <c r="N192" s="143">
        <f t="shared" si="90"/>
        <v>4488</v>
      </c>
      <c r="O192" s="143">
        <f t="shared" si="90"/>
        <v>4488</v>
      </c>
      <c r="P192" s="143">
        <f t="shared" si="90"/>
        <v>4488</v>
      </c>
      <c r="Q192" s="143">
        <f t="shared" si="90"/>
        <v>4488</v>
      </c>
      <c r="R192" s="143">
        <f t="shared" si="90"/>
        <v>4488</v>
      </c>
      <c r="S192" s="143">
        <f t="shared" si="90"/>
        <v>4488</v>
      </c>
    </row>
    <row r="193" spans="1:19" s="641" customFormat="1" x14ac:dyDescent="0.35">
      <c r="B193" s="581" t="s">
        <v>985</v>
      </c>
      <c r="C193" s="604" t="s">
        <v>1000</v>
      </c>
      <c r="D193" s="581"/>
      <c r="E193" s="143">
        <f t="shared" ref="E193:S193" si="91">E178</f>
        <v>384.15434569999996</v>
      </c>
      <c r="F193" s="143">
        <f t="shared" si="91"/>
        <v>446.00722109999998</v>
      </c>
      <c r="G193" s="143">
        <f t="shared" si="91"/>
        <v>302.82678894281003</v>
      </c>
      <c r="H193" s="143">
        <f t="shared" si="91"/>
        <v>463.30693910000002</v>
      </c>
      <c r="I193" s="143">
        <f t="shared" si="91"/>
        <v>715.96916790000012</v>
      </c>
      <c r="J193" s="143">
        <f t="shared" si="91"/>
        <v>780.24566253371177</v>
      </c>
      <c r="K193" s="143">
        <f t="shared" si="91"/>
        <v>971.9821255768403</v>
      </c>
      <c r="L193" s="143">
        <f t="shared" si="91"/>
        <v>997.43974011917931</v>
      </c>
      <c r="M193" s="143">
        <f t="shared" si="91"/>
        <v>1011.2387681125276</v>
      </c>
      <c r="N193" s="143">
        <f t="shared" si="91"/>
        <v>1011.9287195121951</v>
      </c>
      <c r="O193" s="143">
        <f t="shared" si="91"/>
        <v>1011.9287195121951</v>
      </c>
      <c r="P193" s="143">
        <f t="shared" si="91"/>
        <v>1011.9287195121951</v>
      </c>
      <c r="Q193" s="143">
        <f t="shared" si="91"/>
        <v>1011.9287195121951</v>
      </c>
      <c r="R193" s="143">
        <f t="shared" si="91"/>
        <v>1011.9287195121951</v>
      </c>
      <c r="S193" s="143">
        <f t="shared" si="91"/>
        <v>1011.9287195121951</v>
      </c>
    </row>
    <row r="194" spans="1:19" s="606" customFormat="1" x14ac:dyDescent="0.35">
      <c r="B194" s="581" t="s">
        <v>986</v>
      </c>
      <c r="C194" s="604" t="s">
        <v>1000</v>
      </c>
      <c r="D194" s="581"/>
      <c r="E194" s="143">
        <f t="shared" ref="E194:S194" si="92">E188-E191-E192-E193</f>
        <v>3166.0174357464002</v>
      </c>
      <c r="F194" s="143">
        <f t="shared" si="92"/>
        <v>3389.0028420032017</v>
      </c>
      <c r="G194" s="143">
        <f t="shared" si="92"/>
        <v>2179.4011979671986</v>
      </c>
      <c r="H194" s="143">
        <f t="shared" si="92"/>
        <v>1866.6387135000014</v>
      </c>
      <c r="I194" s="143">
        <f t="shared" si="92"/>
        <v>1459.6721928399993</v>
      </c>
      <c r="J194" s="143">
        <f t="shared" si="92"/>
        <v>1332.9726502396329</v>
      </c>
      <c r="K194" s="143">
        <f t="shared" si="92"/>
        <v>1214.8891322031659</v>
      </c>
      <c r="L194" s="143">
        <f t="shared" si="92"/>
        <v>1305.1044185420849</v>
      </c>
      <c r="M194" s="143">
        <f t="shared" si="92"/>
        <v>1307.1373435412177</v>
      </c>
      <c r="N194" s="143">
        <f t="shared" si="92"/>
        <v>1306.1579097911745</v>
      </c>
      <c r="O194" s="143">
        <f t="shared" si="92"/>
        <v>1306.1579097911745</v>
      </c>
      <c r="P194" s="143">
        <f t="shared" si="92"/>
        <v>1306.1579097911745</v>
      </c>
      <c r="Q194" s="143">
        <f t="shared" si="92"/>
        <v>1306.1579097911745</v>
      </c>
      <c r="R194" s="143">
        <f t="shared" si="92"/>
        <v>1306.1579097911745</v>
      </c>
      <c r="S194" s="143">
        <f t="shared" si="92"/>
        <v>1306.1579097911745</v>
      </c>
    </row>
    <row r="195" spans="1:19" s="606" customFormat="1" x14ac:dyDescent="0.35">
      <c r="B195" s="581"/>
      <c r="C195" s="652"/>
      <c r="D195" s="581"/>
      <c r="E195" s="142"/>
      <c r="F195" s="142"/>
      <c r="G195" s="142"/>
      <c r="H195" s="142"/>
      <c r="I195" s="142"/>
      <c r="J195" s="143"/>
      <c r="K195" s="143"/>
      <c r="L195" s="143"/>
      <c r="M195" s="143"/>
      <c r="N195" s="143"/>
      <c r="O195" s="143"/>
      <c r="P195" s="143"/>
      <c r="Q195" s="143"/>
      <c r="R195" s="143"/>
      <c r="S195" s="143"/>
    </row>
    <row r="196" spans="1:19" s="606" customFormat="1" x14ac:dyDescent="0.35">
      <c r="A196" s="628"/>
      <c r="B196" s="581" t="s">
        <v>944</v>
      </c>
      <c r="C196" s="579" t="s">
        <v>1001</v>
      </c>
      <c r="D196" s="106"/>
      <c r="E196" s="100">
        <v>5.0405337506417558</v>
      </c>
      <c r="F196" s="100">
        <v>5.1465455188849685</v>
      </c>
      <c r="G196" s="100">
        <v>3.1437117389815796</v>
      </c>
      <c r="H196" s="100">
        <v>3.1364324535102357</v>
      </c>
      <c r="I196" s="100">
        <v>3.1598585577987861</v>
      </c>
      <c r="J196" s="63">
        <f>Assumptions!J91</f>
        <v>3.2230557289547619</v>
      </c>
      <c r="K196" s="63">
        <f>Assumptions!K91</f>
        <v>3.2875168435338571</v>
      </c>
      <c r="L196" s="63">
        <f>Assumptions!L91</f>
        <v>3.3532671804045342</v>
      </c>
      <c r="M196" s="63">
        <f>Assumptions!M91</f>
        <v>3.420332524012625</v>
      </c>
      <c r="N196" s="63">
        <f>Assumptions!N91</f>
        <v>3.4887391744928777</v>
      </c>
      <c r="O196" s="63">
        <f>Assumptions!O91</f>
        <v>3.5585139579827354</v>
      </c>
      <c r="P196" s="63">
        <f>Assumptions!P91</f>
        <v>3.6296842371423903</v>
      </c>
      <c r="Q196" s="63">
        <f>Assumptions!Q91</f>
        <v>3.702277921885238</v>
      </c>
      <c r="R196" s="63">
        <f>Assumptions!R91</f>
        <v>3.7763234803229428</v>
      </c>
      <c r="S196" s="63">
        <f>Assumptions!S91</f>
        <v>3.8518499499294019</v>
      </c>
    </row>
    <row r="197" spans="1:19" s="606" customFormat="1" x14ac:dyDescent="0.35">
      <c r="B197" s="581" t="s">
        <v>987</v>
      </c>
      <c r="C197" s="579" t="s">
        <v>932</v>
      </c>
      <c r="D197" s="106"/>
      <c r="E197" s="143">
        <f t="shared" ref="E197:S197" si="93">E196*E194/100</f>
        <v>159.58417739999996</v>
      </c>
      <c r="F197" s="143">
        <f t="shared" si="93"/>
        <v>174.4165739</v>
      </c>
      <c r="G197" s="143">
        <f t="shared" si="93"/>
        <v>68.514091300000004</v>
      </c>
      <c r="H197" s="143">
        <f t="shared" si="93"/>
        <v>58.545862399999997</v>
      </c>
      <c r="I197" s="143">
        <f t="shared" si="93"/>
        <v>46.123576701263922</v>
      </c>
      <c r="J197" s="143">
        <f t="shared" si="93"/>
        <v>42.962451368948607</v>
      </c>
      <c r="K197" s="143">
        <f t="shared" si="93"/>
        <v>39.939684851441392</v>
      </c>
      <c r="L197" s="143">
        <f t="shared" si="93"/>
        <v>43.763638136981164</v>
      </c>
      <c r="M197" s="143">
        <f t="shared" si="93"/>
        <v>44.708443694654903</v>
      </c>
      <c r="N197" s="143">
        <f t="shared" si="93"/>
        <v>45.568442679622052</v>
      </c>
      <c r="O197" s="143">
        <f t="shared" si="93"/>
        <v>46.479811533214487</v>
      </c>
      <c r="P197" s="143">
        <f t="shared" si="93"/>
        <v>47.409407763878782</v>
      </c>
      <c r="Q197" s="143">
        <f t="shared" si="93"/>
        <v>48.357595919156353</v>
      </c>
      <c r="R197" s="143">
        <f t="shared" si="93"/>
        <v>49.324747837539483</v>
      </c>
      <c r="S197" s="143">
        <f t="shared" si="93"/>
        <v>50.311242794290273</v>
      </c>
    </row>
    <row r="198" spans="1:19" s="606" customFormat="1" x14ac:dyDescent="0.35">
      <c r="B198" s="106"/>
      <c r="C198" s="106"/>
      <c r="D198" s="106"/>
      <c r="E198" s="169"/>
      <c r="F198" s="169"/>
      <c r="G198" s="169"/>
      <c r="H198" s="169"/>
      <c r="I198" s="1375"/>
      <c r="J198" s="608"/>
      <c r="K198" s="608"/>
      <c r="L198" s="608"/>
      <c r="M198" s="608"/>
      <c r="N198" s="608"/>
      <c r="O198" s="608"/>
      <c r="P198" s="608"/>
      <c r="Q198" s="608"/>
      <c r="R198" s="608"/>
      <c r="S198" s="608"/>
    </row>
    <row r="199" spans="1:19" s="606" customFormat="1" x14ac:dyDescent="0.35">
      <c r="B199" s="581" t="s">
        <v>991</v>
      </c>
      <c r="C199" s="579" t="s">
        <v>48</v>
      </c>
      <c r="D199" s="106"/>
      <c r="E199" s="668">
        <f t="shared" ref="E199:I200" si="94">E202/E176*100</f>
        <v>123.62098094515271</v>
      </c>
      <c r="F199" s="668">
        <f t="shared" si="94"/>
        <v>116.01948835049669</v>
      </c>
      <c r="G199" s="668">
        <f t="shared" si="94"/>
        <v>107</v>
      </c>
      <c r="H199" s="668">
        <f t="shared" si="94"/>
        <v>101.61569285467036</v>
      </c>
      <c r="I199" s="668">
        <f t="shared" si="94"/>
        <v>97.220936122967672</v>
      </c>
      <c r="J199" s="668">
        <f>Assumptions!J92</f>
        <v>140</v>
      </c>
      <c r="K199" s="668">
        <f>Assumptions!K92</f>
        <v>140</v>
      </c>
      <c r="L199" s="668">
        <f>Assumptions!L92</f>
        <v>140</v>
      </c>
      <c r="M199" s="668">
        <f>Assumptions!M92</f>
        <v>140</v>
      </c>
      <c r="N199" s="668">
        <f>Assumptions!N92</f>
        <v>140</v>
      </c>
      <c r="O199" s="668">
        <f>Assumptions!O92</f>
        <v>140</v>
      </c>
      <c r="P199" s="668">
        <f>Assumptions!P92</f>
        <v>140</v>
      </c>
      <c r="Q199" s="668">
        <f>Assumptions!Q92</f>
        <v>140</v>
      </c>
      <c r="R199" s="668">
        <f>Assumptions!R92</f>
        <v>140</v>
      </c>
      <c r="S199" s="668">
        <f>Assumptions!S92</f>
        <v>140</v>
      </c>
    </row>
    <row r="200" spans="1:19" s="606" customFormat="1" x14ac:dyDescent="0.35">
      <c r="B200" s="581" t="s">
        <v>992</v>
      </c>
      <c r="C200" s="579" t="s">
        <v>48</v>
      </c>
      <c r="D200" s="106"/>
      <c r="E200" s="668">
        <f t="shared" si="94"/>
        <v>80.985767319133572</v>
      </c>
      <c r="F200" s="668">
        <f t="shared" si="94"/>
        <v>76.618944886529277</v>
      </c>
      <c r="G200" s="668">
        <f t="shared" si="94"/>
        <v>79.999999999999986</v>
      </c>
      <c r="H200" s="668">
        <f t="shared" si="94"/>
        <v>83.170964805024227</v>
      </c>
      <c r="I200" s="668">
        <f t="shared" si="94"/>
        <v>80</v>
      </c>
      <c r="J200" s="668">
        <f>Assumptions!J93</f>
        <v>105</v>
      </c>
      <c r="K200" s="668">
        <f>Assumptions!K93</f>
        <v>105</v>
      </c>
      <c r="L200" s="668">
        <f>Assumptions!L93</f>
        <v>105</v>
      </c>
      <c r="M200" s="668">
        <f>Assumptions!M93</f>
        <v>105</v>
      </c>
      <c r="N200" s="668">
        <f>Assumptions!N93</f>
        <v>105</v>
      </c>
      <c r="O200" s="668">
        <f>Assumptions!O93</f>
        <v>105</v>
      </c>
      <c r="P200" s="668">
        <f>Assumptions!P93</f>
        <v>105</v>
      </c>
      <c r="Q200" s="668">
        <f>Assumptions!Q93</f>
        <v>105</v>
      </c>
      <c r="R200" s="668">
        <f>Assumptions!R93</f>
        <v>105</v>
      </c>
      <c r="S200" s="668">
        <f>Assumptions!S93</f>
        <v>105</v>
      </c>
    </row>
    <row r="201" spans="1:19" s="606" customFormat="1" x14ac:dyDescent="0.35">
      <c r="B201" s="106"/>
      <c r="C201" s="299"/>
      <c r="D201" s="106"/>
      <c r="E201" s="106"/>
      <c r="F201" s="106"/>
      <c r="G201" s="106"/>
      <c r="H201" s="106"/>
      <c r="I201" s="137"/>
      <c r="J201" s="610"/>
      <c r="K201" s="610"/>
      <c r="L201" s="610"/>
      <c r="M201" s="610"/>
      <c r="N201" s="610"/>
      <c r="O201" s="610"/>
      <c r="P201" s="610"/>
      <c r="Q201" s="610"/>
      <c r="R201" s="610"/>
      <c r="S201" s="610"/>
    </row>
    <row r="202" spans="1:19" s="606" customFormat="1" x14ac:dyDescent="0.35">
      <c r="B202" s="653" t="s">
        <v>990</v>
      </c>
      <c r="C202" s="579" t="s">
        <v>932</v>
      </c>
      <c r="D202" s="106"/>
      <c r="E202" s="651">
        <v>20.291802199999999</v>
      </c>
      <c r="F202" s="651">
        <v>21.021486400000001</v>
      </c>
      <c r="G202" s="651">
        <v>10.9382248</v>
      </c>
      <c r="H202" s="651">
        <v>13.856071999999999</v>
      </c>
      <c r="I202" s="651">
        <f>267706510/10^7</f>
        <v>26.770651000000001</v>
      </c>
      <c r="J202" s="603">
        <f>(J176*J199)/100</f>
        <v>44.513777937000967</v>
      </c>
      <c r="K202" s="603">
        <f t="shared" ref="K202:S202" si="95">(K176*K199)/100</f>
        <v>55.452530624984099</v>
      </c>
      <c r="L202" s="603">
        <f t="shared" si="95"/>
        <v>56.90491242594603</v>
      </c>
      <c r="M202" s="603">
        <f t="shared" si="95"/>
        <v>57.692160465041432</v>
      </c>
      <c r="N202" s="603">
        <f t="shared" si="95"/>
        <v>57.731522866996222</v>
      </c>
      <c r="O202" s="603">
        <f t="shared" si="95"/>
        <v>57.731522866996222</v>
      </c>
      <c r="P202" s="603">
        <f t="shared" si="95"/>
        <v>57.731522866996222</v>
      </c>
      <c r="Q202" s="603">
        <f t="shared" si="95"/>
        <v>57.731522866996222</v>
      </c>
      <c r="R202" s="603">
        <f t="shared" si="95"/>
        <v>57.731522866996222</v>
      </c>
      <c r="S202" s="603">
        <f t="shared" si="95"/>
        <v>57.731522866996222</v>
      </c>
    </row>
    <row r="203" spans="1:19" s="606" customFormat="1" x14ac:dyDescent="0.35">
      <c r="B203" s="653" t="s">
        <v>989</v>
      </c>
      <c r="C203" s="579" t="s">
        <v>932</v>
      </c>
      <c r="D203" s="106"/>
      <c r="E203" s="651">
        <v>30.3363452</v>
      </c>
      <c r="F203" s="651">
        <v>29.884608799999999</v>
      </c>
      <c r="G203" s="651">
        <v>18.439152</v>
      </c>
      <c r="H203" s="651">
        <v>27.565539999999999</v>
      </c>
      <c r="I203" s="651">
        <f>480099832/10^7</f>
        <v>48.009983200000001</v>
      </c>
      <c r="J203" s="603">
        <f t="shared" ref="J203:S203" si="96">(J177*J200)/100</f>
        <v>72.76091493611743</v>
      </c>
      <c r="K203" s="603">
        <f t="shared" si="96"/>
        <v>90.641079027424155</v>
      </c>
      <c r="L203" s="603">
        <f t="shared" si="96"/>
        <v>93.015099691860144</v>
      </c>
      <c r="M203" s="603">
        <f t="shared" si="96"/>
        <v>94.301912230829856</v>
      </c>
      <c r="N203" s="603">
        <f t="shared" si="96"/>
        <v>94.366252857778363</v>
      </c>
      <c r="O203" s="603">
        <f t="shared" si="96"/>
        <v>94.366252857778363</v>
      </c>
      <c r="P203" s="603">
        <f t="shared" si="96"/>
        <v>94.366252857778363</v>
      </c>
      <c r="Q203" s="603">
        <f t="shared" si="96"/>
        <v>94.366252857778363</v>
      </c>
      <c r="R203" s="603">
        <f t="shared" si="96"/>
        <v>94.366252857778363</v>
      </c>
      <c r="S203" s="603">
        <f t="shared" si="96"/>
        <v>94.366252857778363</v>
      </c>
    </row>
    <row r="204" spans="1:19" s="606" customFormat="1" x14ac:dyDescent="0.35">
      <c r="B204" s="581" t="s">
        <v>988</v>
      </c>
      <c r="C204" s="579" t="s">
        <v>932</v>
      </c>
      <c r="D204" s="106"/>
      <c r="E204" s="603">
        <f>SUM(E202:E203)</f>
        <v>50.628147400000003</v>
      </c>
      <c r="F204" s="603">
        <f t="shared" ref="F204:S204" si="97">SUM(F202:F203)</f>
        <v>50.906095199999996</v>
      </c>
      <c r="G204" s="603">
        <f t="shared" si="97"/>
        <v>29.3773768</v>
      </c>
      <c r="H204" s="603">
        <f t="shared" si="97"/>
        <v>41.421611999999996</v>
      </c>
      <c r="I204" s="603">
        <f t="shared" si="97"/>
        <v>74.780634200000009</v>
      </c>
      <c r="J204" s="603">
        <f t="shared" si="97"/>
        <v>117.2746928731184</v>
      </c>
      <c r="K204" s="603">
        <f t="shared" si="97"/>
        <v>146.09360965240825</v>
      </c>
      <c r="L204" s="603">
        <f t="shared" si="97"/>
        <v>149.92001211780618</v>
      </c>
      <c r="M204" s="603">
        <f t="shared" si="97"/>
        <v>151.9940726958713</v>
      </c>
      <c r="N204" s="603">
        <f t="shared" si="97"/>
        <v>152.09777572477458</v>
      </c>
      <c r="O204" s="603">
        <f t="shared" si="97"/>
        <v>152.09777572477458</v>
      </c>
      <c r="P204" s="603">
        <f t="shared" si="97"/>
        <v>152.09777572477458</v>
      </c>
      <c r="Q204" s="603">
        <f t="shared" si="97"/>
        <v>152.09777572477458</v>
      </c>
      <c r="R204" s="603">
        <f t="shared" si="97"/>
        <v>152.09777572477458</v>
      </c>
      <c r="S204" s="603">
        <f t="shared" si="97"/>
        <v>152.09777572477458</v>
      </c>
    </row>
    <row r="205" spans="1:19" s="606" customFormat="1" x14ac:dyDescent="0.35">
      <c r="B205" s="581" t="s">
        <v>985</v>
      </c>
      <c r="C205" s="579" t="s">
        <v>932</v>
      </c>
      <c r="D205" s="106"/>
      <c r="E205" s="651">
        <v>18.309999999999999</v>
      </c>
      <c r="F205" s="651">
        <v>21.89</v>
      </c>
      <c r="G205" s="651">
        <v>9.39</v>
      </c>
      <c r="H205" s="651">
        <v>13.86</v>
      </c>
      <c r="I205" s="651">
        <f>233717953.55/10^7</f>
        <v>23.371795355</v>
      </c>
      <c r="J205" s="603">
        <f t="shared" ref="J205:S205" si="98">(J193*J206)/100</f>
        <v>25.147752526213836</v>
      </c>
      <c r="K205" s="603">
        <f t="shared" si="98"/>
        <v>31.954076094477031</v>
      </c>
      <c r="L205" s="603">
        <f t="shared" si="98"/>
        <v>33.446819449728721</v>
      </c>
      <c r="M205" s="603">
        <f t="shared" si="98"/>
        <v>34.587728481177393</v>
      </c>
      <c r="N205" s="603">
        <f t="shared" si="98"/>
        <v>35.303553655566105</v>
      </c>
      <c r="O205" s="603">
        <f t="shared" si="98"/>
        <v>36.00962472867743</v>
      </c>
      <c r="P205" s="603">
        <f t="shared" si="98"/>
        <v>36.729817223250983</v>
      </c>
      <c r="Q205" s="603">
        <f t="shared" si="98"/>
        <v>37.464413567715994</v>
      </c>
      <c r="R205" s="603">
        <f t="shared" si="98"/>
        <v>38.213701839070318</v>
      </c>
      <c r="S205" s="603">
        <f t="shared" si="98"/>
        <v>38.977975875851726</v>
      </c>
    </row>
    <row r="206" spans="1:19" s="606" customFormat="1" x14ac:dyDescent="0.35">
      <c r="B206" s="581" t="s">
        <v>998</v>
      </c>
      <c r="C206" s="579" t="s">
        <v>1001</v>
      </c>
      <c r="D206" s="106"/>
      <c r="E206" s="603">
        <f>(E205/E193)*100</f>
        <v>4.7663133854794237</v>
      </c>
      <c r="F206" s="603">
        <f>(F205/F193)*100</f>
        <v>4.907992284522229</v>
      </c>
      <c r="G206" s="603">
        <f>(G205/G193)*100</f>
        <v>3.1007824746222625</v>
      </c>
      <c r="H206" s="603">
        <f>(H205/H193)*100</f>
        <v>2.9915373223038348</v>
      </c>
      <c r="I206" s="603">
        <f>(I205/I193)*100</f>
        <v>3.2643577967961259</v>
      </c>
      <c r="J206" s="603">
        <f>Assumptions!J90</f>
        <v>3.2230557289547619</v>
      </c>
      <c r="K206" s="603">
        <f>Assumptions!K90</f>
        <v>3.2875168435338571</v>
      </c>
      <c r="L206" s="603">
        <f>Assumptions!L90</f>
        <v>3.3532671804045342</v>
      </c>
      <c r="M206" s="603">
        <f>Assumptions!M90</f>
        <v>3.420332524012625</v>
      </c>
      <c r="N206" s="603">
        <f>Assumptions!N90</f>
        <v>3.4887391744928777</v>
      </c>
      <c r="O206" s="603">
        <f>Assumptions!O90</f>
        <v>3.5585139579827354</v>
      </c>
      <c r="P206" s="603">
        <f>Assumptions!P90</f>
        <v>3.6296842371423903</v>
      </c>
      <c r="Q206" s="603">
        <f>Assumptions!Q90</f>
        <v>3.702277921885238</v>
      </c>
      <c r="R206" s="603">
        <f>Assumptions!R90</f>
        <v>3.7763234803229428</v>
      </c>
      <c r="S206" s="603">
        <f>Assumptions!S90</f>
        <v>3.8518499499294019</v>
      </c>
    </row>
    <row r="207" spans="1:19" s="606" customFormat="1" x14ac:dyDescent="0.35">
      <c r="B207" s="581"/>
      <c r="C207" s="579"/>
      <c r="D207" s="106"/>
      <c r="E207" s="657"/>
      <c r="F207" s="657"/>
      <c r="G207" s="657"/>
      <c r="H207" s="657"/>
      <c r="I207" s="657"/>
      <c r="J207" s="106"/>
      <c r="K207" s="106"/>
      <c r="L207" s="106"/>
      <c r="M207" s="106"/>
      <c r="N207" s="609"/>
      <c r="O207" s="609"/>
      <c r="P207" s="609"/>
      <c r="Q207" s="609"/>
      <c r="R207" s="609"/>
      <c r="S207" s="609"/>
    </row>
    <row r="208" spans="1:19" s="606" customFormat="1" hidden="1" x14ac:dyDescent="0.35">
      <c r="B208" s="655" t="s">
        <v>1005</v>
      </c>
      <c r="C208" s="298"/>
      <c r="D208" s="298"/>
      <c r="E208" s="148"/>
      <c r="F208" s="148"/>
      <c r="G208" s="656"/>
      <c r="H208" s="656"/>
      <c r="I208" s="656"/>
      <c r="J208" s="148"/>
      <c r="K208" s="148"/>
      <c r="L208" s="148"/>
      <c r="M208" s="148"/>
      <c r="N208" s="148"/>
      <c r="O208" s="148"/>
      <c r="P208" s="148"/>
      <c r="Q208" s="148"/>
      <c r="R208" s="148"/>
      <c r="S208" s="148"/>
    </row>
    <row r="209" spans="2:19" s="606" customFormat="1" hidden="1" x14ac:dyDescent="0.35">
      <c r="B209" s="199" t="s">
        <v>1006</v>
      </c>
      <c r="C209" s="579"/>
      <c r="D209" s="579"/>
      <c r="E209" s="143"/>
      <c r="F209" s="143"/>
      <c r="G209" s="170"/>
      <c r="H209" s="170"/>
      <c r="I209" s="170"/>
      <c r="J209" s="143"/>
      <c r="K209" s="143"/>
      <c r="L209" s="143"/>
      <c r="M209" s="143"/>
      <c r="N209" s="143"/>
      <c r="O209" s="143"/>
      <c r="P209" s="143"/>
      <c r="Q209" s="143"/>
      <c r="R209" s="143"/>
      <c r="S209" s="143"/>
    </row>
    <row r="210" spans="2:19" hidden="1" x14ac:dyDescent="0.35">
      <c r="B210" s="199" t="s">
        <v>664</v>
      </c>
      <c r="C210" s="579"/>
      <c r="D210" s="579"/>
      <c r="E210" s="143"/>
      <c r="F210" s="143"/>
      <c r="G210" s="170"/>
      <c r="H210" s="170"/>
      <c r="I210" s="170"/>
      <c r="J210" s="143"/>
      <c r="K210" s="143"/>
      <c r="L210" s="143"/>
      <c r="M210" s="143"/>
      <c r="N210" s="143"/>
      <c r="O210" s="143"/>
      <c r="P210" s="143"/>
      <c r="Q210" s="143"/>
      <c r="R210" s="143"/>
      <c r="S210" s="143"/>
    </row>
    <row r="211" spans="2:19" hidden="1" x14ac:dyDescent="0.35">
      <c r="B211" s="199" t="s">
        <v>630</v>
      </c>
      <c r="C211" s="579"/>
      <c r="D211" s="579"/>
      <c r="E211" s="143"/>
      <c r="F211" s="143"/>
      <c r="G211" s="143"/>
      <c r="H211" s="143"/>
      <c r="I211" s="143"/>
      <c r="J211" s="143"/>
      <c r="K211" s="143"/>
      <c r="L211" s="143"/>
      <c r="M211" s="143"/>
      <c r="N211" s="143"/>
      <c r="O211" s="143"/>
      <c r="P211" s="143"/>
      <c r="Q211" s="143"/>
      <c r="R211" s="143"/>
      <c r="S211" s="143"/>
    </row>
    <row r="212" spans="2:19" hidden="1" x14ac:dyDescent="0.35">
      <c r="B212" s="198" t="s">
        <v>631</v>
      </c>
      <c r="C212" s="579"/>
      <c r="D212" s="579"/>
      <c r="E212" s="93">
        <v>26756453.27</v>
      </c>
      <c r="F212" s="93">
        <v>34224419.550000004</v>
      </c>
      <c r="G212" s="93">
        <v>28136096.370000001</v>
      </c>
      <c r="H212" s="93">
        <v>29663418.620000001</v>
      </c>
      <c r="I212" s="93"/>
      <c r="J212" s="170"/>
      <c r="K212" s="170"/>
      <c r="L212" s="170"/>
      <c r="M212" s="170"/>
      <c r="N212" s="170"/>
      <c r="O212" s="170"/>
      <c r="P212" s="170"/>
      <c r="Q212" s="170"/>
      <c r="R212" s="170"/>
      <c r="S212" s="170"/>
    </row>
    <row r="213" spans="2:19" hidden="1" x14ac:dyDescent="0.35">
      <c r="B213" s="198" t="s">
        <v>632</v>
      </c>
      <c r="C213" s="579"/>
      <c r="D213" s="579"/>
      <c r="E213" s="93">
        <v>27665584</v>
      </c>
      <c r="F213" s="93">
        <v>38266229</v>
      </c>
      <c r="G213" s="93">
        <v>32617445</v>
      </c>
      <c r="H213" s="93">
        <v>32716818.5</v>
      </c>
      <c r="I213" s="93"/>
      <c r="J213" s="170"/>
      <c r="K213" s="170"/>
      <c r="L213" s="170"/>
      <c r="M213" s="170"/>
      <c r="N213" s="170"/>
      <c r="O213" s="170"/>
      <c r="P213" s="170"/>
      <c r="Q213" s="170"/>
      <c r="R213" s="170"/>
      <c r="S213" s="170"/>
    </row>
    <row r="214" spans="2:19" hidden="1" x14ac:dyDescent="0.35">
      <c r="B214" s="198" t="s">
        <v>633</v>
      </c>
      <c r="C214" s="579"/>
      <c r="D214" s="579"/>
      <c r="E214" s="93">
        <v>44254856.030000001</v>
      </c>
      <c r="F214" s="93">
        <v>43889676.119999997</v>
      </c>
      <c r="G214" s="93">
        <v>22565568.879999999</v>
      </c>
      <c r="H214" s="93">
        <v>13554157.449999999</v>
      </c>
      <c r="I214" s="93"/>
      <c r="J214" s="170"/>
      <c r="K214" s="170"/>
      <c r="L214" s="170"/>
      <c r="M214" s="170"/>
      <c r="N214" s="170"/>
      <c r="O214" s="170"/>
      <c r="P214" s="170"/>
      <c r="Q214" s="170"/>
      <c r="R214" s="170"/>
      <c r="S214" s="170"/>
    </row>
    <row r="215" spans="2:19" hidden="1" x14ac:dyDescent="0.35">
      <c r="B215" s="198" t="s">
        <v>634</v>
      </c>
      <c r="C215" s="579"/>
      <c r="D215" s="579"/>
      <c r="E215" s="93">
        <v>30613157.449999999</v>
      </c>
      <c r="F215" s="93">
        <v>33431432.068160005</v>
      </c>
      <c r="G215" s="93">
        <v>28500365.5</v>
      </c>
      <c r="H215" s="93">
        <v>27082176.300000001</v>
      </c>
      <c r="I215" s="93"/>
      <c r="J215" s="170"/>
      <c r="K215" s="170"/>
      <c r="L215" s="170"/>
      <c r="M215" s="170"/>
      <c r="N215" s="170"/>
      <c r="O215" s="170"/>
      <c r="P215" s="170"/>
      <c r="Q215" s="170"/>
      <c r="R215" s="170"/>
      <c r="S215" s="170"/>
    </row>
    <row r="216" spans="2:19" hidden="1" x14ac:dyDescent="0.35">
      <c r="B216" s="198" t="s">
        <v>635</v>
      </c>
      <c r="C216" s="579"/>
      <c r="D216" s="579"/>
      <c r="E216" s="93">
        <v>4424711</v>
      </c>
      <c r="F216" s="93">
        <v>3651041</v>
      </c>
      <c r="G216" s="93">
        <v>779531</v>
      </c>
      <c r="H216" s="93">
        <v>241361</v>
      </c>
      <c r="I216" s="93"/>
      <c r="J216" s="170"/>
      <c r="K216" s="170"/>
      <c r="L216" s="170"/>
      <c r="M216" s="170"/>
      <c r="N216" s="170"/>
      <c r="O216" s="170"/>
      <c r="P216" s="170"/>
      <c r="Q216" s="170"/>
      <c r="R216" s="170"/>
      <c r="S216" s="170"/>
    </row>
    <row r="217" spans="2:19" hidden="1" x14ac:dyDescent="0.35">
      <c r="B217" s="199" t="s">
        <v>636</v>
      </c>
      <c r="C217" s="579"/>
      <c r="D217" s="579"/>
      <c r="E217" s="173">
        <f t="shared" ref="E217:S217" si="99">SUM(E212:E216)</f>
        <v>133714761.75</v>
      </c>
      <c r="F217" s="173">
        <f t="shared" si="99"/>
        <v>153462797.73816001</v>
      </c>
      <c r="G217" s="173">
        <f t="shared" si="99"/>
        <v>112599006.75</v>
      </c>
      <c r="H217" s="173">
        <f t="shared" si="99"/>
        <v>103257931.87</v>
      </c>
      <c r="I217" s="173"/>
      <c r="J217" s="173">
        <f t="shared" si="99"/>
        <v>0</v>
      </c>
      <c r="K217" s="173">
        <f t="shared" si="99"/>
        <v>0</v>
      </c>
      <c r="L217" s="173">
        <f t="shared" si="99"/>
        <v>0</v>
      </c>
      <c r="M217" s="173">
        <f t="shared" si="99"/>
        <v>0</v>
      </c>
      <c r="N217" s="173">
        <f t="shared" si="99"/>
        <v>0</v>
      </c>
      <c r="O217" s="173">
        <f t="shared" si="99"/>
        <v>0</v>
      </c>
      <c r="P217" s="173">
        <f t="shared" si="99"/>
        <v>0</v>
      </c>
      <c r="Q217" s="173">
        <f t="shared" si="99"/>
        <v>0</v>
      </c>
      <c r="R217" s="173">
        <f t="shared" si="99"/>
        <v>0</v>
      </c>
      <c r="S217" s="173">
        <f t="shared" si="99"/>
        <v>0</v>
      </c>
    </row>
    <row r="218" spans="2:19" hidden="1" x14ac:dyDescent="0.35">
      <c r="B218" s="199" t="s">
        <v>637</v>
      </c>
      <c r="C218" s="579"/>
      <c r="D218" s="579"/>
      <c r="E218" s="69"/>
      <c r="F218" s="69"/>
      <c r="G218" s="69"/>
      <c r="H218" s="69"/>
      <c r="I218" s="69"/>
      <c r="J218" s="143"/>
      <c r="K218" s="143"/>
      <c r="L218" s="143"/>
      <c r="M218" s="143"/>
      <c r="N218" s="143"/>
      <c r="O218" s="143"/>
      <c r="P218" s="143"/>
      <c r="Q218" s="143"/>
      <c r="R218" s="143"/>
      <c r="S218" s="143"/>
    </row>
    <row r="219" spans="2:19" hidden="1" x14ac:dyDescent="0.35">
      <c r="B219" s="198" t="s">
        <v>638</v>
      </c>
      <c r="C219" s="579"/>
      <c r="D219" s="579"/>
      <c r="E219" s="93">
        <v>0</v>
      </c>
      <c r="F219" s="93">
        <v>0</v>
      </c>
      <c r="G219" s="93">
        <v>0</v>
      </c>
      <c r="H219" s="93">
        <v>0</v>
      </c>
      <c r="I219" s="93"/>
      <c r="J219" s="143"/>
      <c r="K219" s="143"/>
      <c r="L219" s="143"/>
      <c r="M219" s="143"/>
      <c r="N219" s="143"/>
      <c r="O219" s="143"/>
      <c r="P219" s="143"/>
      <c r="Q219" s="143"/>
      <c r="R219" s="143"/>
      <c r="S219" s="143"/>
    </row>
    <row r="220" spans="2:19" hidden="1" x14ac:dyDescent="0.35">
      <c r="B220" s="198" t="s">
        <v>639</v>
      </c>
      <c r="C220" s="579"/>
      <c r="D220" s="579"/>
      <c r="E220" s="93">
        <v>15420280</v>
      </c>
      <c r="F220" s="93">
        <v>12974449</v>
      </c>
      <c r="G220" s="93">
        <v>1869359</v>
      </c>
      <c r="H220" s="93">
        <v>68907</v>
      </c>
      <c r="I220" s="93"/>
      <c r="J220" s="143"/>
      <c r="K220" s="143"/>
      <c r="L220" s="143"/>
      <c r="M220" s="143"/>
      <c r="N220" s="143"/>
      <c r="O220" s="143"/>
      <c r="P220" s="143"/>
      <c r="Q220" s="143"/>
      <c r="R220" s="143"/>
      <c r="S220" s="143"/>
    </row>
    <row r="221" spans="2:19" hidden="1" x14ac:dyDescent="0.35">
      <c r="B221" s="198" t="s">
        <v>640</v>
      </c>
      <c r="C221" s="579"/>
      <c r="D221" s="579"/>
      <c r="E221" s="93">
        <v>23279791</v>
      </c>
      <c r="F221" s="93">
        <v>10741315.441199999</v>
      </c>
      <c r="G221" s="93">
        <v>1264920.6995999999</v>
      </c>
      <c r="H221" s="93">
        <v>1580320.3800000001</v>
      </c>
      <c r="I221" s="93"/>
      <c r="J221" s="143"/>
      <c r="K221" s="143"/>
      <c r="L221" s="143"/>
      <c r="M221" s="143"/>
      <c r="N221" s="143"/>
      <c r="O221" s="143"/>
      <c r="P221" s="143"/>
      <c r="Q221" s="143"/>
      <c r="R221" s="143"/>
      <c r="S221" s="143"/>
    </row>
    <row r="222" spans="2:19" hidden="1" x14ac:dyDescent="0.35">
      <c r="B222" s="198" t="s">
        <v>641</v>
      </c>
      <c r="C222" s="579"/>
      <c r="D222" s="579"/>
      <c r="E222" s="93">
        <v>27054395.32</v>
      </c>
      <c r="F222" s="93">
        <v>30270552.739999998</v>
      </c>
      <c r="G222" s="93">
        <v>11097788.35</v>
      </c>
      <c r="H222" s="93">
        <v>10392734</v>
      </c>
      <c r="I222" s="93"/>
      <c r="J222" s="143"/>
      <c r="K222" s="143"/>
      <c r="L222" s="143"/>
      <c r="M222" s="143"/>
      <c r="N222" s="143"/>
      <c r="O222" s="143"/>
      <c r="P222" s="143"/>
      <c r="Q222" s="143"/>
      <c r="R222" s="143"/>
      <c r="S222" s="143"/>
    </row>
    <row r="223" spans="2:19" hidden="1" x14ac:dyDescent="0.35">
      <c r="B223" s="198" t="s">
        <v>642</v>
      </c>
      <c r="C223" s="579"/>
      <c r="D223" s="579"/>
      <c r="E223" s="93">
        <v>21923351.109999999</v>
      </c>
      <c r="F223" s="93">
        <v>27183733.684240002</v>
      </c>
      <c r="G223" s="93">
        <v>11091075.21672</v>
      </c>
      <c r="H223" s="93">
        <v>9844422.4100000001</v>
      </c>
      <c r="I223" s="93"/>
      <c r="J223" s="143"/>
      <c r="K223" s="143"/>
      <c r="L223" s="143"/>
      <c r="M223" s="143"/>
      <c r="N223" s="143"/>
      <c r="O223" s="143"/>
      <c r="P223" s="143"/>
      <c r="Q223" s="143"/>
      <c r="R223" s="143"/>
      <c r="S223" s="143"/>
    </row>
    <row r="224" spans="2:19" hidden="1" x14ac:dyDescent="0.35">
      <c r="B224" s="199" t="s">
        <v>643</v>
      </c>
      <c r="C224" s="579"/>
      <c r="D224" s="579"/>
      <c r="E224" s="173">
        <f t="shared" ref="E224:S224" si="100">SUM(E219:E223)</f>
        <v>87677817.430000007</v>
      </c>
      <c r="F224" s="173">
        <f t="shared" si="100"/>
        <v>81170050.865439996</v>
      </c>
      <c r="G224" s="173">
        <f t="shared" si="100"/>
        <v>25323143.266319998</v>
      </c>
      <c r="H224" s="173">
        <f t="shared" si="100"/>
        <v>21886383.789999999</v>
      </c>
      <c r="I224" s="173"/>
      <c r="J224" s="173">
        <f t="shared" si="100"/>
        <v>0</v>
      </c>
      <c r="K224" s="173">
        <f t="shared" si="100"/>
        <v>0</v>
      </c>
      <c r="L224" s="173">
        <f t="shared" si="100"/>
        <v>0</v>
      </c>
      <c r="M224" s="173">
        <f t="shared" si="100"/>
        <v>0</v>
      </c>
      <c r="N224" s="173">
        <f t="shared" si="100"/>
        <v>0</v>
      </c>
      <c r="O224" s="173">
        <f t="shared" si="100"/>
        <v>0</v>
      </c>
      <c r="P224" s="173">
        <f t="shared" si="100"/>
        <v>0</v>
      </c>
      <c r="Q224" s="173">
        <f t="shared" si="100"/>
        <v>0</v>
      </c>
      <c r="R224" s="173">
        <f t="shared" si="100"/>
        <v>0</v>
      </c>
      <c r="S224" s="173">
        <f t="shared" si="100"/>
        <v>0</v>
      </c>
    </row>
    <row r="225" spans="2:19" hidden="1" x14ac:dyDescent="0.35">
      <c r="B225" s="199" t="s">
        <v>644</v>
      </c>
      <c r="C225" s="579"/>
      <c r="D225" s="579"/>
      <c r="E225" s="69"/>
      <c r="F225" s="69"/>
      <c r="G225" s="69"/>
      <c r="H225" s="69"/>
      <c r="I225" s="69"/>
      <c r="J225" s="143"/>
      <c r="K225" s="143"/>
      <c r="L225" s="143"/>
      <c r="M225" s="143"/>
      <c r="N225" s="143"/>
      <c r="O225" s="143"/>
      <c r="P225" s="143"/>
      <c r="Q225" s="143"/>
      <c r="R225" s="143"/>
      <c r="S225" s="143"/>
    </row>
    <row r="226" spans="2:19" hidden="1" x14ac:dyDescent="0.35">
      <c r="B226" s="198" t="s">
        <v>645</v>
      </c>
      <c r="C226" s="579"/>
      <c r="D226" s="579"/>
      <c r="E226" s="93">
        <v>0</v>
      </c>
      <c r="F226" s="93">
        <v>0</v>
      </c>
      <c r="G226" s="93">
        <v>0</v>
      </c>
      <c r="H226" s="93">
        <v>0</v>
      </c>
      <c r="I226" s="93"/>
      <c r="J226" s="143"/>
      <c r="K226" s="143"/>
      <c r="L226" s="143"/>
      <c r="M226" s="143"/>
      <c r="N226" s="143"/>
      <c r="O226" s="143"/>
      <c r="P226" s="143"/>
      <c r="Q226" s="143"/>
      <c r="R226" s="143"/>
      <c r="S226" s="143"/>
    </row>
    <row r="227" spans="2:19" hidden="1" x14ac:dyDescent="0.35">
      <c r="B227" s="198" t="s">
        <v>646</v>
      </c>
      <c r="C227" s="579"/>
      <c r="D227" s="579"/>
      <c r="E227" s="93">
        <v>0</v>
      </c>
      <c r="F227" s="93">
        <v>0</v>
      </c>
      <c r="G227" s="93">
        <v>0</v>
      </c>
      <c r="H227" s="93">
        <v>0</v>
      </c>
      <c r="I227" s="93"/>
      <c r="J227" s="143"/>
      <c r="K227" s="143"/>
      <c r="L227" s="143"/>
      <c r="M227" s="143"/>
      <c r="N227" s="143"/>
      <c r="O227" s="143"/>
      <c r="P227" s="143"/>
      <c r="Q227" s="143"/>
      <c r="R227" s="143"/>
      <c r="S227" s="143"/>
    </row>
    <row r="228" spans="2:19" hidden="1" x14ac:dyDescent="0.35">
      <c r="B228" s="198" t="s">
        <v>647</v>
      </c>
      <c r="C228" s="579"/>
      <c r="D228" s="579"/>
      <c r="E228" s="93">
        <v>29436240</v>
      </c>
      <c r="F228" s="93">
        <v>33404240</v>
      </c>
      <c r="G228" s="93">
        <v>28747520</v>
      </c>
      <c r="H228" s="93">
        <v>21512430</v>
      </c>
      <c r="I228" s="93"/>
      <c r="J228" s="143"/>
      <c r="K228" s="143"/>
      <c r="L228" s="143"/>
      <c r="M228" s="143"/>
      <c r="N228" s="143"/>
      <c r="O228" s="143"/>
      <c r="P228" s="143"/>
      <c r="Q228" s="143"/>
      <c r="R228" s="143"/>
      <c r="S228" s="143"/>
    </row>
    <row r="229" spans="2:19" hidden="1" x14ac:dyDescent="0.35">
      <c r="B229" s="198" t="s">
        <v>648</v>
      </c>
      <c r="C229" s="579"/>
      <c r="D229" s="579"/>
      <c r="E229" s="93">
        <v>63201677.294639997</v>
      </c>
      <c r="F229" s="93">
        <v>67297894.526719987</v>
      </c>
      <c r="G229" s="93">
        <v>48060149.579999998</v>
      </c>
      <c r="H229" s="93">
        <v>29875110.289999999</v>
      </c>
      <c r="I229" s="93"/>
      <c r="J229" s="143"/>
      <c r="K229" s="143"/>
      <c r="L229" s="143"/>
      <c r="M229" s="143"/>
      <c r="N229" s="143"/>
      <c r="O229" s="143"/>
      <c r="P229" s="143"/>
      <c r="Q229" s="143"/>
      <c r="R229" s="143"/>
      <c r="S229" s="143"/>
    </row>
    <row r="230" spans="2:19" hidden="1" x14ac:dyDescent="0.35">
      <c r="B230" s="199" t="s">
        <v>649</v>
      </c>
      <c r="C230" s="579"/>
      <c r="D230" s="579"/>
      <c r="E230" s="173">
        <f t="shared" ref="E230:S230" si="101">SUM(E225:E229)</f>
        <v>92637917.294640005</v>
      </c>
      <c r="F230" s="173">
        <f t="shared" si="101"/>
        <v>100702134.52671999</v>
      </c>
      <c r="G230" s="173">
        <f t="shared" si="101"/>
        <v>76807669.579999998</v>
      </c>
      <c r="H230" s="173">
        <f t="shared" si="101"/>
        <v>51387540.289999999</v>
      </c>
      <c r="I230" s="173"/>
      <c r="J230" s="173">
        <f t="shared" si="101"/>
        <v>0</v>
      </c>
      <c r="K230" s="173">
        <f t="shared" si="101"/>
        <v>0</v>
      </c>
      <c r="L230" s="173">
        <f t="shared" si="101"/>
        <v>0</v>
      </c>
      <c r="M230" s="173">
        <f t="shared" si="101"/>
        <v>0</v>
      </c>
      <c r="N230" s="173">
        <f t="shared" si="101"/>
        <v>0</v>
      </c>
      <c r="O230" s="173">
        <f t="shared" si="101"/>
        <v>0</v>
      </c>
      <c r="P230" s="173">
        <f t="shared" si="101"/>
        <v>0</v>
      </c>
      <c r="Q230" s="173">
        <f t="shared" si="101"/>
        <v>0</v>
      </c>
      <c r="R230" s="173">
        <f t="shared" si="101"/>
        <v>0</v>
      </c>
      <c r="S230" s="173">
        <f t="shared" si="101"/>
        <v>0</v>
      </c>
    </row>
    <row r="231" spans="2:19" hidden="1" x14ac:dyDescent="0.35">
      <c r="B231" s="199" t="s">
        <v>935</v>
      </c>
      <c r="C231" s="579"/>
      <c r="D231" s="579"/>
      <c r="E231" s="173">
        <f t="shared" ref="E231:S231" si="102">+E230+E224+E217</f>
        <v>314030496.47464001</v>
      </c>
      <c r="F231" s="173">
        <f t="shared" si="102"/>
        <v>335334983.13032001</v>
      </c>
      <c r="G231" s="173">
        <f t="shared" si="102"/>
        <v>214729819.59632</v>
      </c>
      <c r="H231" s="173">
        <f t="shared" si="102"/>
        <v>176531855.94999999</v>
      </c>
      <c r="I231" s="173"/>
      <c r="J231" s="173">
        <f t="shared" si="102"/>
        <v>0</v>
      </c>
      <c r="K231" s="173">
        <f t="shared" si="102"/>
        <v>0</v>
      </c>
      <c r="L231" s="173">
        <f t="shared" si="102"/>
        <v>0</v>
      </c>
      <c r="M231" s="173">
        <f t="shared" si="102"/>
        <v>0</v>
      </c>
      <c r="N231" s="173">
        <f t="shared" si="102"/>
        <v>0</v>
      </c>
      <c r="O231" s="173">
        <f t="shared" si="102"/>
        <v>0</v>
      </c>
      <c r="P231" s="173">
        <f t="shared" si="102"/>
        <v>0</v>
      </c>
      <c r="Q231" s="173">
        <f t="shared" si="102"/>
        <v>0</v>
      </c>
      <c r="R231" s="173">
        <f t="shared" si="102"/>
        <v>0</v>
      </c>
      <c r="S231" s="173">
        <f t="shared" si="102"/>
        <v>0</v>
      </c>
    </row>
    <row r="232" spans="2:19" hidden="1" x14ac:dyDescent="0.35">
      <c r="B232" s="143"/>
      <c r="C232" s="579"/>
      <c r="D232" s="579"/>
      <c r="E232" s="173"/>
      <c r="F232" s="173"/>
      <c r="G232" s="173"/>
      <c r="H232" s="173"/>
      <c r="I232" s="173"/>
      <c r="J232" s="173"/>
      <c r="K232" s="173"/>
      <c r="L232" s="173"/>
      <c r="M232" s="173"/>
      <c r="N232" s="173"/>
      <c r="O232" s="173"/>
      <c r="P232" s="173"/>
      <c r="Q232" s="173"/>
      <c r="R232" s="173"/>
      <c r="S232" s="173"/>
    </row>
    <row r="233" spans="2:19" hidden="1" x14ac:dyDescent="0.35">
      <c r="B233" s="106" t="s">
        <v>1007</v>
      </c>
      <c r="C233" s="579"/>
      <c r="D233" s="579"/>
      <c r="E233" s="106"/>
      <c r="F233" s="106"/>
      <c r="G233" s="106"/>
      <c r="H233" s="106"/>
      <c r="I233" s="106"/>
      <c r="J233" s="106"/>
      <c r="K233" s="106"/>
      <c r="L233" s="106"/>
      <c r="M233" s="106"/>
      <c r="N233" s="106"/>
      <c r="O233" s="106"/>
      <c r="P233" s="106"/>
      <c r="Q233" s="106"/>
      <c r="R233" s="106"/>
      <c r="S233" s="106"/>
    </row>
    <row r="234" spans="2:19" hidden="1" x14ac:dyDescent="0.35">
      <c r="B234" s="199" t="s">
        <v>664</v>
      </c>
      <c r="C234" s="579"/>
      <c r="D234" s="579"/>
      <c r="E234" s="143"/>
      <c r="F234" s="143"/>
      <c r="G234" s="170"/>
      <c r="H234" s="170"/>
      <c r="I234" s="170"/>
      <c r="J234" s="143"/>
      <c r="K234" s="143"/>
      <c r="L234" s="143"/>
      <c r="M234" s="143"/>
      <c r="N234" s="143"/>
      <c r="O234" s="143"/>
      <c r="P234" s="143"/>
      <c r="Q234" s="143"/>
      <c r="R234" s="143"/>
      <c r="S234" s="143"/>
    </row>
    <row r="235" spans="2:19" hidden="1" x14ac:dyDescent="0.35">
      <c r="B235" s="199" t="s">
        <v>630</v>
      </c>
      <c r="C235" s="579"/>
      <c r="D235" s="579"/>
      <c r="E235" s="143"/>
      <c r="F235" s="143"/>
      <c r="G235" s="143"/>
      <c r="H235" s="143"/>
      <c r="I235" s="143"/>
      <c r="J235" s="143"/>
      <c r="K235" s="143"/>
      <c r="L235" s="143"/>
      <c r="M235" s="143"/>
      <c r="N235" s="143"/>
      <c r="O235" s="143"/>
      <c r="P235" s="143"/>
      <c r="Q235" s="143"/>
      <c r="R235" s="143"/>
      <c r="S235" s="143"/>
    </row>
    <row r="236" spans="2:19" hidden="1" x14ac:dyDescent="0.35">
      <c r="B236" s="198" t="s">
        <v>631</v>
      </c>
      <c r="C236" s="579"/>
      <c r="D236" s="579"/>
      <c r="E236" s="93">
        <v>294950.5</v>
      </c>
      <c r="F236" s="93">
        <v>0</v>
      </c>
      <c r="G236" s="93">
        <v>0</v>
      </c>
      <c r="H236" s="93">
        <v>395717.8</v>
      </c>
      <c r="I236" s="93"/>
      <c r="J236" s="170"/>
      <c r="K236" s="170"/>
      <c r="L236" s="170"/>
      <c r="M236" s="170"/>
      <c r="N236" s="170"/>
      <c r="O236" s="170"/>
      <c r="P236" s="170"/>
      <c r="Q236" s="170"/>
      <c r="R236" s="170"/>
      <c r="S236" s="170"/>
    </row>
    <row r="237" spans="2:19" hidden="1" x14ac:dyDescent="0.35">
      <c r="B237" s="198" t="s">
        <v>632</v>
      </c>
      <c r="C237" s="579"/>
      <c r="D237" s="579"/>
      <c r="E237" s="93">
        <v>108735</v>
      </c>
      <c r="F237" s="93">
        <v>0</v>
      </c>
      <c r="G237" s="93">
        <v>0</v>
      </c>
      <c r="H237" s="93">
        <v>594747.52</v>
      </c>
      <c r="I237" s="93"/>
      <c r="J237" s="170"/>
      <c r="K237" s="170"/>
      <c r="L237" s="170"/>
      <c r="M237" s="170"/>
      <c r="N237" s="170"/>
      <c r="O237" s="170"/>
      <c r="P237" s="170"/>
      <c r="Q237" s="170"/>
      <c r="R237" s="170"/>
      <c r="S237" s="170"/>
    </row>
    <row r="238" spans="2:19" hidden="1" x14ac:dyDescent="0.35">
      <c r="B238" s="198" t="s">
        <v>633</v>
      </c>
      <c r="C238" s="579"/>
      <c r="D238" s="579"/>
      <c r="E238" s="93">
        <v>206052.8</v>
      </c>
      <c r="F238" s="93">
        <v>0</v>
      </c>
      <c r="G238" s="93">
        <v>0</v>
      </c>
      <c r="H238" s="93">
        <v>450728.76</v>
      </c>
      <c r="I238" s="93"/>
      <c r="J238" s="170"/>
      <c r="K238" s="170"/>
      <c r="L238" s="170"/>
      <c r="M238" s="170"/>
      <c r="N238" s="170"/>
      <c r="O238" s="170"/>
      <c r="P238" s="170"/>
      <c r="Q238" s="170"/>
      <c r="R238" s="170"/>
      <c r="S238" s="170"/>
    </row>
    <row r="239" spans="2:19" hidden="1" x14ac:dyDescent="0.35">
      <c r="B239" s="198" t="s">
        <v>634</v>
      </c>
      <c r="C239" s="579"/>
      <c r="D239" s="579"/>
      <c r="E239" s="93">
        <v>0</v>
      </c>
      <c r="F239" s="93">
        <v>25177</v>
      </c>
      <c r="G239" s="93">
        <v>118364</v>
      </c>
      <c r="H239" s="93">
        <v>461046.6</v>
      </c>
      <c r="I239" s="93"/>
      <c r="J239" s="170"/>
      <c r="K239" s="170"/>
      <c r="L239" s="170"/>
      <c r="M239" s="170"/>
      <c r="N239" s="170"/>
      <c r="O239" s="170"/>
      <c r="P239" s="170"/>
      <c r="Q239" s="170"/>
      <c r="R239" s="170"/>
      <c r="S239" s="170"/>
    </row>
    <row r="240" spans="2:19" hidden="1" x14ac:dyDescent="0.35">
      <c r="B240" s="198" t="s">
        <v>635</v>
      </c>
      <c r="C240" s="579"/>
      <c r="D240" s="579"/>
      <c r="E240" s="93">
        <v>0</v>
      </c>
      <c r="F240" s="93">
        <v>658888.47</v>
      </c>
      <c r="G240" s="93">
        <v>124841</v>
      </c>
      <c r="H240" s="93">
        <v>504866</v>
      </c>
      <c r="I240" s="93"/>
      <c r="J240" s="170"/>
      <c r="K240" s="170"/>
      <c r="L240" s="170"/>
      <c r="M240" s="170"/>
      <c r="N240" s="170"/>
      <c r="O240" s="170"/>
      <c r="P240" s="170"/>
      <c r="Q240" s="170"/>
      <c r="R240" s="170"/>
      <c r="S240" s="170"/>
    </row>
    <row r="241" spans="2:19" hidden="1" x14ac:dyDescent="0.35">
      <c r="B241" s="199" t="s">
        <v>636</v>
      </c>
      <c r="C241" s="579"/>
      <c r="D241" s="579"/>
      <c r="E241" s="173">
        <f t="shared" ref="E241:S241" si="103">SUM(E236:E240)</f>
        <v>609738.30000000005</v>
      </c>
      <c r="F241" s="173">
        <f t="shared" si="103"/>
        <v>684065.47</v>
      </c>
      <c r="G241" s="173">
        <f t="shared" si="103"/>
        <v>243205</v>
      </c>
      <c r="H241" s="173">
        <f t="shared" si="103"/>
        <v>2407106.6800000002</v>
      </c>
      <c r="I241" s="173"/>
      <c r="J241" s="173">
        <f t="shared" si="103"/>
        <v>0</v>
      </c>
      <c r="K241" s="173">
        <f t="shared" si="103"/>
        <v>0</v>
      </c>
      <c r="L241" s="173">
        <f t="shared" si="103"/>
        <v>0</v>
      </c>
      <c r="M241" s="173">
        <f t="shared" si="103"/>
        <v>0</v>
      </c>
      <c r="N241" s="173">
        <f t="shared" si="103"/>
        <v>0</v>
      </c>
      <c r="O241" s="173">
        <f t="shared" si="103"/>
        <v>0</v>
      </c>
      <c r="P241" s="173">
        <f t="shared" si="103"/>
        <v>0</v>
      </c>
      <c r="Q241" s="173">
        <f t="shared" si="103"/>
        <v>0</v>
      </c>
      <c r="R241" s="173">
        <f t="shared" si="103"/>
        <v>0</v>
      </c>
      <c r="S241" s="173">
        <f t="shared" si="103"/>
        <v>0</v>
      </c>
    </row>
    <row r="242" spans="2:19" hidden="1" x14ac:dyDescent="0.35">
      <c r="B242" s="199" t="s">
        <v>637</v>
      </c>
      <c r="C242" s="579"/>
      <c r="D242" s="579"/>
      <c r="E242" s="69"/>
      <c r="F242" s="69"/>
      <c r="G242" s="69"/>
      <c r="H242" s="69"/>
      <c r="I242" s="69"/>
      <c r="J242" s="143"/>
      <c r="K242" s="143"/>
      <c r="L242" s="143"/>
      <c r="M242" s="143"/>
      <c r="N242" s="143"/>
      <c r="O242" s="143"/>
      <c r="P242" s="143"/>
      <c r="Q242" s="143"/>
      <c r="R242" s="143"/>
      <c r="S242" s="143"/>
    </row>
    <row r="243" spans="2:19" hidden="1" x14ac:dyDescent="0.35">
      <c r="B243" s="198" t="s">
        <v>638</v>
      </c>
      <c r="C243" s="579"/>
      <c r="D243" s="579"/>
      <c r="E243" s="93">
        <v>0</v>
      </c>
      <c r="F243" s="93">
        <v>0</v>
      </c>
      <c r="G243" s="93">
        <v>0</v>
      </c>
      <c r="H243" s="93">
        <v>0</v>
      </c>
      <c r="I243" s="93"/>
      <c r="J243" s="143"/>
      <c r="K243" s="143"/>
      <c r="L243" s="143"/>
      <c r="M243" s="143"/>
      <c r="N243" s="143"/>
      <c r="O243" s="143"/>
      <c r="P243" s="143"/>
      <c r="Q243" s="143"/>
      <c r="R243" s="143"/>
      <c r="S243" s="143"/>
    </row>
    <row r="244" spans="2:19" hidden="1" x14ac:dyDescent="0.35">
      <c r="B244" s="198" t="s">
        <v>639</v>
      </c>
      <c r="C244" s="579"/>
      <c r="D244" s="579"/>
      <c r="E244" s="93">
        <v>0</v>
      </c>
      <c r="F244" s="93">
        <v>1272166</v>
      </c>
      <c r="G244" s="93">
        <v>1229746</v>
      </c>
      <c r="H244" s="93">
        <v>3760087</v>
      </c>
      <c r="I244" s="93"/>
      <c r="J244" s="143"/>
      <c r="K244" s="143"/>
      <c r="L244" s="143"/>
      <c r="M244" s="143"/>
      <c r="N244" s="143"/>
      <c r="O244" s="143"/>
      <c r="P244" s="143"/>
      <c r="Q244" s="143"/>
      <c r="R244" s="143"/>
      <c r="S244" s="143"/>
    </row>
    <row r="245" spans="2:19" hidden="1" x14ac:dyDescent="0.35">
      <c r="B245" s="198" t="s">
        <v>640</v>
      </c>
      <c r="C245" s="579"/>
      <c r="D245" s="579"/>
      <c r="E245" s="93">
        <v>247602</v>
      </c>
      <c r="F245" s="93">
        <v>374595</v>
      </c>
      <c r="G245" s="93">
        <v>177871</v>
      </c>
      <c r="H245" s="93">
        <v>1914323.1800000002</v>
      </c>
      <c r="I245" s="93"/>
      <c r="J245" s="143"/>
      <c r="K245" s="143"/>
      <c r="L245" s="143"/>
      <c r="M245" s="143"/>
      <c r="N245" s="143"/>
      <c r="O245" s="143"/>
      <c r="P245" s="143"/>
      <c r="Q245" s="143"/>
      <c r="R245" s="143"/>
      <c r="S245" s="143"/>
    </row>
    <row r="246" spans="2:19" hidden="1" x14ac:dyDescent="0.35">
      <c r="B246" s="198" t="s">
        <v>641</v>
      </c>
      <c r="C246" s="579"/>
      <c r="D246" s="579"/>
      <c r="E246" s="93">
        <v>230629</v>
      </c>
      <c r="F246" s="93">
        <v>697477</v>
      </c>
      <c r="G246" s="93">
        <v>307683</v>
      </c>
      <c r="H246" s="93">
        <v>503647.04</v>
      </c>
      <c r="I246" s="93"/>
      <c r="J246" s="143"/>
      <c r="K246" s="143"/>
      <c r="L246" s="143"/>
      <c r="M246" s="143"/>
      <c r="N246" s="143"/>
      <c r="O246" s="143"/>
      <c r="P246" s="143"/>
      <c r="Q246" s="143"/>
      <c r="R246" s="143"/>
      <c r="S246" s="143"/>
    </row>
    <row r="247" spans="2:19" hidden="1" x14ac:dyDescent="0.35">
      <c r="B247" s="198" t="s">
        <v>642</v>
      </c>
      <c r="C247" s="579"/>
      <c r="D247" s="579"/>
      <c r="E247" s="93">
        <v>1106196</v>
      </c>
      <c r="F247" s="93">
        <v>0</v>
      </c>
      <c r="G247" s="93">
        <v>508423</v>
      </c>
      <c r="H247" s="93">
        <v>769865</v>
      </c>
      <c r="I247" s="93"/>
      <c r="J247" s="143"/>
      <c r="K247" s="143"/>
      <c r="L247" s="143"/>
      <c r="M247" s="143"/>
      <c r="N247" s="143"/>
      <c r="O247" s="143"/>
      <c r="P247" s="143"/>
      <c r="Q247" s="143"/>
      <c r="R247" s="143"/>
      <c r="S247" s="143"/>
    </row>
    <row r="248" spans="2:19" hidden="1" x14ac:dyDescent="0.35">
      <c r="B248" s="199" t="s">
        <v>643</v>
      </c>
      <c r="C248" s="579"/>
      <c r="D248" s="579"/>
      <c r="E248" s="173">
        <f t="shared" ref="E248:S248" si="104">SUM(E243:E247)</f>
        <v>1584427</v>
      </c>
      <c r="F248" s="173">
        <f t="shared" si="104"/>
        <v>2344238</v>
      </c>
      <c r="G248" s="173">
        <f t="shared" si="104"/>
        <v>2223723</v>
      </c>
      <c r="H248" s="173">
        <f t="shared" si="104"/>
        <v>6947922.2199999997</v>
      </c>
      <c r="I248" s="173"/>
      <c r="J248" s="173">
        <f t="shared" si="104"/>
        <v>0</v>
      </c>
      <c r="K248" s="173">
        <f t="shared" si="104"/>
        <v>0</v>
      </c>
      <c r="L248" s="173">
        <f t="shared" si="104"/>
        <v>0</v>
      </c>
      <c r="M248" s="173">
        <f t="shared" si="104"/>
        <v>0</v>
      </c>
      <c r="N248" s="173">
        <f t="shared" si="104"/>
        <v>0</v>
      </c>
      <c r="O248" s="173">
        <f t="shared" si="104"/>
        <v>0</v>
      </c>
      <c r="P248" s="173">
        <f t="shared" si="104"/>
        <v>0</v>
      </c>
      <c r="Q248" s="173">
        <f t="shared" si="104"/>
        <v>0</v>
      </c>
      <c r="R248" s="173">
        <f t="shared" si="104"/>
        <v>0</v>
      </c>
      <c r="S248" s="173">
        <f t="shared" si="104"/>
        <v>0</v>
      </c>
    </row>
    <row r="249" spans="2:19" hidden="1" x14ac:dyDescent="0.35">
      <c r="B249" s="199" t="s">
        <v>644</v>
      </c>
      <c r="C249" s="579"/>
      <c r="D249" s="579"/>
      <c r="E249" s="69"/>
      <c r="F249" s="69"/>
      <c r="G249" s="69"/>
      <c r="H249" s="69"/>
      <c r="I249" s="69"/>
      <c r="J249" s="143"/>
      <c r="K249" s="143"/>
      <c r="L249" s="143"/>
      <c r="M249" s="143"/>
      <c r="N249" s="143"/>
      <c r="O249" s="143"/>
      <c r="P249" s="143"/>
      <c r="Q249" s="143"/>
      <c r="R249" s="143"/>
      <c r="S249" s="143"/>
    </row>
    <row r="250" spans="2:19" hidden="1" x14ac:dyDescent="0.35">
      <c r="B250" s="198" t="s">
        <v>645</v>
      </c>
      <c r="C250" s="579"/>
      <c r="D250" s="579"/>
      <c r="E250" s="93">
        <v>0</v>
      </c>
      <c r="F250" s="93">
        <v>0</v>
      </c>
      <c r="G250" s="93">
        <v>0</v>
      </c>
      <c r="H250" s="93">
        <v>0</v>
      </c>
      <c r="I250" s="93"/>
      <c r="J250" s="143"/>
      <c r="K250" s="143"/>
      <c r="L250" s="143"/>
      <c r="M250" s="143"/>
      <c r="N250" s="143"/>
      <c r="O250" s="143"/>
      <c r="P250" s="143"/>
      <c r="Q250" s="143"/>
      <c r="R250" s="143"/>
      <c r="S250" s="143"/>
    </row>
    <row r="251" spans="2:19" hidden="1" x14ac:dyDescent="0.35">
      <c r="B251" s="198" t="s">
        <v>646</v>
      </c>
      <c r="C251" s="579"/>
      <c r="D251" s="579"/>
      <c r="E251" s="93">
        <v>0</v>
      </c>
      <c r="F251" s="93">
        <v>0</v>
      </c>
      <c r="G251" s="93">
        <v>0</v>
      </c>
      <c r="H251" s="93">
        <v>0</v>
      </c>
      <c r="I251" s="93"/>
      <c r="J251" s="143"/>
      <c r="K251" s="143"/>
      <c r="L251" s="143"/>
      <c r="M251" s="143"/>
      <c r="N251" s="143"/>
      <c r="O251" s="143"/>
      <c r="P251" s="143"/>
      <c r="Q251" s="143"/>
      <c r="R251" s="143"/>
      <c r="S251" s="143"/>
    </row>
    <row r="252" spans="2:19" hidden="1" x14ac:dyDescent="0.35">
      <c r="B252" s="198" t="s">
        <v>647</v>
      </c>
      <c r="C252" s="579"/>
      <c r="D252" s="579"/>
      <c r="E252" s="93">
        <v>291009</v>
      </c>
      <c r="F252" s="93">
        <v>378498</v>
      </c>
      <c r="G252" s="93">
        <v>238797</v>
      </c>
      <c r="H252" s="93">
        <v>300516</v>
      </c>
      <c r="I252" s="93"/>
      <c r="J252" s="143"/>
      <c r="K252" s="143"/>
      <c r="L252" s="143"/>
      <c r="M252" s="143"/>
      <c r="N252" s="143"/>
      <c r="O252" s="143"/>
      <c r="P252" s="143"/>
      <c r="Q252" s="143"/>
      <c r="R252" s="143"/>
      <c r="S252" s="143"/>
    </row>
    <row r="253" spans="2:19" hidden="1" x14ac:dyDescent="0.35">
      <c r="B253" s="198" t="s">
        <v>648</v>
      </c>
      <c r="C253" s="579"/>
      <c r="D253" s="579"/>
      <c r="E253" s="93">
        <v>86072.800000000047</v>
      </c>
      <c r="F253" s="93">
        <v>158499.59999999963</v>
      </c>
      <c r="G253" s="93">
        <v>504575.19999999995</v>
      </c>
      <c r="H253" s="93">
        <v>476470.5</v>
      </c>
      <c r="I253" s="93"/>
      <c r="J253" s="143"/>
      <c r="K253" s="143"/>
      <c r="L253" s="143"/>
      <c r="M253" s="143"/>
      <c r="N253" s="143"/>
      <c r="O253" s="143"/>
      <c r="P253" s="143"/>
      <c r="Q253" s="143"/>
      <c r="R253" s="143"/>
      <c r="S253" s="143"/>
    </row>
    <row r="254" spans="2:19" hidden="1" x14ac:dyDescent="0.35">
      <c r="B254" s="199" t="s">
        <v>649</v>
      </c>
      <c r="C254" s="579"/>
      <c r="D254" s="579"/>
      <c r="E254" s="173">
        <f t="shared" ref="E254:S254" si="105">SUM(E249:E253)</f>
        <v>377081.80000000005</v>
      </c>
      <c r="F254" s="173">
        <f t="shared" si="105"/>
        <v>536997.59999999963</v>
      </c>
      <c r="G254" s="173">
        <f t="shared" si="105"/>
        <v>743372.2</v>
      </c>
      <c r="H254" s="173">
        <f t="shared" si="105"/>
        <v>776986.5</v>
      </c>
      <c r="I254" s="173"/>
      <c r="J254" s="173">
        <f t="shared" si="105"/>
        <v>0</v>
      </c>
      <c r="K254" s="173">
        <f t="shared" si="105"/>
        <v>0</v>
      </c>
      <c r="L254" s="173">
        <f t="shared" si="105"/>
        <v>0</v>
      </c>
      <c r="M254" s="173">
        <f t="shared" si="105"/>
        <v>0</v>
      </c>
      <c r="N254" s="173">
        <f t="shared" si="105"/>
        <v>0</v>
      </c>
      <c r="O254" s="173">
        <f t="shared" si="105"/>
        <v>0</v>
      </c>
      <c r="P254" s="173">
        <f t="shared" si="105"/>
        <v>0</v>
      </c>
      <c r="Q254" s="173">
        <f t="shared" si="105"/>
        <v>0</v>
      </c>
      <c r="R254" s="173">
        <f t="shared" si="105"/>
        <v>0</v>
      </c>
      <c r="S254" s="173">
        <f t="shared" si="105"/>
        <v>0</v>
      </c>
    </row>
    <row r="255" spans="2:19" hidden="1" x14ac:dyDescent="0.35">
      <c r="B255" s="199" t="s">
        <v>935</v>
      </c>
      <c r="C255" s="579"/>
      <c r="D255" s="579"/>
      <c r="E255" s="173">
        <f t="shared" ref="E255:S255" si="106">+E254+E248+E241</f>
        <v>2571247.1</v>
      </c>
      <c r="F255" s="173">
        <f t="shared" si="106"/>
        <v>3565301.0699999994</v>
      </c>
      <c r="G255" s="173">
        <f t="shared" si="106"/>
        <v>3210300.2</v>
      </c>
      <c r="H255" s="173">
        <f t="shared" si="106"/>
        <v>10132015.4</v>
      </c>
      <c r="I255" s="173"/>
      <c r="J255" s="173">
        <f t="shared" si="106"/>
        <v>0</v>
      </c>
      <c r="K255" s="173">
        <f t="shared" si="106"/>
        <v>0</v>
      </c>
      <c r="L255" s="173">
        <f t="shared" si="106"/>
        <v>0</v>
      </c>
      <c r="M255" s="173">
        <f t="shared" si="106"/>
        <v>0</v>
      </c>
      <c r="N255" s="173">
        <f t="shared" si="106"/>
        <v>0</v>
      </c>
      <c r="O255" s="173">
        <f t="shared" si="106"/>
        <v>0</v>
      </c>
      <c r="P255" s="173">
        <f t="shared" si="106"/>
        <v>0</v>
      </c>
      <c r="Q255" s="173">
        <f t="shared" si="106"/>
        <v>0</v>
      </c>
      <c r="R255" s="173">
        <f t="shared" si="106"/>
        <v>0</v>
      </c>
      <c r="S255" s="173">
        <f t="shared" si="106"/>
        <v>0</v>
      </c>
    </row>
    <row r="256" spans="2:19" hidden="1" x14ac:dyDescent="0.35">
      <c r="B256" s="143"/>
      <c r="C256" s="579"/>
      <c r="D256" s="579"/>
      <c r="E256" s="173"/>
      <c r="F256" s="173"/>
      <c r="G256" s="173"/>
      <c r="H256" s="173"/>
      <c r="I256" s="173"/>
      <c r="J256" s="173"/>
      <c r="K256" s="173"/>
      <c r="L256" s="173"/>
      <c r="M256" s="173"/>
      <c r="N256" s="173"/>
      <c r="O256" s="173"/>
      <c r="P256" s="173"/>
      <c r="Q256" s="173"/>
      <c r="R256" s="173"/>
      <c r="S256" s="173"/>
    </row>
    <row r="257" spans="2:19" hidden="1" x14ac:dyDescent="0.35">
      <c r="B257" s="106" t="s">
        <v>81</v>
      </c>
      <c r="C257" s="579"/>
      <c r="D257" s="579"/>
      <c r="E257" s="106"/>
      <c r="F257" s="106"/>
      <c r="G257" s="106"/>
      <c r="H257" s="106"/>
      <c r="I257" s="106"/>
      <c r="J257" s="106"/>
      <c r="K257" s="106"/>
      <c r="L257" s="106"/>
      <c r="M257" s="106"/>
      <c r="N257" s="106"/>
      <c r="O257" s="106"/>
      <c r="P257" s="106"/>
      <c r="Q257" s="106"/>
      <c r="R257" s="106"/>
      <c r="S257" s="106"/>
    </row>
    <row r="258" spans="2:19" hidden="1" x14ac:dyDescent="0.35">
      <c r="B258" s="199" t="s">
        <v>664</v>
      </c>
      <c r="C258" s="579"/>
      <c r="D258" s="579"/>
      <c r="E258" s="143"/>
      <c r="F258" s="143"/>
      <c r="G258" s="170"/>
      <c r="H258" s="170"/>
      <c r="I258" s="170"/>
      <c r="J258" s="143"/>
      <c r="K258" s="143"/>
      <c r="L258" s="143"/>
      <c r="M258" s="143"/>
      <c r="N258" s="143"/>
      <c r="O258" s="143"/>
      <c r="P258" s="143"/>
      <c r="Q258" s="143"/>
      <c r="R258" s="143"/>
      <c r="S258" s="143"/>
    </row>
    <row r="259" spans="2:19" hidden="1" x14ac:dyDescent="0.35">
      <c r="B259" s="199" t="s">
        <v>630</v>
      </c>
      <c r="C259" s="579"/>
      <c r="D259" s="579"/>
      <c r="E259" s="63"/>
      <c r="F259" s="63"/>
      <c r="G259" s="63"/>
      <c r="H259" s="63"/>
      <c r="I259" s="63"/>
      <c r="J259" s="63"/>
      <c r="K259" s="63"/>
      <c r="L259" s="63"/>
      <c r="M259" s="63"/>
      <c r="N259" s="63"/>
      <c r="O259" s="63"/>
      <c r="P259" s="63"/>
      <c r="Q259" s="63"/>
      <c r="R259" s="63"/>
      <c r="S259" s="63"/>
    </row>
    <row r="260" spans="2:19" hidden="1" x14ac:dyDescent="0.35">
      <c r="B260" s="198" t="s">
        <v>631</v>
      </c>
      <c r="C260" s="579"/>
      <c r="D260" s="579"/>
      <c r="E260" s="77">
        <v>4.7987070875767719</v>
      </c>
      <c r="F260" s="77">
        <v>5.0000000365236286</v>
      </c>
      <c r="G260" s="77">
        <v>2.9399999883494852</v>
      </c>
      <c r="H260" s="77">
        <v>3.0588229720007369</v>
      </c>
      <c r="I260" s="77"/>
      <c r="J260" s="77"/>
      <c r="K260" s="77"/>
      <c r="L260" s="77"/>
      <c r="M260" s="77"/>
      <c r="N260" s="77"/>
      <c r="O260" s="77"/>
      <c r="P260" s="77"/>
      <c r="Q260" s="77"/>
      <c r="R260" s="77"/>
      <c r="S260" s="77"/>
    </row>
    <row r="261" spans="2:19" hidden="1" x14ac:dyDescent="0.35">
      <c r="B261" s="198" t="s">
        <v>632</v>
      </c>
      <c r="C261" s="579"/>
      <c r="D261" s="579"/>
      <c r="E261" s="77">
        <v>4.7931264849373987</v>
      </c>
      <c r="F261" s="77">
        <v>4.9999999477345938</v>
      </c>
      <c r="G261" s="77">
        <v>2.9400000521193492</v>
      </c>
      <c r="H261" s="77">
        <v>3.0340757903521705</v>
      </c>
      <c r="I261" s="77"/>
      <c r="J261" s="77"/>
      <c r="K261" s="77"/>
      <c r="L261" s="77"/>
      <c r="M261" s="77"/>
      <c r="N261" s="77"/>
      <c r="O261" s="77"/>
      <c r="P261" s="77"/>
      <c r="Q261" s="77"/>
      <c r="R261" s="77"/>
      <c r="S261" s="77"/>
    </row>
    <row r="262" spans="2:19" hidden="1" x14ac:dyDescent="0.35">
      <c r="B262" s="198" t="s">
        <v>633</v>
      </c>
      <c r="C262" s="579"/>
      <c r="D262" s="579"/>
      <c r="E262" s="77">
        <v>4.7937009523338618</v>
      </c>
      <c r="F262" s="77">
        <v>4.9999999863293594</v>
      </c>
      <c r="G262" s="77">
        <v>2.9400000218385811</v>
      </c>
      <c r="H262" s="77">
        <v>3.0221958511721461</v>
      </c>
      <c r="I262" s="77"/>
      <c r="J262" s="77"/>
      <c r="K262" s="77"/>
      <c r="L262" s="77"/>
      <c r="M262" s="77"/>
      <c r="N262" s="77"/>
      <c r="O262" s="77"/>
      <c r="P262" s="77"/>
      <c r="Q262" s="77"/>
      <c r="R262" s="77"/>
      <c r="S262" s="77"/>
    </row>
    <row r="263" spans="2:19" hidden="1" x14ac:dyDescent="0.35">
      <c r="B263" s="198" t="s">
        <v>634</v>
      </c>
      <c r="C263" s="579"/>
      <c r="D263" s="579"/>
      <c r="E263" s="77">
        <v>4.7900010719083799</v>
      </c>
      <c r="F263" s="77">
        <v>5.00018485612775</v>
      </c>
      <c r="G263" s="77">
        <v>2.950494605289868</v>
      </c>
      <c r="H263" s="77">
        <v>3.0411588834072134</v>
      </c>
      <c r="I263" s="77"/>
      <c r="J263" s="77"/>
      <c r="K263" s="77"/>
      <c r="L263" s="77"/>
      <c r="M263" s="77"/>
      <c r="N263" s="77"/>
      <c r="O263" s="77"/>
      <c r="P263" s="77"/>
      <c r="Q263" s="77"/>
      <c r="R263" s="77"/>
      <c r="S263" s="77"/>
    </row>
    <row r="264" spans="2:19" hidden="1" x14ac:dyDescent="0.35">
      <c r="B264" s="198" t="s">
        <v>635</v>
      </c>
      <c r="C264" s="579"/>
      <c r="D264" s="579"/>
      <c r="E264" s="77">
        <v>4.790001878088761</v>
      </c>
      <c r="F264" s="77">
        <v>4.2356154844455034</v>
      </c>
      <c r="G264" s="77">
        <v>3.2898342717377362</v>
      </c>
      <c r="H264" s="77">
        <v>2.3396151573180815</v>
      </c>
      <c r="I264" s="77"/>
      <c r="J264" s="77"/>
      <c r="K264" s="77"/>
      <c r="L264" s="77"/>
      <c r="M264" s="77"/>
      <c r="N264" s="77"/>
      <c r="O264" s="77"/>
      <c r="P264" s="77"/>
      <c r="Q264" s="77"/>
      <c r="R264" s="77"/>
      <c r="S264" s="77"/>
    </row>
    <row r="265" spans="2:19" hidden="1" x14ac:dyDescent="0.35">
      <c r="B265" s="199"/>
      <c r="C265" s="579"/>
      <c r="D265" s="579"/>
      <c r="E265" s="107"/>
      <c r="F265" s="107"/>
      <c r="G265" s="107"/>
      <c r="H265" s="107"/>
      <c r="I265" s="107"/>
      <c r="J265" s="107"/>
      <c r="K265" s="107"/>
      <c r="L265" s="107"/>
      <c r="M265" s="107"/>
      <c r="N265" s="107"/>
      <c r="O265" s="107"/>
      <c r="P265" s="107"/>
      <c r="Q265" s="107"/>
      <c r="R265" s="107"/>
      <c r="S265" s="107"/>
    </row>
    <row r="266" spans="2:19" hidden="1" x14ac:dyDescent="0.35">
      <c r="B266" s="199" t="s">
        <v>637</v>
      </c>
      <c r="C266" s="579"/>
      <c r="D266" s="579"/>
      <c r="E266" s="63"/>
      <c r="F266" s="63"/>
      <c r="G266" s="63"/>
      <c r="H266" s="63"/>
      <c r="I266" s="63"/>
      <c r="J266" s="63"/>
      <c r="K266" s="63"/>
      <c r="L266" s="63"/>
      <c r="M266" s="63"/>
      <c r="N266" s="63"/>
      <c r="O266" s="63"/>
      <c r="P266" s="63"/>
      <c r="Q266" s="63"/>
      <c r="R266" s="63"/>
      <c r="S266" s="63"/>
    </row>
    <row r="267" spans="2:19" hidden="1" x14ac:dyDescent="0.35">
      <c r="B267" s="198" t="s">
        <v>638</v>
      </c>
      <c r="C267" s="579"/>
      <c r="D267" s="579"/>
      <c r="E267" s="77"/>
      <c r="F267" s="77"/>
      <c r="G267" s="77"/>
      <c r="H267" s="77"/>
      <c r="I267" s="77"/>
      <c r="J267" s="63"/>
      <c r="K267" s="63"/>
      <c r="L267" s="63"/>
      <c r="M267" s="63"/>
      <c r="N267" s="63"/>
      <c r="O267" s="63"/>
      <c r="P267" s="63"/>
      <c r="Q267" s="63"/>
      <c r="R267" s="63"/>
      <c r="S267" s="63"/>
    </row>
    <row r="268" spans="2:19" hidden="1" x14ac:dyDescent="0.35">
      <c r="B268" s="198" t="s">
        <v>639</v>
      </c>
      <c r="C268" s="579"/>
      <c r="D268" s="579"/>
      <c r="E268" s="77">
        <v>4.7900000518797325</v>
      </c>
      <c r="F268" s="77">
        <v>5.0219416331528581</v>
      </c>
      <c r="G268" s="77">
        <v>3.9897228393358728</v>
      </c>
      <c r="H268" s="77">
        <v>2.0188953025259377</v>
      </c>
      <c r="I268" s="77"/>
      <c r="J268" s="63"/>
      <c r="K268" s="63"/>
      <c r="L268" s="63"/>
      <c r="M268" s="63"/>
      <c r="N268" s="63"/>
      <c r="O268" s="63"/>
      <c r="P268" s="63"/>
      <c r="Q268" s="63"/>
      <c r="R268" s="63"/>
      <c r="S268" s="63"/>
    </row>
    <row r="269" spans="2:19" hidden="1" x14ac:dyDescent="0.35">
      <c r="B269" s="198" t="s">
        <v>640</v>
      </c>
      <c r="C269" s="579"/>
      <c r="D269" s="579"/>
      <c r="E269" s="77">
        <v>4.8071990806631231</v>
      </c>
      <c r="F269" s="77">
        <v>5.142441395365279</v>
      </c>
      <c r="G269" s="77">
        <v>3.2524348464861381</v>
      </c>
      <c r="H269" s="77">
        <v>3.2708271398070705</v>
      </c>
      <c r="I269" s="77"/>
      <c r="J269" s="63"/>
      <c r="K269" s="63"/>
      <c r="L269" s="63"/>
      <c r="M269" s="63"/>
      <c r="N269" s="63"/>
      <c r="O269" s="63"/>
      <c r="P269" s="63"/>
      <c r="Q269" s="63"/>
      <c r="R269" s="63"/>
      <c r="S269" s="63"/>
    </row>
    <row r="270" spans="2:19" hidden="1" x14ac:dyDescent="0.35">
      <c r="B270" s="198" t="s">
        <v>641</v>
      </c>
      <c r="C270" s="579"/>
      <c r="D270" s="579"/>
      <c r="E270" s="77">
        <v>4.7938520217525689</v>
      </c>
      <c r="F270" s="77">
        <v>4.9536054856552854</v>
      </c>
      <c r="G270" s="77">
        <v>3.014841469046345</v>
      </c>
      <c r="H270" s="77">
        <v>3.0014674486823933</v>
      </c>
      <c r="I270" s="77"/>
      <c r="J270" s="63"/>
      <c r="K270" s="63"/>
      <c r="L270" s="63"/>
      <c r="M270" s="63"/>
      <c r="N270" s="63"/>
      <c r="O270" s="63"/>
      <c r="P270" s="63"/>
      <c r="Q270" s="63"/>
      <c r="R270" s="63"/>
      <c r="S270" s="63"/>
    </row>
    <row r="271" spans="2:19" hidden="1" x14ac:dyDescent="0.35">
      <c r="B271" s="198" t="s">
        <v>642</v>
      </c>
      <c r="C271" s="579"/>
      <c r="D271" s="579"/>
      <c r="E271" s="77">
        <v>5.373143310589402</v>
      </c>
      <c r="F271" s="77">
        <v>5.1930641919819385</v>
      </c>
      <c r="G271" s="77">
        <v>3.1078187458175797</v>
      </c>
      <c r="H271" s="77">
        <v>3.1209012645343472</v>
      </c>
      <c r="I271" s="77"/>
      <c r="J271" s="63"/>
      <c r="K271" s="63"/>
      <c r="L271" s="63"/>
      <c r="M271" s="63"/>
      <c r="N271" s="63"/>
      <c r="O271" s="63"/>
      <c r="P271" s="63"/>
      <c r="Q271" s="63"/>
      <c r="R271" s="63"/>
      <c r="S271" s="63"/>
    </row>
    <row r="272" spans="2:19" hidden="1" x14ac:dyDescent="0.35">
      <c r="B272" s="199"/>
      <c r="C272" s="579"/>
      <c r="D272" s="579"/>
      <c r="E272" s="107"/>
      <c r="F272" s="107"/>
      <c r="G272" s="107"/>
      <c r="H272" s="107"/>
      <c r="I272" s="107"/>
      <c r="J272" s="107"/>
      <c r="K272" s="107"/>
      <c r="L272" s="107"/>
      <c r="M272" s="107"/>
      <c r="N272" s="107"/>
      <c r="O272" s="107"/>
      <c r="P272" s="107"/>
      <c r="Q272" s="107"/>
      <c r="R272" s="107"/>
      <c r="S272" s="107"/>
    </row>
    <row r="273" spans="2:19" hidden="1" x14ac:dyDescent="0.35">
      <c r="B273" s="199" t="s">
        <v>644</v>
      </c>
      <c r="C273" s="579"/>
      <c r="D273" s="579"/>
      <c r="E273" s="63"/>
      <c r="F273" s="63"/>
      <c r="G273" s="63"/>
      <c r="H273" s="63"/>
      <c r="I273" s="63"/>
      <c r="J273" s="63"/>
      <c r="K273" s="63"/>
      <c r="L273" s="63"/>
      <c r="M273" s="63"/>
      <c r="N273" s="63"/>
      <c r="O273" s="63"/>
      <c r="P273" s="63"/>
      <c r="Q273" s="63"/>
      <c r="R273" s="63"/>
      <c r="S273" s="63"/>
    </row>
    <row r="274" spans="2:19" hidden="1" x14ac:dyDescent="0.35">
      <c r="B274" s="198" t="s">
        <v>645</v>
      </c>
      <c r="C274" s="579"/>
      <c r="D274" s="579"/>
      <c r="E274" s="77">
        <v>0</v>
      </c>
      <c r="F274" s="77">
        <v>0</v>
      </c>
      <c r="G274" s="77">
        <v>0</v>
      </c>
      <c r="H274" s="77">
        <v>0</v>
      </c>
      <c r="I274" s="77"/>
      <c r="J274" s="63"/>
      <c r="K274" s="63"/>
      <c r="L274" s="63"/>
      <c r="M274" s="63"/>
      <c r="N274" s="63"/>
      <c r="O274" s="63"/>
      <c r="P274" s="63"/>
      <c r="Q274" s="63"/>
      <c r="R274" s="63"/>
      <c r="S274" s="63"/>
    </row>
    <row r="275" spans="2:19" hidden="1" x14ac:dyDescent="0.35">
      <c r="B275" s="198" t="s">
        <v>646</v>
      </c>
      <c r="C275" s="579"/>
      <c r="D275" s="579"/>
      <c r="E275" s="77">
        <v>0</v>
      </c>
      <c r="F275" s="77">
        <v>0</v>
      </c>
      <c r="G275" s="77">
        <v>0</v>
      </c>
      <c r="H275" s="77">
        <v>0</v>
      </c>
      <c r="I275" s="77"/>
      <c r="J275" s="63"/>
      <c r="K275" s="63"/>
      <c r="L275" s="63"/>
      <c r="M275" s="63"/>
      <c r="N275" s="63"/>
      <c r="O275" s="63"/>
      <c r="P275" s="63"/>
      <c r="Q275" s="63"/>
      <c r="R275" s="63"/>
      <c r="S275" s="63"/>
    </row>
    <row r="276" spans="2:19" hidden="1" x14ac:dyDescent="0.35">
      <c r="B276" s="198" t="s">
        <v>647</v>
      </c>
      <c r="C276" s="579"/>
      <c r="D276" s="579"/>
      <c r="E276" s="77">
        <v>5.5663211553817176</v>
      </c>
      <c r="F276" s="77">
        <v>5.7359931276144636</v>
      </c>
      <c r="G276" s="77">
        <v>3.6722786133885172</v>
      </c>
      <c r="H276" s="77">
        <v>3.6573223992760995</v>
      </c>
      <c r="I276" s="77"/>
      <c r="J276" s="63"/>
      <c r="K276" s="63"/>
      <c r="L276" s="63"/>
      <c r="M276" s="63"/>
      <c r="N276" s="63"/>
      <c r="O276" s="63"/>
      <c r="P276" s="63"/>
      <c r="Q276" s="63"/>
      <c r="R276" s="63"/>
      <c r="S276" s="63"/>
    </row>
    <row r="277" spans="2:19" hidden="1" x14ac:dyDescent="0.35">
      <c r="B277" s="198" t="s">
        <v>648</v>
      </c>
      <c r="C277" s="579"/>
      <c r="D277" s="579"/>
      <c r="E277" s="77">
        <v>5.4507169157403164</v>
      </c>
      <c r="F277" s="77">
        <v>5.3317891010354899</v>
      </c>
      <c r="G277" s="77">
        <v>3.2704864017969215</v>
      </c>
      <c r="H277" s="77">
        <v>3.2894351266506145</v>
      </c>
      <c r="I277" s="77"/>
      <c r="J277" s="63"/>
      <c r="K277" s="63"/>
      <c r="L277" s="63"/>
      <c r="M277" s="63"/>
      <c r="N277" s="63"/>
      <c r="O277" s="63"/>
      <c r="P277" s="63"/>
      <c r="Q277" s="63"/>
      <c r="R277" s="63"/>
      <c r="S277" s="63"/>
    </row>
    <row r="278" spans="2:19" hidden="1" x14ac:dyDescent="0.35">
      <c r="B278" s="199"/>
      <c r="C278" s="579"/>
      <c r="D278" s="579"/>
      <c r="E278" s="107"/>
      <c r="F278" s="107"/>
      <c r="G278" s="107"/>
      <c r="H278" s="107"/>
      <c r="I278" s="107"/>
      <c r="J278" s="107"/>
      <c r="K278" s="107"/>
      <c r="L278" s="107"/>
      <c r="M278" s="107"/>
      <c r="N278" s="107"/>
      <c r="O278" s="107"/>
      <c r="P278" s="107"/>
      <c r="Q278" s="107"/>
      <c r="R278" s="107"/>
      <c r="S278" s="107"/>
    </row>
    <row r="279" spans="2:19" hidden="1" x14ac:dyDescent="0.35">
      <c r="B279" s="199"/>
      <c r="C279" s="579"/>
      <c r="D279" s="579"/>
      <c r="E279" s="107"/>
      <c r="F279" s="107"/>
      <c r="G279" s="107"/>
      <c r="H279" s="107"/>
      <c r="I279" s="107"/>
      <c r="J279" s="107"/>
      <c r="K279" s="107"/>
      <c r="L279" s="107"/>
      <c r="M279" s="107"/>
      <c r="N279" s="107"/>
      <c r="O279" s="107"/>
      <c r="P279" s="107"/>
      <c r="Q279" s="107"/>
      <c r="R279" s="107"/>
      <c r="S279" s="107"/>
    </row>
    <row r="280" spans="2:19" hidden="1" x14ac:dyDescent="0.35">
      <c r="B280" s="143"/>
      <c r="C280" s="579"/>
      <c r="D280" s="579"/>
      <c r="E280" s="107"/>
      <c r="F280" s="107"/>
      <c r="G280" s="107"/>
      <c r="H280" s="107"/>
      <c r="I280" s="107"/>
      <c r="J280" s="107"/>
      <c r="K280" s="107"/>
      <c r="L280" s="107"/>
      <c r="M280" s="107"/>
      <c r="N280" s="107"/>
      <c r="O280" s="107"/>
      <c r="P280" s="107"/>
      <c r="Q280" s="107"/>
      <c r="R280" s="107"/>
      <c r="S280" s="107"/>
    </row>
    <row r="281" spans="2:19" hidden="1" x14ac:dyDescent="0.35">
      <c r="B281" s="106" t="s">
        <v>1008</v>
      </c>
      <c r="C281" s="579"/>
      <c r="D281" s="579"/>
      <c r="E281" s="107"/>
      <c r="F281" s="107"/>
      <c r="G281" s="107"/>
      <c r="H281" s="107"/>
      <c r="I281" s="107"/>
      <c r="J281" s="107"/>
      <c r="K281" s="107"/>
      <c r="L281" s="107"/>
      <c r="M281" s="107"/>
      <c r="N281" s="107"/>
      <c r="O281" s="107"/>
      <c r="P281" s="107"/>
      <c r="Q281" s="107"/>
      <c r="R281" s="107"/>
      <c r="S281" s="107"/>
    </row>
    <row r="282" spans="2:19" hidden="1" x14ac:dyDescent="0.35">
      <c r="B282" s="199" t="s">
        <v>664</v>
      </c>
      <c r="C282" s="579"/>
      <c r="D282" s="579"/>
      <c r="E282" s="63"/>
      <c r="F282" s="63"/>
      <c r="G282" s="77"/>
      <c r="H282" s="77"/>
      <c r="I282" s="77"/>
      <c r="J282" s="63"/>
      <c r="K282" s="63"/>
      <c r="L282" s="63"/>
      <c r="M282" s="63"/>
      <c r="N282" s="63"/>
      <c r="O282" s="63"/>
      <c r="P282" s="63"/>
      <c r="Q282" s="63"/>
      <c r="R282" s="63"/>
      <c r="S282" s="63"/>
    </row>
    <row r="283" spans="2:19" hidden="1" x14ac:dyDescent="0.35">
      <c r="B283" s="199" t="s">
        <v>630</v>
      </c>
      <c r="C283" s="579"/>
      <c r="D283" s="579"/>
      <c r="E283" s="63"/>
      <c r="F283" s="63"/>
      <c r="G283" s="63"/>
      <c r="H283" s="63"/>
      <c r="I283" s="63"/>
      <c r="J283" s="63"/>
      <c r="K283" s="63"/>
      <c r="L283" s="63"/>
      <c r="M283" s="63"/>
      <c r="N283" s="63"/>
      <c r="O283" s="63"/>
      <c r="P283" s="63"/>
      <c r="Q283" s="63"/>
      <c r="R283" s="63"/>
      <c r="S283" s="63"/>
    </row>
    <row r="284" spans="2:19" hidden="1" x14ac:dyDescent="0.35">
      <c r="B284" s="198" t="s">
        <v>631</v>
      </c>
      <c r="C284" s="579"/>
      <c r="D284" s="579"/>
      <c r="E284" s="63">
        <f>(E212+E236)*E260/10^7</f>
        <v>12.9811763</v>
      </c>
      <c r="F284" s="63">
        <f t="shared" ref="F284:R284" si="107">(F212+F236)*F260/10^7</f>
        <v>17.1122099</v>
      </c>
      <c r="G284" s="63">
        <f t="shared" si="107"/>
        <v>8.2720123000000001</v>
      </c>
      <c r="H284" s="63">
        <f t="shared" si="107"/>
        <v>9.1945577000000007</v>
      </c>
      <c r="I284" s="63"/>
      <c r="J284" s="63">
        <f t="shared" si="107"/>
        <v>0</v>
      </c>
      <c r="K284" s="63">
        <f t="shared" si="107"/>
        <v>0</v>
      </c>
      <c r="L284" s="63">
        <f t="shared" si="107"/>
        <v>0</v>
      </c>
      <c r="M284" s="63">
        <f t="shared" si="107"/>
        <v>0</v>
      </c>
      <c r="N284" s="63">
        <f t="shared" si="107"/>
        <v>0</v>
      </c>
      <c r="O284" s="63">
        <f t="shared" si="107"/>
        <v>0</v>
      </c>
      <c r="P284" s="63">
        <f t="shared" si="107"/>
        <v>0</v>
      </c>
      <c r="Q284" s="63">
        <f t="shared" si="107"/>
        <v>0</v>
      </c>
      <c r="R284" s="63">
        <f t="shared" si="107"/>
        <v>0</v>
      </c>
      <c r="S284" s="63">
        <f>(S212+S236)*S260/10^7</f>
        <v>0</v>
      </c>
    </row>
    <row r="285" spans="2:19" hidden="1" x14ac:dyDescent="0.35">
      <c r="B285" s="198" t="s">
        <v>632</v>
      </c>
      <c r="C285" s="579"/>
      <c r="D285" s="579"/>
      <c r="E285" s="63">
        <f t="shared" ref="E285:R285" si="108">(E213+E237)*E261/10^7</f>
        <v>13.3125824</v>
      </c>
      <c r="F285" s="63">
        <f t="shared" si="108"/>
        <v>19.133114299999999</v>
      </c>
      <c r="G285" s="63">
        <f t="shared" si="108"/>
        <v>9.5895290000000006</v>
      </c>
      <c r="H285" s="63">
        <f t="shared" si="108"/>
        <v>10.106981599999999</v>
      </c>
      <c r="I285" s="63"/>
      <c r="J285" s="63">
        <f t="shared" si="108"/>
        <v>0</v>
      </c>
      <c r="K285" s="63">
        <f t="shared" si="108"/>
        <v>0</v>
      </c>
      <c r="L285" s="63">
        <f t="shared" si="108"/>
        <v>0</v>
      </c>
      <c r="M285" s="63">
        <f t="shared" si="108"/>
        <v>0</v>
      </c>
      <c r="N285" s="63">
        <f t="shared" si="108"/>
        <v>0</v>
      </c>
      <c r="O285" s="63">
        <f t="shared" si="108"/>
        <v>0</v>
      </c>
      <c r="P285" s="63">
        <f t="shared" si="108"/>
        <v>0</v>
      </c>
      <c r="Q285" s="63">
        <f t="shared" si="108"/>
        <v>0</v>
      </c>
      <c r="R285" s="63">
        <f t="shared" si="108"/>
        <v>0</v>
      </c>
      <c r="S285" s="63">
        <f>(S213+S237)*S261/10^7</f>
        <v>0</v>
      </c>
    </row>
    <row r="286" spans="2:19" hidden="1" x14ac:dyDescent="0.35">
      <c r="B286" s="198" t="s">
        <v>633</v>
      </c>
      <c r="C286" s="579"/>
      <c r="D286" s="579"/>
      <c r="E286" s="63">
        <f t="shared" ref="E286:R286" si="109">(E214+E238)*E262/10^7</f>
        <v>21.313230099999998</v>
      </c>
      <c r="F286" s="63">
        <f t="shared" si="109"/>
        <v>21.944838000000001</v>
      </c>
      <c r="G286" s="63">
        <f t="shared" si="109"/>
        <v>6.6342772999999999</v>
      </c>
      <c r="H286" s="63">
        <f t="shared" si="109"/>
        <v>4.2325508999999997</v>
      </c>
      <c r="I286" s="63"/>
      <c r="J286" s="63">
        <f t="shared" si="109"/>
        <v>0</v>
      </c>
      <c r="K286" s="63">
        <f t="shared" si="109"/>
        <v>0</v>
      </c>
      <c r="L286" s="63">
        <f t="shared" si="109"/>
        <v>0</v>
      </c>
      <c r="M286" s="63">
        <f t="shared" si="109"/>
        <v>0</v>
      </c>
      <c r="N286" s="63">
        <f t="shared" si="109"/>
        <v>0</v>
      </c>
      <c r="O286" s="63">
        <f t="shared" si="109"/>
        <v>0</v>
      </c>
      <c r="P286" s="63">
        <f t="shared" si="109"/>
        <v>0</v>
      </c>
      <c r="Q286" s="63">
        <f t="shared" si="109"/>
        <v>0</v>
      </c>
      <c r="R286" s="63">
        <f t="shared" si="109"/>
        <v>0</v>
      </c>
      <c r="S286" s="63">
        <f>(S214+S238)*S262/10^7</f>
        <v>0</v>
      </c>
    </row>
    <row r="287" spans="2:19" hidden="1" x14ac:dyDescent="0.35">
      <c r="B287" s="198" t="s">
        <v>634</v>
      </c>
      <c r="C287" s="579"/>
      <c r="D287" s="579"/>
      <c r="E287" s="63">
        <f t="shared" ref="E287:R287" si="110">(E215+E239)*E263/10^7</f>
        <v>14.6637057</v>
      </c>
      <c r="F287" s="63">
        <f t="shared" si="110"/>
        <v>16.728923000000002</v>
      </c>
      <c r="G287" s="63">
        <f t="shared" si="110"/>
        <v>8.4439407000000006</v>
      </c>
      <c r="H287" s="63">
        <f t="shared" si="110"/>
        <v>8.3763316999999997</v>
      </c>
      <c r="I287" s="63"/>
      <c r="J287" s="63">
        <f t="shared" si="110"/>
        <v>0</v>
      </c>
      <c r="K287" s="63">
        <f t="shared" si="110"/>
        <v>0</v>
      </c>
      <c r="L287" s="63">
        <f t="shared" si="110"/>
        <v>0</v>
      </c>
      <c r="M287" s="63">
        <f t="shared" si="110"/>
        <v>0</v>
      </c>
      <c r="N287" s="63">
        <f t="shared" si="110"/>
        <v>0</v>
      </c>
      <c r="O287" s="63">
        <f t="shared" si="110"/>
        <v>0</v>
      </c>
      <c r="P287" s="63">
        <f t="shared" si="110"/>
        <v>0</v>
      </c>
      <c r="Q287" s="63">
        <f t="shared" si="110"/>
        <v>0</v>
      </c>
      <c r="R287" s="63">
        <f t="shared" si="110"/>
        <v>0</v>
      </c>
      <c r="S287" s="63">
        <f>(S215+S239)*S263/10^7</f>
        <v>0</v>
      </c>
    </row>
    <row r="288" spans="2:19" hidden="1" x14ac:dyDescent="0.35">
      <c r="B288" s="198" t="s">
        <v>635</v>
      </c>
      <c r="C288" s="579"/>
      <c r="D288" s="579"/>
      <c r="E288" s="63">
        <f t="shared" ref="E288:R288" si="111">(E216+E240)*E264/10^7</f>
        <v>2.1194373999999998</v>
      </c>
      <c r="F288" s="63">
        <f t="shared" si="111"/>
        <v>1.8255204</v>
      </c>
      <c r="G288" s="63">
        <f t="shared" si="111"/>
        <v>0.29752339999999999</v>
      </c>
      <c r="H288" s="63">
        <f t="shared" si="111"/>
        <v>0.1745884</v>
      </c>
      <c r="I288" s="63"/>
      <c r="J288" s="63">
        <f t="shared" si="111"/>
        <v>0</v>
      </c>
      <c r="K288" s="63">
        <f t="shared" si="111"/>
        <v>0</v>
      </c>
      <c r="L288" s="63">
        <f t="shared" si="111"/>
        <v>0</v>
      </c>
      <c r="M288" s="63">
        <f t="shared" si="111"/>
        <v>0</v>
      </c>
      <c r="N288" s="63">
        <f t="shared" si="111"/>
        <v>0</v>
      </c>
      <c r="O288" s="63">
        <f t="shared" si="111"/>
        <v>0</v>
      </c>
      <c r="P288" s="63">
        <f t="shared" si="111"/>
        <v>0</v>
      </c>
      <c r="Q288" s="63">
        <f t="shared" si="111"/>
        <v>0</v>
      </c>
      <c r="R288" s="63">
        <f t="shared" si="111"/>
        <v>0</v>
      </c>
      <c r="S288" s="63">
        <f>(S216+S240)*S264/10^7</f>
        <v>0</v>
      </c>
    </row>
    <row r="289" spans="2:19" hidden="1" x14ac:dyDescent="0.35">
      <c r="B289" s="199" t="s">
        <v>636</v>
      </c>
      <c r="C289" s="579"/>
      <c r="D289" s="579"/>
      <c r="E289" s="107">
        <f t="shared" ref="E289:S289" si="112">SUM(E284:E288)</f>
        <v>64.3901319</v>
      </c>
      <c r="F289" s="107">
        <f t="shared" si="112"/>
        <v>76.744605600000014</v>
      </c>
      <c r="G289" s="107">
        <f t="shared" si="112"/>
        <v>33.237282700000002</v>
      </c>
      <c r="H289" s="107">
        <f t="shared" si="112"/>
        <v>32.0850103</v>
      </c>
      <c r="I289" s="107"/>
      <c r="J289" s="107">
        <f t="shared" si="112"/>
        <v>0</v>
      </c>
      <c r="K289" s="107">
        <f t="shared" si="112"/>
        <v>0</v>
      </c>
      <c r="L289" s="107">
        <f t="shared" si="112"/>
        <v>0</v>
      </c>
      <c r="M289" s="107">
        <f t="shared" si="112"/>
        <v>0</v>
      </c>
      <c r="N289" s="107">
        <f t="shared" si="112"/>
        <v>0</v>
      </c>
      <c r="O289" s="107">
        <f t="shared" si="112"/>
        <v>0</v>
      </c>
      <c r="P289" s="107">
        <f t="shared" si="112"/>
        <v>0</v>
      </c>
      <c r="Q289" s="107">
        <f t="shared" si="112"/>
        <v>0</v>
      </c>
      <c r="R289" s="107">
        <f t="shared" si="112"/>
        <v>0</v>
      </c>
      <c r="S289" s="107">
        <f t="shared" si="112"/>
        <v>0</v>
      </c>
    </row>
    <row r="290" spans="2:19" hidden="1" x14ac:dyDescent="0.35">
      <c r="B290" s="199" t="s">
        <v>637</v>
      </c>
      <c r="C290" s="579"/>
      <c r="D290" s="579"/>
      <c r="E290" s="63"/>
      <c r="F290" s="63"/>
      <c r="G290" s="63"/>
      <c r="H290" s="63"/>
      <c r="I290" s="63"/>
      <c r="J290" s="63"/>
      <c r="K290" s="63"/>
      <c r="L290" s="63"/>
      <c r="M290" s="63"/>
      <c r="N290" s="63"/>
      <c r="O290" s="63"/>
      <c r="P290" s="63"/>
      <c r="Q290" s="63"/>
      <c r="R290" s="63"/>
      <c r="S290" s="63"/>
    </row>
    <row r="291" spans="2:19" hidden="1" x14ac:dyDescent="0.35">
      <c r="B291" s="198" t="s">
        <v>638</v>
      </c>
      <c r="C291" s="579"/>
      <c r="D291" s="579"/>
      <c r="E291" s="63">
        <f t="shared" ref="E291:R291" si="113">(E219+E243)*E267/10^7</f>
        <v>0</v>
      </c>
      <c r="F291" s="63">
        <f t="shared" si="113"/>
        <v>0</v>
      </c>
      <c r="G291" s="63">
        <f t="shared" si="113"/>
        <v>0</v>
      </c>
      <c r="H291" s="63">
        <f t="shared" si="113"/>
        <v>0</v>
      </c>
      <c r="I291" s="63"/>
      <c r="J291" s="63">
        <f t="shared" si="113"/>
        <v>0</v>
      </c>
      <c r="K291" s="63">
        <f t="shared" si="113"/>
        <v>0</v>
      </c>
      <c r="L291" s="63">
        <f t="shared" si="113"/>
        <v>0</v>
      </c>
      <c r="M291" s="63">
        <f t="shared" si="113"/>
        <v>0</v>
      </c>
      <c r="N291" s="63">
        <f t="shared" si="113"/>
        <v>0</v>
      </c>
      <c r="O291" s="63">
        <f t="shared" si="113"/>
        <v>0</v>
      </c>
      <c r="P291" s="63">
        <f t="shared" si="113"/>
        <v>0</v>
      </c>
      <c r="Q291" s="63">
        <f t="shared" si="113"/>
        <v>0</v>
      </c>
      <c r="R291" s="63">
        <f t="shared" si="113"/>
        <v>0</v>
      </c>
      <c r="S291" s="63">
        <f>(S219+S243)*S267/10^7</f>
        <v>0</v>
      </c>
    </row>
    <row r="292" spans="2:19" hidden="1" x14ac:dyDescent="0.35">
      <c r="B292" s="198" t="s">
        <v>639</v>
      </c>
      <c r="C292" s="579"/>
      <c r="D292" s="579"/>
      <c r="E292" s="63">
        <f t="shared" ref="E292:R292" si="114">(E220+E244)*E268/10^7</f>
        <v>7.3863142000000002</v>
      </c>
      <c r="F292" s="63">
        <f t="shared" si="114"/>
        <v>7.1545668999999998</v>
      </c>
      <c r="G292" s="63">
        <f t="shared" si="114"/>
        <v>1.2364569999999999</v>
      </c>
      <c r="H292" s="63">
        <f t="shared" si="114"/>
        <v>0.77303379999999999</v>
      </c>
      <c r="I292" s="63"/>
      <c r="J292" s="63">
        <f t="shared" si="114"/>
        <v>0</v>
      </c>
      <c r="K292" s="63">
        <f t="shared" si="114"/>
        <v>0</v>
      </c>
      <c r="L292" s="63">
        <f t="shared" si="114"/>
        <v>0</v>
      </c>
      <c r="M292" s="63">
        <f t="shared" si="114"/>
        <v>0</v>
      </c>
      <c r="N292" s="63">
        <f t="shared" si="114"/>
        <v>0</v>
      </c>
      <c r="O292" s="63">
        <f t="shared" si="114"/>
        <v>0</v>
      </c>
      <c r="P292" s="63">
        <f t="shared" si="114"/>
        <v>0</v>
      </c>
      <c r="Q292" s="63">
        <f t="shared" si="114"/>
        <v>0</v>
      </c>
      <c r="R292" s="63">
        <f t="shared" si="114"/>
        <v>0</v>
      </c>
      <c r="S292" s="63">
        <f>(S220+S244)*S268/10^7</f>
        <v>0</v>
      </c>
    </row>
    <row r="293" spans="2:19" hidden="1" x14ac:dyDescent="0.35">
      <c r="B293" s="198" t="s">
        <v>640</v>
      </c>
      <c r="C293" s="579"/>
      <c r="D293" s="579"/>
      <c r="E293" s="63">
        <f t="shared" ref="E293:R293" si="115">(E221+E245)*E269/10^7</f>
        <v>11.310086200000001</v>
      </c>
      <c r="F293" s="63">
        <f t="shared" si="115"/>
        <v>5.7162917999999996</v>
      </c>
      <c r="G293" s="63">
        <f t="shared" si="115"/>
        <v>0.46925860000000003</v>
      </c>
      <c r="H293" s="63">
        <f t="shared" si="115"/>
        <v>1.1430374999999999</v>
      </c>
      <c r="I293" s="63"/>
      <c r="J293" s="63">
        <f t="shared" si="115"/>
        <v>0</v>
      </c>
      <c r="K293" s="63">
        <f t="shared" si="115"/>
        <v>0</v>
      </c>
      <c r="L293" s="63">
        <f t="shared" si="115"/>
        <v>0</v>
      </c>
      <c r="M293" s="63">
        <f t="shared" si="115"/>
        <v>0</v>
      </c>
      <c r="N293" s="63">
        <f t="shared" si="115"/>
        <v>0</v>
      </c>
      <c r="O293" s="63">
        <f t="shared" si="115"/>
        <v>0</v>
      </c>
      <c r="P293" s="63">
        <f t="shared" si="115"/>
        <v>0</v>
      </c>
      <c r="Q293" s="63">
        <f t="shared" si="115"/>
        <v>0</v>
      </c>
      <c r="R293" s="63">
        <f t="shared" si="115"/>
        <v>0</v>
      </c>
      <c r="S293" s="63">
        <f>(S221+S245)*S269/10^7</f>
        <v>0</v>
      </c>
    </row>
    <row r="294" spans="2:19" hidden="1" x14ac:dyDescent="0.35">
      <c r="B294" s="198" t="s">
        <v>641</v>
      </c>
      <c r="C294" s="579"/>
      <c r="D294" s="579"/>
      <c r="E294" s="63">
        <f t="shared" ref="E294:R294" si="116">(E222+E246)*E270/10^7</f>
        <v>13.080036900000001</v>
      </c>
      <c r="F294" s="63">
        <f t="shared" si="116"/>
        <v>15.3403402</v>
      </c>
      <c r="G294" s="63">
        <f t="shared" si="116"/>
        <v>3.4385688000000001</v>
      </c>
      <c r="H294" s="63">
        <f t="shared" si="116"/>
        <v>3.2705133000000002</v>
      </c>
      <c r="I294" s="63"/>
      <c r="J294" s="63">
        <f t="shared" si="116"/>
        <v>0</v>
      </c>
      <c r="K294" s="63">
        <f t="shared" si="116"/>
        <v>0</v>
      </c>
      <c r="L294" s="63">
        <f t="shared" si="116"/>
        <v>0</v>
      </c>
      <c r="M294" s="63">
        <f t="shared" si="116"/>
        <v>0</v>
      </c>
      <c r="N294" s="63">
        <f t="shared" si="116"/>
        <v>0</v>
      </c>
      <c r="O294" s="63">
        <f t="shared" si="116"/>
        <v>0</v>
      </c>
      <c r="P294" s="63">
        <f t="shared" si="116"/>
        <v>0</v>
      </c>
      <c r="Q294" s="63">
        <f t="shared" si="116"/>
        <v>0</v>
      </c>
      <c r="R294" s="63">
        <f t="shared" si="116"/>
        <v>0</v>
      </c>
      <c r="S294" s="63">
        <f>(S222+S246)*S270/10^7</f>
        <v>0</v>
      </c>
    </row>
    <row r="295" spans="2:19" hidden="1" x14ac:dyDescent="0.35">
      <c r="B295" s="198" t="s">
        <v>642</v>
      </c>
      <c r="C295" s="579"/>
      <c r="D295" s="579"/>
      <c r="E295" s="63">
        <f t="shared" ref="E295:R295" si="117">(E223+E247)*E271/10^7</f>
        <v>12.374105699999998</v>
      </c>
      <c r="F295" s="63">
        <f t="shared" si="117"/>
        <v>14.1166874</v>
      </c>
      <c r="G295" s="63">
        <f t="shared" si="117"/>
        <v>3.6049137999999998</v>
      </c>
      <c r="H295" s="63">
        <f t="shared" si="117"/>
        <v>3.3126143000000003</v>
      </c>
      <c r="I295" s="63"/>
      <c r="J295" s="63">
        <f t="shared" si="117"/>
        <v>0</v>
      </c>
      <c r="K295" s="63">
        <f t="shared" si="117"/>
        <v>0</v>
      </c>
      <c r="L295" s="63">
        <f t="shared" si="117"/>
        <v>0</v>
      </c>
      <c r="M295" s="63">
        <f t="shared" si="117"/>
        <v>0</v>
      </c>
      <c r="N295" s="63">
        <f t="shared" si="117"/>
        <v>0</v>
      </c>
      <c r="O295" s="63">
        <f t="shared" si="117"/>
        <v>0</v>
      </c>
      <c r="P295" s="63">
        <f t="shared" si="117"/>
        <v>0</v>
      </c>
      <c r="Q295" s="63">
        <f t="shared" si="117"/>
        <v>0</v>
      </c>
      <c r="R295" s="63">
        <f t="shared" si="117"/>
        <v>0</v>
      </c>
      <c r="S295" s="63">
        <f>(S223+S247)*S271/10^7</f>
        <v>0</v>
      </c>
    </row>
    <row r="296" spans="2:19" hidden="1" x14ac:dyDescent="0.35">
      <c r="B296" s="199" t="s">
        <v>643</v>
      </c>
      <c r="C296" s="579"/>
      <c r="D296" s="579"/>
      <c r="E296" s="107">
        <f t="shared" ref="E296:S296" si="118">SUM(E291:E295)</f>
        <v>44.150542999999999</v>
      </c>
      <c r="F296" s="107">
        <f t="shared" si="118"/>
        <v>42.327886300000003</v>
      </c>
      <c r="G296" s="107">
        <f t="shared" si="118"/>
        <v>8.7491982000000004</v>
      </c>
      <c r="H296" s="107">
        <f t="shared" si="118"/>
        <v>8.4991988999999997</v>
      </c>
      <c r="I296" s="107"/>
      <c r="J296" s="107">
        <f t="shared" si="118"/>
        <v>0</v>
      </c>
      <c r="K296" s="107">
        <f t="shared" si="118"/>
        <v>0</v>
      </c>
      <c r="L296" s="107">
        <f t="shared" si="118"/>
        <v>0</v>
      </c>
      <c r="M296" s="107">
        <f t="shared" si="118"/>
        <v>0</v>
      </c>
      <c r="N296" s="107">
        <f t="shared" si="118"/>
        <v>0</v>
      </c>
      <c r="O296" s="107">
        <f t="shared" si="118"/>
        <v>0</v>
      </c>
      <c r="P296" s="107">
        <f t="shared" si="118"/>
        <v>0</v>
      </c>
      <c r="Q296" s="107">
        <f t="shared" si="118"/>
        <v>0</v>
      </c>
      <c r="R296" s="107">
        <f t="shared" si="118"/>
        <v>0</v>
      </c>
      <c r="S296" s="107">
        <f t="shared" si="118"/>
        <v>0</v>
      </c>
    </row>
    <row r="297" spans="2:19" hidden="1" x14ac:dyDescent="0.35">
      <c r="B297" s="199" t="s">
        <v>644</v>
      </c>
      <c r="C297" s="579"/>
      <c r="D297" s="579"/>
      <c r="E297" s="63"/>
      <c r="F297" s="63"/>
      <c r="G297" s="63"/>
      <c r="H297" s="63"/>
      <c r="I297" s="63"/>
      <c r="J297" s="63"/>
      <c r="K297" s="63"/>
      <c r="L297" s="63"/>
      <c r="M297" s="63"/>
      <c r="N297" s="63"/>
      <c r="O297" s="63"/>
      <c r="P297" s="63"/>
      <c r="Q297" s="63"/>
      <c r="R297" s="63"/>
      <c r="S297" s="63"/>
    </row>
    <row r="298" spans="2:19" hidden="1" x14ac:dyDescent="0.35">
      <c r="B298" s="198" t="s">
        <v>645</v>
      </c>
      <c r="C298" s="579"/>
      <c r="D298" s="579"/>
      <c r="E298" s="63">
        <f t="shared" ref="E298:R298" si="119">(E226+E250)*E274/10^7</f>
        <v>0</v>
      </c>
      <c r="F298" s="63">
        <f t="shared" si="119"/>
        <v>0</v>
      </c>
      <c r="G298" s="63">
        <f t="shared" si="119"/>
        <v>0</v>
      </c>
      <c r="H298" s="63">
        <f t="shared" si="119"/>
        <v>0</v>
      </c>
      <c r="I298" s="63"/>
      <c r="J298" s="63">
        <f t="shared" si="119"/>
        <v>0</v>
      </c>
      <c r="K298" s="63">
        <f t="shared" si="119"/>
        <v>0</v>
      </c>
      <c r="L298" s="63">
        <f t="shared" si="119"/>
        <v>0</v>
      </c>
      <c r="M298" s="63">
        <f t="shared" si="119"/>
        <v>0</v>
      </c>
      <c r="N298" s="63">
        <f t="shared" si="119"/>
        <v>0</v>
      </c>
      <c r="O298" s="63">
        <f t="shared" si="119"/>
        <v>0</v>
      </c>
      <c r="P298" s="63">
        <f t="shared" si="119"/>
        <v>0</v>
      </c>
      <c r="Q298" s="63">
        <f t="shared" si="119"/>
        <v>0</v>
      </c>
      <c r="R298" s="63">
        <f t="shared" si="119"/>
        <v>0</v>
      </c>
      <c r="S298" s="63">
        <f>(S226+S250)*S274/10^7</f>
        <v>0</v>
      </c>
    </row>
    <row r="299" spans="2:19" hidden="1" x14ac:dyDescent="0.35">
      <c r="B299" s="198" t="s">
        <v>646</v>
      </c>
      <c r="C299" s="579"/>
      <c r="D299" s="579"/>
      <c r="E299" s="63">
        <f t="shared" ref="E299:R299" si="120">(E227+E251)*E275/10^7</f>
        <v>0</v>
      </c>
      <c r="F299" s="63">
        <f t="shared" si="120"/>
        <v>0</v>
      </c>
      <c r="G299" s="63">
        <f t="shared" si="120"/>
        <v>0</v>
      </c>
      <c r="H299" s="63">
        <f t="shared" si="120"/>
        <v>0</v>
      </c>
      <c r="I299" s="63"/>
      <c r="J299" s="63">
        <f t="shared" si="120"/>
        <v>0</v>
      </c>
      <c r="K299" s="63">
        <f t="shared" si="120"/>
        <v>0</v>
      </c>
      <c r="L299" s="63">
        <f t="shared" si="120"/>
        <v>0</v>
      </c>
      <c r="M299" s="63">
        <f t="shared" si="120"/>
        <v>0</v>
      </c>
      <c r="N299" s="63">
        <f t="shared" si="120"/>
        <v>0</v>
      </c>
      <c r="O299" s="63">
        <f t="shared" si="120"/>
        <v>0</v>
      </c>
      <c r="P299" s="63">
        <f t="shared" si="120"/>
        <v>0</v>
      </c>
      <c r="Q299" s="63">
        <f t="shared" si="120"/>
        <v>0</v>
      </c>
      <c r="R299" s="63">
        <f t="shared" si="120"/>
        <v>0</v>
      </c>
      <c r="S299" s="63">
        <f>(S227+S251)*S275/10^7</f>
        <v>0</v>
      </c>
    </row>
    <row r="300" spans="2:19" hidden="1" x14ac:dyDescent="0.35">
      <c r="B300" s="198" t="s">
        <v>647</v>
      </c>
      <c r="C300" s="579"/>
      <c r="D300" s="579"/>
      <c r="E300" s="63">
        <f t="shared" ref="E300:R300" si="121">(E228+E252)*E276/10^7</f>
        <v>16.547141499999999</v>
      </c>
      <c r="F300" s="63">
        <f t="shared" si="121"/>
        <v>19.3777553</v>
      </c>
      <c r="G300" s="63">
        <f t="shared" si="121"/>
        <v>10.6445832</v>
      </c>
      <c r="H300" s="63">
        <f t="shared" si="121"/>
        <v>7.9776975999999999</v>
      </c>
      <c r="I300" s="63"/>
      <c r="J300" s="63">
        <f t="shared" si="121"/>
        <v>0</v>
      </c>
      <c r="K300" s="63">
        <f t="shared" si="121"/>
        <v>0</v>
      </c>
      <c r="L300" s="63">
        <f t="shared" si="121"/>
        <v>0</v>
      </c>
      <c r="M300" s="63">
        <f t="shared" si="121"/>
        <v>0</v>
      </c>
      <c r="N300" s="63">
        <f t="shared" si="121"/>
        <v>0</v>
      </c>
      <c r="O300" s="63">
        <f t="shared" si="121"/>
        <v>0</v>
      </c>
      <c r="P300" s="63">
        <f t="shared" si="121"/>
        <v>0</v>
      </c>
      <c r="Q300" s="63">
        <f t="shared" si="121"/>
        <v>0</v>
      </c>
      <c r="R300" s="63">
        <f t="shared" si="121"/>
        <v>0</v>
      </c>
      <c r="S300" s="63">
        <f>(S228+S252)*S276/10^7</f>
        <v>0</v>
      </c>
    </row>
    <row r="301" spans="2:19" hidden="1" x14ac:dyDescent="0.35">
      <c r="B301" s="198" t="s">
        <v>648</v>
      </c>
      <c r="C301" s="579"/>
      <c r="D301" s="579"/>
      <c r="E301" s="63">
        <f t="shared" ref="E301:R301" si="122">(E229+E253)*E277/10^7</f>
        <v>34.496361</v>
      </c>
      <c r="F301" s="63">
        <f t="shared" si="122"/>
        <v>35.966326700000003</v>
      </c>
      <c r="G301" s="63">
        <f t="shared" si="122"/>
        <v>15.883027200000001</v>
      </c>
      <c r="H301" s="63">
        <f t="shared" si="122"/>
        <v>9.9839555999999998</v>
      </c>
      <c r="I301" s="63"/>
      <c r="J301" s="63">
        <f t="shared" si="122"/>
        <v>0</v>
      </c>
      <c r="K301" s="63">
        <f t="shared" si="122"/>
        <v>0</v>
      </c>
      <c r="L301" s="63">
        <f t="shared" si="122"/>
        <v>0</v>
      </c>
      <c r="M301" s="63">
        <f t="shared" si="122"/>
        <v>0</v>
      </c>
      <c r="N301" s="63">
        <f t="shared" si="122"/>
        <v>0</v>
      </c>
      <c r="O301" s="63">
        <f t="shared" si="122"/>
        <v>0</v>
      </c>
      <c r="P301" s="63">
        <f t="shared" si="122"/>
        <v>0</v>
      </c>
      <c r="Q301" s="63">
        <f t="shared" si="122"/>
        <v>0</v>
      </c>
      <c r="R301" s="63">
        <f t="shared" si="122"/>
        <v>0</v>
      </c>
      <c r="S301" s="63">
        <f>(S229+S253)*S277/10^7</f>
        <v>0</v>
      </c>
    </row>
    <row r="302" spans="2:19" hidden="1" x14ac:dyDescent="0.35">
      <c r="B302" s="199" t="s">
        <v>649</v>
      </c>
      <c r="C302" s="579"/>
      <c r="D302" s="579"/>
      <c r="E302" s="107">
        <f t="shared" ref="E302:S302" si="123">SUM(E297:E301)</f>
        <v>51.043502500000002</v>
      </c>
      <c r="F302" s="107">
        <f t="shared" si="123"/>
        <v>55.344082</v>
      </c>
      <c r="G302" s="107">
        <f t="shared" si="123"/>
        <v>26.5276104</v>
      </c>
      <c r="H302" s="107">
        <f t="shared" si="123"/>
        <v>17.961653200000001</v>
      </c>
      <c r="I302" s="107"/>
      <c r="J302" s="107">
        <f t="shared" si="123"/>
        <v>0</v>
      </c>
      <c r="K302" s="107">
        <f t="shared" si="123"/>
        <v>0</v>
      </c>
      <c r="L302" s="107">
        <f t="shared" si="123"/>
        <v>0</v>
      </c>
      <c r="M302" s="107">
        <f t="shared" si="123"/>
        <v>0</v>
      </c>
      <c r="N302" s="107">
        <f t="shared" si="123"/>
        <v>0</v>
      </c>
      <c r="O302" s="107">
        <f t="shared" si="123"/>
        <v>0</v>
      </c>
      <c r="P302" s="107">
        <f t="shared" si="123"/>
        <v>0</v>
      </c>
      <c r="Q302" s="107">
        <f t="shared" si="123"/>
        <v>0</v>
      </c>
      <c r="R302" s="107">
        <f t="shared" si="123"/>
        <v>0</v>
      </c>
      <c r="S302" s="107">
        <f t="shared" si="123"/>
        <v>0</v>
      </c>
    </row>
    <row r="303" spans="2:19" hidden="1" x14ac:dyDescent="0.35">
      <c r="B303" s="248" t="s">
        <v>935</v>
      </c>
      <c r="C303" s="298"/>
      <c r="D303" s="298"/>
      <c r="E303" s="177">
        <f t="shared" ref="E303:S303" si="124">+E302+E296+E289</f>
        <v>159.58417739999999</v>
      </c>
      <c r="F303" s="177">
        <f t="shared" si="124"/>
        <v>174.4165739</v>
      </c>
      <c r="G303" s="177">
        <f t="shared" si="124"/>
        <v>68.514091300000004</v>
      </c>
      <c r="H303" s="177">
        <f t="shared" si="124"/>
        <v>58.545862400000004</v>
      </c>
      <c r="I303" s="177"/>
      <c r="J303" s="177">
        <f t="shared" si="124"/>
        <v>0</v>
      </c>
      <c r="K303" s="177">
        <f t="shared" si="124"/>
        <v>0</v>
      </c>
      <c r="L303" s="177">
        <f t="shared" si="124"/>
        <v>0</v>
      </c>
      <c r="M303" s="177">
        <f t="shared" si="124"/>
        <v>0</v>
      </c>
      <c r="N303" s="177">
        <f t="shared" si="124"/>
        <v>0</v>
      </c>
      <c r="O303" s="177">
        <f t="shared" si="124"/>
        <v>0</v>
      </c>
      <c r="P303" s="177">
        <f t="shared" si="124"/>
        <v>0</v>
      </c>
      <c r="Q303" s="177">
        <f t="shared" si="124"/>
        <v>0</v>
      </c>
      <c r="R303" s="177">
        <f t="shared" si="124"/>
        <v>0</v>
      </c>
      <c r="S303" s="177">
        <f t="shared" si="124"/>
        <v>0</v>
      </c>
    </row>
  </sheetData>
  <pageMargins left="0.7" right="0.7" top="0.75" bottom="0.75" header="0.3" footer="0.3"/>
  <pageSetup paperSize="9" orientation="portrait" horizontalDpi="300" verticalDpi="300"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7" tint="0.79998168889431442"/>
  </sheetPr>
  <dimension ref="A2:AN147"/>
  <sheetViews>
    <sheetView showGridLines="0" zoomScale="80" zoomScaleNormal="80" workbookViewId="0">
      <pane xSplit="4" ySplit="5" topLeftCell="E6" activePane="bottomRight" state="frozen"/>
      <selection pane="topRight" activeCell="E1" sqref="E1"/>
      <selection pane="bottomLeft" activeCell="A4" sqref="A4"/>
      <selection pane="bottomRight" activeCell="G1" sqref="G1"/>
    </sheetView>
  </sheetViews>
  <sheetFormatPr defaultColWidth="9.1796875" defaultRowHeight="14.5" outlineLevelCol="1" x14ac:dyDescent="0.35"/>
  <cols>
    <col min="1" max="1" width="9.1796875" style="180"/>
    <col min="2" max="2" width="45.453125" style="180" bestFit="1" customWidth="1"/>
    <col min="3" max="3" width="14.453125" style="1616" customWidth="1"/>
    <col min="4" max="4" width="9.453125" style="180" customWidth="1"/>
    <col min="5" max="7" width="11.54296875" style="180" customWidth="1" outlineLevel="1"/>
    <col min="8" max="9" width="10.54296875" style="180" customWidth="1" outlineLevel="1"/>
    <col min="10" max="17" width="10.54296875" style="180" bestFit="1" customWidth="1"/>
    <col min="18" max="19" width="10.54296875" style="180" hidden="1" customWidth="1"/>
    <col min="20" max="20" width="9.1796875" style="180"/>
    <col min="21" max="28" width="9.54296875" style="180" hidden="1" customWidth="1"/>
    <col min="29" max="29" width="0" style="180" hidden="1" customWidth="1"/>
    <col min="30" max="37" width="9.54296875" style="180" hidden="1" customWidth="1"/>
    <col min="38" max="16384" width="9.1796875" style="180"/>
  </cols>
  <sheetData>
    <row r="2" spans="1:38" x14ac:dyDescent="0.35">
      <c r="B2" s="1615" t="str">
        <f>'Working - Sugar + Cogen'!B2</f>
        <v>All figures in INR Crores</v>
      </c>
      <c r="F2" s="1617"/>
      <c r="G2" s="1617"/>
      <c r="H2" s="1617"/>
      <c r="I2" s="1617"/>
      <c r="J2" s="1618"/>
      <c r="K2" s="1619"/>
      <c r="L2" s="1617"/>
      <c r="M2" s="1617"/>
      <c r="N2" s="1617"/>
      <c r="O2" s="1617"/>
      <c r="P2" s="1617"/>
      <c r="Q2" s="1617"/>
      <c r="R2" s="1617"/>
      <c r="S2" s="1617"/>
    </row>
    <row r="3" spans="1:38" x14ac:dyDescent="0.35">
      <c r="E3" s="1617"/>
      <c r="F3" s="1617"/>
      <c r="G3" s="1617"/>
      <c r="H3" s="1617"/>
      <c r="I3" s="1617"/>
      <c r="J3" s="1617"/>
      <c r="K3" s="1617"/>
      <c r="L3" s="1617"/>
      <c r="M3" s="1617"/>
      <c r="N3" s="1617"/>
      <c r="O3" s="1617"/>
      <c r="P3" s="1617"/>
      <c r="Q3" s="1617"/>
      <c r="R3" s="1617"/>
      <c r="S3" s="1617"/>
    </row>
    <row r="4" spans="1:38" x14ac:dyDescent="0.35">
      <c r="B4" s="85" t="s">
        <v>395</v>
      </c>
      <c r="C4" s="1620"/>
      <c r="D4" s="85"/>
      <c r="E4" s="1621" t="s">
        <v>920</v>
      </c>
      <c r="F4" s="1621" t="s">
        <v>920</v>
      </c>
      <c r="G4" s="1621" t="s">
        <v>920</v>
      </c>
      <c r="H4" s="1621" t="s">
        <v>920</v>
      </c>
      <c r="I4" s="1621" t="s">
        <v>920</v>
      </c>
      <c r="J4" s="1621" t="s">
        <v>368</v>
      </c>
      <c r="K4" s="1621" t="s">
        <v>368</v>
      </c>
      <c r="L4" s="1621" t="s">
        <v>368</v>
      </c>
      <c r="M4" s="1621" t="s">
        <v>368</v>
      </c>
      <c r="N4" s="1621" t="s">
        <v>368</v>
      </c>
      <c r="O4" s="1621" t="s">
        <v>368</v>
      </c>
      <c r="P4" s="1621" t="s">
        <v>368</v>
      </c>
      <c r="Q4" s="1621" t="s">
        <v>368</v>
      </c>
      <c r="R4" s="1621" t="s">
        <v>368</v>
      </c>
      <c r="S4" s="1621" t="s">
        <v>368</v>
      </c>
    </row>
    <row r="5" spans="1:38" s="261" customFormat="1" x14ac:dyDescent="0.35">
      <c r="A5" s="137"/>
      <c r="B5" s="85"/>
      <c r="C5" s="1620"/>
      <c r="D5" s="85"/>
      <c r="E5" s="127">
        <f>'Working - Corporate'!E5</f>
        <v>43190</v>
      </c>
      <c r="F5" s="127">
        <f>'Working - Corporate'!F5</f>
        <v>43555</v>
      </c>
      <c r="G5" s="127">
        <f>'Working - Corporate'!G5</f>
        <v>43921</v>
      </c>
      <c r="H5" s="127">
        <f>'Working - Corporate'!H5</f>
        <v>44286</v>
      </c>
      <c r="I5" s="127">
        <f>EOMONTH(H5,12)</f>
        <v>44651</v>
      </c>
      <c r="J5" s="127">
        <f>'Working - Corporate'!J5</f>
        <v>45016</v>
      </c>
      <c r="K5" s="127">
        <f>'Working - Corporate'!K5</f>
        <v>45382</v>
      </c>
      <c r="L5" s="127">
        <f>'Working - Corporate'!L5</f>
        <v>45747</v>
      </c>
      <c r="M5" s="127">
        <f>'Working - Corporate'!M5</f>
        <v>46112</v>
      </c>
      <c r="N5" s="127">
        <f>'Working - Corporate'!N5</f>
        <v>46477</v>
      </c>
      <c r="O5" s="127">
        <f>'Working - Corporate'!O5</f>
        <v>46843</v>
      </c>
      <c r="P5" s="127">
        <f>'Working - Corporate'!P5</f>
        <v>47208</v>
      </c>
      <c r="Q5" s="127">
        <f>'Working - Corporate'!Q5</f>
        <v>47573</v>
      </c>
      <c r="R5" s="127">
        <f>'Working - Corporate'!R5</f>
        <v>47938</v>
      </c>
      <c r="S5" s="127">
        <f>'Working - Corporate'!S5</f>
        <v>48304</v>
      </c>
      <c r="U5" s="1622" t="e">
        <f>#REF!</f>
        <v>#REF!</v>
      </c>
      <c r="V5" s="1622">
        <f t="shared" ref="V5:AB5" si="0">J5</f>
        <v>45016</v>
      </c>
      <c r="W5" s="1622">
        <f t="shared" si="0"/>
        <v>45382</v>
      </c>
      <c r="X5" s="1622">
        <f t="shared" si="0"/>
        <v>45747</v>
      </c>
      <c r="Y5" s="1622">
        <f t="shared" si="0"/>
        <v>46112</v>
      </c>
      <c r="Z5" s="1622">
        <f t="shared" si="0"/>
        <v>46477</v>
      </c>
      <c r="AA5" s="1622">
        <f t="shared" si="0"/>
        <v>46843</v>
      </c>
      <c r="AB5" s="1622">
        <f t="shared" si="0"/>
        <v>47208</v>
      </c>
      <c r="AD5" s="1622" t="e">
        <f>U5</f>
        <v>#REF!</v>
      </c>
      <c r="AE5" s="1622">
        <f t="shared" ref="AE5:AK5" si="1">V5</f>
        <v>45016</v>
      </c>
      <c r="AF5" s="1622">
        <f t="shared" si="1"/>
        <v>45382</v>
      </c>
      <c r="AG5" s="1622">
        <f t="shared" si="1"/>
        <v>45747</v>
      </c>
      <c r="AH5" s="1622">
        <f t="shared" si="1"/>
        <v>46112</v>
      </c>
      <c r="AI5" s="1622">
        <f t="shared" si="1"/>
        <v>46477</v>
      </c>
      <c r="AJ5" s="1622">
        <f t="shared" si="1"/>
        <v>46843</v>
      </c>
      <c r="AK5" s="1622">
        <f t="shared" si="1"/>
        <v>47208</v>
      </c>
    </row>
    <row r="6" spans="1:38" s="261" customFormat="1" x14ac:dyDescent="0.35">
      <c r="A6" s="137"/>
      <c r="B6" s="106" t="s">
        <v>95</v>
      </c>
      <c r="C6" s="1623"/>
      <c r="D6" s="106"/>
      <c r="E6" s="106"/>
      <c r="F6" s="106"/>
      <c r="G6" s="1624"/>
      <c r="H6" s="1624"/>
      <c r="I6" s="1624"/>
      <c r="J6" s="1624"/>
      <c r="K6" s="1624"/>
      <c r="L6" s="1624"/>
      <c r="M6" s="1624"/>
      <c r="N6" s="1624"/>
      <c r="O6" s="1624"/>
      <c r="P6" s="1624"/>
      <c r="Q6" s="1624"/>
      <c r="R6" s="1624"/>
      <c r="S6" s="1624"/>
    </row>
    <row r="7" spans="1:38" s="113" customFormat="1" x14ac:dyDescent="0.35">
      <c r="A7" s="137"/>
      <c r="B7" s="106" t="s">
        <v>96</v>
      </c>
      <c r="C7" s="1623"/>
      <c r="D7" s="106"/>
      <c r="E7" s="1625">
        <f t="shared" ref="E7:G7" si="2">SUM(E8:E9)</f>
        <v>462.4036540299</v>
      </c>
      <c r="F7" s="1625">
        <f t="shared" si="2"/>
        <v>500.83514197080001</v>
      </c>
      <c r="G7" s="1625">
        <f t="shared" si="2"/>
        <v>258.90025247599999</v>
      </c>
      <c r="H7" s="1625">
        <f>SUM(H8:H10)</f>
        <v>397.00170399819996</v>
      </c>
      <c r="I7" s="1625">
        <f>SUM(I8:I10)</f>
        <v>932.05322093072004</v>
      </c>
      <c r="J7" s="1625">
        <f t="shared" ref="J7:S7" si="3">SUM(J8:J10)</f>
        <v>1125.6827708288708</v>
      </c>
      <c r="K7" s="1625">
        <f t="shared" si="3"/>
        <v>1472.1545622615824</v>
      </c>
      <c r="L7" s="1625">
        <f t="shared" si="3"/>
        <v>1568.8276159675306</v>
      </c>
      <c r="M7" s="1625">
        <f t="shared" si="3"/>
        <v>1623.8867857948146</v>
      </c>
      <c r="N7" s="1625">
        <f t="shared" si="3"/>
        <v>1659.2155109425721</v>
      </c>
      <c r="O7" s="1625">
        <f t="shared" si="3"/>
        <v>1692.4921389144556</v>
      </c>
      <c r="P7" s="1625">
        <f t="shared" si="3"/>
        <v>1726.3419816927449</v>
      </c>
      <c r="Q7" s="1625">
        <f t="shared" si="3"/>
        <v>1760.8688213265996</v>
      </c>
      <c r="R7" s="1625">
        <f t="shared" si="3"/>
        <v>1796.0861977531315</v>
      </c>
      <c r="S7" s="1625">
        <f t="shared" si="3"/>
        <v>1832.0079217081941</v>
      </c>
      <c r="T7" s="1626"/>
      <c r="AL7" s="1592"/>
    </row>
    <row r="8" spans="1:38" s="113" customFormat="1" x14ac:dyDescent="0.35">
      <c r="A8" s="583"/>
      <c r="B8" s="581" t="s">
        <v>38</v>
      </c>
      <c r="C8" s="1627"/>
      <c r="D8" s="581"/>
      <c r="E8" s="63">
        <f>+'Stock movement'!E99*Assumptions!E120/100</f>
        <v>462.4036540299</v>
      </c>
      <c r="F8" s="63">
        <f>+'Stock movement'!F99*Assumptions!F120/100</f>
        <v>500.83514197080001</v>
      </c>
      <c r="G8" s="63">
        <f>+'Stock movement'!G99*Assumptions!G120/100</f>
        <v>258.90025247599999</v>
      </c>
      <c r="H8" s="63">
        <f>+'Stock movement'!H99*Assumptions!H120/100</f>
        <v>253.19110654319996</v>
      </c>
      <c r="I8" s="63">
        <f>+'Stock movement'!I99*Assumptions!I120/100</f>
        <v>256.19041493072001</v>
      </c>
      <c r="J8" s="63">
        <f>+'Stock movement'!J99*Assumptions!J120/100</f>
        <v>81.832948278435254</v>
      </c>
      <c r="K8" s="63">
        <f>+'Stock movement'!K99*Assumptions!K120/100</f>
        <v>1.9444776455657117E-14</v>
      </c>
      <c r="L8" s="63">
        <f>+'Stock movement'!L99*Assumptions!L120/100</f>
        <v>0</v>
      </c>
      <c r="M8" s="63">
        <f>+'Stock movement'!M99*Assumptions!M120/100</f>
        <v>0</v>
      </c>
      <c r="N8" s="63">
        <f>+'Stock movement'!N99*Assumptions!N120/100</f>
        <v>0</v>
      </c>
      <c r="O8" s="63">
        <f>+'Stock movement'!O99*Assumptions!O120/100</f>
        <v>0</v>
      </c>
      <c r="P8" s="63">
        <f>+'Stock movement'!P99*Assumptions!P120/100</f>
        <v>0</v>
      </c>
      <c r="Q8" s="63">
        <f>+'Stock movement'!Q99*Assumptions!Q120/100</f>
        <v>0</v>
      </c>
      <c r="R8" s="63">
        <f>+'Stock movement'!R99*Assumptions!R120/100</f>
        <v>0</v>
      </c>
      <c r="S8" s="63">
        <f>+'Stock movement'!S99*Assumptions!S120/100</f>
        <v>0</v>
      </c>
      <c r="U8" s="1628">
        <v>273.61983278285993</v>
      </c>
      <c r="V8" s="1628">
        <v>0</v>
      </c>
      <c r="W8" s="1628">
        <v>-1.9804033666304123E-14</v>
      </c>
      <c r="X8" s="1628">
        <v>0</v>
      </c>
      <c r="Y8" s="1628">
        <v>0</v>
      </c>
      <c r="Z8" s="1628">
        <v>0</v>
      </c>
      <c r="AA8" s="1628">
        <v>0</v>
      </c>
      <c r="AB8" s="1628">
        <v>0</v>
      </c>
      <c r="AD8" s="1592" t="e">
        <f>#REF!-U8</f>
        <v>#REF!</v>
      </c>
      <c r="AE8" s="1592">
        <f t="shared" ref="AE8:AK9" si="4">J8-V8</f>
        <v>81.832948278435254</v>
      </c>
      <c r="AF8" s="1592">
        <f t="shared" si="4"/>
        <v>3.9248810121961237E-14</v>
      </c>
      <c r="AG8" s="1592">
        <f t="shared" si="4"/>
        <v>0</v>
      </c>
      <c r="AH8" s="1592">
        <f t="shared" si="4"/>
        <v>0</v>
      </c>
      <c r="AI8" s="1592">
        <f t="shared" si="4"/>
        <v>0</v>
      </c>
      <c r="AJ8" s="1592">
        <f t="shared" si="4"/>
        <v>0</v>
      </c>
      <c r="AK8" s="1592">
        <f t="shared" si="4"/>
        <v>0</v>
      </c>
    </row>
    <row r="9" spans="1:38" s="113" customFormat="1" x14ac:dyDescent="0.35">
      <c r="A9" s="583"/>
      <c r="B9" s="581" t="s">
        <v>39</v>
      </c>
      <c r="C9" s="1627"/>
      <c r="D9" s="581"/>
      <c r="E9" s="102">
        <v>0</v>
      </c>
      <c r="F9" s="102">
        <v>0</v>
      </c>
      <c r="G9" s="102">
        <v>0</v>
      </c>
      <c r="H9" s="63">
        <f>+'Stock movement'!H106*Assumptions!H121/100</f>
        <v>143.81059745499999</v>
      </c>
      <c r="I9" s="63">
        <f>+'Stock movement'!I106*Assumptions!I121/100</f>
        <v>595.75695299999995</v>
      </c>
      <c r="J9" s="63">
        <f>+'Stock movement'!J106*Assumptions!J121/100</f>
        <v>1043.8498225504356</v>
      </c>
      <c r="K9" s="63">
        <f>+'Stock movement'!K106*Assumptions!K121/100</f>
        <v>1472.1545622615824</v>
      </c>
      <c r="L9" s="63">
        <f>+'Stock movement'!L106*Assumptions!L121/100</f>
        <v>1568.8276159675306</v>
      </c>
      <c r="M9" s="63">
        <f>+'Stock movement'!M106*Assumptions!M121/100</f>
        <v>1623.8867857948146</v>
      </c>
      <c r="N9" s="63">
        <f>+'Stock movement'!N106*Assumptions!N121/100</f>
        <v>1659.2155109425721</v>
      </c>
      <c r="O9" s="63">
        <f>+'Stock movement'!O106*Assumptions!O121/100</f>
        <v>1692.4921389144556</v>
      </c>
      <c r="P9" s="63">
        <f>+'Stock movement'!P106*Assumptions!P121/100</f>
        <v>1726.3419816927449</v>
      </c>
      <c r="Q9" s="63">
        <f>+'Stock movement'!Q106*Assumptions!Q121/100</f>
        <v>1760.8688213265996</v>
      </c>
      <c r="R9" s="63">
        <f>+'Stock movement'!R106*Assumptions!R121/100</f>
        <v>1796.0861977531315</v>
      </c>
      <c r="S9" s="63">
        <f>+'Stock movement'!S106*Assumptions!S121/100</f>
        <v>1832.0079217081941</v>
      </c>
      <c r="U9" s="1628">
        <v>553.34645330416345</v>
      </c>
      <c r="V9" s="1628">
        <v>1416.7660943438882</v>
      </c>
      <c r="W9" s="1628">
        <v>1456.7173548430944</v>
      </c>
      <c r="X9" s="1628">
        <v>1512.5074017012716</v>
      </c>
      <c r="Y9" s="1628">
        <v>1540.0848184479823</v>
      </c>
      <c r="Z9" s="1628">
        <v>1584.4444895248985</v>
      </c>
      <c r="AA9" s="1628">
        <v>1631.9778242106454</v>
      </c>
      <c r="AB9" s="1628">
        <v>1680.9371589369648</v>
      </c>
      <c r="AD9" s="1592" t="e">
        <f>#REF!-U9</f>
        <v>#REF!</v>
      </c>
      <c r="AE9" s="1592">
        <f t="shared" si="4"/>
        <v>-372.91627179345255</v>
      </c>
      <c r="AF9" s="1592">
        <f t="shared" si="4"/>
        <v>15.437207418488015</v>
      </c>
      <c r="AG9" s="1592">
        <f t="shared" si="4"/>
        <v>56.320214266258972</v>
      </c>
      <c r="AH9" s="1592">
        <f t="shared" si="4"/>
        <v>83.801967346832271</v>
      </c>
      <c r="AI9" s="1592">
        <f t="shared" si="4"/>
        <v>74.771021417673637</v>
      </c>
      <c r="AJ9" s="1592">
        <f t="shared" si="4"/>
        <v>60.514314703810214</v>
      </c>
      <c r="AK9" s="1592">
        <f t="shared" si="4"/>
        <v>45.40482275578006</v>
      </c>
    </row>
    <row r="10" spans="1:38" s="113" customFormat="1" x14ac:dyDescent="0.35">
      <c r="A10" s="583"/>
      <c r="B10" s="581" t="s">
        <v>1591</v>
      </c>
      <c r="C10" s="1627"/>
      <c r="D10" s="581"/>
      <c r="E10" s="102"/>
      <c r="F10" s="102"/>
      <c r="G10" s="102"/>
      <c r="H10" s="63"/>
      <c r="I10" s="63">
        <f>+'Stock movement'!I115*Assumptions!I122/100</f>
        <v>80.105852999999996</v>
      </c>
      <c r="J10" s="63">
        <f>+'Stock movement'!J115*Assumptions!J122/100</f>
        <v>0</v>
      </c>
      <c r="K10" s="63">
        <f>+'Stock movement'!K115*Assumptions!K122/100</f>
        <v>0</v>
      </c>
      <c r="L10" s="63">
        <f>+'Stock movement'!L115*Assumptions!L122/100</f>
        <v>0</v>
      </c>
      <c r="M10" s="63">
        <f>+'Stock movement'!M115*Assumptions!M122/100</f>
        <v>0</v>
      </c>
      <c r="N10" s="63">
        <f>+'Stock movement'!N115*Assumptions!N122/100</f>
        <v>0</v>
      </c>
      <c r="O10" s="63">
        <f>+'Stock movement'!O115*Assumptions!O122/100</f>
        <v>0</v>
      </c>
      <c r="P10" s="63">
        <f>+'Stock movement'!P115*Assumptions!P122/100</f>
        <v>0</v>
      </c>
      <c r="Q10" s="63">
        <f>+'Stock movement'!Q115*Assumptions!Q122/100</f>
        <v>0</v>
      </c>
      <c r="R10" s="63">
        <f>+'Stock movement'!R115*Assumptions!R122/100</f>
        <v>0</v>
      </c>
      <c r="S10" s="63">
        <f>+'Stock movement'!S115*Assumptions!S122/100</f>
        <v>0</v>
      </c>
      <c r="U10" s="1628"/>
      <c r="V10" s="1628"/>
      <c r="W10" s="1628"/>
      <c r="X10" s="1628"/>
      <c r="Y10" s="1628"/>
      <c r="Z10" s="1628"/>
      <c r="AA10" s="1628"/>
      <c r="AB10" s="1628"/>
      <c r="AD10" s="1592"/>
      <c r="AE10" s="1592"/>
      <c r="AF10" s="1592"/>
      <c r="AG10" s="1592"/>
      <c r="AH10" s="1592"/>
      <c r="AI10" s="1592"/>
      <c r="AJ10" s="1592"/>
      <c r="AK10" s="1592"/>
    </row>
    <row r="11" spans="1:38" s="113" customFormat="1" x14ac:dyDescent="0.35">
      <c r="A11" s="583"/>
      <c r="B11" s="106" t="s">
        <v>531</v>
      </c>
      <c r="C11" s="1627"/>
      <c r="D11" s="581"/>
      <c r="E11" s="1625">
        <f t="shared" ref="E11:R11" si="5">SUM(E12:E17)</f>
        <v>27.020052916000001</v>
      </c>
      <c r="F11" s="1625">
        <f t="shared" si="5"/>
        <v>27.014356614999997</v>
      </c>
      <c r="G11" s="1625">
        <f t="shared" si="5"/>
        <v>18.066915263999999</v>
      </c>
      <c r="H11" s="1625">
        <f t="shared" si="5"/>
        <v>23.128565145000007</v>
      </c>
      <c r="I11" s="1625">
        <f t="shared" si="5"/>
        <v>26.087416761</v>
      </c>
      <c r="J11" s="1625">
        <f t="shared" si="5"/>
        <v>11.746995816236319</v>
      </c>
      <c r="K11" s="1625">
        <f t="shared" si="5"/>
        <v>12.545433748123033</v>
      </c>
      <c r="L11" s="1625">
        <f t="shared" si="5"/>
        <v>12.966210362316566</v>
      </c>
      <c r="M11" s="1625">
        <f t="shared" si="5"/>
        <v>13.192623378562899</v>
      </c>
      <c r="N11" s="1625">
        <f t="shared" si="5"/>
        <v>13.423564655134157</v>
      </c>
      <c r="O11" s="1625">
        <f t="shared" si="5"/>
        <v>13.659124757236841</v>
      </c>
      <c r="P11" s="1625">
        <f t="shared" si="5"/>
        <v>13.899396061381578</v>
      </c>
      <c r="Q11" s="1625">
        <f t="shared" si="5"/>
        <v>14.144472791609209</v>
      </c>
      <c r="R11" s="1625">
        <f t="shared" si="5"/>
        <v>14.394451056441394</v>
      </c>
      <c r="S11" s="1625">
        <f>SUM(S12:S17)</f>
        <v>14.649428886570222</v>
      </c>
      <c r="W11" s="1628">
        <f>+Assumptions!J121/100</f>
        <v>0.59475835999999993</v>
      </c>
    </row>
    <row r="12" spans="1:38" s="113" customFormat="1" x14ac:dyDescent="0.35">
      <c r="A12" s="1629"/>
      <c r="B12" s="581" t="s">
        <v>252</v>
      </c>
      <c r="C12" s="1627"/>
      <c r="D12" s="581"/>
      <c r="E12" s="77">
        <v>5.4627739670000004</v>
      </c>
      <c r="F12" s="77">
        <f>61186106/10^7</f>
        <v>6.1186106000000002</v>
      </c>
      <c r="G12" s="77">
        <v>5.949452805</v>
      </c>
      <c r="H12" s="63">
        <f>+'Stock movement'!H125*Assumptions!H126/100</f>
        <v>6.3870598860000038</v>
      </c>
      <c r="I12" s="63">
        <f>+'Stock movement'!I125*Assumptions!I126/100</f>
        <v>2.3366059530000003</v>
      </c>
      <c r="J12" s="63">
        <f>+'Stock movement'!J125*Assumptions!J126/100</f>
        <v>5.6522441144763205</v>
      </c>
      <c r="K12" s="63">
        <f>+'Stock movement'!K125*Assumptions!K126/100</f>
        <v>6.3616982033278315</v>
      </c>
      <c r="L12" s="63">
        <f>+'Stock movement'!L125*Assumptions!L126/100</f>
        <v>6.6917112976254627</v>
      </c>
      <c r="M12" s="63">
        <f>+'Stock movement'!M125*Assumptions!M126/100</f>
        <v>6.8255455235779721</v>
      </c>
      <c r="N12" s="63">
        <f>+'Stock movement'!N125*Assumptions!N126/100</f>
        <v>6.9620564340495319</v>
      </c>
      <c r="O12" s="63">
        <f>+'Stock movement'!O125*Assumptions!O126/100</f>
        <v>7.1012975627305233</v>
      </c>
      <c r="P12" s="63">
        <f>+'Stock movement'!P125*Assumptions!P126/100</f>
        <v>7.2433235139851346</v>
      </c>
      <c r="Q12" s="63">
        <f>+'Stock movement'!Q125*Assumptions!Q126/100</f>
        <v>7.3881899842648364</v>
      </c>
      <c r="R12" s="63">
        <f>+'Stock movement'!R125*Assumptions!R126/100</f>
        <v>7.5359537839501334</v>
      </c>
      <c r="S12" s="63">
        <f>+'Stock movement'!S125*Assumptions!S126/100</f>
        <v>7.6866728596291356</v>
      </c>
      <c r="W12" s="1592">
        <f>W11*8</f>
        <v>4.7580668799999994</v>
      </c>
    </row>
    <row r="13" spans="1:38" s="113" customFormat="1" x14ac:dyDescent="0.35">
      <c r="A13" s="1629"/>
      <c r="B13" s="581" t="s">
        <v>254</v>
      </c>
      <c r="C13" s="1627"/>
      <c r="D13" s="581"/>
      <c r="E13" s="77">
        <v>2.52197133</v>
      </c>
      <c r="F13" s="77">
        <f>15701932/10^7</f>
        <v>1.5701932000000001</v>
      </c>
      <c r="G13" s="77">
        <v>1.0319282590000001</v>
      </c>
      <c r="H13" s="77">
        <v>0.16064768900000001</v>
      </c>
      <c r="I13" s="77">
        <f>3186030.88/10^7</f>
        <v>0.31860308799999998</v>
      </c>
      <c r="J13" s="63">
        <f>I13*(1+Assumptions!J130)</f>
        <v>0.32497514975999997</v>
      </c>
      <c r="K13" s="63">
        <f>J13*(1+Assumptions!K130)</f>
        <v>0.33147465275519999</v>
      </c>
      <c r="L13" s="63">
        <f>K13*(1+Assumptions!L130)</f>
        <v>0.33810414581030401</v>
      </c>
      <c r="M13" s="63">
        <f>L13*(1+Assumptions!M130)</f>
        <v>0.34486622872651013</v>
      </c>
      <c r="N13" s="63">
        <f>M13*(1+Assumptions!N130)</f>
        <v>0.35176355330104031</v>
      </c>
      <c r="O13" s="63">
        <f>N13*(1+Assumptions!O130)</f>
        <v>0.35879882436706112</v>
      </c>
      <c r="P13" s="63">
        <f>O13*(1+Assumptions!P130)</f>
        <v>0.36597480085440237</v>
      </c>
      <c r="Q13" s="63">
        <f>P13*(1+Assumptions!Q130)</f>
        <v>0.37329429687149041</v>
      </c>
      <c r="R13" s="63">
        <f>Q13*(1+Assumptions!R130)</f>
        <v>0.38076018280892021</v>
      </c>
      <c r="S13" s="63">
        <f>R13*(1+Assumptions!S130)</f>
        <v>0.38837538646509862</v>
      </c>
    </row>
    <row r="14" spans="1:38" s="113" customFormat="1" x14ac:dyDescent="0.35">
      <c r="A14" s="1629"/>
      <c r="B14" s="581" t="s">
        <v>255</v>
      </c>
      <c r="C14" s="1627"/>
      <c r="D14" s="581"/>
      <c r="E14" s="77">
        <v>1.263767785</v>
      </c>
      <c r="F14" s="77">
        <f>13332026/10^7</f>
        <v>1.3332025999999999</v>
      </c>
      <c r="G14" s="77">
        <v>0.88706099999999999</v>
      </c>
      <c r="H14" s="77">
        <v>7.1569080000000007E-2</v>
      </c>
      <c r="I14" s="77">
        <f>9060951/10^7</f>
        <v>0.90609510000000004</v>
      </c>
      <c r="J14" s="63">
        <f>I14*(1+Assumptions!J131)</f>
        <v>0.92421700200000001</v>
      </c>
      <c r="K14" s="63">
        <f>J14*(1+Assumptions!K131)</f>
        <v>0.94270134204</v>
      </c>
      <c r="L14" s="63">
        <f>K14*(1+Assumptions!L131)</f>
        <v>0.96155536888080007</v>
      </c>
      <c r="M14" s="63">
        <f>L14*(1+Assumptions!M131)</f>
        <v>0.98078647625841608</v>
      </c>
      <c r="N14" s="63">
        <f>M14*(1+Assumptions!N131)</f>
        <v>1.0004022057835844</v>
      </c>
      <c r="O14" s="63">
        <f>N14*(1+Assumptions!O131)</f>
        <v>1.0204102498992562</v>
      </c>
      <c r="P14" s="63">
        <f>O14*(1+Assumptions!P131)</f>
        <v>1.0408184548972415</v>
      </c>
      <c r="Q14" s="63">
        <f>P14*(1+Assumptions!Q131)</f>
        <v>1.0616348239951863</v>
      </c>
      <c r="R14" s="63">
        <f>Q14*(1+Assumptions!R131)</f>
        <v>1.0828675204750899</v>
      </c>
      <c r="S14" s="63">
        <f>R14*(1+Assumptions!S131)</f>
        <v>1.1045248708845918</v>
      </c>
    </row>
    <row r="15" spans="1:38" s="261" customFormat="1" x14ac:dyDescent="0.35">
      <c r="A15" s="1629"/>
      <c r="B15" s="1228" t="s">
        <v>128</v>
      </c>
      <c r="C15" s="1630"/>
      <c r="D15" s="1228"/>
      <c r="E15" s="121">
        <v>15.67899355</v>
      </c>
      <c r="F15" s="121">
        <f>128530372.2/10^7</f>
        <v>12.853037220000001</v>
      </c>
      <c r="G15" s="77">
        <v>7.4158504999999995</v>
      </c>
      <c r="H15" s="77">
        <v>10.71268369</v>
      </c>
      <c r="I15" s="77">
        <f>(184502633+13947480)/10^7</f>
        <v>19.845011299999999</v>
      </c>
      <c r="J15" s="77">
        <v>3.2</v>
      </c>
      <c r="K15" s="63">
        <f>J15*(1+Assumptions!K132)</f>
        <v>3.2640000000000002</v>
      </c>
      <c r="L15" s="63">
        <f>K15*(1+Assumptions!L132)</f>
        <v>3.3292800000000002</v>
      </c>
      <c r="M15" s="63">
        <f>L15*(1+Assumptions!M132)</f>
        <v>3.3958656000000005</v>
      </c>
      <c r="N15" s="63">
        <f>M15*(1+Assumptions!N132)</f>
        <v>3.4637829120000005</v>
      </c>
      <c r="O15" s="63">
        <f>N15*(1+Assumptions!O132)</f>
        <v>3.5330585702400006</v>
      </c>
      <c r="P15" s="63">
        <f>O15*(1+Assumptions!P132)</f>
        <v>3.6037197416448006</v>
      </c>
      <c r="Q15" s="63">
        <f>P15*(1+Assumptions!Q132)</f>
        <v>3.6757941364776965</v>
      </c>
      <c r="R15" s="63">
        <f>Q15*(1+Assumptions!R132)</f>
        <v>3.7493100192072504</v>
      </c>
      <c r="S15" s="63">
        <f>R15*(1+Assumptions!S132)</f>
        <v>3.8242962195913957</v>
      </c>
      <c r="T15" s="113"/>
    </row>
    <row r="16" spans="1:38" s="113" customFormat="1" x14ac:dyDescent="0.35">
      <c r="A16" s="1629"/>
      <c r="B16" s="581" t="s">
        <v>246</v>
      </c>
      <c r="C16" s="1627"/>
      <c r="D16" s="581"/>
      <c r="E16" s="63">
        <f t="shared" ref="E16:R16" si="6">E85</f>
        <v>1.678353105</v>
      </c>
      <c r="F16" s="63">
        <f t="shared" si="6"/>
        <v>2.2475268319999997</v>
      </c>
      <c r="G16" s="63">
        <f t="shared" si="6"/>
        <v>1.7355741000000002</v>
      </c>
      <c r="H16" s="63">
        <f t="shared" si="6"/>
        <v>0.14181260000000001</v>
      </c>
      <c r="I16" s="63">
        <f t="shared" si="6"/>
        <v>1.0362000730000001</v>
      </c>
      <c r="J16" s="63">
        <f t="shared" si="6"/>
        <v>1.0362000730000001</v>
      </c>
      <c r="K16" s="63">
        <f t="shared" si="6"/>
        <v>1.0362000730000001</v>
      </c>
      <c r="L16" s="63">
        <f t="shared" si="6"/>
        <v>1.0362000730000001</v>
      </c>
      <c r="M16" s="63">
        <f t="shared" si="6"/>
        <v>1.0362000730000001</v>
      </c>
      <c r="N16" s="63">
        <f t="shared" si="6"/>
        <v>1.0362000730000001</v>
      </c>
      <c r="O16" s="63">
        <f t="shared" si="6"/>
        <v>1.0362000730000001</v>
      </c>
      <c r="P16" s="63">
        <f t="shared" si="6"/>
        <v>1.0362000730000001</v>
      </c>
      <c r="Q16" s="63">
        <f t="shared" si="6"/>
        <v>1.0362000730000001</v>
      </c>
      <c r="R16" s="63">
        <f t="shared" si="6"/>
        <v>1.0362000730000001</v>
      </c>
      <c r="S16" s="63">
        <f>S85</f>
        <v>1.0362000730000001</v>
      </c>
      <c r="V16" s="583"/>
    </row>
    <row r="17" spans="1:22" s="113" customFormat="1" x14ac:dyDescent="0.35">
      <c r="A17" s="1629"/>
      <c r="B17" s="581" t="s">
        <v>77</v>
      </c>
      <c r="C17" s="1627"/>
      <c r="D17" s="581"/>
      <c r="E17" s="63">
        <f t="shared" ref="E17:R17" si="7">E94</f>
        <v>0.41419317899999997</v>
      </c>
      <c r="F17" s="63">
        <f t="shared" si="7"/>
        <v>2.8917861629999999</v>
      </c>
      <c r="G17" s="63">
        <f t="shared" si="7"/>
        <v>1.0470486000000001</v>
      </c>
      <c r="H17" s="63">
        <f t="shared" si="7"/>
        <v>5.6547922000000002</v>
      </c>
      <c r="I17" s="63">
        <f t="shared" si="7"/>
        <v>1.6449012470000002</v>
      </c>
      <c r="J17" s="63">
        <f t="shared" si="7"/>
        <v>0.60935947700000015</v>
      </c>
      <c r="K17" s="63">
        <f t="shared" si="7"/>
        <v>0.60935947700000015</v>
      </c>
      <c r="L17" s="63">
        <f t="shared" si="7"/>
        <v>0.60935947700000015</v>
      </c>
      <c r="M17" s="63">
        <f t="shared" si="7"/>
        <v>0.60935947700000015</v>
      </c>
      <c r="N17" s="63">
        <f t="shared" si="7"/>
        <v>0.60935947700000015</v>
      </c>
      <c r="O17" s="63">
        <f t="shared" si="7"/>
        <v>0.60935947700000015</v>
      </c>
      <c r="P17" s="63">
        <f t="shared" si="7"/>
        <v>0.60935947700000015</v>
      </c>
      <c r="Q17" s="63">
        <f t="shared" si="7"/>
        <v>0.60935947700000015</v>
      </c>
      <c r="R17" s="63">
        <f t="shared" si="7"/>
        <v>0.60935947700000015</v>
      </c>
      <c r="S17" s="63">
        <f>S94</f>
        <v>0.60935947700000015</v>
      </c>
      <c r="V17" s="583"/>
    </row>
    <row r="18" spans="1:22" s="261" customFormat="1" x14ac:dyDescent="0.35">
      <c r="A18" s="583"/>
      <c r="B18" s="138" t="s">
        <v>396</v>
      </c>
      <c r="C18" s="1631"/>
      <c r="D18" s="138"/>
      <c r="E18" s="177">
        <f t="shared" ref="E18:R18" si="8">E11+E7</f>
        <v>489.42370694589999</v>
      </c>
      <c r="F18" s="177">
        <f t="shared" si="8"/>
        <v>527.84949858580001</v>
      </c>
      <c r="G18" s="177">
        <f t="shared" si="8"/>
        <v>276.96716773999998</v>
      </c>
      <c r="H18" s="177">
        <f t="shared" si="8"/>
        <v>420.13026914319994</v>
      </c>
      <c r="I18" s="177">
        <f t="shared" si="8"/>
        <v>958.14063769172003</v>
      </c>
      <c r="J18" s="177">
        <f t="shared" si="8"/>
        <v>1137.4297666451071</v>
      </c>
      <c r="K18" s="177">
        <f t="shared" si="8"/>
        <v>1484.6999960097055</v>
      </c>
      <c r="L18" s="177">
        <f t="shared" si="8"/>
        <v>1581.7938263298472</v>
      </c>
      <c r="M18" s="177">
        <f t="shared" si="8"/>
        <v>1637.0794091733776</v>
      </c>
      <c r="N18" s="177">
        <f t="shared" si="8"/>
        <v>1672.6390755977063</v>
      </c>
      <c r="O18" s="177">
        <f t="shared" si="8"/>
        <v>1706.1512636716925</v>
      </c>
      <c r="P18" s="177">
        <f t="shared" si="8"/>
        <v>1740.2413777541265</v>
      </c>
      <c r="Q18" s="177">
        <f t="shared" si="8"/>
        <v>1775.0132941182087</v>
      </c>
      <c r="R18" s="177">
        <f t="shared" si="8"/>
        <v>1810.4806488095728</v>
      </c>
      <c r="S18" s="177">
        <f>S11+S7</f>
        <v>1846.6573505947642</v>
      </c>
    </row>
    <row r="19" spans="1:22" s="113" customFormat="1" x14ac:dyDescent="0.35">
      <c r="A19" s="583"/>
      <c r="B19" s="106" t="s">
        <v>99</v>
      </c>
      <c r="C19" s="1623"/>
      <c r="D19" s="106"/>
      <c r="E19" s="106"/>
      <c r="F19" s="106"/>
      <c r="G19" s="107"/>
      <c r="H19" s="107"/>
      <c r="I19" s="107"/>
      <c r="J19" s="107"/>
      <c r="K19" s="107"/>
      <c r="L19" s="107"/>
      <c r="M19" s="107"/>
      <c r="N19" s="107"/>
      <c r="O19" s="107"/>
      <c r="P19" s="107"/>
      <c r="Q19" s="107"/>
      <c r="R19" s="107"/>
      <c r="S19" s="107"/>
    </row>
    <row r="20" spans="1:22" s="261" customFormat="1" x14ac:dyDescent="0.35">
      <c r="A20" s="583"/>
      <c r="B20" s="1632" t="s">
        <v>40</v>
      </c>
      <c r="C20" s="1630"/>
      <c r="D20" s="1228"/>
      <c r="E20" s="107">
        <f>SUM(E23:E29)</f>
        <v>122.06005495099998</v>
      </c>
      <c r="F20" s="107">
        <f t="shared" ref="F20:R20" si="9">SUM(F23:F29)</f>
        <v>44.700417999999999</v>
      </c>
      <c r="G20" s="107">
        <f t="shared" si="9"/>
        <v>74.36496151499999</v>
      </c>
      <c r="H20" s="107">
        <f t="shared" si="9"/>
        <v>173.34978667099998</v>
      </c>
      <c r="I20" s="107">
        <f t="shared" si="9"/>
        <v>531.7209477542001</v>
      </c>
      <c r="J20" s="107">
        <f t="shared" si="9"/>
        <v>725.44112132589532</v>
      </c>
      <c r="K20" s="107">
        <f t="shared" si="9"/>
        <v>948.10786720401575</v>
      </c>
      <c r="L20" s="107">
        <f t="shared" si="9"/>
        <v>980.614396854446</v>
      </c>
      <c r="M20" s="107">
        <f t="shared" si="9"/>
        <v>1013.9084085398119</v>
      </c>
      <c r="N20" s="107">
        <f t="shared" si="9"/>
        <v>1034.1007767079095</v>
      </c>
      <c r="O20" s="107">
        <f t="shared" si="9"/>
        <v>1054.6969922393689</v>
      </c>
      <c r="P20" s="107">
        <f t="shared" si="9"/>
        <v>1075.7051320814578</v>
      </c>
      <c r="Q20" s="107">
        <f t="shared" si="9"/>
        <v>1097.1334347203883</v>
      </c>
      <c r="R20" s="107">
        <f t="shared" si="9"/>
        <v>1118.9903034120973</v>
      </c>
      <c r="S20" s="107">
        <f>SUM(S23:S29)</f>
        <v>1141.2843094776406</v>
      </c>
    </row>
    <row r="21" spans="1:22" s="113" customFormat="1" x14ac:dyDescent="0.35">
      <c r="A21" s="583"/>
      <c r="B21" s="106" t="s">
        <v>961</v>
      </c>
      <c r="C21" s="1627"/>
      <c r="D21" s="581"/>
      <c r="E21" s="107">
        <f t="shared" ref="E21:I21" si="10">E135</f>
        <v>33.738655799999997</v>
      </c>
      <c r="F21" s="107">
        <f t="shared" si="10"/>
        <v>39.687631603399993</v>
      </c>
      <c r="G21" s="107">
        <f t="shared" si="10"/>
        <v>-6.1890770663000048</v>
      </c>
      <c r="H21" s="107">
        <f t="shared" si="10"/>
        <v>-46.372965035989125</v>
      </c>
      <c r="I21" s="107">
        <f t="shared" si="10"/>
        <v>11.484199543889133</v>
      </c>
      <c r="J21" s="107">
        <f t="shared" ref="J21:R21" si="11">J135</f>
        <v>-42.046669478980718</v>
      </c>
      <c r="K21" s="107">
        <f t="shared" si="11"/>
        <v>-38.978778420596129</v>
      </c>
      <c r="L21" s="107">
        <f t="shared" si="11"/>
        <v>-6.0731257239807235</v>
      </c>
      <c r="M21" s="107">
        <f t="shared" si="11"/>
        <v>-5.1247280885542352</v>
      </c>
      <c r="N21" s="107">
        <f t="shared" si="11"/>
        <v>-3.1622447540220833</v>
      </c>
      <c r="O21" s="107">
        <f t="shared" si="11"/>
        <v>-3.1726851317606588</v>
      </c>
      <c r="P21" s="107">
        <f t="shared" si="11"/>
        <v>-3.2558185343656874</v>
      </c>
      <c r="Q21" s="107">
        <f t="shared" si="11"/>
        <v>-3.3393314922393813</v>
      </c>
      <c r="R21" s="107">
        <f t="shared" si="11"/>
        <v>-3.4256518258251276</v>
      </c>
      <c r="S21" s="107">
        <f>S135</f>
        <v>-3.4810339875296847</v>
      </c>
    </row>
    <row r="22" spans="1:22" s="261" customFormat="1" x14ac:dyDescent="0.35">
      <c r="A22" s="583"/>
      <c r="B22" s="1228" t="s">
        <v>41</v>
      </c>
      <c r="C22" s="1630"/>
      <c r="D22" s="1228"/>
      <c r="E22" s="1228"/>
      <c r="F22" s="1228"/>
      <c r="G22" s="311"/>
      <c r="H22" s="311"/>
      <c r="I22" s="311"/>
      <c r="J22" s="311"/>
      <c r="K22" s="311"/>
      <c r="L22" s="311"/>
      <c r="M22" s="311"/>
      <c r="N22" s="311"/>
      <c r="O22" s="311"/>
      <c r="P22" s="311"/>
      <c r="Q22" s="311"/>
      <c r="R22" s="311"/>
      <c r="S22" s="311"/>
    </row>
    <row r="23" spans="1:22" s="113" customFormat="1" x14ac:dyDescent="0.35">
      <c r="A23" s="583"/>
      <c r="B23" s="171" t="s">
        <v>24</v>
      </c>
      <c r="C23" s="1627"/>
      <c r="D23" s="581"/>
      <c r="E23" s="428">
        <v>114.45666294999999</v>
      </c>
      <c r="F23" s="428">
        <v>37.700539399999997</v>
      </c>
      <c r="G23" s="428">
        <v>64.589317999999992</v>
      </c>
      <c r="H23" s="428">
        <v>81.925701000000004</v>
      </c>
      <c r="I23" s="102">
        <f>+Assumptions!I116*'Stock movement'!I73/100</f>
        <v>131.35673500000001</v>
      </c>
      <c r="J23" s="102">
        <f>+Assumptions!J116*'Stock movement'!J73/100</f>
        <v>28.426766499999985</v>
      </c>
      <c r="K23" s="102">
        <f>+Assumptions!K116*'Stock movement'!K73/100</f>
        <v>9.9653618690354057E-15</v>
      </c>
      <c r="L23" s="102">
        <f>+Assumptions!L116*'Stock movement'!L73/100</f>
        <v>0</v>
      </c>
      <c r="M23" s="102">
        <f>+Assumptions!M116*'Stock movement'!M73/100</f>
        <v>0</v>
      </c>
      <c r="N23" s="102">
        <f>+Assumptions!N116*'Stock movement'!N73/100</f>
        <v>0</v>
      </c>
      <c r="O23" s="102">
        <f>+Assumptions!O116*'Stock movement'!O73/100</f>
        <v>0</v>
      </c>
      <c r="P23" s="102">
        <f>+Assumptions!P116*'Stock movement'!P73/100</f>
        <v>0</v>
      </c>
      <c r="Q23" s="102">
        <f>+Assumptions!Q116*'Stock movement'!Q73/100</f>
        <v>0</v>
      </c>
      <c r="R23" s="102">
        <f>+Assumptions!R116*'Stock movement'!R73/100</f>
        <v>0</v>
      </c>
      <c r="S23" s="102">
        <f>+Assumptions!S116*'Stock movement'!S73/100</f>
        <v>0</v>
      </c>
    </row>
    <row r="24" spans="1:22" s="113" customFormat="1" x14ac:dyDescent="0.35">
      <c r="A24" s="583"/>
      <c r="B24" s="171" t="s">
        <v>25</v>
      </c>
      <c r="C24" s="1627"/>
      <c r="D24" s="581"/>
      <c r="E24" s="428">
        <v>0</v>
      </c>
      <c r="F24" s="428">
        <v>0</v>
      </c>
      <c r="G24" s="428">
        <v>0</v>
      </c>
      <c r="H24" s="428">
        <v>85.817097199999992</v>
      </c>
      <c r="I24" s="102">
        <f>+Assumptions!I117/100*'Stock movement'!I81</f>
        <v>329.55054595420006</v>
      </c>
      <c r="J24" s="102">
        <f>+Assumptions!J117/100*'Stock movement'!J81</f>
        <v>693.24435470731703</v>
      </c>
      <c r="K24" s="102">
        <f>+Assumptions!K117/100*'Stock movement'!K81</f>
        <v>943.94786707317076</v>
      </c>
      <c r="L24" s="102">
        <f>+Assumptions!L117/100*'Stock movement'!L81</f>
        <v>976.32439671951204</v>
      </c>
      <c r="M24" s="102">
        <f>+Assumptions!M117/100*'Stock movement'!M81</f>
        <v>1009.618408404878</v>
      </c>
      <c r="N24" s="102">
        <f>+Assumptions!N117/100*'Stock movement'!N81</f>
        <v>1029.8107765729756</v>
      </c>
      <c r="O24" s="102">
        <f>+Assumptions!O117/100*'Stock movement'!O81</f>
        <v>1050.4069921044349</v>
      </c>
      <c r="P24" s="102">
        <f>+Assumptions!P117/100*'Stock movement'!P81</f>
        <v>1071.4151319465238</v>
      </c>
      <c r="Q24" s="102">
        <f>+Assumptions!Q117/100*'Stock movement'!Q81</f>
        <v>1092.8434345854544</v>
      </c>
      <c r="R24" s="102">
        <f>+Assumptions!R117/100*'Stock movement'!R81</f>
        <v>1114.7003032771634</v>
      </c>
      <c r="S24" s="102">
        <f>+Assumptions!S117/100*'Stock movement'!S81</f>
        <v>1136.9943093427066</v>
      </c>
    </row>
    <row r="25" spans="1:22" s="113" customFormat="1" x14ac:dyDescent="0.35">
      <c r="A25" s="583"/>
      <c r="B25" s="1633" t="s">
        <v>1586</v>
      </c>
      <c r="C25" s="1627"/>
      <c r="D25" s="581"/>
      <c r="E25" s="102"/>
      <c r="F25" s="102"/>
      <c r="G25" s="102"/>
      <c r="H25" s="102"/>
      <c r="I25" s="102">
        <f>+'Stock movement'!I49*Assumptions!I118/100</f>
        <v>69.224000000000004</v>
      </c>
      <c r="J25" s="102">
        <f>+'Stock movement'!J49*Assumptions!J118/100</f>
        <v>0</v>
      </c>
      <c r="K25" s="102">
        <f>+'Stock movement'!K49*Assumptions!K118/100</f>
        <v>0</v>
      </c>
      <c r="L25" s="102">
        <f>+'Stock movement'!L49*Assumptions!L118/100</f>
        <v>0</v>
      </c>
      <c r="M25" s="102">
        <f>+'Stock movement'!M49*Assumptions!M118/100</f>
        <v>0</v>
      </c>
      <c r="N25" s="102">
        <f>+'Stock movement'!N49*Assumptions!N118/100</f>
        <v>0</v>
      </c>
      <c r="O25" s="102">
        <f>+'Stock movement'!O49*Assumptions!O118/100</f>
        <v>0</v>
      </c>
      <c r="P25" s="102">
        <f>+'Stock movement'!P49*Assumptions!P118/100</f>
        <v>0</v>
      </c>
      <c r="Q25" s="102">
        <f>+'Stock movement'!Q49*Assumptions!Q118/100</f>
        <v>0</v>
      </c>
      <c r="R25" s="102">
        <f>+'Stock movement'!R49*Assumptions!R118/100</f>
        <v>0</v>
      </c>
      <c r="S25" s="102">
        <f>+'Stock movement'!S49*Assumptions!S118/100</f>
        <v>0</v>
      </c>
    </row>
    <row r="26" spans="1:22" s="113" customFormat="1" x14ac:dyDescent="0.35">
      <c r="A26" s="583"/>
      <c r="B26" s="581" t="s">
        <v>42</v>
      </c>
      <c r="C26" s="1627"/>
      <c r="D26" s="581"/>
      <c r="E26" s="77">
        <v>0.28043320099999997</v>
      </c>
      <c r="F26" s="77">
        <v>8.5238300000000003E-2</v>
      </c>
      <c r="G26" s="428">
        <v>3.7505825149999996</v>
      </c>
      <c r="H26" s="428">
        <f>286498.71/10^7</f>
        <v>2.8649871E-2</v>
      </c>
      <c r="I26" s="102">
        <f>+'Stock movement'!I82*Assumptions!I50/100</f>
        <v>0</v>
      </c>
      <c r="J26" s="102">
        <f>+'Stock movement'!J82*Assumptions!J50/100</f>
        <v>0</v>
      </c>
      <c r="K26" s="102">
        <f>+'Stock movement'!K82*Assumptions!K50/100</f>
        <v>0</v>
      </c>
      <c r="L26" s="102">
        <f>+'Stock movement'!L82*Assumptions!L50/100</f>
        <v>0</v>
      </c>
      <c r="M26" s="102">
        <f>+'Stock movement'!M82*Assumptions!M50/100</f>
        <v>0</v>
      </c>
      <c r="N26" s="102">
        <f>+'Stock movement'!N82*Assumptions!N50/100</f>
        <v>0</v>
      </c>
      <c r="O26" s="102">
        <f>+'Stock movement'!O82*Assumptions!O50/100</f>
        <v>0</v>
      </c>
      <c r="P26" s="102">
        <f>+'Stock movement'!P82*Assumptions!P50/100</f>
        <v>0</v>
      </c>
      <c r="Q26" s="102">
        <f>+'Stock movement'!Q82*Assumptions!Q50/100</f>
        <v>0</v>
      </c>
      <c r="R26" s="102">
        <f>+'Stock movement'!R82*Assumptions!R50/100</f>
        <v>0</v>
      </c>
      <c r="S26" s="102">
        <f>+'Stock movement'!S82*Assumptions!S50/100</f>
        <v>0</v>
      </c>
    </row>
    <row r="27" spans="1:22" s="113" customFormat="1" x14ac:dyDescent="0.35">
      <c r="A27" s="583"/>
      <c r="B27" s="581" t="s">
        <v>945</v>
      </c>
      <c r="C27" s="1627"/>
      <c r="D27" s="581"/>
      <c r="E27" s="77">
        <v>0.63792380000000004</v>
      </c>
      <c r="F27" s="77"/>
      <c r="G27" s="428"/>
      <c r="H27" s="428"/>
      <c r="I27" s="428"/>
      <c r="J27" s="102"/>
      <c r="K27" s="102"/>
      <c r="L27" s="102"/>
      <c r="M27" s="102"/>
      <c r="N27" s="102"/>
      <c r="O27" s="102"/>
      <c r="P27" s="102"/>
      <c r="Q27" s="102"/>
      <c r="R27" s="102"/>
      <c r="S27" s="102"/>
    </row>
    <row r="28" spans="1:22" s="261" customFormat="1" x14ac:dyDescent="0.35">
      <c r="A28" s="1629"/>
      <c r="B28" s="1228" t="s">
        <v>902</v>
      </c>
      <c r="C28" s="1630"/>
      <c r="D28" s="1228"/>
      <c r="E28" s="121">
        <v>6.5658997000000001</v>
      </c>
      <c r="F28" s="121">
        <v>6.8246403000000004</v>
      </c>
      <c r="G28" s="428">
        <v>6.025061</v>
      </c>
      <c r="H28" s="428">
        <v>5.5783385999999995</v>
      </c>
      <c r="I28" s="428">
        <f>15896668/10^7</f>
        <v>1.5896668</v>
      </c>
      <c r="J28" s="102">
        <f>'Stock movement'!J125*Assumptions!J125/100</f>
        <v>3.7700001185783116</v>
      </c>
      <c r="K28" s="102">
        <f>'Stock movement'!K125*Assumptions!K125/100</f>
        <v>4.1600001308450336</v>
      </c>
      <c r="L28" s="102">
        <f>'Stock movement'!L125*Assumptions!L125/100</f>
        <v>4.2900001349339405</v>
      </c>
      <c r="M28" s="102">
        <f>'Stock movement'!M125*Assumptions!M125/100</f>
        <v>4.2900001349339405</v>
      </c>
      <c r="N28" s="102">
        <f>'Stock movement'!N125*Assumptions!N125/100</f>
        <v>4.2900001349339405</v>
      </c>
      <c r="O28" s="102">
        <f>'Stock movement'!O125*Assumptions!O125/100</f>
        <v>4.2900001349339405</v>
      </c>
      <c r="P28" s="102">
        <f>'Stock movement'!P125*Assumptions!P125/100</f>
        <v>4.2900001349339405</v>
      </c>
      <c r="Q28" s="102">
        <f>'Stock movement'!Q125*Assumptions!Q125/100</f>
        <v>4.2900001349339405</v>
      </c>
      <c r="R28" s="102">
        <f>'Stock movement'!R125*Assumptions!R125/100</f>
        <v>4.2900001349339405</v>
      </c>
      <c r="S28" s="102">
        <f>'Stock movement'!S125*Assumptions!S125/100</f>
        <v>4.2900001349339405</v>
      </c>
      <c r="T28" s="113"/>
    </row>
    <row r="29" spans="1:22" s="113" customFormat="1" x14ac:dyDescent="0.35">
      <c r="A29" s="1629"/>
      <c r="B29" s="581" t="s">
        <v>948</v>
      </c>
      <c r="C29" s="1627"/>
      <c r="D29" s="581"/>
      <c r="E29" s="77">
        <v>0.1191353</v>
      </c>
      <c r="F29" s="77">
        <v>0.09</v>
      </c>
      <c r="G29" s="102"/>
      <c r="H29" s="102"/>
      <c r="I29" s="102"/>
      <c r="J29" s="102"/>
      <c r="K29" s="102"/>
      <c r="L29" s="102"/>
      <c r="M29" s="102"/>
      <c r="N29" s="102"/>
      <c r="O29" s="102"/>
      <c r="P29" s="102"/>
      <c r="Q29" s="102"/>
      <c r="R29" s="102"/>
      <c r="S29" s="102"/>
      <c r="T29" s="583"/>
    </row>
    <row r="30" spans="1:22" s="261" customFormat="1" x14ac:dyDescent="0.35">
      <c r="A30" s="1629">
        <v>0.4</v>
      </c>
      <c r="B30" s="1228" t="s">
        <v>946</v>
      </c>
      <c r="C30" s="1630"/>
      <c r="D30" s="1228"/>
      <c r="E30" s="311">
        <f>E56</f>
        <v>14.610225606</v>
      </c>
      <c r="F30" s="311">
        <f>F56</f>
        <v>10.381203936000002</v>
      </c>
      <c r="G30" s="311">
        <f>G56</f>
        <v>3.7504829149999992</v>
      </c>
      <c r="H30" s="311">
        <f>H56</f>
        <v>5.3538282950000013</v>
      </c>
      <c r="I30" s="63">
        <f>I56</f>
        <v>18.359548348000001</v>
      </c>
      <c r="J30" s="63">
        <f>('Stock movement'!J73+'Stock movement'!J81)*$A30*Assumptions!J143/100</f>
        <v>16.365772095432373</v>
      </c>
      <c r="K30" s="63">
        <f>('Stock movement'!K73+'Stock movement'!K81)*$A30*Assumptions!K143/100</f>
        <v>20.595226190687363</v>
      </c>
      <c r="L30" s="63">
        <f>('Stock movement'!L73+'Stock movement'!L81)*$A30*Assumptions!L143/100</f>
        <v>21.301623201152992</v>
      </c>
      <c r="M30" s="63">
        <f>('Stock movement'!M73+'Stock movement'!M81)*$A30*Assumptions!M143/100</f>
        <v>22.028038001560976</v>
      </c>
      <c r="N30" s="63">
        <f>('Stock movement'!N73+'Stock movement'!N81)*$A30*Assumptions!N143/100</f>
        <v>22.468598761592197</v>
      </c>
      <c r="O30" s="63">
        <f>('Stock movement'!O73+'Stock movement'!O81)*$A30*Assumptions!O143/100</f>
        <v>22.917970736824046</v>
      </c>
      <c r="P30" s="63">
        <f>('Stock movement'!P73+'Stock movement'!P81)*$A30*Assumptions!P143/100</f>
        <v>23.376330151560527</v>
      </c>
      <c r="Q30" s="63">
        <f>('Stock movement'!Q73+'Stock movement'!Q81)*$A30*Assumptions!Q143/100</f>
        <v>23.843856754591737</v>
      </c>
      <c r="R30" s="63">
        <f>('Stock movement'!R73+'Stock movement'!R81)*$A30*Assumptions!R143/100</f>
        <v>24.320733889683574</v>
      </c>
      <c r="S30" s="63">
        <f>('Stock movement'!S73+'Stock movement'!S81)*$A30*Assumptions!S143/100</f>
        <v>24.807148567477242</v>
      </c>
      <c r="U30" s="1634"/>
    </row>
    <row r="31" spans="1:22" s="261" customFormat="1" x14ac:dyDescent="0.35">
      <c r="A31" s="1629"/>
      <c r="B31" s="1228" t="s">
        <v>947</v>
      </c>
      <c r="C31" s="1630"/>
      <c r="D31" s="1228"/>
      <c r="E31" s="311">
        <f>E63</f>
        <v>8.5937804</v>
      </c>
      <c r="F31" s="311">
        <f>F63</f>
        <v>9.7395583000000006</v>
      </c>
      <c r="G31" s="311">
        <f>G63</f>
        <v>8.305798600000001</v>
      </c>
      <c r="H31" s="311">
        <f>H63</f>
        <v>6.9096744000000001</v>
      </c>
      <c r="I31" s="63">
        <f>I63</f>
        <v>3.4979198</v>
      </c>
      <c r="J31" s="63">
        <f>I31*(1+Assumptions!J134)</f>
        <v>3.5678781960000001</v>
      </c>
      <c r="K31" s="63">
        <f>J31*(1+Assumptions!K134)</f>
        <v>3.63923575992</v>
      </c>
      <c r="L31" s="63">
        <f>K31*(1+Assumptions!L134)</f>
        <v>3.7120204751184001</v>
      </c>
      <c r="M31" s="63">
        <f>L31*(1+Assumptions!M134)</f>
        <v>3.7862608846207682</v>
      </c>
      <c r="N31" s="63">
        <f>M31*(1+Assumptions!N134)</f>
        <v>3.8619861023131836</v>
      </c>
      <c r="O31" s="63">
        <f>N31*(1+Assumptions!O134)</f>
        <v>3.9392258243594473</v>
      </c>
      <c r="P31" s="63">
        <f>O31*(1+Assumptions!P134)</f>
        <v>4.0180103408466366</v>
      </c>
      <c r="Q31" s="63">
        <f>P31*(1+Assumptions!Q134)</f>
        <v>4.0983705476635697</v>
      </c>
      <c r="R31" s="63">
        <f>Q31*(1+Assumptions!R134)</f>
        <v>4.1803379586168408</v>
      </c>
      <c r="S31" s="63">
        <f>R31*(1+Assumptions!S134)</f>
        <v>4.2639447177891778</v>
      </c>
      <c r="U31" s="1634"/>
    </row>
    <row r="32" spans="1:22" s="261" customFormat="1" x14ac:dyDescent="0.35">
      <c r="A32" s="1629"/>
      <c r="B32" s="1228" t="s">
        <v>52</v>
      </c>
      <c r="C32" s="1630"/>
      <c r="D32" s="1228"/>
      <c r="E32" s="121">
        <v>12.196434129</v>
      </c>
      <c r="F32" s="121">
        <v>13.289990165000003</v>
      </c>
      <c r="G32" s="121">
        <v>14.605847161</v>
      </c>
      <c r="H32" s="121">
        <v>20.804577266999999</v>
      </c>
      <c r="I32" s="121">
        <f>281478653.75/10^7</f>
        <v>28.147865374999999</v>
      </c>
      <c r="J32" s="311">
        <f>I32*(1+Assumptions!J135)</f>
        <v>30.9626519125</v>
      </c>
      <c r="K32" s="311">
        <f>J32*(1+Assumptions!K135)</f>
        <v>34.058917103750005</v>
      </c>
      <c r="L32" s="311">
        <f>K32*(1+Assumptions!L135)</f>
        <v>37.464808814125007</v>
      </c>
      <c r="M32" s="311">
        <f>L32*(1+Assumptions!M135)</f>
        <v>41.211289695537509</v>
      </c>
      <c r="N32" s="311">
        <f>M32*(1+Assumptions!N135)</f>
        <v>44.508192871180512</v>
      </c>
      <c r="O32" s="311">
        <f>N32*(1+Assumptions!O135)</f>
        <v>48.068848300874954</v>
      </c>
      <c r="P32" s="311">
        <f>O32*(1+Assumptions!P135)</f>
        <v>51.914356164944955</v>
      </c>
      <c r="Q32" s="311">
        <f>P32*(1+Assumptions!Q135)</f>
        <v>56.067504658140557</v>
      </c>
      <c r="R32" s="311">
        <f>Q32*(1+Assumptions!R135)</f>
        <v>60.552905030791806</v>
      </c>
      <c r="S32" s="311">
        <f>R32*(1+Assumptions!S135)</f>
        <v>65.397137433255153</v>
      </c>
      <c r="U32" s="1635"/>
    </row>
    <row r="33" spans="1:19" s="261" customFormat="1" x14ac:dyDescent="0.35">
      <c r="A33" s="583"/>
      <c r="B33" s="1228" t="s">
        <v>55</v>
      </c>
      <c r="C33" s="1630"/>
      <c r="D33" s="1228"/>
      <c r="E33" s="311">
        <f>E76</f>
        <v>121.28775067400002</v>
      </c>
      <c r="F33" s="311">
        <f>F76</f>
        <v>127.974020684</v>
      </c>
      <c r="G33" s="311">
        <f>G76</f>
        <v>104.19569618300001</v>
      </c>
      <c r="H33" s="311">
        <f t="shared" ref="H33:R33" si="12">H76</f>
        <v>218.09521121500006</v>
      </c>
      <c r="I33" s="311">
        <f t="shared" si="12"/>
        <v>242.94610965199996</v>
      </c>
      <c r="J33" s="311">
        <f t="shared" si="12"/>
        <v>238.58199309363567</v>
      </c>
      <c r="K33" s="311">
        <f t="shared" si="12"/>
        <v>297.61851846801272</v>
      </c>
      <c r="L33" s="311">
        <f t="shared" si="12"/>
        <v>309.05318286728459</v>
      </c>
      <c r="M33" s="311">
        <f t="shared" si="12"/>
        <v>316.40710656798871</v>
      </c>
      <c r="N33" s="311">
        <f t="shared" si="12"/>
        <v>319.95887164161837</v>
      </c>
      <c r="O33" s="311">
        <f t="shared" si="12"/>
        <v>323.31906247889157</v>
      </c>
      <c r="P33" s="311">
        <f t="shared" si="12"/>
        <v>326.74348821397388</v>
      </c>
      <c r="Q33" s="311">
        <f t="shared" si="12"/>
        <v>330.23640246375794</v>
      </c>
      <c r="R33" s="311">
        <f t="shared" si="12"/>
        <v>333.79917499853747</v>
      </c>
      <c r="S33" s="311">
        <f>S76</f>
        <v>337.43320298401278</v>
      </c>
    </row>
    <row r="34" spans="1:19" s="261" customFormat="1" x14ac:dyDescent="0.35">
      <c r="A34" s="583"/>
      <c r="B34" s="130" t="s">
        <v>666</v>
      </c>
      <c r="C34" s="1636"/>
      <c r="D34" s="1637"/>
      <c r="E34" s="1638">
        <f t="shared" ref="E34:I34" si="13">+E20+E21+E30+E31+E32+E33</f>
        <v>312.48690155999998</v>
      </c>
      <c r="F34" s="1638">
        <f t="shared" si="13"/>
        <v>245.7728226884</v>
      </c>
      <c r="G34" s="1638">
        <f t="shared" si="13"/>
        <v>199.03370930770001</v>
      </c>
      <c r="H34" s="1638">
        <f t="shared" si="13"/>
        <v>378.1401128120109</v>
      </c>
      <c r="I34" s="1638">
        <f t="shared" si="13"/>
        <v>836.15659047308918</v>
      </c>
      <c r="J34" s="1638">
        <f t="shared" ref="J34:R34" si="14">+J20+J21+J30+J31+J32+J33</f>
        <v>972.87274714448267</v>
      </c>
      <c r="K34" s="1638">
        <f t="shared" si="14"/>
        <v>1265.0409863057898</v>
      </c>
      <c r="L34" s="1638">
        <f t="shared" si="14"/>
        <v>1346.0729064881461</v>
      </c>
      <c r="M34" s="1638">
        <f t="shared" si="14"/>
        <v>1392.2163756009656</v>
      </c>
      <c r="N34" s="1638">
        <f t="shared" si="14"/>
        <v>1421.7361813305915</v>
      </c>
      <c r="O34" s="1638">
        <f t="shared" si="14"/>
        <v>1449.7694144485586</v>
      </c>
      <c r="P34" s="1638">
        <f t="shared" si="14"/>
        <v>1478.5014984184181</v>
      </c>
      <c r="Q34" s="1638">
        <f t="shared" si="14"/>
        <v>1508.0402376523027</v>
      </c>
      <c r="R34" s="1638">
        <f t="shared" si="14"/>
        <v>1538.4178034639019</v>
      </c>
      <c r="S34" s="1638">
        <f>+S20+S21+S30+S31+S32+S33</f>
        <v>1569.7047091926454</v>
      </c>
    </row>
    <row r="35" spans="1:19" s="261" customFormat="1" x14ac:dyDescent="0.35">
      <c r="A35" s="583"/>
      <c r="B35" s="1639" t="s">
        <v>72</v>
      </c>
      <c r="C35" s="1640"/>
      <c r="D35" s="1641"/>
      <c r="E35" s="1642">
        <f>E18-E34</f>
        <v>176.93680538590002</v>
      </c>
      <c r="F35" s="1642">
        <f t="shared" ref="F35:S35" si="15">F18-F34</f>
        <v>282.07667589740004</v>
      </c>
      <c r="G35" s="1642">
        <f t="shared" si="15"/>
        <v>77.933458432299972</v>
      </c>
      <c r="H35" s="1642">
        <f t="shared" si="15"/>
        <v>41.990156331189041</v>
      </c>
      <c r="I35" s="1642">
        <f t="shared" si="15"/>
        <v>121.98404721863085</v>
      </c>
      <c r="J35" s="1642">
        <f t="shared" si="15"/>
        <v>164.55701950062439</v>
      </c>
      <c r="K35" s="1642">
        <f t="shared" si="15"/>
        <v>219.65900970391567</v>
      </c>
      <c r="L35" s="1642">
        <f t="shared" si="15"/>
        <v>235.72091984170106</v>
      </c>
      <c r="M35" s="1642">
        <f t="shared" si="15"/>
        <v>244.86303357241195</v>
      </c>
      <c r="N35" s="1642">
        <f t="shared" si="15"/>
        <v>250.90289426711479</v>
      </c>
      <c r="O35" s="1642">
        <f t="shared" si="15"/>
        <v>256.38184922313394</v>
      </c>
      <c r="P35" s="1642">
        <f t="shared" si="15"/>
        <v>261.73987933570834</v>
      </c>
      <c r="Q35" s="1642">
        <f t="shared" si="15"/>
        <v>266.97305646590598</v>
      </c>
      <c r="R35" s="1642">
        <f t="shared" si="15"/>
        <v>272.06284534567089</v>
      </c>
      <c r="S35" s="1642">
        <f t="shared" si="15"/>
        <v>276.95264140211884</v>
      </c>
    </row>
    <row r="36" spans="1:19" s="261" customFormat="1" x14ac:dyDescent="0.35">
      <c r="A36" s="583"/>
      <c r="B36" s="1643" t="s">
        <v>380</v>
      </c>
      <c r="C36" s="1644"/>
      <c r="D36" s="1645"/>
      <c r="E36" s="1646">
        <f>E35/E18</f>
        <v>0.36152070869231162</v>
      </c>
      <c r="F36" s="1646">
        <f t="shared" ref="F36:S36" si="16">F35/F18</f>
        <v>0.53438845097538634</v>
      </c>
      <c r="G36" s="1646">
        <f t="shared" si="16"/>
        <v>0.2813815769869849</v>
      </c>
      <c r="H36" s="1646">
        <f t="shared" si="16"/>
        <v>9.994556311503669E-2</v>
      </c>
      <c r="I36" s="1646">
        <f t="shared" si="16"/>
        <v>0.12731330080363315</v>
      </c>
      <c r="J36" s="1646">
        <f t="shared" si="16"/>
        <v>0.14467444437118229</v>
      </c>
      <c r="K36" s="1646">
        <f t="shared" si="16"/>
        <v>0.14794841401917788</v>
      </c>
      <c r="L36" s="1646">
        <f t="shared" si="16"/>
        <v>0.14902126681618924</v>
      </c>
      <c r="M36" s="1646">
        <f t="shared" si="16"/>
        <v>0.14957309474440975</v>
      </c>
      <c r="N36" s="1646">
        <f t="shared" si="16"/>
        <v>0.15000420468920131</v>
      </c>
      <c r="O36" s="1646">
        <f t="shared" si="16"/>
        <v>0.15026912014318822</v>
      </c>
      <c r="P36" s="1646">
        <f t="shared" si="16"/>
        <v>0.15040435348888065</v>
      </c>
      <c r="Q36" s="1646">
        <f t="shared" si="16"/>
        <v>0.15040622926631819</v>
      </c>
      <c r="R36" s="1646">
        <f t="shared" si="16"/>
        <v>0.15027105952474976</v>
      </c>
      <c r="S36" s="1646">
        <f t="shared" si="16"/>
        <v>0.14997511114496634</v>
      </c>
    </row>
    <row r="37" spans="1:19" s="1647" customFormat="1" x14ac:dyDescent="0.35">
      <c r="A37" s="583"/>
      <c r="C37" s="1648"/>
      <c r="G37" s="1649"/>
      <c r="H37" s="1649"/>
      <c r="I37" s="1649"/>
      <c r="J37" s="1649"/>
      <c r="K37" s="1649"/>
      <c r="L37" s="1649"/>
      <c r="M37" s="1649"/>
      <c r="N37" s="1649"/>
      <c r="O37" s="1649"/>
      <c r="P37" s="1649"/>
      <c r="Q37" s="1649"/>
      <c r="R37" s="1649"/>
      <c r="S37" s="1649"/>
    </row>
    <row r="38" spans="1:19" s="1647" customFormat="1" hidden="1" x14ac:dyDescent="0.35">
      <c r="A38" s="583"/>
      <c r="B38" s="1650" t="s">
        <v>670</v>
      </c>
      <c r="C38" s="1651"/>
      <c r="D38" s="1652"/>
      <c r="E38" s="1652">
        <f t="shared" ref="E38:R38" si="17">E5</f>
        <v>43190</v>
      </c>
      <c r="F38" s="1652">
        <f t="shared" si="17"/>
        <v>43555</v>
      </c>
      <c r="G38" s="1652">
        <f t="shared" si="17"/>
        <v>43921</v>
      </c>
      <c r="H38" s="1652">
        <f t="shared" si="17"/>
        <v>44286</v>
      </c>
      <c r="I38" s="1652">
        <f t="shared" si="17"/>
        <v>44651</v>
      </c>
      <c r="J38" s="1652">
        <f t="shared" si="17"/>
        <v>45016</v>
      </c>
      <c r="K38" s="1652">
        <f t="shared" si="17"/>
        <v>45382</v>
      </c>
      <c r="L38" s="1652">
        <f t="shared" si="17"/>
        <v>45747</v>
      </c>
      <c r="M38" s="1652">
        <f t="shared" si="17"/>
        <v>46112</v>
      </c>
      <c r="N38" s="1652">
        <f t="shared" si="17"/>
        <v>46477</v>
      </c>
      <c r="O38" s="1652">
        <f t="shared" si="17"/>
        <v>46843</v>
      </c>
      <c r="P38" s="1652">
        <f t="shared" si="17"/>
        <v>47208</v>
      </c>
      <c r="Q38" s="1652">
        <f t="shared" si="17"/>
        <v>47573</v>
      </c>
      <c r="R38" s="1652">
        <f t="shared" si="17"/>
        <v>47938</v>
      </c>
      <c r="S38" s="1652">
        <f>S5</f>
        <v>48304</v>
      </c>
    </row>
    <row r="39" spans="1:19" s="583" customFormat="1" ht="15" hidden="1" customHeight="1" x14ac:dyDescent="0.35">
      <c r="B39" s="1653" t="s">
        <v>949</v>
      </c>
      <c r="C39" s="1654"/>
      <c r="D39" s="1655"/>
      <c r="E39" s="1655"/>
      <c r="F39" s="1655"/>
      <c r="G39" s="1655"/>
      <c r="H39" s="1655"/>
      <c r="I39" s="1655"/>
      <c r="J39" s="1655"/>
      <c r="K39" s="1655"/>
      <c r="L39" s="1655"/>
      <c r="M39" s="1655"/>
      <c r="N39" s="1655"/>
      <c r="O39" s="1655"/>
      <c r="P39" s="1655"/>
      <c r="Q39" s="1655"/>
      <c r="R39" s="1655"/>
      <c r="S39" s="1655"/>
    </row>
    <row r="40" spans="1:19" s="583" customFormat="1" ht="15" hidden="1" customHeight="1" x14ac:dyDescent="0.35">
      <c r="B40" s="1654" t="s">
        <v>950</v>
      </c>
      <c r="C40" s="1654"/>
      <c r="D40" s="1655"/>
      <c r="E40" s="1655"/>
      <c r="F40" s="1655"/>
      <c r="G40" s="1655"/>
      <c r="H40" s="1655"/>
      <c r="I40" s="1655"/>
      <c r="J40" s="1655"/>
      <c r="K40" s="1655"/>
      <c r="L40" s="1655"/>
      <c r="M40" s="1655"/>
      <c r="N40" s="1655"/>
      <c r="O40" s="1655"/>
      <c r="P40" s="1655"/>
      <c r="Q40" s="1655"/>
      <c r="R40" s="1655"/>
      <c r="S40" s="1655"/>
    </row>
    <row r="41" spans="1:19" s="583" customFormat="1" ht="15" hidden="1" customHeight="1" x14ac:dyDescent="0.35">
      <c r="B41" s="1656" t="s">
        <v>631</v>
      </c>
      <c r="C41" s="1654"/>
      <c r="D41" s="1655"/>
      <c r="E41" s="1657">
        <v>431133.34</v>
      </c>
      <c r="F41" s="1657">
        <v>24792.1</v>
      </c>
      <c r="G41" s="1657">
        <v>80448.600000000006</v>
      </c>
      <c r="H41" s="1657">
        <v>150208.00000000009</v>
      </c>
      <c r="I41" s="1657">
        <v>695028.00000000023</v>
      </c>
      <c r="J41" s="1655"/>
      <c r="K41" s="1655"/>
      <c r="L41" s="1655"/>
      <c r="M41" s="1655"/>
      <c r="N41" s="1655"/>
      <c r="O41" s="1655"/>
      <c r="P41" s="1655"/>
      <c r="Q41" s="1655"/>
      <c r="R41" s="1655"/>
      <c r="S41" s="1655"/>
    </row>
    <row r="42" spans="1:19" s="583" customFormat="1" ht="15" hidden="1" customHeight="1" x14ac:dyDescent="0.35">
      <c r="B42" s="1656" t="s">
        <v>635</v>
      </c>
      <c r="C42" s="1654"/>
      <c r="D42" s="1655"/>
      <c r="E42" s="1657">
        <v>508404.3</v>
      </c>
      <c r="F42" s="1657">
        <v>678459</v>
      </c>
      <c r="G42" s="1657">
        <v>555232.69999999995</v>
      </c>
      <c r="H42" s="1657">
        <v>655391.10000000009</v>
      </c>
      <c r="I42" s="1657">
        <f>476176.7+683208.6</f>
        <v>1159385.3</v>
      </c>
      <c r="J42" s="1655"/>
      <c r="K42" s="1655"/>
      <c r="L42" s="1655"/>
      <c r="M42" s="1655"/>
      <c r="N42" s="1655"/>
      <c r="O42" s="1655"/>
      <c r="P42" s="1655"/>
      <c r="Q42" s="1655"/>
      <c r="R42" s="1655"/>
      <c r="S42" s="1655"/>
    </row>
    <row r="43" spans="1:19" s="583" customFormat="1" ht="15" hidden="1" customHeight="1" x14ac:dyDescent="0.35">
      <c r="B43" s="1656" t="s">
        <v>638</v>
      </c>
      <c r="C43" s="1654"/>
      <c r="D43" s="1655"/>
      <c r="E43" s="1657"/>
      <c r="F43" s="1657"/>
      <c r="G43" s="1657"/>
      <c r="H43" s="1657"/>
      <c r="I43" s="1657">
        <v>17834.999999999993</v>
      </c>
      <c r="J43" s="1655"/>
      <c r="K43" s="1655"/>
      <c r="L43" s="1655"/>
      <c r="M43" s="1655"/>
      <c r="N43" s="1655"/>
      <c r="O43" s="1655"/>
      <c r="P43" s="1655"/>
      <c r="Q43" s="1655"/>
      <c r="R43" s="1655"/>
      <c r="S43" s="1655"/>
    </row>
    <row r="44" spans="1:19" s="583" customFormat="1" ht="15" hidden="1" customHeight="1" x14ac:dyDescent="0.35">
      <c r="B44" s="1656" t="s">
        <v>639</v>
      </c>
      <c r="C44" s="1654"/>
      <c r="D44" s="1655"/>
      <c r="E44" s="1657">
        <v>0</v>
      </c>
      <c r="F44" s="1657">
        <v>0</v>
      </c>
      <c r="G44" s="1657">
        <v>0</v>
      </c>
      <c r="H44" s="1657"/>
      <c r="I44" s="1657">
        <v>0</v>
      </c>
      <c r="J44" s="1655"/>
      <c r="K44" s="1655"/>
      <c r="L44" s="1655"/>
      <c r="M44" s="1655"/>
      <c r="N44" s="1655"/>
      <c r="O44" s="1655"/>
      <c r="P44" s="1655"/>
      <c r="Q44" s="1655"/>
      <c r="R44" s="1655"/>
      <c r="S44" s="1655"/>
    </row>
    <row r="45" spans="1:19" s="583" customFormat="1" ht="15" hidden="1" customHeight="1" x14ac:dyDescent="0.35">
      <c r="B45" s="1656" t="s">
        <v>685</v>
      </c>
      <c r="C45" s="1654"/>
      <c r="D45" s="1655"/>
      <c r="E45" s="1657">
        <v>827667.3</v>
      </c>
      <c r="F45" s="1657">
        <v>679217.51</v>
      </c>
      <c r="G45" s="1657">
        <v>117181.5</v>
      </c>
      <c r="H45" s="1657">
        <v>50000.000000000044</v>
      </c>
      <c r="I45" s="1657">
        <f>468695+282955</f>
        <v>751650</v>
      </c>
      <c r="J45" s="1655"/>
      <c r="K45" s="1655"/>
      <c r="L45" s="1655"/>
      <c r="M45" s="1655"/>
      <c r="N45" s="1655"/>
      <c r="O45" s="1655"/>
      <c r="P45" s="1655"/>
      <c r="Q45" s="1655"/>
      <c r="R45" s="1655"/>
      <c r="S45" s="1655"/>
    </row>
    <row r="46" spans="1:19" s="583" customFormat="1" ht="15" hidden="1" customHeight="1" x14ac:dyDescent="0.35">
      <c r="B46" s="1656" t="s">
        <v>686</v>
      </c>
      <c r="C46" s="1654"/>
      <c r="D46" s="1655"/>
      <c r="E46" s="1657">
        <v>532480.9</v>
      </c>
      <c r="F46" s="1657">
        <v>317158.8</v>
      </c>
      <c r="G46" s="1657">
        <v>0</v>
      </c>
      <c r="H46" s="1657">
        <v>214929.50000000003</v>
      </c>
      <c r="I46" s="1657">
        <v>501248.1</v>
      </c>
      <c r="J46" s="1655"/>
      <c r="K46" s="1655"/>
      <c r="L46" s="1655"/>
      <c r="M46" s="1655"/>
      <c r="N46" s="1655"/>
      <c r="O46" s="1655"/>
      <c r="P46" s="1655"/>
      <c r="Q46" s="1655"/>
      <c r="R46" s="1655"/>
      <c r="S46" s="1655"/>
    </row>
    <row r="47" spans="1:19" s="583" customFormat="1" ht="15" hidden="1" customHeight="1" x14ac:dyDescent="0.35">
      <c r="B47" s="1653" t="s">
        <v>980</v>
      </c>
      <c r="C47" s="1654"/>
      <c r="D47" s="1655"/>
      <c r="E47" s="1658">
        <f>SUM(E41:E46)</f>
        <v>2299685.84</v>
      </c>
      <c r="F47" s="1658">
        <f>SUM(F41:F46)</f>
        <v>1699627.41</v>
      </c>
      <c r="G47" s="1658">
        <f>SUM(G41:G46)</f>
        <v>752862.79999999993</v>
      </c>
      <c r="H47" s="1658">
        <f>SUM(H41:H46)</f>
        <v>1070528.6000000003</v>
      </c>
      <c r="I47" s="1658">
        <f>SUM(I41:I46)</f>
        <v>3125146.4000000004</v>
      </c>
      <c r="J47" s="1655"/>
      <c r="K47" s="1655"/>
      <c r="L47" s="1655"/>
      <c r="M47" s="1655"/>
      <c r="N47" s="1655"/>
      <c r="O47" s="1655"/>
      <c r="P47" s="1655"/>
      <c r="Q47" s="1655"/>
      <c r="R47" s="1655"/>
      <c r="S47" s="1655"/>
    </row>
    <row r="48" spans="1:19" s="583" customFormat="1" ht="15" hidden="1" customHeight="1" x14ac:dyDescent="0.35">
      <c r="B48" s="1653"/>
      <c r="C48" s="1654"/>
      <c r="D48" s="1655"/>
      <c r="E48" s="1655"/>
      <c r="F48" s="1655"/>
      <c r="G48" s="1655"/>
      <c r="H48" s="1655"/>
      <c r="I48" s="1655"/>
      <c r="J48" s="1655"/>
      <c r="K48" s="1655"/>
      <c r="L48" s="1655"/>
      <c r="M48" s="1655"/>
      <c r="N48" s="1655"/>
      <c r="O48" s="1655"/>
      <c r="P48" s="1655"/>
      <c r="Q48" s="1655"/>
      <c r="R48" s="1655"/>
      <c r="S48" s="1655"/>
    </row>
    <row r="49" spans="2:19" s="583" customFormat="1" ht="15" hidden="1" customHeight="1" x14ac:dyDescent="0.35">
      <c r="B49" s="1654" t="s">
        <v>81</v>
      </c>
      <c r="C49" s="1654"/>
      <c r="D49" s="1655"/>
      <c r="E49" s="1655"/>
      <c r="F49" s="1655"/>
      <c r="G49" s="1655"/>
      <c r="H49" s="1655"/>
      <c r="I49" s="1655"/>
      <c r="J49" s="1655"/>
      <c r="K49" s="1655"/>
      <c r="L49" s="1655"/>
      <c r="M49" s="1655"/>
      <c r="N49" s="1655"/>
      <c r="O49" s="1655"/>
      <c r="P49" s="1655"/>
      <c r="Q49" s="1655"/>
      <c r="R49" s="1655"/>
      <c r="S49" s="1655"/>
    </row>
    <row r="50" spans="2:19" s="583" customFormat="1" ht="15" hidden="1" customHeight="1" x14ac:dyDescent="0.35">
      <c r="B50" s="1656" t="s">
        <v>631</v>
      </c>
      <c r="C50" s="1654"/>
      <c r="D50" s="1655"/>
      <c r="E50" s="1657">
        <v>45.391677340471972</v>
      </c>
      <c r="F50" s="1657">
        <v>44.359861407464479</v>
      </c>
      <c r="G50" s="1657">
        <v>44.363231802666547</v>
      </c>
      <c r="H50" s="1657">
        <v>46.787130911802265</v>
      </c>
      <c r="I50" s="1657">
        <v>58.348701519938743</v>
      </c>
      <c r="J50" s="1693"/>
      <c r="K50" s="1655"/>
      <c r="L50" s="1655"/>
      <c r="M50" s="1655"/>
      <c r="N50" s="1655"/>
      <c r="O50" s="1655"/>
      <c r="P50" s="1655"/>
      <c r="Q50" s="1655"/>
      <c r="R50" s="1655"/>
      <c r="S50" s="1655"/>
    </row>
    <row r="51" spans="2:19" s="583" customFormat="1" ht="15" hidden="1" customHeight="1" x14ac:dyDescent="0.35">
      <c r="B51" s="1656" t="s">
        <v>635</v>
      </c>
      <c r="C51" s="1654"/>
      <c r="D51" s="1655"/>
      <c r="E51" s="1657">
        <v>48.076993113551566</v>
      </c>
      <c r="F51" s="1657">
        <v>50.741384549397978</v>
      </c>
      <c r="G51" s="1657">
        <v>50.865860782335034</v>
      </c>
      <c r="H51" s="1657">
        <v>52.725617284091904</v>
      </c>
      <c r="I51" s="1657">
        <v>52.877043688582212</v>
      </c>
      <c r="J51" s="1693"/>
      <c r="K51" s="1655"/>
      <c r="L51" s="1655"/>
      <c r="M51" s="1655"/>
      <c r="N51" s="1655"/>
      <c r="O51" s="1655"/>
      <c r="P51" s="1655"/>
      <c r="Q51" s="1655"/>
      <c r="R51" s="1655"/>
      <c r="S51" s="1655"/>
    </row>
    <row r="52" spans="2:19" s="583" customFormat="1" ht="15" hidden="1" customHeight="1" x14ac:dyDescent="0.35">
      <c r="B52" s="1656" t="s">
        <v>638</v>
      </c>
      <c r="C52" s="1654"/>
      <c r="D52" s="1655"/>
      <c r="E52" s="1657"/>
      <c r="F52" s="1657"/>
      <c r="G52" s="1657"/>
      <c r="H52" s="1657"/>
      <c r="I52" s="1657">
        <v>55.308081861508292</v>
      </c>
      <c r="J52" s="1693"/>
      <c r="K52" s="1655"/>
      <c r="L52" s="1655"/>
      <c r="M52" s="1655"/>
      <c r="N52" s="1655"/>
      <c r="O52" s="1655"/>
      <c r="P52" s="1655"/>
      <c r="Q52" s="1655"/>
      <c r="R52" s="1655"/>
      <c r="S52" s="1655"/>
    </row>
    <row r="53" spans="2:19" s="583" customFormat="1" ht="15" hidden="1" customHeight="1" x14ac:dyDescent="0.35">
      <c r="B53" s="1656" t="s">
        <v>639</v>
      </c>
      <c r="C53" s="1654"/>
      <c r="D53" s="1655"/>
      <c r="E53" s="1657">
        <v>0</v>
      </c>
      <c r="F53" s="1657">
        <v>0</v>
      </c>
      <c r="G53" s="1657">
        <v>0</v>
      </c>
      <c r="H53" s="1657">
        <v>0</v>
      </c>
      <c r="I53" s="1657"/>
      <c r="J53" s="1693"/>
      <c r="K53" s="1655"/>
      <c r="L53" s="1655"/>
      <c r="M53" s="1655"/>
      <c r="N53" s="1655"/>
      <c r="O53" s="1655"/>
      <c r="P53" s="1655"/>
      <c r="Q53" s="1655"/>
      <c r="R53" s="1655"/>
      <c r="S53" s="1655"/>
    </row>
    <row r="54" spans="2:19" s="583" customFormat="1" ht="15" hidden="1" customHeight="1" x14ac:dyDescent="0.35">
      <c r="B54" s="1656" t="s">
        <v>685</v>
      </c>
      <c r="C54" s="1654"/>
      <c r="D54" s="1655"/>
      <c r="E54" s="1657">
        <v>81.445972034898574</v>
      </c>
      <c r="F54" s="1657">
        <v>63.996832502153872</v>
      </c>
      <c r="G54" s="1657">
        <v>48.586850654753519</v>
      </c>
      <c r="H54" s="1657">
        <v>50.00001999999995</v>
      </c>
      <c r="I54" s="1657">
        <v>58.833562748619698</v>
      </c>
      <c r="J54" s="1693"/>
      <c r="K54" s="1655"/>
      <c r="L54" s="1655"/>
      <c r="M54" s="1655"/>
      <c r="N54" s="1655"/>
      <c r="O54" s="1655"/>
      <c r="P54" s="1655"/>
      <c r="Q54" s="1655"/>
      <c r="R54" s="1655"/>
      <c r="S54" s="1655"/>
    </row>
    <row r="55" spans="2:19" s="583" customFormat="1" ht="15" hidden="1" customHeight="1" x14ac:dyDescent="0.35">
      <c r="B55" s="1656" t="s">
        <v>686</v>
      </c>
      <c r="C55" s="1654"/>
      <c r="D55" s="1655"/>
      <c r="E55" s="1657">
        <v>65.128482167153763</v>
      </c>
      <c r="F55" s="1657">
        <v>78.252745943041774</v>
      </c>
      <c r="G55" s="1657">
        <v>0</v>
      </c>
      <c r="H55" s="1657">
        <v>43.989216370949542</v>
      </c>
      <c r="I55" s="1657">
        <v>72.874027692075046</v>
      </c>
      <c r="J55" s="1693"/>
      <c r="K55" s="1655"/>
      <c r="L55" s="1655"/>
      <c r="M55" s="1655"/>
      <c r="N55" s="1655"/>
      <c r="O55" s="1655"/>
      <c r="P55" s="1655"/>
      <c r="Q55" s="1655"/>
      <c r="R55" s="1655"/>
      <c r="S55" s="1655"/>
    </row>
    <row r="56" spans="2:19" s="583" customFormat="1" ht="15" hidden="1" customHeight="1" x14ac:dyDescent="0.35">
      <c r="B56" s="1653" t="s">
        <v>951</v>
      </c>
      <c r="C56" s="1654"/>
      <c r="D56" s="1655"/>
      <c r="E56" s="1659">
        <f>SUMPRODUCT(E41:E46,E50:E55)/10^7</f>
        <v>14.610225606</v>
      </c>
      <c r="F56" s="1659">
        <f>SUMPRODUCT(F41:F46,F50:F55)/10^7</f>
        <v>10.381203936000002</v>
      </c>
      <c r="G56" s="1659">
        <f>SUMPRODUCT(G41:G46,G50:G55)/10^7</f>
        <v>3.7504829149999992</v>
      </c>
      <c r="H56" s="1659">
        <f>SUMPRODUCT(H41:H46,H50:H55)/10^7</f>
        <v>5.3538282950000013</v>
      </c>
      <c r="I56" s="1659">
        <f>SUMPRODUCT(I41:I46,I50:I55)/10^7</f>
        <v>18.359548348000001</v>
      </c>
      <c r="J56" s="1655"/>
      <c r="K56" s="1655"/>
      <c r="L56" s="1655"/>
      <c r="M56" s="1655"/>
      <c r="N56" s="1655"/>
      <c r="O56" s="1655"/>
      <c r="P56" s="1655"/>
      <c r="Q56" s="1655"/>
      <c r="R56" s="1655"/>
      <c r="S56" s="1655"/>
    </row>
    <row r="57" spans="2:19" s="583" customFormat="1" ht="15" hidden="1" customHeight="1" x14ac:dyDescent="0.35">
      <c r="B57" s="1653"/>
      <c r="C57" s="1654"/>
      <c r="D57" s="1655"/>
      <c r="E57" s="1659"/>
      <c r="F57" s="1659"/>
      <c r="G57" s="1659"/>
      <c r="H57" s="1659"/>
      <c r="I57" s="1659"/>
      <c r="J57" s="1655"/>
      <c r="K57" s="1655"/>
      <c r="L57" s="1655"/>
      <c r="M57" s="1655"/>
      <c r="N57" s="1655"/>
      <c r="O57" s="1655"/>
      <c r="P57" s="1655"/>
      <c r="Q57" s="1655"/>
      <c r="R57" s="1655"/>
      <c r="S57" s="1655"/>
    </row>
    <row r="58" spans="2:19" s="583" customFormat="1" ht="15" hidden="1" customHeight="1" x14ac:dyDescent="0.35">
      <c r="B58" s="1653" t="s">
        <v>947</v>
      </c>
      <c r="C58" s="1654"/>
      <c r="D58" s="1655"/>
      <c r="E58" s="1655"/>
      <c r="F58" s="1655"/>
      <c r="G58" s="1655"/>
      <c r="H58" s="1655"/>
      <c r="I58" s="1655"/>
      <c r="J58" s="1655"/>
      <c r="K58" s="1655"/>
      <c r="L58" s="1655"/>
      <c r="M58" s="1655"/>
      <c r="N58" s="1655"/>
      <c r="O58" s="1655"/>
      <c r="P58" s="1655"/>
      <c r="Q58" s="1655"/>
      <c r="R58" s="1655"/>
      <c r="S58" s="1655"/>
    </row>
    <row r="59" spans="2:19" s="583" customFormat="1" ht="15" hidden="1" customHeight="1" x14ac:dyDescent="0.35">
      <c r="B59" s="1660" t="s">
        <v>955</v>
      </c>
      <c r="C59" s="1654"/>
      <c r="D59" s="1655"/>
      <c r="E59" s="1661">
        <v>0.50938919999999999</v>
      </c>
      <c r="F59" s="1661">
        <v>0.82101290000000005</v>
      </c>
      <c r="G59" s="1661">
        <v>0.80695930000000005</v>
      </c>
      <c r="H59" s="1661">
        <v>0.89816280000000004</v>
      </c>
      <c r="I59" s="1661"/>
      <c r="J59" s="1712"/>
      <c r="K59" s="1712"/>
      <c r="L59" s="1712"/>
      <c r="M59" s="1712"/>
      <c r="N59" s="1712"/>
      <c r="O59" s="1712"/>
      <c r="P59" s="1712"/>
      <c r="Q59" s="1712"/>
      <c r="R59" s="1712"/>
      <c r="S59" s="1712"/>
    </row>
    <row r="60" spans="2:19" s="583" customFormat="1" ht="15" hidden="1" customHeight="1" x14ac:dyDescent="0.35">
      <c r="B60" s="1660" t="s">
        <v>952</v>
      </c>
      <c r="C60" s="1654"/>
      <c r="D60" s="1655"/>
      <c r="E60" s="1661">
        <v>2.8687833999999999</v>
      </c>
      <c r="F60" s="1661">
        <v>4.0511869000000003</v>
      </c>
      <c r="G60" s="1661">
        <v>3.2836810000000001</v>
      </c>
      <c r="H60" s="1661">
        <v>3.6315559999999998</v>
      </c>
      <c r="I60" s="1661">
        <f>16681718.32/10^7</f>
        <v>1.6681718320000001</v>
      </c>
      <c r="J60" s="1712"/>
      <c r="K60" s="1712"/>
      <c r="L60" s="1712"/>
      <c r="M60" s="1712"/>
      <c r="N60" s="1712"/>
      <c r="O60" s="1712"/>
      <c r="P60" s="1712"/>
      <c r="Q60" s="1712"/>
      <c r="R60" s="1712"/>
      <c r="S60" s="1712"/>
    </row>
    <row r="61" spans="2:19" s="583" customFormat="1" ht="15" hidden="1" customHeight="1" x14ac:dyDescent="0.35">
      <c r="B61" s="1660" t="s">
        <v>953</v>
      </c>
      <c r="C61" s="1654"/>
      <c r="D61" s="1655"/>
      <c r="E61" s="1661">
        <v>3.6207297999999999</v>
      </c>
      <c r="F61" s="1661">
        <v>3.6016569</v>
      </c>
      <c r="G61" s="1661">
        <v>3.3775431999999999</v>
      </c>
      <c r="H61" s="1661">
        <v>2.3000973999999998</v>
      </c>
      <c r="I61" s="1661">
        <f>17893431.66/10^7</f>
        <v>1.7893431660000001</v>
      </c>
      <c r="J61" s="1712"/>
      <c r="K61" s="1712"/>
      <c r="L61" s="1712"/>
      <c r="M61" s="1712"/>
      <c r="N61" s="1712"/>
      <c r="O61" s="1712"/>
      <c r="P61" s="1712"/>
      <c r="Q61" s="1712"/>
      <c r="R61" s="1712"/>
      <c r="S61" s="1712"/>
    </row>
    <row r="62" spans="2:19" s="583" customFormat="1" ht="15" hidden="1" customHeight="1" x14ac:dyDescent="0.35">
      <c r="B62" s="1660" t="s">
        <v>954</v>
      </c>
      <c r="C62" s="1654"/>
      <c r="D62" s="1655"/>
      <c r="E62" s="1661">
        <v>1.594878</v>
      </c>
      <c r="F62" s="1661">
        <v>1.2657016000000001</v>
      </c>
      <c r="G62" s="1661">
        <v>0.83761509999999995</v>
      </c>
      <c r="H62" s="1661">
        <v>7.9858200000000004E-2</v>
      </c>
      <c r="I62" s="1661">
        <f>404048.02/10^7</f>
        <v>4.0404802000000004E-2</v>
      </c>
      <c r="J62" s="1712"/>
      <c r="K62" s="1712"/>
      <c r="L62" s="1712"/>
      <c r="M62" s="1712"/>
      <c r="N62" s="1712"/>
      <c r="O62" s="1712"/>
      <c r="P62" s="1712"/>
      <c r="Q62" s="1712"/>
      <c r="R62" s="1712"/>
      <c r="S62" s="1712"/>
    </row>
    <row r="63" spans="2:19" s="583" customFormat="1" ht="15" hidden="1" customHeight="1" x14ac:dyDescent="0.35">
      <c r="B63" s="1653" t="s">
        <v>956</v>
      </c>
      <c r="C63" s="1654"/>
      <c r="D63" s="1655"/>
      <c r="E63" s="605">
        <f>SUM(E59:E62)</f>
        <v>8.5937804</v>
      </c>
      <c r="F63" s="605">
        <f>SUM(F59:F62)</f>
        <v>9.7395583000000006</v>
      </c>
      <c r="G63" s="605">
        <f>SUM(G59:G62)</f>
        <v>8.305798600000001</v>
      </c>
      <c r="H63" s="605">
        <f>SUM(H59:H62)</f>
        <v>6.9096744000000001</v>
      </c>
      <c r="I63" s="605">
        <f>SUM(I59:I62)</f>
        <v>3.4979198</v>
      </c>
      <c r="J63" s="605"/>
      <c r="K63" s="605"/>
      <c r="L63" s="605"/>
      <c r="M63" s="605"/>
      <c r="N63" s="605"/>
      <c r="O63" s="605"/>
      <c r="P63" s="605"/>
      <c r="Q63" s="605"/>
      <c r="R63" s="605"/>
      <c r="S63" s="605"/>
    </row>
    <row r="64" spans="2:19" s="583" customFormat="1" x14ac:dyDescent="0.35">
      <c r="B64" s="1653"/>
      <c r="C64" s="1654"/>
      <c r="D64" s="1655"/>
      <c r="E64" s="1655"/>
      <c r="F64" s="1655"/>
      <c r="G64" s="1655"/>
      <c r="H64" s="1655"/>
      <c r="I64" s="1655"/>
      <c r="J64" s="1655"/>
      <c r="K64" s="1655"/>
      <c r="L64" s="1655"/>
      <c r="M64" s="1655"/>
      <c r="N64" s="1655"/>
      <c r="O64" s="1655"/>
      <c r="P64" s="1655"/>
      <c r="Q64" s="1655"/>
      <c r="R64" s="1655"/>
      <c r="S64" s="1655"/>
    </row>
    <row r="65" spans="1:21" s="583" customFormat="1" x14ac:dyDescent="0.35">
      <c r="B65" s="1662" t="s">
        <v>55</v>
      </c>
      <c r="C65" s="1663"/>
      <c r="D65" s="1662"/>
      <c r="E65" s="1662"/>
      <c r="F65" s="1662"/>
      <c r="G65" s="1662"/>
      <c r="H65" s="1662"/>
      <c r="I65" s="1662"/>
      <c r="J65" s="1662"/>
      <c r="K65" s="1662"/>
      <c r="L65" s="1662"/>
      <c r="M65" s="1662"/>
      <c r="N65" s="1662"/>
      <c r="O65" s="1662"/>
      <c r="P65" s="1662"/>
      <c r="Q65" s="1662"/>
      <c r="R65" s="1662"/>
      <c r="S65" s="1662"/>
    </row>
    <row r="66" spans="1:21" s="261" customFormat="1" x14ac:dyDescent="0.35">
      <c r="A66" s="583"/>
      <c r="B66" s="1664" t="s">
        <v>45</v>
      </c>
      <c r="C66" s="1630"/>
      <c r="D66" s="1228"/>
      <c r="E66" s="294">
        <v>7.48</v>
      </c>
      <c r="F66" s="294">
        <v>7.7112705750000003</v>
      </c>
      <c r="G66" s="294">
        <v>4.6075636009999998</v>
      </c>
      <c r="H66" s="294">
        <v>6.93</v>
      </c>
      <c r="I66" s="294">
        <f>158560177.46/10^7</f>
        <v>15.856017746000001</v>
      </c>
      <c r="J66" s="102">
        <f>+Assumptions!J144*('Stock movement'!J105+'Stock movement'!J98+'Stock movement'!J114)/100</f>
        <v>20.006299039325942</v>
      </c>
      <c r="K66" s="102">
        <f>+Assumptions!K144*('Stock movement'!K105+'Stock movement'!K98+'Stock movement'!K114)/100</f>
        <v>25.421070976625057</v>
      </c>
      <c r="L66" s="102">
        <f>+Assumptions!L144*('Stock movement'!L105+'Stock movement'!L98+'Stock movement'!L114)/100</f>
        <v>26.608623221025493</v>
      </c>
      <c r="M66" s="102">
        <f>+Assumptions!M144*('Stock movement'!M105+'Stock movement'!M98+'Stock movement'!M114)/100</f>
        <v>27.516273605927157</v>
      </c>
      <c r="N66" s="102">
        <f>+Assumptions!N144*('Stock movement'!N105+'Stock movement'!N98+'Stock movement'!N114)/100</f>
        <v>28.085748451990245</v>
      </c>
      <c r="O66" s="102">
        <f>+Assumptions!O144*('Stock movement'!O105+'Stock movement'!O98+'Stock movement'!O114)/100</f>
        <v>28.647463421030054</v>
      </c>
      <c r="P66" s="102">
        <f>+Assumptions!P144*('Stock movement'!P105+'Stock movement'!P98+'Stock movement'!P114)/100</f>
        <v>29.220412689450654</v>
      </c>
      <c r="Q66" s="102">
        <f>+Assumptions!Q144*('Stock movement'!Q105+'Stock movement'!Q98+'Stock movement'!Q114)/100</f>
        <v>29.804820943239665</v>
      </c>
      <c r="R66" s="102">
        <f>+Assumptions!R144*('Stock movement'!R105+'Stock movement'!R98+'Stock movement'!R114)/100</f>
        <v>30.400917362104462</v>
      </c>
      <c r="S66" s="102">
        <f>+Assumptions!S144*('Stock movement'!S105+'Stock movement'!S98+'Stock movement'!S114)/100</f>
        <v>31.008935709346552</v>
      </c>
      <c r="U66" s="261" t="s">
        <v>397</v>
      </c>
    </row>
    <row r="67" spans="1:21" s="261" customFormat="1" x14ac:dyDescent="0.35">
      <c r="A67" s="1629"/>
      <c r="B67" s="1664" t="s">
        <v>46</v>
      </c>
      <c r="C67" s="1630"/>
      <c r="D67" s="1228"/>
      <c r="E67" s="294">
        <v>6.7251274639999998</v>
      </c>
      <c r="F67" s="294">
        <v>11.64</v>
      </c>
      <c r="G67" s="294">
        <v>41.469530371000005</v>
      </c>
      <c r="H67" s="294">
        <v>130.57213803600001</v>
      </c>
      <c r="I67" s="294">
        <f>880600588.25/10^7</f>
        <v>88.060058824999999</v>
      </c>
      <c r="J67" s="102">
        <f>(Assumptions!J145*('Stock movement'!J105+'Stock movement'!J98+'Stock movement'!J114)/100)</f>
        <v>26.008188751123726</v>
      </c>
      <c r="K67" s="102">
        <f>(Assumptions!K145*('Stock movement'!K105+'Stock movement'!K98+'Stock movement'!K114)/100)</f>
        <v>33.047392269612573</v>
      </c>
      <c r="L67" s="102">
        <f>(Assumptions!L145*('Stock movement'!L105+'Stock movement'!L98+'Stock movement'!L114)/100)</f>
        <v>34.591210187333147</v>
      </c>
      <c r="M67" s="102">
        <f>(Assumptions!M145*('Stock movement'!M105+'Stock movement'!M98+'Stock movement'!M114)/100)</f>
        <v>35.771155687705317</v>
      </c>
      <c r="N67" s="102">
        <f>(Assumptions!N145*('Stock movement'!N105+'Stock movement'!N98+'Stock movement'!N114)/100)</f>
        <v>36.511472987587325</v>
      </c>
      <c r="O67" s="102">
        <f>(Assumptions!O145*('Stock movement'!O105+'Stock movement'!O98+'Stock movement'!O114)/100)</f>
        <v>37.241702447339065</v>
      </c>
      <c r="P67" s="102">
        <f>(Assumptions!P145*('Stock movement'!P105+'Stock movement'!P98+'Stock movement'!P114)/100)</f>
        <v>37.986536496285851</v>
      </c>
      <c r="Q67" s="102">
        <f>(Assumptions!Q145*('Stock movement'!Q105+'Stock movement'!Q98+'Stock movement'!Q114)/100)</f>
        <v>38.746267226211572</v>
      </c>
      <c r="R67" s="102">
        <f>(Assumptions!R145*('Stock movement'!R105+'Stock movement'!R98+'Stock movement'!R114)/100)</f>
        <v>39.521192570735799</v>
      </c>
      <c r="S67" s="102">
        <f>(Assumptions!S145*('Stock movement'!S105+'Stock movement'!S98+'Stock movement'!S114)/100)</f>
        <v>40.311616422150514</v>
      </c>
    </row>
    <row r="68" spans="1:21" s="261" customFormat="1" x14ac:dyDescent="0.35">
      <c r="A68" s="583"/>
      <c r="B68" s="1664" t="s">
        <v>47</v>
      </c>
      <c r="C68" s="1630"/>
      <c r="D68" s="1228"/>
      <c r="E68" s="294">
        <v>31.405142251999997</v>
      </c>
      <c r="F68" s="294">
        <v>25.311770590999998</v>
      </c>
      <c r="G68" s="294">
        <v>10.811827928000001</v>
      </c>
      <c r="H68" s="294">
        <v>12.945887517000003</v>
      </c>
      <c r="I68" s="294">
        <f>276536534.08/10^7</f>
        <v>27.653653407999997</v>
      </c>
      <c r="J68" s="102">
        <f>+Assumptions!J146*('Stock movement'!J106+'Stock movement'!J99+'Stock movement'!J115)/100</f>
        <v>36.656630783493746</v>
      </c>
      <c r="K68" s="102">
        <f>+Assumptions!K146*('Stock movement'!K106+'Stock movement'!K99+'Stock movement'!K115)/100</f>
        <v>47.344171772122657</v>
      </c>
      <c r="L68" s="102">
        <f>+Assumptions!L146*('Stock movement'!L106+'Stock movement'!L99+'Stock movement'!L115)/100</f>
        <v>50.453156234568517</v>
      </c>
      <c r="M68" s="102">
        <f>+Assumptions!M146*('Stock movement'!M106+'Stock movement'!M99+'Stock movement'!M115)/100</f>
        <v>52.22384720734847</v>
      </c>
      <c r="N68" s="102">
        <f>+Assumptions!N146*('Stock movement'!N106+'Stock movement'!N99+'Stock movement'!N115)/100</f>
        <v>53.360011353941893</v>
      </c>
      <c r="O68" s="102">
        <f>+Assumptions!O146*('Stock movement'!O106+'Stock movement'!O99+'Stock movement'!O115)/100</f>
        <v>54.430180499957096</v>
      </c>
      <c r="P68" s="102">
        <f>+Assumptions!P146*('Stock movement'!P106+'Stock movement'!P99+'Stock movement'!P115)/100</f>
        <v>55.518784109956229</v>
      </c>
      <c r="Q68" s="102">
        <f>+Assumptions!Q146*('Stock movement'!Q106+'Stock movement'!Q99+'Stock movement'!Q115)/100</f>
        <v>56.629159792155349</v>
      </c>
      <c r="R68" s="102">
        <f>+Assumptions!R146*('Stock movement'!R106+'Stock movement'!R99+'Stock movement'!R115)/100</f>
        <v>57.76174298799846</v>
      </c>
      <c r="S68" s="102">
        <f>+Assumptions!S146*('Stock movement'!S106+'Stock movement'!S99+'Stock movement'!S115)/100</f>
        <v>58.916977847758425</v>
      </c>
    </row>
    <row r="69" spans="1:21" s="261" customFormat="1" x14ac:dyDescent="0.35">
      <c r="A69" s="1629"/>
      <c r="B69" s="1664" t="s">
        <v>914</v>
      </c>
      <c r="C69" s="1630"/>
      <c r="D69" s="1228"/>
      <c r="E69" s="1106">
        <f>'Working - Sugar + Cogen'!E24</f>
        <v>50.628147400000003</v>
      </c>
      <c r="F69" s="1106">
        <f>'Working - Sugar + Cogen'!F24</f>
        <v>50.906095199999996</v>
      </c>
      <c r="G69" s="1106">
        <f>'Working - Sugar + Cogen'!G24</f>
        <v>29.3773768</v>
      </c>
      <c r="H69" s="1106">
        <f>'Working - Sugar + Cogen'!H24</f>
        <v>41.421611999999996</v>
      </c>
      <c r="I69" s="1106">
        <f>'Working - Sugar + Cogen'!I24</f>
        <v>74.780634200000009</v>
      </c>
      <c r="J69" s="102">
        <f>'Working - Sugar + Cogen'!J24</f>
        <v>117.2746928731184</v>
      </c>
      <c r="K69" s="102">
        <f>'Working - Sugar + Cogen'!K24</f>
        <v>146.09360965240825</v>
      </c>
      <c r="L69" s="102">
        <f>'Working - Sugar + Cogen'!L24</f>
        <v>149.92001211780618</v>
      </c>
      <c r="M69" s="102">
        <f>'Working - Sugar + Cogen'!M24</f>
        <v>151.9940726958713</v>
      </c>
      <c r="N69" s="102">
        <f>'Working - Sugar + Cogen'!N24</f>
        <v>152.09777572477458</v>
      </c>
      <c r="O69" s="102">
        <f>'Working - Sugar + Cogen'!O24</f>
        <v>152.09777572477458</v>
      </c>
      <c r="P69" s="102">
        <f>'Working - Sugar + Cogen'!P24</f>
        <v>152.09777572477458</v>
      </c>
      <c r="Q69" s="102">
        <f>'Working - Sugar + Cogen'!Q24</f>
        <v>152.09777572477458</v>
      </c>
      <c r="R69" s="102">
        <f>'Working - Sugar + Cogen'!R24</f>
        <v>152.09777572477458</v>
      </c>
      <c r="S69" s="102">
        <f>'Working - Sugar + Cogen'!S24</f>
        <v>152.09777572477458</v>
      </c>
    </row>
    <row r="70" spans="1:21" s="261" customFormat="1" x14ac:dyDescent="0.35">
      <c r="A70" s="1629"/>
      <c r="B70" s="1665" t="s">
        <v>915</v>
      </c>
      <c r="C70" s="1630"/>
      <c r="D70" s="1228"/>
      <c r="E70" s="1106"/>
      <c r="F70" s="1106"/>
      <c r="G70" s="102"/>
      <c r="H70" s="102"/>
      <c r="I70" s="102"/>
      <c r="J70" s="102"/>
      <c r="K70" s="102"/>
      <c r="L70" s="102"/>
      <c r="M70" s="102"/>
      <c r="N70" s="102"/>
      <c r="O70" s="102"/>
      <c r="P70" s="102"/>
      <c r="Q70" s="102"/>
      <c r="R70" s="102"/>
      <c r="S70" s="102"/>
    </row>
    <row r="71" spans="1:21" s="261" customFormat="1" x14ac:dyDescent="0.35">
      <c r="A71" s="1629"/>
      <c r="B71" s="1666" t="s">
        <v>916</v>
      </c>
      <c r="C71" s="1630"/>
      <c r="D71" s="1228"/>
      <c r="E71" s="1106">
        <f>'Working - Sugar + Cogen'!E23</f>
        <v>18.309999999999999</v>
      </c>
      <c r="F71" s="1106">
        <f>'Working - Sugar + Cogen'!F23</f>
        <v>21.89</v>
      </c>
      <c r="G71" s="1106">
        <f>'Working - Sugar + Cogen'!G23</f>
        <v>9.39</v>
      </c>
      <c r="H71" s="1106">
        <f>'Working - Sugar + Cogen'!H23</f>
        <v>13.86</v>
      </c>
      <c r="I71" s="1106">
        <f>'Working - Sugar + Cogen'!I23</f>
        <v>23.371795355</v>
      </c>
      <c r="J71" s="102">
        <f>'Working - Sugar + Cogen'!J23</f>
        <v>25.147752526213836</v>
      </c>
      <c r="K71" s="102">
        <f>'Working - Sugar + Cogen'!K23</f>
        <v>31.954076094477031</v>
      </c>
      <c r="L71" s="102">
        <f>'Working - Sugar + Cogen'!L23</f>
        <v>33.446819449728721</v>
      </c>
      <c r="M71" s="102">
        <f>'Working - Sugar + Cogen'!M23</f>
        <v>34.587728481177393</v>
      </c>
      <c r="N71" s="102">
        <f>'Working - Sugar + Cogen'!N23</f>
        <v>35.303553655566105</v>
      </c>
      <c r="O71" s="102">
        <f>'Working - Sugar + Cogen'!O23</f>
        <v>36.00962472867743</v>
      </c>
      <c r="P71" s="102">
        <f>'Working - Sugar + Cogen'!P23</f>
        <v>36.729817223250983</v>
      </c>
      <c r="Q71" s="102">
        <f>'Working - Sugar + Cogen'!Q23</f>
        <v>37.464413567715994</v>
      </c>
      <c r="R71" s="102">
        <f>'Working - Sugar + Cogen'!R23</f>
        <v>38.213701839070318</v>
      </c>
      <c r="S71" s="102">
        <f>'Working - Sugar + Cogen'!S23</f>
        <v>38.977975875851726</v>
      </c>
    </row>
    <row r="72" spans="1:21" s="261" customFormat="1" x14ac:dyDescent="0.35">
      <c r="A72" s="1629"/>
      <c r="B72" s="1666" t="s">
        <v>917</v>
      </c>
      <c r="C72" s="1630"/>
      <c r="D72" s="1228"/>
      <c r="E72" s="294">
        <v>1.1157564590000248</v>
      </c>
      <c r="F72" s="294">
        <v>0.97108319199999571</v>
      </c>
      <c r="G72" s="428">
        <v>1.2111862</v>
      </c>
      <c r="H72" s="428">
        <v>2.3516161960000002</v>
      </c>
      <c r="I72" s="428">
        <f>33566092.5/10^7</f>
        <v>3.35660925</v>
      </c>
      <c r="J72" s="102">
        <f>I72*(1+Assumptions!J137)</f>
        <v>3.4237414350000002</v>
      </c>
      <c r="K72" s="102">
        <f>J72*(1+Assumptions!K137)</f>
        <v>3.4922162637</v>
      </c>
      <c r="L72" s="102">
        <f>K72*(1+Assumptions!L137)</f>
        <v>3.562060588974</v>
      </c>
      <c r="M72" s="102">
        <f>L72*(1+Assumptions!M137)</f>
        <v>3.6333018007534803</v>
      </c>
      <c r="N72" s="102">
        <f>M72*(1+Assumptions!N137)</f>
        <v>3.7059678367685498</v>
      </c>
      <c r="O72" s="102">
        <f>N72*(1+Assumptions!O137)</f>
        <v>3.7800871935039209</v>
      </c>
      <c r="P72" s="102">
        <f>O72*(1+Assumptions!P137)</f>
        <v>3.8556889373739995</v>
      </c>
      <c r="Q72" s="102">
        <f>P72*(1+Assumptions!Q137)</f>
        <v>3.9328027161214796</v>
      </c>
      <c r="R72" s="102">
        <f>Q72*(1+Assumptions!R137)</f>
        <v>4.0114587704439089</v>
      </c>
      <c r="S72" s="102">
        <f>R72*(1+Assumptions!S137)</f>
        <v>4.0916879458527875</v>
      </c>
    </row>
    <row r="73" spans="1:21" s="261" customFormat="1" x14ac:dyDescent="0.35">
      <c r="A73" s="1629"/>
      <c r="B73" s="1664" t="s">
        <v>79</v>
      </c>
      <c r="C73" s="1630"/>
      <c r="D73" s="1228"/>
      <c r="E73" s="294">
        <v>0.34</v>
      </c>
      <c r="F73" s="294">
        <v>0.34</v>
      </c>
      <c r="G73" s="294">
        <v>0.31947173699999998</v>
      </c>
      <c r="H73" s="294">
        <v>0.32114199999999993</v>
      </c>
      <c r="I73" s="294">
        <f>(2432426+539964)/10^7</f>
        <v>0.29723899999999998</v>
      </c>
      <c r="J73" s="102">
        <f>I73*(1+Assumptions!J138)</f>
        <v>0.30318377999999996</v>
      </c>
      <c r="K73" s="102">
        <f>J73*(1+Assumptions!K138)</f>
        <v>0.30924745559999994</v>
      </c>
      <c r="L73" s="102">
        <f>K73*(1+Assumptions!L138)</f>
        <v>0.31543240471199996</v>
      </c>
      <c r="M73" s="102">
        <f>L73*(1+Assumptions!M138)</f>
        <v>0.32174105280623999</v>
      </c>
      <c r="N73" s="102">
        <f>M73*(1+Assumptions!N138)</f>
        <v>0.3281758738623648</v>
      </c>
      <c r="O73" s="102">
        <f>N73*(1+Assumptions!O138)</f>
        <v>0.33473939133961211</v>
      </c>
      <c r="P73" s="102">
        <f>O73*(1+Assumptions!P138)</f>
        <v>0.34143417916640434</v>
      </c>
      <c r="Q73" s="102">
        <f>P73*(1+Assumptions!Q138)</f>
        <v>0.34826286274973245</v>
      </c>
      <c r="R73" s="102">
        <f>Q73*(1+Assumptions!R138)</f>
        <v>0.35522812000472709</v>
      </c>
      <c r="S73" s="102">
        <f>R73*(1+Assumptions!S138)</f>
        <v>0.36233268240482164</v>
      </c>
    </row>
    <row r="74" spans="1:21" s="261" customFormat="1" x14ac:dyDescent="0.35">
      <c r="A74" s="1629"/>
      <c r="B74" s="1664" t="s">
        <v>61</v>
      </c>
      <c r="C74" s="1630"/>
      <c r="D74" s="1228"/>
      <c r="E74" s="294">
        <v>0.39357709900000004</v>
      </c>
      <c r="F74" s="294">
        <v>0.46380112599999995</v>
      </c>
      <c r="G74" s="294">
        <v>0.80335013600000005</v>
      </c>
      <c r="H74" s="294">
        <v>1.369701149</v>
      </c>
      <c r="I74" s="294">
        <f>ROUNDUP(16336597.47/10^7,2)</f>
        <v>1.64</v>
      </c>
      <c r="J74" s="102">
        <f>I74*(1+Assumptions!J139)</f>
        <v>1.6727999999999998</v>
      </c>
      <c r="K74" s="102">
        <f>J74*(1+Assumptions!K139)</f>
        <v>1.7062559999999998</v>
      </c>
      <c r="L74" s="102">
        <f>K74*(1+Assumptions!L139)</f>
        <v>1.7403811199999999</v>
      </c>
      <c r="M74" s="102">
        <f>L74*(1+Assumptions!M139)</f>
        <v>1.7751887423999999</v>
      </c>
      <c r="N74" s="102">
        <f>M74*(1+Assumptions!N139)</f>
        <v>1.810692517248</v>
      </c>
      <c r="O74" s="102">
        <f>N74*(1+Assumptions!O139)</f>
        <v>1.84690636759296</v>
      </c>
      <c r="P74" s="102">
        <f>O74*(1+Assumptions!P139)</f>
        <v>1.8838444949448192</v>
      </c>
      <c r="Q74" s="102">
        <f>P74*(1+Assumptions!Q139)</f>
        <v>1.9215213848437156</v>
      </c>
      <c r="R74" s="102">
        <f>Q74*(1+Assumptions!R139)</f>
        <v>1.9599518125405899</v>
      </c>
      <c r="S74" s="102">
        <f>R74*(1+Assumptions!S139)</f>
        <v>1.9991508487914018</v>
      </c>
    </row>
    <row r="75" spans="1:21" s="261" customFormat="1" x14ac:dyDescent="0.35">
      <c r="A75" s="1629"/>
      <c r="B75" s="1664" t="s">
        <v>55</v>
      </c>
      <c r="C75" s="1630"/>
      <c r="D75" s="1228"/>
      <c r="E75" s="294">
        <v>4.8899999999999997</v>
      </c>
      <c r="F75" s="294">
        <v>8.74</v>
      </c>
      <c r="G75" s="294">
        <v>6.2053894099999996</v>
      </c>
      <c r="H75" s="294">
        <v>8.3231143169999999</v>
      </c>
      <c r="I75" s="294">
        <f>79301018.68/10^7</f>
        <v>7.9301018680000004</v>
      </c>
      <c r="J75" s="102">
        <f>I75*(1+Assumptions!J140)</f>
        <v>8.0887039053600009</v>
      </c>
      <c r="K75" s="102">
        <f>J75*(1+Assumptions!K140)</f>
        <v>8.2504779834672011</v>
      </c>
      <c r="L75" s="102">
        <f>K75*(1+Assumptions!L140)</f>
        <v>8.4154875431365461</v>
      </c>
      <c r="M75" s="102">
        <f>L75*(1+Assumptions!M140)</f>
        <v>8.583797293999277</v>
      </c>
      <c r="N75" s="102">
        <f>M75*(1+Assumptions!N140)</f>
        <v>8.7554732398792634</v>
      </c>
      <c r="O75" s="102">
        <f>N75*(1+Assumptions!O140)</f>
        <v>8.9305827046768496</v>
      </c>
      <c r="P75" s="102">
        <f>O75*(1+Assumptions!P140)</f>
        <v>9.1091943587703863</v>
      </c>
      <c r="Q75" s="102">
        <f>P75*(1+Assumptions!Q140)</f>
        <v>9.2913782459457934</v>
      </c>
      <c r="R75" s="102">
        <f>Q75*(1+Assumptions!R140)</f>
        <v>9.4772058108647101</v>
      </c>
      <c r="S75" s="102">
        <f>R75*(1+Assumptions!S140)</f>
        <v>9.6667499270820052</v>
      </c>
    </row>
    <row r="76" spans="1:21" s="583" customFormat="1" x14ac:dyDescent="0.35">
      <c r="B76" s="1653" t="s">
        <v>811</v>
      </c>
      <c r="C76" s="1654"/>
      <c r="D76" s="1655"/>
      <c r="E76" s="605">
        <f t="shared" ref="E76:R76" si="18">SUM(E66:E75)</f>
        <v>121.28775067400002</v>
      </c>
      <c r="F76" s="605">
        <f t="shared" si="18"/>
        <v>127.974020684</v>
      </c>
      <c r="G76" s="605">
        <f t="shared" si="18"/>
        <v>104.19569618300001</v>
      </c>
      <c r="H76" s="605">
        <f t="shared" si="18"/>
        <v>218.09521121500006</v>
      </c>
      <c r="I76" s="605">
        <f t="shared" si="18"/>
        <v>242.94610965199996</v>
      </c>
      <c r="J76" s="605">
        <f t="shared" si="18"/>
        <v>238.58199309363567</v>
      </c>
      <c r="K76" s="605">
        <f t="shared" si="18"/>
        <v>297.61851846801272</v>
      </c>
      <c r="L76" s="605">
        <f t="shared" si="18"/>
        <v>309.05318286728459</v>
      </c>
      <c r="M76" s="605">
        <f t="shared" si="18"/>
        <v>316.40710656798871</v>
      </c>
      <c r="N76" s="605">
        <f t="shared" si="18"/>
        <v>319.95887164161837</v>
      </c>
      <c r="O76" s="605">
        <f t="shared" si="18"/>
        <v>323.31906247889157</v>
      </c>
      <c r="P76" s="605">
        <f t="shared" si="18"/>
        <v>326.74348821397388</v>
      </c>
      <c r="Q76" s="605">
        <f t="shared" si="18"/>
        <v>330.23640246375794</v>
      </c>
      <c r="R76" s="605">
        <f t="shared" si="18"/>
        <v>333.79917499853747</v>
      </c>
      <c r="S76" s="605">
        <f>SUM(S66:S75)</f>
        <v>337.43320298401278</v>
      </c>
    </row>
    <row r="77" spans="1:21" s="583" customFormat="1" x14ac:dyDescent="0.35">
      <c r="B77" s="1653"/>
      <c r="C77" s="1654"/>
      <c r="D77" s="1655"/>
      <c r="E77" s="605"/>
      <c r="F77" s="605"/>
      <c r="G77" s="605"/>
      <c r="H77" s="605"/>
      <c r="I77" s="605"/>
      <c r="J77" s="605"/>
      <c r="K77" s="605"/>
      <c r="L77" s="605"/>
      <c r="M77" s="605"/>
      <c r="N77" s="605"/>
      <c r="O77" s="605"/>
      <c r="P77" s="605"/>
      <c r="Q77" s="605"/>
      <c r="R77" s="605"/>
      <c r="S77" s="605"/>
    </row>
    <row r="78" spans="1:21" s="583" customFormat="1" x14ac:dyDescent="0.35">
      <c r="B78" s="1662" t="s">
        <v>810</v>
      </c>
      <c r="C78" s="1663"/>
      <c r="D78" s="1662"/>
      <c r="E78" s="1662"/>
      <c r="F78" s="1662"/>
      <c r="G78" s="1662"/>
      <c r="H78" s="1662"/>
      <c r="I78" s="1662"/>
      <c r="J78" s="1662"/>
      <c r="K78" s="1662"/>
      <c r="L78" s="1662"/>
      <c r="M78" s="1662"/>
      <c r="N78" s="1662"/>
      <c r="O78" s="1662"/>
      <c r="P78" s="1662"/>
      <c r="Q78" s="1662"/>
      <c r="R78" s="1662"/>
      <c r="S78" s="1662"/>
    </row>
    <row r="79" spans="1:21" s="583" customFormat="1" x14ac:dyDescent="0.35">
      <c r="B79" s="487" t="s">
        <v>803</v>
      </c>
      <c r="C79" s="1667"/>
      <c r="D79" s="1668"/>
      <c r="E79" s="1736">
        <v>0.17669597999999997</v>
      </c>
      <c r="F79" s="1736">
        <v>0.35975933200000004</v>
      </c>
      <c r="G79" s="1736">
        <v>0.66198610000000002</v>
      </c>
      <c r="H79" s="1736">
        <v>3.9353000000000001E-3</v>
      </c>
      <c r="I79" s="1736">
        <f>6902376/10^7</f>
        <v>0.69023760000000001</v>
      </c>
      <c r="J79" s="1669">
        <f t="shared" ref="J79:J84" si="19">I79</f>
        <v>0.69023760000000001</v>
      </c>
      <c r="K79" s="1669">
        <f t="shared" ref="K79:S79" si="20">J79</f>
        <v>0.69023760000000001</v>
      </c>
      <c r="L79" s="1669">
        <f t="shared" si="20"/>
        <v>0.69023760000000001</v>
      </c>
      <c r="M79" s="1669">
        <f t="shared" si="20"/>
        <v>0.69023760000000001</v>
      </c>
      <c r="N79" s="1669">
        <f t="shared" si="20"/>
        <v>0.69023760000000001</v>
      </c>
      <c r="O79" s="1669">
        <f t="shared" si="20"/>
        <v>0.69023760000000001</v>
      </c>
      <c r="P79" s="1669">
        <f t="shared" si="20"/>
        <v>0.69023760000000001</v>
      </c>
      <c r="Q79" s="1669">
        <f t="shared" si="20"/>
        <v>0.69023760000000001</v>
      </c>
      <c r="R79" s="1669">
        <f t="shared" si="20"/>
        <v>0.69023760000000001</v>
      </c>
      <c r="S79" s="1669">
        <f t="shared" si="20"/>
        <v>0.69023760000000001</v>
      </c>
    </row>
    <row r="80" spans="1:21" s="583" customFormat="1" x14ac:dyDescent="0.35">
      <c r="B80" s="487" t="s">
        <v>804</v>
      </c>
      <c r="C80" s="1667"/>
      <c r="D80" s="1668"/>
      <c r="E80" s="1736">
        <v>1.3894529</v>
      </c>
      <c r="F80" s="1736">
        <v>2.3801099999999999E-2</v>
      </c>
      <c r="G80" s="1736">
        <v>2.3581499999999998E-2</v>
      </c>
      <c r="H80" s="1736">
        <v>4.4741000000000003E-2</v>
      </c>
      <c r="I80" s="1736">
        <f>331596.1/10^7</f>
        <v>3.3159609999999999E-2</v>
      </c>
      <c r="J80" s="1669">
        <f t="shared" si="19"/>
        <v>3.3159609999999999E-2</v>
      </c>
      <c r="K80" s="1669">
        <f t="shared" ref="K80:S80" si="21">J80</f>
        <v>3.3159609999999999E-2</v>
      </c>
      <c r="L80" s="1669">
        <f t="shared" si="21"/>
        <v>3.3159609999999999E-2</v>
      </c>
      <c r="M80" s="1669">
        <f t="shared" si="21"/>
        <v>3.3159609999999999E-2</v>
      </c>
      <c r="N80" s="1669">
        <f t="shared" si="21"/>
        <v>3.3159609999999999E-2</v>
      </c>
      <c r="O80" s="1669">
        <f t="shared" si="21"/>
        <v>3.3159609999999999E-2</v>
      </c>
      <c r="P80" s="1669">
        <f t="shared" si="21"/>
        <v>3.3159609999999999E-2</v>
      </c>
      <c r="Q80" s="1669">
        <f t="shared" si="21"/>
        <v>3.3159609999999999E-2</v>
      </c>
      <c r="R80" s="1669">
        <f t="shared" si="21"/>
        <v>3.3159609999999999E-2</v>
      </c>
      <c r="S80" s="1669">
        <f t="shared" si="21"/>
        <v>3.3159609999999999E-2</v>
      </c>
    </row>
    <row r="81" spans="1:19" s="583" customFormat="1" x14ac:dyDescent="0.35">
      <c r="B81" s="487" t="s">
        <v>805</v>
      </c>
      <c r="C81" s="1667"/>
      <c r="D81" s="1668"/>
      <c r="E81" s="1736"/>
      <c r="F81" s="1736">
        <v>0</v>
      </c>
      <c r="G81" s="1736">
        <v>0.80406259999999996</v>
      </c>
      <c r="H81" s="1736">
        <v>0</v>
      </c>
      <c r="I81" s="1736"/>
      <c r="J81" s="1669">
        <f t="shared" si="19"/>
        <v>0</v>
      </c>
      <c r="K81" s="1669">
        <f t="shared" ref="K81:S81" si="22">J81</f>
        <v>0</v>
      </c>
      <c r="L81" s="1669">
        <f t="shared" si="22"/>
        <v>0</v>
      </c>
      <c r="M81" s="1669">
        <f t="shared" si="22"/>
        <v>0</v>
      </c>
      <c r="N81" s="1669">
        <f t="shared" si="22"/>
        <v>0</v>
      </c>
      <c r="O81" s="1669">
        <f t="shared" si="22"/>
        <v>0</v>
      </c>
      <c r="P81" s="1669">
        <f t="shared" si="22"/>
        <v>0</v>
      </c>
      <c r="Q81" s="1669">
        <f t="shared" si="22"/>
        <v>0</v>
      </c>
      <c r="R81" s="1669">
        <f t="shared" si="22"/>
        <v>0</v>
      </c>
      <c r="S81" s="1669">
        <f t="shared" si="22"/>
        <v>0</v>
      </c>
    </row>
    <row r="82" spans="1:19" s="583" customFormat="1" x14ac:dyDescent="0.35">
      <c r="B82" s="487" t="s">
        <v>806</v>
      </c>
      <c r="C82" s="1667"/>
      <c r="D82" s="1668"/>
      <c r="E82" s="1736">
        <v>8.2204225000000006E-2</v>
      </c>
      <c r="F82" s="1736">
        <f>1905701/10^7</f>
        <v>0.19057009999999999</v>
      </c>
      <c r="G82" s="1736">
        <v>0.1601707</v>
      </c>
      <c r="H82" s="1736">
        <v>6.3136300000000006E-2</v>
      </c>
      <c r="I82" s="1736">
        <f>2828028.63/10^7</f>
        <v>0.28280286300000002</v>
      </c>
      <c r="J82" s="1669">
        <f t="shared" si="19"/>
        <v>0.28280286300000002</v>
      </c>
      <c r="K82" s="1669">
        <f t="shared" ref="K82:S82" si="23">J82</f>
        <v>0.28280286300000002</v>
      </c>
      <c r="L82" s="1669">
        <f t="shared" si="23"/>
        <v>0.28280286300000002</v>
      </c>
      <c r="M82" s="1669">
        <f t="shared" si="23"/>
        <v>0.28280286300000002</v>
      </c>
      <c r="N82" s="1669">
        <f t="shared" si="23"/>
        <v>0.28280286300000002</v>
      </c>
      <c r="O82" s="1669">
        <f t="shared" si="23"/>
        <v>0.28280286300000002</v>
      </c>
      <c r="P82" s="1669">
        <f t="shared" si="23"/>
        <v>0.28280286300000002</v>
      </c>
      <c r="Q82" s="1669">
        <f t="shared" si="23"/>
        <v>0.28280286300000002</v>
      </c>
      <c r="R82" s="1669">
        <f t="shared" si="23"/>
        <v>0.28280286300000002</v>
      </c>
      <c r="S82" s="1669">
        <f t="shared" si="23"/>
        <v>0.28280286300000002</v>
      </c>
    </row>
    <row r="83" spans="1:19" s="583" customFormat="1" x14ac:dyDescent="0.35">
      <c r="B83" s="487" t="s">
        <v>807</v>
      </c>
      <c r="C83" s="1667"/>
      <c r="D83" s="1668"/>
      <c r="E83" s="1736"/>
      <c r="F83" s="1736">
        <f>16433963/10^7</f>
        <v>1.6433963</v>
      </c>
      <c r="G83" s="1736">
        <v>5.5773200000000002E-2</v>
      </c>
      <c r="H83" s="1736">
        <v>0</v>
      </c>
      <c r="I83" s="1736"/>
      <c r="J83" s="1669">
        <f t="shared" si="19"/>
        <v>0</v>
      </c>
      <c r="K83" s="1669">
        <f t="shared" ref="K83:S83" si="24">J83</f>
        <v>0</v>
      </c>
      <c r="L83" s="1669">
        <f t="shared" si="24"/>
        <v>0</v>
      </c>
      <c r="M83" s="1669">
        <f t="shared" si="24"/>
        <v>0</v>
      </c>
      <c r="N83" s="1669">
        <f t="shared" si="24"/>
        <v>0</v>
      </c>
      <c r="O83" s="1669">
        <f t="shared" si="24"/>
        <v>0</v>
      </c>
      <c r="P83" s="1669">
        <f t="shared" si="24"/>
        <v>0</v>
      </c>
      <c r="Q83" s="1669">
        <f t="shared" si="24"/>
        <v>0</v>
      </c>
      <c r="R83" s="1669">
        <f t="shared" si="24"/>
        <v>0</v>
      </c>
      <c r="S83" s="1669">
        <f t="shared" si="24"/>
        <v>0</v>
      </c>
    </row>
    <row r="84" spans="1:19" s="583" customFormat="1" x14ac:dyDescent="0.35">
      <c r="B84" s="487" t="s">
        <v>808</v>
      </c>
      <c r="C84" s="1667"/>
      <c r="D84" s="1668"/>
      <c r="E84" s="1736">
        <v>0.03</v>
      </c>
      <c r="F84" s="1736">
        <f>300000/10^7</f>
        <v>0.03</v>
      </c>
      <c r="G84" s="1736">
        <v>0.03</v>
      </c>
      <c r="H84" s="1736">
        <v>0.03</v>
      </c>
      <c r="I84" s="1736">
        <f>300000/10^7</f>
        <v>0.03</v>
      </c>
      <c r="J84" s="1669">
        <f t="shared" si="19"/>
        <v>0.03</v>
      </c>
      <c r="K84" s="1669">
        <f t="shared" ref="K84:S84" si="25">J84</f>
        <v>0.03</v>
      </c>
      <c r="L84" s="1669">
        <f t="shared" si="25"/>
        <v>0.03</v>
      </c>
      <c r="M84" s="1669">
        <f t="shared" si="25"/>
        <v>0.03</v>
      </c>
      <c r="N84" s="1669">
        <f t="shared" si="25"/>
        <v>0.03</v>
      </c>
      <c r="O84" s="1669">
        <f t="shared" si="25"/>
        <v>0.03</v>
      </c>
      <c r="P84" s="1669">
        <f t="shared" si="25"/>
        <v>0.03</v>
      </c>
      <c r="Q84" s="1669">
        <f t="shared" si="25"/>
        <v>0.03</v>
      </c>
      <c r="R84" s="1669">
        <f t="shared" si="25"/>
        <v>0.03</v>
      </c>
      <c r="S84" s="1669">
        <f t="shared" si="25"/>
        <v>0.03</v>
      </c>
    </row>
    <row r="85" spans="1:19" s="583" customFormat="1" x14ac:dyDescent="0.35">
      <c r="B85" s="1670" t="s">
        <v>809</v>
      </c>
      <c r="C85" s="1671"/>
      <c r="D85" s="487"/>
      <c r="E85" s="1672">
        <f t="shared" ref="E85:R85" si="26">SUM(E79:E84)</f>
        <v>1.678353105</v>
      </c>
      <c r="F85" s="1672">
        <f t="shared" si="26"/>
        <v>2.2475268319999997</v>
      </c>
      <c r="G85" s="1672">
        <f t="shared" si="26"/>
        <v>1.7355741000000002</v>
      </c>
      <c r="H85" s="1672">
        <f t="shared" si="26"/>
        <v>0.14181260000000001</v>
      </c>
      <c r="I85" s="1672">
        <f t="shared" si="26"/>
        <v>1.0362000730000001</v>
      </c>
      <c r="J85" s="1672">
        <f t="shared" si="26"/>
        <v>1.0362000730000001</v>
      </c>
      <c r="K85" s="1672">
        <f t="shared" si="26"/>
        <v>1.0362000730000001</v>
      </c>
      <c r="L85" s="1672">
        <f t="shared" si="26"/>
        <v>1.0362000730000001</v>
      </c>
      <c r="M85" s="1672">
        <f t="shared" si="26"/>
        <v>1.0362000730000001</v>
      </c>
      <c r="N85" s="1672">
        <f t="shared" si="26"/>
        <v>1.0362000730000001</v>
      </c>
      <c r="O85" s="1672">
        <f t="shared" si="26"/>
        <v>1.0362000730000001</v>
      </c>
      <c r="P85" s="1672">
        <f t="shared" si="26"/>
        <v>1.0362000730000001</v>
      </c>
      <c r="Q85" s="1672">
        <f t="shared" si="26"/>
        <v>1.0362000730000001</v>
      </c>
      <c r="R85" s="1672">
        <f t="shared" si="26"/>
        <v>1.0362000730000001</v>
      </c>
      <c r="S85" s="1672">
        <f>SUM(S79:S84)</f>
        <v>1.0362000730000001</v>
      </c>
    </row>
    <row r="86" spans="1:19" s="583" customFormat="1" x14ac:dyDescent="0.35">
      <c r="B86" s="1662" t="s">
        <v>802</v>
      </c>
      <c r="C86" s="1663"/>
      <c r="D86" s="1662"/>
      <c r="E86" s="1662"/>
      <c r="F86" s="1662"/>
      <c r="G86" s="1662"/>
      <c r="H86" s="1662"/>
      <c r="I86" s="1662"/>
      <c r="J86" s="1662"/>
      <c r="K86" s="1662"/>
      <c r="L86" s="1662"/>
      <c r="M86" s="1662"/>
      <c r="N86" s="1662"/>
      <c r="O86" s="1662"/>
      <c r="P86" s="1662"/>
      <c r="Q86" s="1662"/>
      <c r="R86" s="1662"/>
      <c r="S86" s="1662"/>
    </row>
    <row r="87" spans="1:19" s="583" customFormat="1" x14ac:dyDescent="0.35">
      <c r="B87" s="1673" t="s">
        <v>796</v>
      </c>
      <c r="C87" s="1667"/>
      <c r="D87" s="1668"/>
      <c r="E87" s="1736">
        <v>-0.13223280000000001</v>
      </c>
      <c r="F87" s="1736">
        <v>-0.12599199999999999</v>
      </c>
      <c r="G87" s="1736">
        <v>6.20461E-2</v>
      </c>
      <c r="H87" s="1736">
        <v>0</v>
      </c>
      <c r="I87" s="1736">
        <v>0</v>
      </c>
      <c r="J87" s="1669">
        <f>I87</f>
        <v>0</v>
      </c>
      <c r="K87" s="1669">
        <f t="shared" ref="K87:S87" si="27">J87</f>
        <v>0</v>
      </c>
      <c r="L87" s="1669">
        <f t="shared" si="27"/>
        <v>0</v>
      </c>
      <c r="M87" s="1669">
        <f t="shared" si="27"/>
        <v>0</v>
      </c>
      <c r="N87" s="1669">
        <f t="shared" si="27"/>
        <v>0</v>
      </c>
      <c r="O87" s="1669">
        <f t="shared" si="27"/>
        <v>0</v>
      </c>
      <c r="P87" s="1669">
        <f t="shared" si="27"/>
        <v>0</v>
      </c>
      <c r="Q87" s="1669">
        <f t="shared" si="27"/>
        <v>0</v>
      </c>
      <c r="R87" s="1669">
        <f t="shared" si="27"/>
        <v>0</v>
      </c>
      <c r="S87" s="1669">
        <f t="shared" si="27"/>
        <v>0</v>
      </c>
    </row>
    <row r="88" spans="1:19" s="583" customFormat="1" x14ac:dyDescent="0.35">
      <c r="B88" s="1673" t="s">
        <v>797</v>
      </c>
      <c r="C88" s="1667"/>
      <c r="D88" s="1668"/>
      <c r="E88" s="1736">
        <v>0</v>
      </c>
      <c r="F88" s="1736">
        <f>16739000/10^7</f>
        <v>1.6738999999999999</v>
      </c>
      <c r="G88" s="1736">
        <v>0.26576139999999998</v>
      </c>
      <c r="H88" s="1736">
        <v>5.0961656</v>
      </c>
      <c r="I88" s="1736">
        <v>0</v>
      </c>
      <c r="J88" s="1669">
        <f>I88</f>
        <v>0</v>
      </c>
      <c r="K88" s="1669">
        <f t="shared" ref="K88:S88" si="28">J88</f>
        <v>0</v>
      </c>
      <c r="L88" s="1669">
        <f t="shared" si="28"/>
        <v>0</v>
      </c>
      <c r="M88" s="1669">
        <f t="shared" si="28"/>
        <v>0</v>
      </c>
      <c r="N88" s="1669">
        <f t="shared" si="28"/>
        <v>0</v>
      </c>
      <c r="O88" s="1669">
        <f t="shared" si="28"/>
        <v>0</v>
      </c>
      <c r="P88" s="1669">
        <f t="shared" si="28"/>
        <v>0</v>
      </c>
      <c r="Q88" s="1669">
        <f t="shared" si="28"/>
        <v>0</v>
      </c>
      <c r="R88" s="1669">
        <f t="shared" si="28"/>
        <v>0</v>
      </c>
      <c r="S88" s="1669">
        <f t="shared" si="28"/>
        <v>0</v>
      </c>
    </row>
    <row r="89" spans="1:19" s="583" customFormat="1" x14ac:dyDescent="0.35">
      <c r="B89" s="1673" t="s">
        <v>798</v>
      </c>
      <c r="C89" s="1667"/>
      <c r="D89" s="1668"/>
      <c r="E89" s="1736">
        <v>0</v>
      </c>
      <c r="F89" s="1736">
        <f>682638/10^7</f>
        <v>6.8263799999999999E-2</v>
      </c>
      <c r="G89" s="1736">
        <v>8.7949399999999997E-2</v>
      </c>
      <c r="H89" s="1736">
        <v>0.1061525</v>
      </c>
      <c r="I89" s="1736">
        <f>13719211.13/10^7</f>
        <v>1.3719211130000002</v>
      </c>
      <c r="J89" s="1711">
        <f>I89-1</f>
        <v>0.37192111300000019</v>
      </c>
      <c r="K89" s="1669">
        <f t="shared" ref="K89:S89" si="29">J89</f>
        <v>0.37192111300000019</v>
      </c>
      <c r="L89" s="1669">
        <f t="shared" si="29"/>
        <v>0.37192111300000019</v>
      </c>
      <c r="M89" s="1669">
        <f t="shared" si="29"/>
        <v>0.37192111300000019</v>
      </c>
      <c r="N89" s="1669">
        <f t="shared" si="29"/>
        <v>0.37192111300000019</v>
      </c>
      <c r="O89" s="1669">
        <f t="shared" si="29"/>
        <v>0.37192111300000019</v>
      </c>
      <c r="P89" s="1669">
        <f t="shared" si="29"/>
        <v>0.37192111300000019</v>
      </c>
      <c r="Q89" s="1669">
        <f t="shared" si="29"/>
        <v>0.37192111300000019</v>
      </c>
      <c r="R89" s="1669">
        <f t="shared" si="29"/>
        <v>0.37192111300000019</v>
      </c>
      <c r="S89" s="1669">
        <f t="shared" si="29"/>
        <v>0.37192111300000019</v>
      </c>
    </row>
    <row r="90" spans="1:19" s="1647" customFormat="1" x14ac:dyDescent="0.35">
      <c r="A90" s="583"/>
      <c r="B90" s="1673" t="s">
        <v>799</v>
      </c>
      <c r="C90" s="1667"/>
      <c r="D90" s="1668"/>
      <c r="E90" s="1736">
        <v>7.3562867000000004E-2</v>
      </c>
      <c r="F90" s="1736">
        <f>11473973/10^7</f>
        <v>1.1473973</v>
      </c>
      <c r="G90" s="1736">
        <v>0.47459440000000003</v>
      </c>
      <c r="H90" s="1736">
        <v>0.25633499999999998</v>
      </c>
      <c r="I90" s="1736">
        <v>0</v>
      </c>
      <c r="J90" s="1669">
        <f>I90</f>
        <v>0</v>
      </c>
      <c r="K90" s="1669">
        <f t="shared" ref="K90:S90" si="30">J90</f>
        <v>0</v>
      </c>
      <c r="L90" s="1669">
        <f t="shared" si="30"/>
        <v>0</v>
      </c>
      <c r="M90" s="1669">
        <f t="shared" si="30"/>
        <v>0</v>
      </c>
      <c r="N90" s="1669">
        <f t="shared" si="30"/>
        <v>0</v>
      </c>
      <c r="O90" s="1669">
        <f t="shared" si="30"/>
        <v>0</v>
      </c>
      <c r="P90" s="1669">
        <f t="shared" si="30"/>
        <v>0</v>
      </c>
      <c r="Q90" s="1669">
        <f t="shared" si="30"/>
        <v>0</v>
      </c>
      <c r="R90" s="1669">
        <f t="shared" si="30"/>
        <v>0</v>
      </c>
      <c r="S90" s="1669">
        <f t="shared" si="30"/>
        <v>0</v>
      </c>
    </row>
    <row r="91" spans="1:19" s="583" customFormat="1" x14ac:dyDescent="0.35">
      <c r="B91" s="1673" t="s">
        <v>800</v>
      </c>
      <c r="C91" s="1667"/>
      <c r="D91" s="1668"/>
      <c r="E91" s="1736">
        <v>2.8197211999999999E-2</v>
      </c>
      <c r="F91" s="1736">
        <v>0.02</v>
      </c>
      <c r="G91" s="1736">
        <v>7.3311899999999999E-2</v>
      </c>
      <c r="H91" s="1736">
        <v>0.106655</v>
      </c>
      <c r="I91" s="1736">
        <f>1363538/10^7</f>
        <v>0.1363538</v>
      </c>
      <c r="J91" s="1669">
        <f>I91</f>
        <v>0.1363538</v>
      </c>
      <c r="K91" s="1669">
        <f t="shared" ref="K91:S92" si="31">J91</f>
        <v>0.1363538</v>
      </c>
      <c r="L91" s="1669">
        <f t="shared" si="31"/>
        <v>0.1363538</v>
      </c>
      <c r="M91" s="1669">
        <f t="shared" si="31"/>
        <v>0.1363538</v>
      </c>
      <c r="N91" s="1669">
        <f t="shared" si="31"/>
        <v>0.1363538</v>
      </c>
      <c r="O91" s="1669">
        <f t="shared" si="31"/>
        <v>0.1363538</v>
      </c>
      <c r="P91" s="1669">
        <f t="shared" si="31"/>
        <v>0.1363538</v>
      </c>
      <c r="Q91" s="1669">
        <f t="shared" si="31"/>
        <v>0.1363538</v>
      </c>
      <c r="R91" s="1669">
        <f t="shared" si="31"/>
        <v>0.1363538</v>
      </c>
      <c r="S91" s="1669">
        <f t="shared" si="31"/>
        <v>0.1363538</v>
      </c>
    </row>
    <row r="92" spans="1:19" s="583" customFormat="1" x14ac:dyDescent="0.35">
      <c r="B92" s="1673" t="s">
        <v>849</v>
      </c>
      <c r="C92" s="1667"/>
      <c r="D92" s="1668"/>
      <c r="E92" s="1736">
        <v>0</v>
      </c>
      <c r="F92" s="1736">
        <v>0</v>
      </c>
      <c r="G92" s="1736">
        <v>0</v>
      </c>
      <c r="H92" s="1736">
        <v>0</v>
      </c>
      <c r="I92" s="1736">
        <f>355417.7/10^7</f>
        <v>3.554177E-2</v>
      </c>
      <c r="J92" s="1669">
        <v>0</v>
      </c>
      <c r="K92" s="1669">
        <f t="shared" si="31"/>
        <v>0</v>
      </c>
      <c r="L92" s="1669">
        <f t="shared" si="31"/>
        <v>0</v>
      </c>
      <c r="M92" s="1669">
        <f t="shared" si="31"/>
        <v>0</v>
      </c>
      <c r="N92" s="1669">
        <f t="shared" si="31"/>
        <v>0</v>
      </c>
      <c r="O92" s="1669">
        <f t="shared" si="31"/>
        <v>0</v>
      </c>
      <c r="P92" s="1669">
        <f t="shared" si="31"/>
        <v>0</v>
      </c>
      <c r="Q92" s="1669">
        <f t="shared" si="31"/>
        <v>0</v>
      </c>
      <c r="R92" s="1669">
        <f t="shared" si="31"/>
        <v>0</v>
      </c>
      <c r="S92" s="1669">
        <f t="shared" si="31"/>
        <v>0</v>
      </c>
    </row>
    <row r="93" spans="1:19" s="583" customFormat="1" x14ac:dyDescent="0.35">
      <c r="B93" s="1673" t="s">
        <v>795</v>
      </c>
      <c r="C93" s="1667"/>
      <c r="D93" s="1668"/>
      <c r="E93" s="1736">
        <v>0.4446659</v>
      </c>
      <c r="F93" s="1736">
        <v>0.10821706299999999</v>
      </c>
      <c r="G93" s="1736">
        <v>8.3385399999999998E-2</v>
      </c>
      <c r="H93" s="1736">
        <v>8.9484099999999997E-2</v>
      </c>
      <c r="I93" s="1736">
        <f>1010845.64/10^7</f>
        <v>0.101084564</v>
      </c>
      <c r="J93" s="1669">
        <f>I93</f>
        <v>0.101084564</v>
      </c>
      <c r="K93" s="1669">
        <f t="shared" ref="K93:S93" si="32">J93</f>
        <v>0.101084564</v>
      </c>
      <c r="L93" s="1669">
        <f t="shared" si="32"/>
        <v>0.101084564</v>
      </c>
      <c r="M93" s="1669">
        <f t="shared" si="32"/>
        <v>0.101084564</v>
      </c>
      <c r="N93" s="1669">
        <f t="shared" si="32"/>
        <v>0.101084564</v>
      </c>
      <c r="O93" s="1669">
        <f t="shared" si="32"/>
        <v>0.101084564</v>
      </c>
      <c r="P93" s="1669">
        <f t="shared" si="32"/>
        <v>0.101084564</v>
      </c>
      <c r="Q93" s="1669">
        <f t="shared" si="32"/>
        <v>0.101084564</v>
      </c>
      <c r="R93" s="1669">
        <f t="shared" si="32"/>
        <v>0.101084564</v>
      </c>
      <c r="S93" s="1669">
        <f t="shared" si="32"/>
        <v>0.101084564</v>
      </c>
    </row>
    <row r="94" spans="1:19" s="583" customFormat="1" x14ac:dyDescent="0.35">
      <c r="B94" s="1670" t="s">
        <v>801</v>
      </c>
      <c r="C94" s="1671"/>
      <c r="D94" s="487"/>
      <c r="E94" s="1672">
        <f t="shared" ref="E94:R94" si="33">SUM(E87:E93)</f>
        <v>0.41419317899999997</v>
      </c>
      <c r="F94" s="1672">
        <f t="shared" si="33"/>
        <v>2.8917861629999999</v>
      </c>
      <c r="G94" s="1672">
        <f t="shared" si="33"/>
        <v>1.0470486000000001</v>
      </c>
      <c r="H94" s="1672">
        <f t="shared" si="33"/>
        <v>5.6547922000000002</v>
      </c>
      <c r="I94" s="1672">
        <f t="shared" si="33"/>
        <v>1.6449012470000002</v>
      </c>
      <c r="J94" s="1672">
        <f t="shared" si="33"/>
        <v>0.60935947700000015</v>
      </c>
      <c r="K94" s="1672">
        <f t="shared" si="33"/>
        <v>0.60935947700000015</v>
      </c>
      <c r="L94" s="1672">
        <f t="shared" si="33"/>
        <v>0.60935947700000015</v>
      </c>
      <c r="M94" s="1672">
        <f t="shared" si="33"/>
        <v>0.60935947700000015</v>
      </c>
      <c r="N94" s="1672">
        <f t="shared" si="33"/>
        <v>0.60935947700000015</v>
      </c>
      <c r="O94" s="1672">
        <f t="shared" si="33"/>
        <v>0.60935947700000015</v>
      </c>
      <c r="P94" s="1672">
        <f t="shared" si="33"/>
        <v>0.60935947700000015</v>
      </c>
      <c r="Q94" s="1672">
        <f t="shared" si="33"/>
        <v>0.60935947700000015</v>
      </c>
      <c r="R94" s="1672">
        <f t="shared" si="33"/>
        <v>0.60935947700000015</v>
      </c>
      <c r="S94" s="1672">
        <f>SUM(S87:S93)</f>
        <v>0.60935947700000015</v>
      </c>
    </row>
    <row r="95" spans="1:19" s="583" customFormat="1" x14ac:dyDescent="0.35">
      <c r="B95" s="1647"/>
      <c r="C95" s="1648"/>
      <c r="D95" s="1647"/>
      <c r="E95" s="1647"/>
      <c r="F95" s="1647"/>
      <c r="G95" s="1649"/>
      <c r="H95" s="1649"/>
      <c r="I95" s="1649"/>
      <c r="J95" s="1649"/>
      <c r="K95" s="1649"/>
      <c r="L95" s="1649"/>
      <c r="M95" s="1649"/>
      <c r="N95" s="1649"/>
      <c r="O95" s="1649"/>
      <c r="P95" s="1649"/>
      <c r="Q95" s="1649"/>
      <c r="R95" s="1649"/>
      <c r="S95" s="1649"/>
    </row>
    <row r="96" spans="1:19" s="583" customFormat="1" x14ac:dyDescent="0.35">
      <c r="B96" s="130" t="s">
        <v>667</v>
      </c>
      <c r="C96" s="1636"/>
      <c r="D96" s="1637"/>
      <c r="E96" s="1637"/>
      <c r="F96" s="1637"/>
      <c r="G96" s="1674"/>
      <c r="H96" s="1674"/>
      <c r="I96" s="1674"/>
      <c r="J96" s="1674"/>
      <c r="K96" s="1674"/>
      <c r="L96" s="1674"/>
      <c r="M96" s="1674"/>
      <c r="N96" s="1674"/>
      <c r="O96" s="1674"/>
      <c r="P96" s="1674"/>
      <c r="Q96" s="1674"/>
      <c r="R96" s="1674"/>
      <c r="S96" s="1674"/>
    </row>
    <row r="97" spans="1:40" s="583" customFormat="1" x14ac:dyDescent="0.35">
      <c r="B97" s="1228" t="s">
        <v>86</v>
      </c>
      <c r="C97" s="1630" t="s">
        <v>30</v>
      </c>
      <c r="D97" s="1228"/>
      <c r="E97" s="311">
        <f>+'Stock movement'!E105+'Stock movement'!E98</f>
        <v>1131.6385399999999</v>
      </c>
      <c r="F97" s="311">
        <f>+'Stock movement'!F105+'Stock movement'!F98</f>
        <v>1077.2393400000001</v>
      </c>
      <c r="G97" s="311">
        <f>+'Stock movement'!G105+'Stock movement'!G98</f>
        <v>572.21398599999998</v>
      </c>
      <c r="H97" s="311">
        <f>+'Stock movement'!H105+'Stock movement'!H98</f>
        <v>909.03840000000002</v>
      </c>
      <c r="I97" s="311">
        <f>+'Stock movement'!I105+'Stock movement'!I98</f>
        <v>1605.80474</v>
      </c>
      <c r="J97" s="311">
        <f>+'Stock movement'!J105+'Stock movement'!J98+'Stock movement'!J114</f>
        <v>2000.6299039325943</v>
      </c>
      <c r="K97" s="311">
        <f>+'Stock movement'!K105+'Stock movement'!K98+'Stock movement'!K114</f>
        <v>2492.2618604534368</v>
      </c>
      <c r="L97" s="311">
        <f>+'Stock movement'!L105+'Stock movement'!L98+'Stock movement'!L114</f>
        <v>2557.537795177383</v>
      </c>
      <c r="M97" s="311">
        <f>+'Stock movement'!M105+'Stock movement'!M98+'Stock movement'!M114</f>
        <v>2592.9199182372504</v>
      </c>
      <c r="N97" s="311">
        <f>+'Stock movement'!N105+'Stock movement'!N98+'Stock movement'!N114</f>
        <v>2594.689024390244</v>
      </c>
      <c r="O97" s="311">
        <f>+'Stock movement'!O105+'Stock movement'!O98+'Stock movement'!O114</f>
        <v>2594.689024390244</v>
      </c>
      <c r="P97" s="311">
        <f>+'Stock movement'!P105+'Stock movement'!P98+'Stock movement'!P114</f>
        <v>2594.689024390244</v>
      </c>
      <c r="Q97" s="311">
        <f>+'Stock movement'!Q105+'Stock movement'!Q98+'Stock movement'!Q114</f>
        <v>2594.689024390244</v>
      </c>
      <c r="R97" s="311">
        <f>+'Stock movement'!R105+'Stock movement'!R98+'Stock movement'!R114</f>
        <v>2594.689024390244</v>
      </c>
      <c r="S97" s="311">
        <f>+'Stock movement'!S105+'Stock movement'!S98+'Stock movement'!S114</f>
        <v>2594.689024390244</v>
      </c>
    </row>
    <row r="98" spans="1:40" s="1647" customFormat="1" x14ac:dyDescent="0.35">
      <c r="A98" s="583"/>
      <c r="B98" s="1632" t="s">
        <v>668</v>
      </c>
      <c r="C98" s="1630"/>
      <c r="D98" s="1228"/>
      <c r="E98" s="311"/>
      <c r="F98" s="311"/>
      <c r="G98" s="311"/>
      <c r="H98" s="311"/>
      <c r="I98" s="311"/>
      <c r="J98" s="311"/>
      <c r="K98" s="311"/>
      <c r="L98" s="311"/>
      <c r="M98" s="311"/>
      <c r="N98" s="311"/>
      <c r="O98" s="311"/>
      <c r="P98" s="311"/>
      <c r="Q98" s="311"/>
      <c r="R98" s="311"/>
      <c r="S98" s="311"/>
    </row>
    <row r="99" spans="1:40" s="1647" customFormat="1" x14ac:dyDescent="0.35">
      <c r="A99" s="583"/>
      <c r="B99" s="1228" t="s">
        <v>87</v>
      </c>
      <c r="C99" s="1630" t="s">
        <v>88</v>
      </c>
      <c r="D99" s="1228"/>
      <c r="E99" s="311">
        <f t="shared" ref="E99:I99" si="34">+E23+E24+E26</f>
        <v>114.73709615099999</v>
      </c>
      <c r="F99" s="311">
        <f t="shared" si="34"/>
        <v>37.785777699999997</v>
      </c>
      <c r="G99" s="311">
        <f t="shared" si="34"/>
        <v>68.339900514999997</v>
      </c>
      <c r="H99" s="311">
        <f t="shared" si="34"/>
        <v>167.77144807099998</v>
      </c>
      <c r="I99" s="311">
        <f t="shared" si="34"/>
        <v>460.90728095420008</v>
      </c>
      <c r="J99" s="311">
        <f t="shared" ref="J99:S99" si="35">+J23+J24+J26+J25</f>
        <v>721.67112120731701</v>
      </c>
      <c r="K99" s="311">
        <f t="shared" si="35"/>
        <v>943.94786707317076</v>
      </c>
      <c r="L99" s="311">
        <f t="shared" si="35"/>
        <v>976.32439671951204</v>
      </c>
      <c r="M99" s="311">
        <f t="shared" si="35"/>
        <v>1009.618408404878</v>
      </c>
      <c r="N99" s="311">
        <f t="shared" si="35"/>
        <v>1029.8107765729756</v>
      </c>
      <c r="O99" s="311">
        <f t="shared" si="35"/>
        <v>1050.4069921044349</v>
      </c>
      <c r="P99" s="311">
        <f t="shared" si="35"/>
        <v>1071.4151319465238</v>
      </c>
      <c r="Q99" s="311">
        <f t="shared" si="35"/>
        <v>1092.8434345854544</v>
      </c>
      <c r="R99" s="311">
        <f t="shared" si="35"/>
        <v>1114.7003032771634</v>
      </c>
      <c r="S99" s="311">
        <f t="shared" si="35"/>
        <v>1136.9943093427066</v>
      </c>
      <c r="AL99" s="1675"/>
    </row>
    <row r="100" spans="1:40" s="1647" customFormat="1" x14ac:dyDescent="0.35">
      <c r="A100" s="583"/>
      <c r="B100" s="1228" t="s">
        <v>957</v>
      </c>
      <c r="C100" s="1630" t="s">
        <v>88</v>
      </c>
      <c r="D100" s="1228"/>
      <c r="E100" s="311">
        <f t="shared" ref="E100:S100" si="36">+E30</f>
        <v>14.610225606</v>
      </c>
      <c r="F100" s="311">
        <f t="shared" si="36"/>
        <v>10.381203936000002</v>
      </c>
      <c r="G100" s="311">
        <f t="shared" si="36"/>
        <v>3.7504829149999992</v>
      </c>
      <c r="H100" s="311">
        <f t="shared" si="36"/>
        <v>5.3538282950000013</v>
      </c>
      <c r="I100" s="311">
        <f t="shared" si="36"/>
        <v>18.359548348000001</v>
      </c>
      <c r="J100" s="311">
        <f t="shared" si="36"/>
        <v>16.365772095432373</v>
      </c>
      <c r="K100" s="311">
        <f t="shared" si="36"/>
        <v>20.595226190687363</v>
      </c>
      <c r="L100" s="311">
        <f t="shared" si="36"/>
        <v>21.301623201152992</v>
      </c>
      <c r="M100" s="311">
        <f t="shared" si="36"/>
        <v>22.028038001560976</v>
      </c>
      <c r="N100" s="311">
        <f t="shared" si="36"/>
        <v>22.468598761592197</v>
      </c>
      <c r="O100" s="311">
        <f t="shared" si="36"/>
        <v>22.917970736824046</v>
      </c>
      <c r="P100" s="311">
        <f t="shared" si="36"/>
        <v>23.376330151560527</v>
      </c>
      <c r="Q100" s="311">
        <f t="shared" si="36"/>
        <v>23.843856754591737</v>
      </c>
      <c r="R100" s="311">
        <f t="shared" si="36"/>
        <v>24.320733889683574</v>
      </c>
      <c r="S100" s="311">
        <f t="shared" si="36"/>
        <v>24.807148567477242</v>
      </c>
      <c r="AL100" s="1676"/>
      <c r="AM100" s="1677"/>
      <c r="AN100" s="1678"/>
    </row>
    <row r="101" spans="1:40" s="583" customFormat="1" x14ac:dyDescent="0.35">
      <c r="B101" s="1228" t="s">
        <v>89</v>
      </c>
      <c r="C101" s="1630" t="s">
        <v>88</v>
      </c>
      <c r="D101" s="1228"/>
      <c r="E101" s="311">
        <f>(+D114*D121+D115*D122-E114*E121-E115*E122)/100</f>
        <v>-5.1282059000000029</v>
      </c>
      <c r="F101" s="311">
        <f>(+E114*E121+E115*E122-F114*F121-F115*F122)/100</f>
        <v>-3.4162101000000007</v>
      </c>
      <c r="G101" s="311">
        <f t="shared" ref="G101:I101" si="37">(+F114*F121+F115*F122-G114*G121-G115*G122)/100</f>
        <v>-9.9547665999999957</v>
      </c>
      <c r="H101" s="311">
        <f t="shared" si="37"/>
        <v>-17.549982250000006</v>
      </c>
      <c r="I101" s="311">
        <f t="shared" si="37"/>
        <v>5.4223823999999921</v>
      </c>
      <c r="J101" s="311">
        <f>(+I114*I121+I115*I122-J114*J121-J115*J122)/100</f>
        <v>-4.0354352853658426</v>
      </c>
      <c r="K101" s="311">
        <f>(+J114*J121+J115*J122-K114*K121-K115*K122)/100</f>
        <v>-12.535175618292678</v>
      </c>
      <c r="L101" s="311">
        <f t="shared" ref="L101:S101" si="38">(+K114*K121+K115*K122-L114*L121-L115*L122)/100</f>
        <v>-1.6188264823170722</v>
      </c>
      <c r="M101" s="311">
        <f t="shared" si="38"/>
        <v>-1.6647005842682938</v>
      </c>
      <c r="N101" s="311">
        <f t="shared" si="38"/>
        <v>-1.0096184084048765</v>
      </c>
      <c r="O101" s="311">
        <f t="shared" si="38"/>
        <v>-1.0298107765729765</v>
      </c>
      <c r="P101" s="311">
        <f t="shared" si="38"/>
        <v>-1.0504069921044357</v>
      </c>
      <c r="Q101" s="311">
        <f t="shared" si="38"/>
        <v>-1.0714151319465328</v>
      </c>
      <c r="R101" s="311">
        <f t="shared" si="38"/>
        <v>-1.0928434345854567</v>
      </c>
      <c r="S101" s="311">
        <f t="shared" si="38"/>
        <v>-1.114700303277159</v>
      </c>
      <c r="AL101" s="554"/>
    </row>
    <row r="102" spans="1:40" s="583" customFormat="1" x14ac:dyDescent="0.35">
      <c r="B102" s="1228" t="s">
        <v>90</v>
      </c>
      <c r="C102" s="1630" t="s">
        <v>88</v>
      </c>
      <c r="D102" s="1228"/>
      <c r="E102" s="311">
        <f t="shared" ref="E102:S102" si="39">+E32</f>
        <v>12.196434129</v>
      </c>
      <c r="F102" s="311">
        <f t="shared" si="39"/>
        <v>13.289990165000003</v>
      </c>
      <c r="G102" s="311">
        <f t="shared" si="39"/>
        <v>14.605847161</v>
      </c>
      <c r="H102" s="311">
        <f t="shared" si="39"/>
        <v>20.804577266999999</v>
      </c>
      <c r="I102" s="311">
        <f t="shared" si="39"/>
        <v>28.147865374999999</v>
      </c>
      <c r="J102" s="311">
        <f t="shared" si="39"/>
        <v>30.9626519125</v>
      </c>
      <c r="K102" s="311">
        <f t="shared" si="39"/>
        <v>34.058917103750005</v>
      </c>
      <c r="L102" s="311">
        <f t="shared" si="39"/>
        <v>37.464808814125007</v>
      </c>
      <c r="M102" s="311">
        <f t="shared" si="39"/>
        <v>41.211289695537509</v>
      </c>
      <c r="N102" s="311">
        <f t="shared" si="39"/>
        <v>44.508192871180512</v>
      </c>
      <c r="O102" s="311">
        <f t="shared" si="39"/>
        <v>48.068848300874954</v>
      </c>
      <c r="P102" s="311">
        <f t="shared" si="39"/>
        <v>51.914356164944955</v>
      </c>
      <c r="Q102" s="311">
        <f t="shared" si="39"/>
        <v>56.067504658140557</v>
      </c>
      <c r="R102" s="311">
        <f t="shared" si="39"/>
        <v>60.552905030791806</v>
      </c>
      <c r="S102" s="311">
        <f t="shared" si="39"/>
        <v>65.397137433255153</v>
      </c>
      <c r="T102" s="1647"/>
      <c r="U102" s="1647"/>
      <c r="V102" s="1647"/>
      <c r="W102" s="1647"/>
      <c r="X102" s="1647"/>
      <c r="Y102" s="1647"/>
      <c r="Z102" s="1647"/>
      <c r="AA102" s="1647"/>
      <c r="AB102" s="1647"/>
      <c r="AC102" s="1647"/>
      <c r="AD102" s="1647"/>
      <c r="AE102" s="1647"/>
      <c r="AF102" s="1647"/>
      <c r="AG102" s="1647"/>
      <c r="AH102" s="1647"/>
      <c r="AI102" s="1647"/>
      <c r="AJ102" s="1647"/>
      <c r="AK102" s="1647"/>
      <c r="AL102" s="1675"/>
    </row>
    <row r="103" spans="1:40" s="583" customFormat="1" x14ac:dyDescent="0.35">
      <c r="B103" s="1228" t="s">
        <v>54</v>
      </c>
      <c r="C103" s="1630" t="s">
        <v>88</v>
      </c>
      <c r="D103" s="1228"/>
      <c r="E103" s="63">
        <f>'Plant-wise details'!F1474</f>
        <v>15.1441947</v>
      </c>
      <c r="F103" s="63">
        <f>'Plant-wise details'!G1474</f>
        <v>15.029486441999998</v>
      </c>
      <c r="G103" s="63">
        <f>'Plant-wise details'!H1474</f>
        <v>17.206112699999998</v>
      </c>
      <c r="H103" s="63">
        <f>'Plant-wise details'!I1474</f>
        <v>18</v>
      </c>
      <c r="I103" s="63">
        <f>'Plant-wise details'!J1474</f>
        <v>18.47</v>
      </c>
      <c r="J103" s="63">
        <f>'Fixed Asset schedule'!J81</f>
        <v>16.990574210359934</v>
      </c>
      <c r="K103" s="63">
        <f>'Fixed Asset schedule'!K81</f>
        <v>17.029230811068253</v>
      </c>
      <c r="L103" s="63">
        <f>'Fixed Asset schedule'!L81</f>
        <v>17.067887411776578</v>
      </c>
      <c r="M103" s="63">
        <f>'Fixed Asset schedule'!M81</f>
        <v>17.1065440124849</v>
      </c>
      <c r="N103" s="63">
        <f>'Fixed Asset schedule'!N81</f>
        <v>17.108288492128537</v>
      </c>
      <c r="O103" s="63">
        <f>'Fixed Asset schedule'!O81</f>
        <v>17.114464645920453</v>
      </c>
      <c r="P103" s="63">
        <f>'Fixed Asset schedule'!P81</f>
        <v>17.153121246628775</v>
      </c>
      <c r="Q103" s="63">
        <f>'Fixed Asset schedule'!Q81</f>
        <v>17.191777847337097</v>
      </c>
      <c r="R103" s="63">
        <f>'Fixed Asset schedule'!R81</f>
        <v>17.226189967230628</v>
      </c>
      <c r="S103" s="63">
        <f>'Fixed Asset schedule'!S81</f>
        <v>16.828030372012876</v>
      </c>
    </row>
    <row r="104" spans="1:40" s="583" customFormat="1" x14ac:dyDescent="0.35">
      <c r="B104" s="1228" t="s">
        <v>669</v>
      </c>
      <c r="C104" s="1630" t="s">
        <v>88</v>
      </c>
      <c r="D104" s="1228"/>
      <c r="E104" s="63">
        <f t="shared" ref="E104:S104" si="40">+E76-E68</f>
        <v>89.882608422000033</v>
      </c>
      <c r="F104" s="63">
        <f t="shared" si="40"/>
        <v>102.662250093</v>
      </c>
      <c r="G104" s="63">
        <f t="shared" si="40"/>
        <v>93.38386825500001</v>
      </c>
      <c r="H104" s="63">
        <f t="shared" si="40"/>
        <v>205.14932369800005</v>
      </c>
      <c r="I104" s="63">
        <f t="shared" si="40"/>
        <v>215.29245624399996</v>
      </c>
      <c r="J104" s="63">
        <f t="shared" si="40"/>
        <v>201.92536231014194</v>
      </c>
      <c r="K104" s="63">
        <f t="shared" si="40"/>
        <v>250.27434669589007</v>
      </c>
      <c r="L104" s="63">
        <f t="shared" si="40"/>
        <v>258.60002663271609</v>
      </c>
      <c r="M104" s="63">
        <f t="shared" si="40"/>
        <v>264.18325936064025</v>
      </c>
      <c r="N104" s="63">
        <f t="shared" si="40"/>
        <v>266.59886028767647</v>
      </c>
      <c r="O104" s="63">
        <f t="shared" si="40"/>
        <v>268.88888197893448</v>
      </c>
      <c r="P104" s="63">
        <f t="shared" si="40"/>
        <v>271.22470410401763</v>
      </c>
      <c r="Q104" s="63">
        <f t="shared" si="40"/>
        <v>273.60724267160259</v>
      </c>
      <c r="R104" s="63">
        <f t="shared" si="40"/>
        <v>276.03743201053902</v>
      </c>
      <c r="S104" s="63">
        <f t="shared" si="40"/>
        <v>278.51622513625438</v>
      </c>
    </row>
    <row r="105" spans="1:40" s="583" customFormat="1" x14ac:dyDescent="0.35">
      <c r="B105" s="1228" t="s">
        <v>93</v>
      </c>
      <c r="C105" s="1630" t="s">
        <v>88</v>
      </c>
      <c r="D105" s="1228"/>
      <c r="E105" s="311">
        <f t="shared" ref="E105:S105" si="41">-E15-E13-E14</f>
        <v>-19.464732665</v>
      </c>
      <c r="F105" s="311">
        <f t="shared" si="41"/>
        <v>-15.756433020000001</v>
      </c>
      <c r="G105" s="311">
        <f t="shared" si="41"/>
        <v>-9.3348397589999994</v>
      </c>
      <c r="H105" s="311">
        <f t="shared" si="41"/>
        <v>-10.944900458999999</v>
      </c>
      <c r="I105" s="311">
        <f t="shared" si="41"/>
        <v>-21.069709488000001</v>
      </c>
      <c r="J105" s="311">
        <f t="shared" si="41"/>
        <v>-4.4491921517600002</v>
      </c>
      <c r="K105" s="311">
        <f t="shared" si="41"/>
        <v>-4.5381759947952007</v>
      </c>
      <c r="L105" s="311">
        <f t="shared" si="41"/>
        <v>-4.6289395146911048</v>
      </c>
      <c r="M105" s="311">
        <f t="shared" si="41"/>
        <v>-4.7215183049849268</v>
      </c>
      <c r="N105" s="311">
        <f t="shared" si="41"/>
        <v>-4.8159486710846249</v>
      </c>
      <c r="O105" s="311">
        <f t="shared" si="41"/>
        <v>-4.9122676445063176</v>
      </c>
      <c r="P105" s="311">
        <f t="shared" si="41"/>
        <v>-5.0105129973964448</v>
      </c>
      <c r="Q105" s="311">
        <f t="shared" si="41"/>
        <v>-5.1107232573443735</v>
      </c>
      <c r="R105" s="311">
        <f t="shared" si="41"/>
        <v>-5.2129377224912608</v>
      </c>
      <c r="S105" s="311">
        <f t="shared" si="41"/>
        <v>-5.3171964769410858</v>
      </c>
    </row>
    <row r="106" spans="1:40" s="583" customFormat="1" x14ac:dyDescent="0.35">
      <c r="B106" s="138" t="s">
        <v>91</v>
      </c>
      <c r="C106" s="1631" t="s">
        <v>88</v>
      </c>
      <c r="D106" s="138"/>
      <c r="E106" s="177">
        <f>SUM(E99:E105)</f>
        <v>221.97762044300003</v>
      </c>
      <c r="F106" s="177">
        <f>SUM(F99:F105)</f>
        <v>159.97606521599999</v>
      </c>
      <c r="G106" s="177">
        <f t="shared" ref="G106:R106" si="42">SUM(G99:G105)</f>
        <v>177.996605187</v>
      </c>
      <c r="H106" s="177">
        <f t="shared" si="42"/>
        <v>388.58429462200002</v>
      </c>
      <c r="I106" s="177">
        <f t="shared" si="42"/>
        <v>725.5298238332</v>
      </c>
      <c r="J106" s="177">
        <f t="shared" si="42"/>
        <v>979.43085429862538</v>
      </c>
      <c r="K106" s="177">
        <f t="shared" si="42"/>
        <v>1248.8322362614786</v>
      </c>
      <c r="L106" s="177">
        <f t="shared" si="42"/>
        <v>1304.5109767822744</v>
      </c>
      <c r="M106" s="177">
        <f t="shared" si="42"/>
        <v>1347.7613205858484</v>
      </c>
      <c r="N106" s="177">
        <f t="shared" si="42"/>
        <v>1374.6691499060637</v>
      </c>
      <c r="O106" s="177">
        <f t="shared" si="42"/>
        <v>1401.4550793459098</v>
      </c>
      <c r="P106" s="177">
        <f t="shared" si="42"/>
        <v>1429.0227236241751</v>
      </c>
      <c r="Q106" s="177">
        <f t="shared" si="42"/>
        <v>1457.3716781278356</v>
      </c>
      <c r="R106" s="177">
        <f t="shared" si="42"/>
        <v>1486.5317830183319</v>
      </c>
      <c r="S106" s="177">
        <f>SUM(S99:S105)</f>
        <v>1516.1109540714881</v>
      </c>
    </row>
    <row r="107" spans="1:40" s="1647" customFormat="1" x14ac:dyDescent="0.35">
      <c r="A107" s="583"/>
      <c r="B107" s="1228" t="s">
        <v>85</v>
      </c>
      <c r="C107" s="1630" t="s">
        <v>49</v>
      </c>
      <c r="D107" s="1228"/>
      <c r="E107" s="311">
        <f>+E106*100/E97</f>
        <v>19.615593901830177</v>
      </c>
      <c r="F107" s="311">
        <f>+F106*100/F97</f>
        <v>14.850559135354263</v>
      </c>
      <c r="G107" s="311">
        <f t="shared" ref="G107:R107" si="43">+G106*100/G97</f>
        <v>31.106650578617629</v>
      </c>
      <c r="H107" s="311">
        <f t="shared" si="43"/>
        <v>42.746741460206742</v>
      </c>
      <c r="I107" s="311">
        <f t="shared" si="43"/>
        <v>45.181696489026436</v>
      </c>
      <c r="J107" s="311">
        <f t="shared" si="43"/>
        <v>48.95612388745063</v>
      </c>
      <c r="K107" s="311">
        <f t="shared" si="43"/>
        <v>50.108387729139693</v>
      </c>
      <c r="L107" s="311">
        <f t="shared" si="43"/>
        <v>51.006518036297386</v>
      </c>
      <c r="M107" s="311">
        <f t="shared" si="43"/>
        <v>51.978517003413643</v>
      </c>
      <c r="N107" s="311">
        <f t="shared" si="43"/>
        <v>52.980111951146561</v>
      </c>
      <c r="O107" s="311">
        <f t="shared" si="43"/>
        <v>54.012448743265253</v>
      </c>
      <c r="P107" s="311">
        <f t="shared" si="43"/>
        <v>55.074913031629976</v>
      </c>
      <c r="Q107" s="311">
        <f t="shared" si="43"/>
        <v>56.16748922234796</v>
      </c>
      <c r="R107" s="311">
        <f t="shared" si="43"/>
        <v>57.291327363118945</v>
      </c>
      <c r="S107" s="311">
        <f t="shared" ref="S107" si="44">+S106*100/S97</f>
        <v>58.431316424432666</v>
      </c>
    </row>
    <row r="108" spans="1:40" s="1647" customFormat="1" x14ac:dyDescent="0.35">
      <c r="A108" s="583"/>
      <c r="B108" s="1228" t="s">
        <v>92</v>
      </c>
      <c r="C108" s="1630" t="s">
        <v>49</v>
      </c>
      <c r="D108" s="1228"/>
      <c r="E108" s="311">
        <f>+('Stock movement'!E101*Assumptions!E120+Assumptions!E121*'Stock movement'!E108)/('Stock movement'!E101+'Stock movement'!E108)</f>
        <v>39.412999999999997</v>
      </c>
      <c r="F108" s="311">
        <f>+('Stock movement'!F101*Assumptions!F120+Assumptions!F121*'Stock movement'!F108)/('Stock movement'!F101+'Stock movement'!F108)</f>
        <v>40.118000000000002</v>
      </c>
      <c r="G108" s="311">
        <f>+('Stock movement'!G101*Assumptions!G120+Assumptions!G121*'Stock movement'!G108)/('Stock movement'!G101+'Stock movement'!G108)</f>
        <v>41.640999999999998</v>
      </c>
      <c r="H108" s="311">
        <f>+('Stock movement'!H101*Assumptions!H120+Assumptions!H121*'Stock movement'!H108)/('Stock movement'!H101+'Stock movement'!H108)</f>
        <v>48.514152737068969</v>
      </c>
      <c r="I108" s="63">
        <f>+('Stock movement'!I101*Assumptions!I120+Assumptions!I121*'Stock movement'!I108)/('Stock movement'!I101+'Stock movement'!I108)</f>
        <v>48.262797045320454</v>
      </c>
      <c r="J108" s="63">
        <f>+('Stock movement'!J101*Assumptions!J120+Assumptions!J121*'Stock movement'!J108)/('Stock movement'!J101+'Stock movement'!J108)</f>
        <v>59.475835999999994</v>
      </c>
      <c r="K108" s="63">
        <f>+('Stock movement'!K101*Assumptions!K120+Assumptions!K121*'Stock movement'!K108)/('Stock movement'!K101+'Stock movement'!K108)</f>
        <v>60.261600000000008</v>
      </c>
      <c r="L108" s="63">
        <f>+('Stock movement'!L101*Assumptions!L120+Assumptions!L121*'Stock movement'!L108)/('Stock movement'!L101+'Stock movement'!L108)</f>
        <v>61.466832000000004</v>
      </c>
      <c r="M108" s="63">
        <f>+('Stock movement'!M101*Assumptions!M120+Assumptions!M121*'Stock movement'!M108)/('Stock movement'!M101+'Stock movement'!M108)</f>
        <v>62.696168640000003</v>
      </c>
      <c r="N108" s="63">
        <f>+('Stock movement'!N101*Assumptions!N120+Assumptions!N121*'Stock movement'!N108)/('Stock movement'!N101+'Stock movement'!N108)</f>
        <v>63.950092012800006</v>
      </c>
      <c r="O108" s="63">
        <f>+('Stock movement'!O101*Assumptions!O120+Assumptions!O121*'Stock movement'!O108)/('Stock movement'!O101+'Stock movement'!O108)</f>
        <v>65.229093853056014</v>
      </c>
      <c r="P108" s="63">
        <f>+('Stock movement'!P101*Assumptions!P120+Assumptions!P121*'Stock movement'!P108)/('Stock movement'!P101+'Stock movement'!P108)</f>
        <v>66.533675730117139</v>
      </c>
      <c r="Q108" s="63">
        <f>+('Stock movement'!Q101*Assumptions!Q120+Assumptions!Q121*'Stock movement'!Q108)/('Stock movement'!Q101+'Stock movement'!Q108)</f>
        <v>67.864349244719477</v>
      </c>
      <c r="R108" s="63">
        <f>+('Stock movement'!R101*Assumptions!R120+Assumptions!R121*'Stock movement'!R108)/('Stock movement'!R101+'Stock movement'!R108)</f>
        <v>69.221636229613864</v>
      </c>
      <c r="S108" s="63">
        <f>+('Stock movement'!S101*Assumptions!S120+Assumptions!S121*'Stock movement'!S108)/('Stock movement'!S101+'Stock movement'!S108)</f>
        <v>70.606068954206137</v>
      </c>
    </row>
    <row r="109" spans="1:40" s="261" customFormat="1" x14ac:dyDescent="0.35">
      <c r="A109" s="583"/>
      <c r="B109" s="1228" t="s">
        <v>94</v>
      </c>
      <c r="C109" s="1630" t="s">
        <v>49</v>
      </c>
      <c r="D109" s="1228"/>
      <c r="E109" s="311">
        <f>MIN(E107:E108)</f>
        <v>19.615593901830177</v>
      </c>
      <c r="F109" s="311">
        <f>MIN(F107:F108)</f>
        <v>14.850559135354263</v>
      </c>
      <c r="G109" s="311">
        <f t="shared" ref="G109:R109" si="45">MIN(G107:G108)</f>
        <v>31.106650578617629</v>
      </c>
      <c r="H109" s="311">
        <f t="shared" si="45"/>
        <v>42.746741460206742</v>
      </c>
      <c r="I109" s="311">
        <f t="shared" si="45"/>
        <v>45.181696489026436</v>
      </c>
      <c r="J109" s="311">
        <f t="shared" si="45"/>
        <v>48.95612388745063</v>
      </c>
      <c r="K109" s="311">
        <f t="shared" si="45"/>
        <v>50.108387729139693</v>
      </c>
      <c r="L109" s="311">
        <f t="shared" si="45"/>
        <v>51.006518036297386</v>
      </c>
      <c r="M109" s="311">
        <f t="shared" si="45"/>
        <v>51.978517003413643</v>
      </c>
      <c r="N109" s="311">
        <f t="shared" si="45"/>
        <v>52.980111951146561</v>
      </c>
      <c r="O109" s="311">
        <f t="shared" si="45"/>
        <v>54.012448743265253</v>
      </c>
      <c r="P109" s="311">
        <f t="shared" si="45"/>
        <v>55.074913031629976</v>
      </c>
      <c r="Q109" s="311">
        <f t="shared" si="45"/>
        <v>56.16748922234796</v>
      </c>
      <c r="R109" s="311">
        <f t="shared" si="45"/>
        <v>57.291327363118945</v>
      </c>
      <c r="S109" s="311">
        <f t="shared" ref="S109" si="46">MIN(S107:S108)</f>
        <v>58.431316424432666</v>
      </c>
    </row>
    <row r="110" spans="1:40" s="261" customFormat="1" x14ac:dyDescent="0.35">
      <c r="A110" s="583"/>
      <c r="B110" s="1679" t="s">
        <v>416</v>
      </c>
      <c r="C110" s="1630" t="s">
        <v>373</v>
      </c>
      <c r="D110" s="1679"/>
      <c r="E110" s="1680">
        <f>+E107/E108</f>
        <v>0.49769349965316467</v>
      </c>
      <c r="F110" s="1680">
        <f>+F107/F108</f>
        <v>0.37017197106920241</v>
      </c>
      <c r="G110" s="1680">
        <f t="shared" ref="G110:R110" si="47">+G107/G108</f>
        <v>0.74701977807011433</v>
      </c>
      <c r="H110" s="1680">
        <f t="shared" si="47"/>
        <v>0.88111899411869088</v>
      </c>
      <c r="I110" s="1680">
        <f t="shared" si="47"/>
        <v>0.93615992555506555</v>
      </c>
      <c r="J110" s="1680">
        <f t="shared" si="47"/>
        <v>0.82312628421819301</v>
      </c>
      <c r="K110" s="1680">
        <f t="shared" si="47"/>
        <v>0.83151439273334404</v>
      </c>
      <c r="L110" s="1680">
        <f t="shared" si="47"/>
        <v>0.82982181408499112</v>
      </c>
      <c r="M110" s="1680">
        <f t="shared" si="47"/>
        <v>0.82905412134309397</v>
      </c>
      <c r="N110" s="1680">
        <f t="shared" si="47"/>
        <v>0.82846029276302313</v>
      </c>
      <c r="O110" s="1680">
        <f t="shared" si="47"/>
        <v>0.8280422975818289</v>
      </c>
      <c r="P110" s="1680">
        <f t="shared" si="47"/>
        <v>0.82777499405011468</v>
      </c>
      <c r="Q110" s="1680">
        <f t="shared" si="47"/>
        <v>0.82764352487647774</v>
      </c>
      <c r="R110" s="1680">
        <f t="shared" si="47"/>
        <v>0.82765057984296841</v>
      </c>
      <c r="S110" s="1680">
        <f t="shared" ref="S110" si="48">+S107/S108</f>
        <v>0.82756790301312766</v>
      </c>
    </row>
    <row r="111" spans="1:40" s="261" customFormat="1" x14ac:dyDescent="0.35">
      <c r="A111" s="583"/>
      <c r="B111" s="1647"/>
      <c r="C111" s="1648"/>
      <c r="D111" s="1647"/>
      <c r="E111" s="1647"/>
      <c r="F111" s="1647"/>
      <c r="G111" s="1647"/>
      <c r="H111" s="1647"/>
      <c r="I111" s="1677"/>
      <c r="J111" s="1647"/>
      <c r="K111" s="1647"/>
      <c r="L111" s="1647"/>
      <c r="M111" s="1647"/>
      <c r="N111" s="1647"/>
      <c r="O111" s="1647"/>
      <c r="P111" s="1647"/>
      <c r="Q111" s="1647"/>
      <c r="R111" s="1647"/>
      <c r="S111" s="1647"/>
    </row>
    <row r="112" spans="1:40" s="261" customFormat="1" x14ac:dyDescent="0.35">
      <c r="A112" s="583"/>
      <c r="B112" s="138" t="s">
        <v>249</v>
      </c>
      <c r="C112" s="1681"/>
      <c r="D112" s="139"/>
      <c r="E112" s="139"/>
      <c r="F112" s="139"/>
      <c r="G112" s="139"/>
      <c r="H112" s="139"/>
      <c r="I112" s="139"/>
      <c r="J112" s="139"/>
      <c r="K112" s="139"/>
      <c r="L112" s="139"/>
      <c r="M112" s="139"/>
      <c r="N112" s="139"/>
      <c r="O112" s="139"/>
      <c r="P112" s="139"/>
      <c r="Q112" s="139"/>
      <c r="R112" s="139"/>
      <c r="S112" s="139"/>
    </row>
    <row r="113" spans="1:36" s="261" customFormat="1" x14ac:dyDescent="0.35">
      <c r="A113" s="583"/>
      <c r="B113" s="106" t="s">
        <v>315</v>
      </c>
      <c r="C113" s="1627"/>
      <c r="D113" s="581"/>
      <c r="E113" s="581"/>
      <c r="F113" s="581"/>
      <c r="G113" s="581"/>
      <c r="H113" s="581"/>
      <c r="I113" s="581"/>
      <c r="J113" s="581"/>
      <c r="K113" s="581"/>
      <c r="L113" s="581"/>
      <c r="M113" s="581"/>
      <c r="N113" s="581"/>
      <c r="O113" s="581"/>
      <c r="P113" s="581"/>
      <c r="Q113" s="581"/>
      <c r="R113" s="581"/>
      <c r="S113" s="581"/>
    </row>
    <row r="114" spans="1:36" s="261" customFormat="1" x14ac:dyDescent="0.35">
      <c r="A114" s="583"/>
      <c r="B114" s="145" t="s">
        <v>18</v>
      </c>
      <c r="C114" s="1627" t="s">
        <v>5</v>
      </c>
      <c r="D114" s="63"/>
      <c r="E114" s="63">
        <f>+'Stock movement'!E76</f>
        <v>5.1282059000000029</v>
      </c>
      <c r="F114" s="63">
        <f>+'Stock movement'!F76</f>
        <v>4.2722080000000018</v>
      </c>
      <c r="G114" s="63">
        <f>+'Stock movement'!G76</f>
        <v>6.1663942</v>
      </c>
      <c r="H114" s="63">
        <f>+'Stock movement'!H76</f>
        <v>1.7694217999999997</v>
      </c>
      <c r="I114" s="63">
        <f>+'Stock movement'!I76</f>
        <v>0.26170570000000798</v>
      </c>
      <c r="J114" s="63">
        <f>+'Stock movement'!J76</f>
        <v>0</v>
      </c>
      <c r="K114" s="63">
        <f>+'Stock movement'!K76</f>
        <v>0</v>
      </c>
      <c r="L114" s="63">
        <f>+'Stock movement'!L76</f>
        <v>0</v>
      </c>
      <c r="M114" s="63">
        <f>+'Stock movement'!M76</f>
        <v>0</v>
      </c>
      <c r="N114" s="63">
        <f>+'Stock movement'!N76</f>
        <v>0</v>
      </c>
      <c r="O114" s="63">
        <f>+'Stock movement'!O76</f>
        <v>0</v>
      </c>
      <c r="P114" s="63">
        <f>+'Stock movement'!P76</f>
        <v>0</v>
      </c>
      <c r="Q114" s="63">
        <f>+'Stock movement'!Q76</f>
        <v>0</v>
      </c>
      <c r="R114" s="63">
        <f>+'Stock movement'!R76</f>
        <v>0</v>
      </c>
      <c r="S114" s="63">
        <f>+'Stock movement'!S76</f>
        <v>0</v>
      </c>
    </row>
    <row r="115" spans="1:36" s="261" customFormat="1" x14ac:dyDescent="0.35">
      <c r="A115" s="583"/>
      <c r="B115" s="145" t="s">
        <v>19</v>
      </c>
      <c r="C115" s="1627" t="s">
        <v>5</v>
      </c>
      <c r="D115" s="63"/>
      <c r="E115" s="63">
        <f>+'Stock movement'!E85</f>
        <v>0</v>
      </c>
      <c r="F115" s="63">
        <f>+'Stock movement'!F85</f>
        <v>0</v>
      </c>
      <c r="G115" s="63">
        <f>+'Stock movement'!G85</f>
        <v>0</v>
      </c>
      <c r="H115" s="63">
        <f>+'Stock movement'!H85</f>
        <v>2.8633743000000007</v>
      </c>
      <c r="I115" s="63">
        <f>+'Stock movement'!I85</f>
        <v>2.6534000999999972</v>
      </c>
      <c r="J115" s="63">
        <f>+'Stock movement'!J85</f>
        <v>3.1511107032150778</v>
      </c>
      <c r="K115" s="63">
        <f>+'Stock movement'!K85</f>
        <v>4.2065412971175169</v>
      </c>
      <c r="L115" s="63">
        <f>+'Stock movement'!L85</f>
        <v>4.2655115022172945</v>
      </c>
      <c r="M115" s="63">
        <f>+'Stock movement'!M85</f>
        <v>4.3244817073170729</v>
      </c>
      <c r="N115" s="63">
        <f>+'Stock movement'!N85</f>
        <v>4.3244817073170729</v>
      </c>
      <c r="O115" s="63">
        <f>+'Stock movement'!O85</f>
        <v>4.3244817073170729</v>
      </c>
      <c r="P115" s="63">
        <f>+'Stock movement'!P85</f>
        <v>4.3244817073170729</v>
      </c>
      <c r="Q115" s="63">
        <f>+'Stock movement'!Q85</f>
        <v>4.3244817073170729</v>
      </c>
      <c r="R115" s="63">
        <f>+'Stock movement'!R85</f>
        <v>4.3244817073170729</v>
      </c>
      <c r="S115" s="63">
        <f>+'Stock movement'!S85</f>
        <v>4.3244817073170729</v>
      </c>
    </row>
    <row r="116" spans="1:36" s="261" customFormat="1" x14ac:dyDescent="0.35">
      <c r="A116" s="583"/>
      <c r="B116" s="145" t="s">
        <v>82</v>
      </c>
      <c r="C116" s="1627" t="s">
        <v>30</v>
      </c>
      <c r="D116" s="63"/>
      <c r="E116" s="63">
        <f>+'Stock movement'!E101</f>
        <v>294.07437399999998</v>
      </c>
      <c r="F116" s="63">
        <f>+'Stock movement'!F101</f>
        <v>100.89678599999993</v>
      </c>
      <c r="G116" s="63">
        <f>+'Stock movement'!G101</f>
        <v>47.644580999999938</v>
      </c>
      <c r="H116" s="63">
        <f>+'Stock movement'!H101</f>
        <v>66.108048999999951</v>
      </c>
      <c r="I116" s="63">
        <f>+'Stock movement'!I101</f>
        <v>49.319337399999903</v>
      </c>
      <c r="J116" s="63">
        <f>+'Stock movement'!J101</f>
        <v>0</v>
      </c>
      <c r="K116" s="63">
        <f>+'Stock movement'!K101</f>
        <v>0</v>
      </c>
      <c r="L116" s="63">
        <f>+'Stock movement'!L101</f>
        <v>0</v>
      </c>
      <c r="M116" s="63">
        <f>+'Stock movement'!M101</f>
        <v>0</v>
      </c>
      <c r="N116" s="63">
        <f>+'Stock movement'!N101</f>
        <v>0</v>
      </c>
      <c r="O116" s="63">
        <f>+'Stock movement'!O101</f>
        <v>0</v>
      </c>
      <c r="P116" s="63">
        <f>+'Stock movement'!P101</f>
        <v>0</v>
      </c>
      <c r="Q116" s="63">
        <f>+'Stock movement'!Q101</f>
        <v>0</v>
      </c>
      <c r="R116" s="63">
        <f>+'Stock movement'!R101</f>
        <v>0</v>
      </c>
      <c r="S116" s="63">
        <f>+'Stock movement'!S101</f>
        <v>0</v>
      </c>
    </row>
    <row r="117" spans="1:36" s="261" customFormat="1" x14ac:dyDescent="0.35">
      <c r="A117" s="583"/>
      <c r="B117" s="145" t="s">
        <v>83</v>
      </c>
      <c r="C117" s="1627" t="s">
        <v>30</v>
      </c>
      <c r="D117" s="63"/>
      <c r="E117" s="63">
        <f>+'Stock movement'!E108</f>
        <v>0</v>
      </c>
      <c r="F117" s="63">
        <f>+'Stock movement'!F108</f>
        <v>0</v>
      </c>
      <c r="G117" s="63">
        <f>+'Stock movement'!G108</f>
        <v>0</v>
      </c>
      <c r="H117" s="63">
        <f>+'Stock movement'!H108</f>
        <v>42.523699999999998</v>
      </c>
      <c r="I117" s="63">
        <f>+'Stock movement'!I108</f>
        <v>29.405923999999999</v>
      </c>
      <c r="J117" s="63">
        <f>+'Stock movement'!J108</f>
        <v>150.05880830660755</v>
      </c>
      <c r="K117" s="63">
        <f>+'Stock movement'!K108</f>
        <v>199.38094883627494</v>
      </c>
      <c r="L117" s="63">
        <f>+'Stock movement'!L108</f>
        <v>204.60302361419065</v>
      </c>
      <c r="M117" s="63">
        <f>+'Stock movement'!M108</f>
        <v>207.43359345898003</v>
      </c>
      <c r="N117" s="63">
        <f>+'Stock movement'!N108</f>
        <v>207.57512195121953</v>
      </c>
      <c r="O117" s="63">
        <f>+'Stock movement'!O108</f>
        <v>207.57512195121953</v>
      </c>
      <c r="P117" s="63">
        <f>+'Stock movement'!P108</f>
        <v>207.57512195121953</v>
      </c>
      <c r="Q117" s="63">
        <f>+'Stock movement'!Q108</f>
        <v>207.57512195121953</v>
      </c>
      <c r="R117" s="63">
        <f>+'Stock movement'!R108</f>
        <v>207.57512195121953</v>
      </c>
      <c r="S117" s="63">
        <f>+'Stock movement'!S108</f>
        <v>207.57512195121953</v>
      </c>
    </row>
    <row r="118" spans="1:36" s="261" customFormat="1" x14ac:dyDescent="0.35">
      <c r="A118" s="583"/>
      <c r="B118" s="145" t="s">
        <v>1592</v>
      </c>
      <c r="C118" s="1627" t="s">
        <v>30</v>
      </c>
      <c r="D118" s="63"/>
      <c r="E118" s="63"/>
      <c r="F118" s="63"/>
      <c r="G118" s="63"/>
      <c r="H118" s="63"/>
      <c r="I118" s="63">
        <f>'Stock movement'!I117</f>
        <v>0</v>
      </c>
      <c r="J118" s="63">
        <f>'Stock movement'!J117</f>
        <v>0</v>
      </c>
      <c r="K118" s="63">
        <f>'Stock movement'!K117</f>
        <v>0</v>
      </c>
      <c r="L118" s="63">
        <f>'Stock movement'!L117</f>
        <v>0</v>
      </c>
      <c r="M118" s="63">
        <f>'Stock movement'!M117</f>
        <v>0</v>
      </c>
      <c r="N118" s="63">
        <f>'Stock movement'!N117</f>
        <v>0</v>
      </c>
      <c r="O118" s="63">
        <f>'Stock movement'!O117</f>
        <v>0</v>
      </c>
      <c r="P118" s="63">
        <f>'Stock movement'!P117</f>
        <v>0</v>
      </c>
      <c r="Q118" s="63">
        <f>'Stock movement'!Q117</f>
        <v>0</v>
      </c>
      <c r="R118" s="63">
        <f>'Stock movement'!R117</f>
        <v>0</v>
      </c>
      <c r="S118" s="63">
        <f>'Stock movement'!S117</f>
        <v>0</v>
      </c>
    </row>
    <row r="119" spans="1:36" s="113" customFormat="1" x14ac:dyDescent="0.35">
      <c r="A119" s="583"/>
      <c r="B119" s="145" t="s">
        <v>11</v>
      </c>
      <c r="C119" s="1627" t="s">
        <v>5</v>
      </c>
      <c r="D119" s="63"/>
      <c r="E119" s="63"/>
      <c r="F119" s="63"/>
      <c r="G119" s="63"/>
      <c r="H119" s="77">
        <v>0.1729</v>
      </c>
      <c r="I119" s="77">
        <f>45619.95/10^5</f>
        <v>0.45619949999999998</v>
      </c>
      <c r="J119" s="63">
        <v>0</v>
      </c>
      <c r="K119" s="63">
        <v>0</v>
      </c>
      <c r="L119" s="63">
        <v>0</v>
      </c>
      <c r="M119" s="63">
        <v>0</v>
      </c>
      <c r="N119" s="63">
        <v>0</v>
      </c>
      <c r="O119" s="63">
        <v>0</v>
      </c>
      <c r="P119" s="63">
        <v>0</v>
      </c>
      <c r="Q119" s="63">
        <v>0</v>
      </c>
      <c r="R119" s="63">
        <v>0</v>
      </c>
      <c r="S119" s="63">
        <v>0</v>
      </c>
    </row>
    <row r="120" spans="1:36" s="261" customFormat="1" x14ac:dyDescent="0.35">
      <c r="A120" s="583"/>
      <c r="B120" s="106" t="s">
        <v>81</v>
      </c>
      <c r="C120" s="1627"/>
      <c r="D120" s="63"/>
      <c r="E120" s="63"/>
      <c r="F120" s="63"/>
      <c r="G120" s="63"/>
      <c r="H120" s="63"/>
      <c r="I120" s="63"/>
      <c r="J120" s="63"/>
      <c r="K120" s="63"/>
      <c r="L120" s="63"/>
      <c r="M120" s="63"/>
      <c r="N120" s="63"/>
      <c r="O120" s="63"/>
      <c r="P120" s="63"/>
      <c r="Q120" s="63"/>
      <c r="R120" s="63"/>
      <c r="S120" s="63"/>
    </row>
    <row r="121" spans="1:36" s="261" customFormat="1" x14ac:dyDescent="0.35">
      <c r="A121" s="583"/>
      <c r="B121" s="145" t="s">
        <v>18</v>
      </c>
      <c r="C121" s="1627" t="s">
        <v>84</v>
      </c>
      <c r="D121" s="63"/>
      <c r="E121" s="77">
        <v>100</v>
      </c>
      <c r="F121" s="77">
        <v>200</v>
      </c>
      <c r="G121" s="77">
        <v>300</v>
      </c>
      <c r="H121" s="77">
        <v>500</v>
      </c>
      <c r="I121" s="77">
        <v>550</v>
      </c>
      <c r="J121" s="63">
        <f>+Assumptions!J116</f>
        <v>550</v>
      </c>
      <c r="K121" s="63">
        <f>+Assumptions!K116</f>
        <v>561</v>
      </c>
      <c r="L121" s="63">
        <f>+Assumptions!L116</f>
        <v>572.22</v>
      </c>
      <c r="M121" s="63">
        <f>+Assumptions!M116</f>
        <v>583.6644</v>
      </c>
      <c r="N121" s="63">
        <f>+Assumptions!N116</f>
        <v>595.33768799999996</v>
      </c>
      <c r="O121" s="63">
        <f>+Assumptions!O116</f>
        <v>607.24444175999997</v>
      </c>
      <c r="P121" s="63">
        <f>+Assumptions!P116</f>
        <v>619.38933059520002</v>
      </c>
      <c r="Q121" s="63">
        <f>+Assumptions!Q116</f>
        <v>631.77711720710408</v>
      </c>
      <c r="R121" s="63">
        <f>+Assumptions!R116</f>
        <v>644.41265955124618</v>
      </c>
      <c r="S121" s="63">
        <f>+Assumptions!S116</f>
        <v>657.30091274227107</v>
      </c>
    </row>
    <row r="122" spans="1:36" s="261" customFormat="1" x14ac:dyDescent="0.35">
      <c r="A122" s="583"/>
      <c r="B122" s="145" t="s">
        <v>19</v>
      </c>
      <c r="C122" s="1627" t="s">
        <v>84</v>
      </c>
      <c r="D122" s="63"/>
      <c r="E122" s="63">
        <v>0</v>
      </c>
      <c r="F122" s="63">
        <f>+Assumptions!F117</f>
        <v>950</v>
      </c>
      <c r="G122" s="63">
        <f>+Assumptions!G117</f>
        <v>950</v>
      </c>
      <c r="H122" s="63">
        <f>+Assumptions!H117</f>
        <v>950</v>
      </c>
      <c r="I122" s="63">
        <v>1100</v>
      </c>
      <c r="J122" s="63">
        <f>+Assumptions!J117</f>
        <v>1100</v>
      </c>
      <c r="K122" s="63">
        <f>+Assumptions!K117</f>
        <v>1122</v>
      </c>
      <c r="L122" s="63">
        <f>+Assumptions!L117</f>
        <v>1144.44</v>
      </c>
      <c r="M122" s="63">
        <f>+Assumptions!M117</f>
        <v>1167.3288</v>
      </c>
      <c r="N122" s="63">
        <f>+Assumptions!N117</f>
        <v>1190.6753759999999</v>
      </c>
      <c r="O122" s="63">
        <f>+Assumptions!O117</f>
        <v>1214.4888835199999</v>
      </c>
      <c r="P122" s="63">
        <f>+Assumptions!P117</f>
        <v>1238.7786611904</v>
      </c>
      <c r="Q122" s="63">
        <f>+Assumptions!Q117</f>
        <v>1263.5542344142082</v>
      </c>
      <c r="R122" s="63">
        <f>+Assumptions!R117</f>
        <v>1288.8253191024924</v>
      </c>
      <c r="S122" s="63">
        <f>+Assumptions!S117</f>
        <v>1314.6018254845421</v>
      </c>
    </row>
    <row r="123" spans="1:36" s="1647" customFormat="1" x14ac:dyDescent="0.35">
      <c r="A123" s="583"/>
      <c r="B123" s="145" t="s">
        <v>82</v>
      </c>
      <c r="C123" s="1627" t="s">
        <v>49</v>
      </c>
      <c r="D123" s="63"/>
      <c r="E123" s="77">
        <v>20.22961290057868</v>
      </c>
      <c r="F123" s="77">
        <v>16.309999999999999</v>
      </c>
      <c r="G123" s="77">
        <v>26.635927940892199</v>
      </c>
      <c r="H123" s="77">
        <v>33.63978380605365</v>
      </c>
      <c r="I123" s="77">
        <v>37.758470102641738</v>
      </c>
      <c r="J123" s="63">
        <f t="shared" ref="J123:R123" si="49">+J109</f>
        <v>48.95612388745063</v>
      </c>
      <c r="K123" s="63">
        <f t="shared" si="49"/>
        <v>50.108387729139693</v>
      </c>
      <c r="L123" s="63">
        <f t="shared" si="49"/>
        <v>51.006518036297386</v>
      </c>
      <c r="M123" s="63">
        <f t="shared" si="49"/>
        <v>51.978517003413643</v>
      </c>
      <c r="N123" s="63">
        <f t="shared" si="49"/>
        <v>52.980111951146561</v>
      </c>
      <c r="O123" s="63">
        <f t="shared" si="49"/>
        <v>54.012448743265253</v>
      </c>
      <c r="P123" s="63">
        <f t="shared" si="49"/>
        <v>55.074913031629976</v>
      </c>
      <c r="Q123" s="63">
        <f t="shared" si="49"/>
        <v>56.16748922234796</v>
      </c>
      <c r="R123" s="63">
        <f t="shared" si="49"/>
        <v>57.291327363118945</v>
      </c>
      <c r="S123" s="63">
        <f t="shared" ref="S123" si="50">+S109</f>
        <v>58.431316424432666</v>
      </c>
      <c r="T123" s="261"/>
    </row>
    <row r="124" spans="1:36" s="1647" customFormat="1" x14ac:dyDescent="0.35">
      <c r="A124" s="583"/>
      <c r="B124" s="145" t="s">
        <v>83</v>
      </c>
      <c r="C124" s="1627" t="s">
        <v>49</v>
      </c>
      <c r="D124" s="63"/>
      <c r="E124" s="63"/>
      <c r="F124" s="63"/>
      <c r="G124" s="63"/>
      <c r="H124" s="77">
        <v>44.595682612284442</v>
      </c>
      <c r="I124" s="77">
        <v>53.353249120823399</v>
      </c>
      <c r="J124" s="63">
        <f t="shared" ref="J124:R124" si="51">+J123</f>
        <v>48.95612388745063</v>
      </c>
      <c r="K124" s="63">
        <f t="shared" si="51"/>
        <v>50.108387729139693</v>
      </c>
      <c r="L124" s="63">
        <f t="shared" si="51"/>
        <v>51.006518036297386</v>
      </c>
      <c r="M124" s="63">
        <f t="shared" si="51"/>
        <v>51.978517003413643</v>
      </c>
      <c r="N124" s="63">
        <f t="shared" si="51"/>
        <v>52.980111951146561</v>
      </c>
      <c r="O124" s="63">
        <f t="shared" si="51"/>
        <v>54.012448743265253</v>
      </c>
      <c r="P124" s="63">
        <f t="shared" si="51"/>
        <v>55.074913031629976</v>
      </c>
      <c r="Q124" s="63">
        <f t="shared" si="51"/>
        <v>56.16748922234796</v>
      </c>
      <c r="R124" s="63">
        <f t="shared" si="51"/>
        <v>57.291327363118945</v>
      </c>
      <c r="S124" s="63">
        <f t="shared" ref="S124" si="52">+S123</f>
        <v>58.431316424432666</v>
      </c>
      <c r="T124" s="261"/>
    </row>
    <row r="125" spans="1:36" s="1647" customFormat="1" x14ac:dyDescent="0.35">
      <c r="A125" s="583"/>
      <c r="B125" s="145" t="s">
        <v>1592</v>
      </c>
      <c r="C125" s="1627" t="s">
        <v>49</v>
      </c>
      <c r="D125" s="63"/>
      <c r="E125" s="63"/>
      <c r="F125" s="63"/>
      <c r="G125" s="63"/>
      <c r="H125" s="63"/>
      <c r="I125" s="63"/>
      <c r="J125" s="63">
        <f t="shared" ref="J125:R125" si="53">+J124</f>
        <v>48.95612388745063</v>
      </c>
      <c r="K125" s="63">
        <f t="shared" si="53"/>
        <v>50.108387729139693</v>
      </c>
      <c r="L125" s="63">
        <f t="shared" si="53"/>
        <v>51.006518036297386</v>
      </c>
      <c r="M125" s="63">
        <f t="shared" si="53"/>
        <v>51.978517003413643</v>
      </c>
      <c r="N125" s="63">
        <f t="shared" si="53"/>
        <v>52.980111951146561</v>
      </c>
      <c r="O125" s="63">
        <f t="shared" si="53"/>
        <v>54.012448743265253</v>
      </c>
      <c r="P125" s="63">
        <f t="shared" si="53"/>
        <v>55.074913031629976</v>
      </c>
      <c r="Q125" s="63">
        <f t="shared" si="53"/>
        <v>56.16748922234796</v>
      </c>
      <c r="R125" s="63">
        <f t="shared" si="53"/>
        <v>57.291327363118945</v>
      </c>
      <c r="S125" s="63">
        <f t="shared" ref="S125" si="54">+S124</f>
        <v>58.431316424432666</v>
      </c>
      <c r="T125" s="261"/>
    </row>
    <row r="126" spans="1:36" s="583" customFormat="1" x14ac:dyDescent="0.35">
      <c r="B126" s="145" t="s">
        <v>11</v>
      </c>
      <c r="C126" s="1627" t="s">
        <v>84</v>
      </c>
      <c r="D126" s="63"/>
      <c r="E126" s="63">
        <f>+Assumptions!E123</f>
        <v>0</v>
      </c>
      <c r="F126" s="63">
        <f>+Assumptions!F123</f>
        <v>180.00000097824392</v>
      </c>
      <c r="G126" s="63">
        <f>+Assumptions!G123</f>
        <v>179.99999993586729</v>
      </c>
      <c r="H126" s="63">
        <f>+Assumptions!H123</f>
        <v>179.99999993586729</v>
      </c>
      <c r="I126" s="77">
        <v>250</v>
      </c>
      <c r="J126" s="63">
        <f>+Assumptions!J123</f>
        <v>250</v>
      </c>
      <c r="K126" s="63">
        <f>+Assumptions!K123</f>
        <v>250</v>
      </c>
      <c r="L126" s="63">
        <f>+Assumptions!L123</f>
        <v>250</v>
      </c>
      <c r="M126" s="63">
        <f>+Assumptions!M123</f>
        <v>250</v>
      </c>
      <c r="N126" s="63">
        <f>+Assumptions!N123</f>
        <v>250</v>
      </c>
      <c r="O126" s="63">
        <f>+Assumptions!O123</f>
        <v>250</v>
      </c>
      <c r="P126" s="63">
        <f>+Assumptions!P123</f>
        <v>250</v>
      </c>
      <c r="Q126" s="63">
        <f>+Assumptions!Q123</f>
        <v>250</v>
      </c>
      <c r="R126" s="63">
        <f>+Assumptions!R123</f>
        <v>250</v>
      </c>
      <c r="S126" s="63">
        <f>+Assumptions!S123</f>
        <v>250</v>
      </c>
      <c r="T126" s="261"/>
    </row>
    <row r="127" spans="1:36" s="583" customFormat="1" x14ac:dyDescent="0.35">
      <c r="B127" s="106" t="s">
        <v>125</v>
      </c>
      <c r="C127" s="1627"/>
      <c r="D127" s="63"/>
      <c r="E127" s="63"/>
      <c r="F127" s="63"/>
      <c r="G127" s="63"/>
      <c r="H127" s="63"/>
      <c r="I127" s="63"/>
      <c r="J127" s="63"/>
      <c r="K127" s="63"/>
      <c r="L127" s="63"/>
      <c r="M127" s="63"/>
      <c r="N127" s="63"/>
      <c r="O127" s="63"/>
      <c r="P127" s="63"/>
      <c r="Q127" s="63"/>
      <c r="R127" s="63"/>
      <c r="S127" s="63"/>
      <c r="T127" s="261"/>
    </row>
    <row r="128" spans="1:36" s="583" customFormat="1" x14ac:dyDescent="0.35">
      <c r="B128" s="145" t="s">
        <v>18</v>
      </c>
      <c r="C128" s="1627" t="s">
        <v>88</v>
      </c>
      <c r="D128" s="63"/>
      <c r="E128" s="63">
        <f>+(E114*E121/100)+0.07</f>
        <v>5.1982059000000032</v>
      </c>
      <c r="F128" s="63">
        <f t="shared" ref="F128:R128" si="55">+F114*F121/100</f>
        <v>8.5444160000000036</v>
      </c>
      <c r="G128" s="63">
        <f t="shared" si="55"/>
        <v>18.499182599999997</v>
      </c>
      <c r="H128" s="63">
        <f t="shared" si="55"/>
        <v>8.8471089999999979</v>
      </c>
      <c r="I128" s="63">
        <f t="shared" ref="I128" si="56">+I114*I121/100</f>
        <v>1.4393813500000439</v>
      </c>
      <c r="J128" s="63">
        <f t="shared" si="55"/>
        <v>0</v>
      </c>
      <c r="K128" s="63">
        <f t="shared" si="55"/>
        <v>0</v>
      </c>
      <c r="L128" s="63">
        <f t="shared" si="55"/>
        <v>0</v>
      </c>
      <c r="M128" s="63">
        <f t="shared" si="55"/>
        <v>0</v>
      </c>
      <c r="N128" s="63">
        <f t="shared" si="55"/>
        <v>0</v>
      </c>
      <c r="O128" s="63">
        <f t="shared" si="55"/>
        <v>0</v>
      </c>
      <c r="P128" s="63">
        <f t="shared" si="55"/>
        <v>0</v>
      </c>
      <c r="Q128" s="63">
        <f t="shared" si="55"/>
        <v>0</v>
      </c>
      <c r="R128" s="63">
        <f t="shared" si="55"/>
        <v>0</v>
      </c>
      <c r="S128" s="63">
        <f>+S114*S121/100</f>
        <v>0</v>
      </c>
      <c r="T128" s="261"/>
      <c r="U128" s="554">
        <v>0</v>
      </c>
      <c r="V128" s="554">
        <v>0</v>
      </c>
      <c r="W128" s="554">
        <v>0</v>
      </c>
      <c r="X128" s="554">
        <v>0</v>
      </c>
      <c r="Y128" s="554">
        <v>0</v>
      </c>
      <c r="Z128" s="554">
        <v>0</v>
      </c>
      <c r="AA128" s="554">
        <v>0</v>
      </c>
      <c r="AB128" s="554">
        <v>0</v>
      </c>
      <c r="AD128" s="153" t="e">
        <f>#REF!-U128</f>
        <v>#REF!</v>
      </c>
      <c r="AE128" s="153">
        <f t="shared" ref="AE128:AJ131" si="57">J114-V128</f>
        <v>0</v>
      </c>
      <c r="AF128" s="153">
        <f t="shared" si="57"/>
        <v>0</v>
      </c>
      <c r="AG128" s="153">
        <f t="shared" si="57"/>
        <v>0</v>
      </c>
      <c r="AH128" s="153">
        <f t="shared" si="57"/>
        <v>0</v>
      </c>
      <c r="AI128" s="153">
        <f t="shared" si="57"/>
        <v>0</v>
      </c>
      <c r="AJ128" s="153">
        <f t="shared" si="57"/>
        <v>0</v>
      </c>
    </row>
    <row r="129" spans="2:36" s="583" customFormat="1" x14ac:dyDescent="0.35">
      <c r="B129" s="145" t="s">
        <v>19</v>
      </c>
      <c r="C129" s="1627" t="s">
        <v>88</v>
      </c>
      <c r="D129" s="63"/>
      <c r="E129" s="63">
        <f>+E115*E122/100</f>
        <v>0</v>
      </c>
      <c r="F129" s="63">
        <f t="shared" ref="F129:R129" si="58">+F115*F122/100</f>
        <v>0</v>
      </c>
      <c r="G129" s="63">
        <f t="shared" si="58"/>
        <v>0</v>
      </c>
      <c r="H129" s="63">
        <f t="shared" si="58"/>
        <v>27.202055850000008</v>
      </c>
      <c r="I129" s="63">
        <f t="shared" ref="I129" si="59">+I115*I122/100</f>
        <v>29.18740109999997</v>
      </c>
      <c r="J129" s="63">
        <f>+J115*J122/100</f>
        <v>34.662217735365857</v>
      </c>
      <c r="K129" s="63">
        <f t="shared" si="58"/>
        <v>47.197393353658533</v>
      </c>
      <c r="L129" s="63">
        <f>+L115*L122/100</f>
        <v>48.816219835975609</v>
      </c>
      <c r="M129" s="63">
        <f t="shared" si="58"/>
        <v>50.480920420243905</v>
      </c>
      <c r="N129" s="63">
        <f t="shared" si="58"/>
        <v>51.490538828648781</v>
      </c>
      <c r="O129" s="63">
        <f t="shared" si="58"/>
        <v>52.520349605221753</v>
      </c>
      <c r="P129" s="63">
        <f t="shared" si="58"/>
        <v>53.570756597326188</v>
      </c>
      <c r="Q129" s="63">
        <f t="shared" si="58"/>
        <v>54.642171729272725</v>
      </c>
      <c r="R129" s="63">
        <f t="shared" si="58"/>
        <v>55.735015163858179</v>
      </c>
      <c r="S129" s="63">
        <f>+S115*S122/100</f>
        <v>56.84971546713534</v>
      </c>
      <c r="T129" s="261"/>
      <c r="U129" s="554">
        <v>52.909113868795146</v>
      </c>
      <c r="V129" s="554">
        <v>47.052674340669832</v>
      </c>
      <c r="W129" s="554">
        <v>47.07814527656361</v>
      </c>
      <c r="X129" s="554">
        <v>45.975370332729625</v>
      </c>
      <c r="Y129" s="554">
        <v>45.975370332729625</v>
      </c>
      <c r="Z129" s="554">
        <v>45.975370332729625</v>
      </c>
      <c r="AA129" s="554">
        <v>45.975370332729625</v>
      </c>
      <c r="AB129" s="554">
        <v>45.975370332729625</v>
      </c>
      <c r="AD129" s="153" t="e">
        <f>#REF!-U129</f>
        <v>#REF!</v>
      </c>
      <c r="AE129" s="153">
        <f t="shared" si="57"/>
        <v>-43.901563637454757</v>
      </c>
      <c r="AF129" s="153">
        <f t="shared" si="57"/>
        <v>-42.871603979446093</v>
      </c>
      <c r="AG129" s="153">
        <f t="shared" si="57"/>
        <v>-41.709858830512331</v>
      </c>
      <c r="AH129" s="153">
        <f t="shared" si="57"/>
        <v>-41.650888625412549</v>
      </c>
      <c r="AI129" s="153">
        <f t="shared" si="57"/>
        <v>-41.650888625412549</v>
      </c>
      <c r="AJ129" s="153">
        <f t="shared" si="57"/>
        <v>-41.650888625412549</v>
      </c>
    </row>
    <row r="130" spans="2:36" s="583" customFormat="1" x14ac:dyDescent="0.35">
      <c r="B130" s="145" t="s">
        <v>82</v>
      </c>
      <c r="C130" s="1627" t="s">
        <v>88</v>
      </c>
      <c r="D130" s="63"/>
      <c r="E130" s="63">
        <f>+E116*E123/100</f>
        <v>59.490107499999986</v>
      </c>
      <c r="F130" s="63">
        <f t="shared" ref="F130:R130" si="60">+F116*F123/100</f>
        <v>16.456265796599986</v>
      </c>
      <c r="G130" s="63">
        <f t="shared" si="60"/>
        <v>12.690576262899999</v>
      </c>
      <c r="H130" s="63">
        <f t="shared" si="60"/>
        <v>22.238604761999994</v>
      </c>
      <c r="I130" s="63">
        <f t="shared" ref="I130" si="61">+I116*I123/100</f>
        <v>18.622227266999968</v>
      </c>
      <c r="J130" s="63">
        <f t="shared" si="60"/>
        <v>0</v>
      </c>
      <c r="K130" s="63">
        <f t="shared" si="60"/>
        <v>0</v>
      </c>
      <c r="L130" s="63">
        <f t="shared" si="60"/>
        <v>0</v>
      </c>
      <c r="M130" s="63">
        <f t="shared" si="60"/>
        <v>0</v>
      </c>
      <c r="N130" s="63">
        <f t="shared" si="60"/>
        <v>0</v>
      </c>
      <c r="O130" s="63">
        <f t="shared" si="60"/>
        <v>0</v>
      </c>
      <c r="P130" s="63">
        <f t="shared" si="60"/>
        <v>0</v>
      </c>
      <c r="Q130" s="63">
        <f t="shared" si="60"/>
        <v>0</v>
      </c>
      <c r="R130" s="63">
        <f t="shared" si="60"/>
        <v>0</v>
      </c>
      <c r="S130" s="63">
        <f>+S116*S123/100</f>
        <v>0</v>
      </c>
      <c r="T130" s="261"/>
      <c r="U130" s="554">
        <v>0</v>
      </c>
      <c r="V130" s="554">
        <v>0</v>
      </c>
      <c r="W130" s="554">
        <v>0</v>
      </c>
      <c r="X130" s="554">
        <v>0</v>
      </c>
      <c r="Y130" s="554">
        <v>0</v>
      </c>
      <c r="Z130" s="554">
        <v>0</v>
      </c>
      <c r="AA130" s="554">
        <v>0</v>
      </c>
      <c r="AB130" s="554">
        <v>0</v>
      </c>
      <c r="AD130" s="153" t="e">
        <f>#REF!-U130</f>
        <v>#REF!</v>
      </c>
      <c r="AE130" s="153">
        <f t="shared" si="57"/>
        <v>0</v>
      </c>
      <c r="AF130" s="153">
        <f t="shared" si="57"/>
        <v>0</v>
      </c>
      <c r="AG130" s="153">
        <f t="shared" si="57"/>
        <v>0</v>
      </c>
      <c r="AH130" s="153">
        <f t="shared" si="57"/>
        <v>0</v>
      </c>
      <c r="AI130" s="153">
        <f t="shared" si="57"/>
        <v>0</v>
      </c>
      <c r="AJ130" s="153">
        <f t="shared" si="57"/>
        <v>0</v>
      </c>
    </row>
    <row r="131" spans="2:36" s="583" customFormat="1" x14ac:dyDescent="0.35">
      <c r="B131" s="145" t="s">
        <v>83</v>
      </c>
      <c r="C131" s="1627" t="s">
        <v>88</v>
      </c>
      <c r="D131" s="63"/>
      <c r="E131" s="63">
        <f>+E117*E124/100</f>
        <v>0</v>
      </c>
      <c r="F131" s="63">
        <f t="shared" ref="F131:S132" si="62">+F117*F124/100</f>
        <v>0</v>
      </c>
      <c r="G131" s="63">
        <f t="shared" si="62"/>
        <v>0</v>
      </c>
      <c r="H131" s="63">
        <f t="shared" si="62"/>
        <v>18.963734286999998</v>
      </c>
      <c r="I131" s="63">
        <f t="shared" ref="I131:I132" si="63">+I117*I124/100</f>
        <v>15.689015887999997</v>
      </c>
      <c r="J131" s="63">
        <f t="shared" si="62"/>
        <v>73.462976098614845</v>
      </c>
      <c r="K131" s="63">
        <f t="shared" si="62"/>
        <v>99.906578900918291</v>
      </c>
      <c r="L131" s="63">
        <f t="shared" si="62"/>
        <v>104.36087814258195</v>
      </c>
      <c r="M131" s="63">
        <f t="shared" si="62"/>
        <v>107.82090564686787</v>
      </c>
      <c r="N131" s="63">
        <f t="shared" si="62"/>
        <v>109.97353199248511</v>
      </c>
      <c r="O131" s="63">
        <f t="shared" si="62"/>
        <v>112.11640634767278</v>
      </c>
      <c r="P131" s="63">
        <f t="shared" si="62"/>
        <v>114.32181788993402</v>
      </c>
      <c r="Q131" s="63">
        <f t="shared" si="62"/>
        <v>116.58973425022687</v>
      </c>
      <c r="R131" s="63">
        <f t="shared" si="62"/>
        <v>118.92254264146655</v>
      </c>
      <c r="S131" s="63">
        <f>+S117*S124/100</f>
        <v>121.28887632571906</v>
      </c>
      <c r="T131" s="261"/>
      <c r="U131" s="554">
        <v>83.547855514540132</v>
      </c>
      <c r="V131" s="554">
        <v>209.53088319994711</v>
      </c>
      <c r="W131" s="554">
        <v>197.76157476211159</v>
      </c>
      <c r="X131" s="554">
        <v>200.63687594368645</v>
      </c>
      <c r="Y131" s="554">
        <v>197.87749588925587</v>
      </c>
      <c r="Z131" s="554">
        <v>197.87749588925587</v>
      </c>
      <c r="AA131" s="554">
        <v>197.87749588925587</v>
      </c>
      <c r="AB131" s="554">
        <v>197.87749588925587</v>
      </c>
      <c r="AD131" s="153" t="e">
        <f>#REF!-U131</f>
        <v>#REF!</v>
      </c>
      <c r="AE131" s="153">
        <f t="shared" si="57"/>
        <v>-59.472074893339567</v>
      </c>
      <c r="AF131" s="153">
        <f t="shared" si="57"/>
        <v>1.6193740741633462</v>
      </c>
      <c r="AG131" s="153">
        <f t="shared" si="57"/>
        <v>3.9661476705041991</v>
      </c>
      <c r="AH131" s="153">
        <f t="shared" si="57"/>
        <v>9.5560975697241588</v>
      </c>
      <c r="AI131" s="153">
        <f t="shared" si="57"/>
        <v>9.6976260619636605</v>
      </c>
      <c r="AJ131" s="153">
        <f t="shared" si="57"/>
        <v>9.6976260619636605</v>
      </c>
    </row>
    <row r="132" spans="2:36" s="583" customFormat="1" x14ac:dyDescent="0.35">
      <c r="B132" s="145" t="s">
        <v>1592</v>
      </c>
      <c r="C132" s="1627" t="s">
        <v>88</v>
      </c>
      <c r="D132" s="63"/>
      <c r="E132" s="63"/>
      <c r="F132" s="63"/>
      <c r="G132" s="63"/>
      <c r="H132" s="63"/>
      <c r="I132" s="63">
        <f t="shared" si="63"/>
        <v>0</v>
      </c>
      <c r="J132" s="63">
        <f t="shared" si="62"/>
        <v>0</v>
      </c>
      <c r="K132" s="63">
        <f t="shared" si="62"/>
        <v>0</v>
      </c>
      <c r="L132" s="63">
        <f t="shared" si="62"/>
        <v>0</v>
      </c>
      <c r="M132" s="63">
        <f t="shared" si="62"/>
        <v>0</v>
      </c>
      <c r="N132" s="63">
        <f t="shared" si="62"/>
        <v>0</v>
      </c>
      <c r="O132" s="63">
        <f t="shared" si="62"/>
        <v>0</v>
      </c>
      <c r="P132" s="63">
        <f t="shared" si="62"/>
        <v>0</v>
      </c>
      <c r="Q132" s="63">
        <f t="shared" si="62"/>
        <v>0</v>
      </c>
      <c r="R132" s="63">
        <f t="shared" si="62"/>
        <v>0</v>
      </c>
      <c r="S132" s="63">
        <f t="shared" si="62"/>
        <v>0</v>
      </c>
      <c r="T132" s="261"/>
      <c r="U132" s="554"/>
      <c r="V132" s="554"/>
      <c r="W132" s="554"/>
      <c r="X132" s="554"/>
      <c r="Y132" s="554"/>
      <c r="Z132" s="554"/>
      <c r="AA132" s="554"/>
      <c r="AB132" s="554"/>
      <c r="AD132" s="153"/>
      <c r="AE132" s="153"/>
      <c r="AF132" s="153"/>
      <c r="AG132" s="153"/>
      <c r="AH132" s="153"/>
      <c r="AI132" s="153"/>
      <c r="AJ132" s="153"/>
    </row>
    <row r="133" spans="2:36" s="583" customFormat="1" x14ac:dyDescent="0.35">
      <c r="B133" s="145" t="s">
        <v>11</v>
      </c>
      <c r="C133" s="1627" t="s">
        <v>88</v>
      </c>
      <c r="D133" s="63"/>
      <c r="E133" s="63">
        <f>+E119*E126/100</f>
        <v>0</v>
      </c>
      <c r="F133" s="63">
        <f t="shared" ref="F133:R133" si="64">+F119*F126/100</f>
        <v>0</v>
      </c>
      <c r="G133" s="63">
        <f t="shared" si="64"/>
        <v>0</v>
      </c>
      <c r="H133" s="63">
        <f t="shared" si="64"/>
        <v>0.31121999988911453</v>
      </c>
      <c r="I133" s="63">
        <f t="shared" ref="I133" si="65">+I119*I126/100</f>
        <v>1.1404987499999999</v>
      </c>
      <c r="J133" s="63">
        <f t="shared" si="64"/>
        <v>0</v>
      </c>
      <c r="K133" s="63">
        <f t="shared" si="64"/>
        <v>0</v>
      </c>
      <c r="L133" s="63">
        <f t="shared" si="64"/>
        <v>0</v>
      </c>
      <c r="M133" s="63">
        <f t="shared" si="64"/>
        <v>0</v>
      </c>
      <c r="N133" s="63">
        <f t="shared" si="64"/>
        <v>0</v>
      </c>
      <c r="O133" s="63">
        <f t="shared" si="64"/>
        <v>0</v>
      </c>
      <c r="P133" s="63">
        <f t="shared" si="64"/>
        <v>0</v>
      </c>
      <c r="Q133" s="63">
        <f t="shared" si="64"/>
        <v>0</v>
      </c>
      <c r="R133" s="63">
        <f t="shared" si="64"/>
        <v>0</v>
      </c>
      <c r="S133" s="63">
        <f>+S119*S126/100</f>
        <v>0</v>
      </c>
      <c r="T133" s="261"/>
      <c r="U133" s="554">
        <v>0.1729</v>
      </c>
      <c r="V133" s="554">
        <v>0.1729</v>
      </c>
      <c r="W133" s="554">
        <v>0.1729</v>
      </c>
      <c r="X133" s="554">
        <v>0.1729</v>
      </c>
      <c r="Y133" s="554">
        <v>0.1729</v>
      </c>
      <c r="Z133" s="554">
        <v>0.1729</v>
      </c>
      <c r="AA133" s="554">
        <v>0.1729</v>
      </c>
      <c r="AB133" s="554">
        <v>0.1729</v>
      </c>
      <c r="AD133" s="153" t="e">
        <f>#REF!-U133</f>
        <v>#REF!</v>
      </c>
      <c r="AE133" s="153">
        <f t="shared" ref="AE133:AJ133" si="66">J119-V133</f>
        <v>-0.1729</v>
      </c>
      <c r="AF133" s="153">
        <f t="shared" si="66"/>
        <v>-0.1729</v>
      </c>
      <c r="AG133" s="153">
        <f t="shared" si="66"/>
        <v>-0.1729</v>
      </c>
      <c r="AH133" s="153">
        <f t="shared" si="66"/>
        <v>-0.1729</v>
      </c>
      <c r="AI133" s="153">
        <f t="shared" si="66"/>
        <v>-0.1729</v>
      </c>
      <c r="AJ133" s="153">
        <f t="shared" si="66"/>
        <v>-0.1729</v>
      </c>
    </row>
    <row r="134" spans="2:36" s="583" customFormat="1" x14ac:dyDescent="0.35">
      <c r="B134" s="106" t="s">
        <v>430</v>
      </c>
      <c r="C134" s="1623"/>
      <c r="D134" s="107"/>
      <c r="E134" s="107">
        <f>SUM(E128:E133)</f>
        <v>64.688313399999984</v>
      </c>
      <c r="F134" s="107">
        <f t="shared" ref="F134:R134" si="67">SUM(F128:F133)</f>
        <v>25.000681796599991</v>
      </c>
      <c r="G134" s="107">
        <f t="shared" si="67"/>
        <v>31.189758862899996</v>
      </c>
      <c r="H134" s="107">
        <f t="shared" si="67"/>
        <v>77.562723898889118</v>
      </c>
      <c r="I134" s="107">
        <f t="shared" si="67"/>
        <v>66.078524354999985</v>
      </c>
      <c r="J134" s="107">
        <f t="shared" si="67"/>
        <v>108.1251938339807</v>
      </c>
      <c r="K134" s="107">
        <f t="shared" si="67"/>
        <v>147.10397225457683</v>
      </c>
      <c r="L134" s="107">
        <f t="shared" si="67"/>
        <v>153.17709797855755</v>
      </c>
      <c r="M134" s="107">
        <f t="shared" si="67"/>
        <v>158.30182606711179</v>
      </c>
      <c r="N134" s="107">
        <f t="shared" si="67"/>
        <v>161.46407082113387</v>
      </c>
      <c r="O134" s="107">
        <f t="shared" si="67"/>
        <v>164.63675595289453</v>
      </c>
      <c r="P134" s="107">
        <f t="shared" si="67"/>
        <v>167.89257448726022</v>
      </c>
      <c r="Q134" s="107">
        <f t="shared" si="67"/>
        <v>171.2319059794996</v>
      </c>
      <c r="R134" s="107">
        <f t="shared" si="67"/>
        <v>174.65755780532473</v>
      </c>
      <c r="S134" s="107">
        <f>SUM(S128:S133)</f>
        <v>178.13859179285441</v>
      </c>
      <c r="T134" s="261"/>
    </row>
    <row r="135" spans="2:36" s="583" customFormat="1" x14ac:dyDescent="0.35">
      <c r="B135" s="106" t="s">
        <v>417</v>
      </c>
      <c r="C135" s="1623"/>
      <c r="D135" s="107"/>
      <c r="E135" s="107">
        <v>33.738655799999997</v>
      </c>
      <c r="F135" s="107">
        <f t="shared" ref="F135:S135" si="68">+E134-F134</f>
        <v>39.687631603399993</v>
      </c>
      <c r="G135" s="107">
        <f t="shared" si="68"/>
        <v>-6.1890770663000048</v>
      </c>
      <c r="H135" s="107">
        <f t="shared" si="68"/>
        <v>-46.372965035989125</v>
      </c>
      <c r="I135" s="107">
        <f t="shared" si="68"/>
        <v>11.484199543889133</v>
      </c>
      <c r="J135" s="107">
        <f>+I134-J134</f>
        <v>-42.046669478980718</v>
      </c>
      <c r="K135" s="107">
        <f t="shared" si="68"/>
        <v>-38.978778420596129</v>
      </c>
      <c r="L135" s="107">
        <f t="shared" si="68"/>
        <v>-6.0731257239807235</v>
      </c>
      <c r="M135" s="107">
        <f t="shared" si="68"/>
        <v>-5.1247280885542352</v>
      </c>
      <c r="N135" s="107">
        <f t="shared" si="68"/>
        <v>-3.1622447540220833</v>
      </c>
      <c r="O135" s="107">
        <f t="shared" si="68"/>
        <v>-3.1726851317606588</v>
      </c>
      <c r="P135" s="107">
        <f t="shared" si="68"/>
        <v>-3.2558185343656874</v>
      </c>
      <c r="Q135" s="107">
        <f t="shared" si="68"/>
        <v>-3.3393314922393813</v>
      </c>
      <c r="R135" s="107">
        <f t="shared" si="68"/>
        <v>-3.4256518258251276</v>
      </c>
      <c r="S135" s="107">
        <f t="shared" si="68"/>
        <v>-3.4810339875296847</v>
      </c>
      <c r="T135" s="261"/>
      <c r="U135" s="554">
        <v>550</v>
      </c>
      <c r="V135" s="554">
        <v>566.5</v>
      </c>
      <c r="W135" s="554">
        <v>583.495</v>
      </c>
      <c r="X135" s="554">
        <v>600.99985000000004</v>
      </c>
      <c r="Y135" s="554">
        <v>619.02984550000008</v>
      </c>
      <c r="Z135" s="554">
        <v>637.60074086500003</v>
      </c>
      <c r="AA135" s="554">
        <v>656.72876309095</v>
      </c>
      <c r="AB135" s="554">
        <v>676.43062598367851</v>
      </c>
      <c r="AD135" s="153" t="e">
        <f>#REF!-U135</f>
        <v>#REF!</v>
      </c>
      <c r="AE135" s="153">
        <f t="shared" ref="AE135:AJ138" si="69">J121-V135</f>
        <v>-16.5</v>
      </c>
      <c r="AF135" s="153">
        <f t="shared" si="69"/>
        <v>-22.495000000000005</v>
      </c>
      <c r="AG135" s="153">
        <f t="shared" si="69"/>
        <v>-28.77985000000001</v>
      </c>
      <c r="AH135" s="153">
        <f t="shared" si="69"/>
        <v>-35.365445500000078</v>
      </c>
      <c r="AI135" s="153">
        <f t="shared" si="69"/>
        <v>-42.263052865000077</v>
      </c>
      <c r="AJ135" s="153">
        <f t="shared" si="69"/>
        <v>-49.484321330950024</v>
      </c>
    </row>
    <row r="136" spans="2:36" s="583" customFormat="1" x14ac:dyDescent="0.35">
      <c r="B136" s="180"/>
      <c r="C136" s="1616"/>
      <c r="D136" s="180"/>
      <c r="E136" s="180"/>
      <c r="F136" s="180"/>
      <c r="G136" s="180"/>
      <c r="H136" s="180"/>
      <c r="I136" s="180"/>
      <c r="J136" s="180"/>
      <c r="K136" s="180"/>
      <c r="L136" s="180"/>
      <c r="M136" s="180"/>
      <c r="N136" s="180"/>
      <c r="O136" s="180"/>
      <c r="P136" s="180"/>
      <c r="Q136" s="180"/>
      <c r="R136" s="180"/>
      <c r="S136" s="180"/>
      <c r="U136" s="554">
        <v>950</v>
      </c>
      <c r="V136" s="554">
        <v>978.5</v>
      </c>
      <c r="W136" s="554">
        <v>1007.855</v>
      </c>
      <c r="X136" s="554">
        <v>1038.0906500000001</v>
      </c>
      <c r="Y136" s="554">
        <v>1069.2333695000002</v>
      </c>
      <c r="Z136" s="554">
        <v>1101.3103705850003</v>
      </c>
      <c r="AA136" s="554">
        <v>1134.3496817025505</v>
      </c>
      <c r="AB136" s="554">
        <v>1168.380172153627</v>
      </c>
      <c r="AD136" s="153" t="e">
        <f>#REF!-U136</f>
        <v>#REF!</v>
      </c>
      <c r="AE136" s="153">
        <f t="shared" si="69"/>
        <v>121.5</v>
      </c>
      <c r="AF136" s="153">
        <f t="shared" si="69"/>
        <v>114.14499999999998</v>
      </c>
      <c r="AG136" s="153">
        <f t="shared" si="69"/>
        <v>106.34934999999996</v>
      </c>
      <c r="AH136" s="153">
        <f t="shared" si="69"/>
        <v>98.095430499999793</v>
      </c>
      <c r="AI136" s="153">
        <f t="shared" si="69"/>
        <v>89.365005414999587</v>
      </c>
      <c r="AJ136" s="153">
        <f t="shared" si="69"/>
        <v>80.139201817449475</v>
      </c>
    </row>
    <row r="137" spans="2:36" s="583" customFormat="1" x14ac:dyDescent="0.35">
      <c r="B137" s="180"/>
      <c r="C137" s="1616"/>
      <c r="D137" s="180"/>
      <c r="E137" s="180"/>
      <c r="F137" s="180"/>
      <c r="G137" s="180"/>
      <c r="H137" s="180"/>
      <c r="I137" s="180"/>
      <c r="J137" s="1682"/>
      <c r="K137" s="180"/>
      <c r="L137" s="180"/>
      <c r="M137" s="180"/>
      <c r="N137" s="180"/>
      <c r="O137" s="180"/>
      <c r="P137" s="180"/>
      <c r="Q137" s="180"/>
      <c r="R137" s="180"/>
      <c r="S137" s="180"/>
      <c r="U137" s="554">
        <v>43.258091650944614</v>
      </c>
      <c r="V137" s="554">
        <v>43.471003321784224</v>
      </c>
      <c r="W137" s="554">
        <v>45.021434234719457</v>
      </c>
      <c r="X137" s="554">
        <v>46.31781602041832</v>
      </c>
      <c r="Y137" s="554">
        <v>47.567948326705476</v>
      </c>
      <c r="Z137" s="554">
        <v>48.80904682460438</v>
      </c>
      <c r="AA137" s="554">
        <v>50.086718726838896</v>
      </c>
      <c r="AB137" s="554">
        <v>51.402106997829307</v>
      </c>
      <c r="AD137" s="153" t="e">
        <f>#REF!-U137</f>
        <v>#REF!</v>
      </c>
      <c r="AE137" s="153">
        <f t="shared" si="69"/>
        <v>5.4851205656664064</v>
      </c>
      <c r="AF137" s="153">
        <f t="shared" si="69"/>
        <v>5.0869534944202357</v>
      </c>
      <c r="AG137" s="153">
        <f t="shared" si="69"/>
        <v>4.6887020158790662</v>
      </c>
      <c r="AH137" s="153">
        <f t="shared" si="69"/>
        <v>4.4105686767081664</v>
      </c>
      <c r="AI137" s="153">
        <f t="shared" si="69"/>
        <v>4.1710651265421816</v>
      </c>
      <c r="AJ137" s="153">
        <f t="shared" si="69"/>
        <v>3.9257300164263569</v>
      </c>
    </row>
    <row r="138" spans="2:36" s="583" customFormat="1" x14ac:dyDescent="0.35">
      <c r="B138" s="180"/>
      <c r="C138" s="1616"/>
      <c r="D138" s="180"/>
      <c r="E138" s="180"/>
      <c r="F138" s="180"/>
      <c r="G138" s="180"/>
      <c r="H138" s="180"/>
      <c r="I138" s="180"/>
      <c r="J138" s="180"/>
      <c r="K138" s="180"/>
      <c r="L138" s="180"/>
      <c r="M138" s="180"/>
      <c r="N138" s="180"/>
      <c r="O138" s="180"/>
      <c r="P138" s="180"/>
      <c r="Q138" s="180"/>
      <c r="R138" s="180"/>
      <c r="S138" s="180"/>
      <c r="U138" s="554">
        <v>43.258091650944614</v>
      </c>
      <c r="V138" s="554">
        <v>43.471003321784224</v>
      </c>
      <c r="W138" s="554">
        <v>45.021434234719457</v>
      </c>
      <c r="X138" s="554">
        <v>46.31781602041832</v>
      </c>
      <c r="Y138" s="554">
        <v>47.567948326705476</v>
      </c>
      <c r="Z138" s="554">
        <v>48.80904682460438</v>
      </c>
      <c r="AA138" s="554">
        <v>50.086718726838896</v>
      </c>
      <c r="AB138" s="554">
        <v>51.402106997829307</v>
      </c>
      <c r="AD138" s="153" t="e">
        <f>#REF!-U138</f>
        <v>#REF!</v>
      </c>
      <c r="AE138" s="153">
        <f t="shared" si="69"/>
        <v>5.4851205656664064</v>
      </c>
      <c r="AF138" s="153">
        <f t="shared" si="69"/>
        <v>5.0869534944202357</v>
      </c>
      <c r="AG138" s="153">
        <f t="shared" si="69"/>
        <v>4.6887020158790662</v>
      </c>
      <c r="AH138" s="153">
        <f t="shared" si="69"/>
        <v>4.4105686767081664</v>
      </c>
      <c r="AI138" s="153">
        <f t="shared" si="69"/>
        <v>4.1710651265421816</v>
      </c>
      <c r="AJ138" s="153">
        <f t="shared" si="69"/>
        <v>3.9257300164263569</v>
      </c>
    </row>
    <row r="139" spans="2:36" s="583" customFormat="1" x14ac:dyDescent="0.35">
      <c r="B139" s="180"/>
      <c r="C139" s="1616"/>
      <c r="D139" s="180"/>
      <c r="E139" s="180"/>
      <c r="F139" s="180"/>
      <c r="G139" s="180"/>
      <c r="H139" s="180"/>
      <c r="I139" s="180"/>
      <c r="J139" s="180"/>
      <c r="K139" s="180"/>
      <c r="L139" s="180"/>
      <c r="M139" s="180"/>
      <c r="N139" s="180"/>
      <c r="O139" s="180"/>
      <c r="P139" s="180"/>
      <c r="Q139" s="180"/>
      <c r="R139" s="180"/>
      <c r="S139" s="180"/>
      <c r="U139" s="554">
        <v>195</v>
      </c>
      <c r="V139" s="554">
        <v>200.85</v>
      </c>
      <c r="W139" s="554">
        <v>206.87549999999999</v>
      </c>
      <c r="X139" s="554">
        <v>213.08176499999999</v>
      </c>
      <c r="Y139" s="554">
        <v>219.47421795</v>
      </c>
      <c r="Z139" s="554">
        <v>226.05844448850002</v>
      </c>
      <c r="AA139" s="554">
        <v>232.84019782315502</v>
      </c>
      <c r="AB139" s="554">
        <v>239.82540375784967</v>
      </c>
      <c r="AD139" s="153" t="e">
        <f>#REF!-U139</f>
        <v>#REF!</v>
      </c>
      <c r="AE139" s="153">
        <f t="shared" ref="AE139:AJ139" si="70">J126-V139</f>
        <v>49.150000000000006</v>
      </c>
      <c r="AF139" s="153">
        <f t="shared" si="70"/>
        <v>43.124500000000012</v>
      </c>
      <c r="AG139" s="153">
        <f t="shared" si="70"/>
        <v>36.91823500000001</v>
      </c>
      <c r="AH139" s="153">
        <f t="shared" si="70"/>
        <v>30.525782050000004</v>
      </c>
      <c r="AI139" s="153">
        <f t="shared" si="70"/>
        <v>23.941555511499985</v>
      </c>
      <c r="AJ139" s="153">
        <f t="shared" si="70"/>
        <v>17.159802176844977</v>
      </c>
    </row>
    <row r="140" spans="2:36" s="583" customFormat="1" x14ac:dyDescent="0.35">
      <c r="B140" s="180"/>
      <c r="C140" s="1616"/>
      <c r="D140" s="180"/>
      <c r="E140" s="180"/>
      <c r="F140" s="180"/>
      <c r="G140" s="180"/>
      <c r="H140" s="180"/>
      <c r="I140" s="180"/>
      <c r="J140" s="180"/>
      <c r="K140" s="180"/>
      <c r="L140" s="180"/>
      <c r="M140" s="180"/>
      <c r="N140" s="180"/>
      <c r="O140" s="180"/>
      <c r="P140" s="180"/>
      <c r="Q140" s="180"/>
      <c r="R140" s="180"/>
      <c r="S140" s="180"/>
    </row>
    <row r="141" spans="2:36" s="583" customFormat="1" x14ac:dyDescent="0.35">
      <c r="B141" s="180"/>
      <c r="C141" s="1616"/>
      <c r="D141" s="180"/>
      <c r="E141" s="180"/>
      <c r="F141" s="180"/>
      <c r="G141" s="180"/>
      <c r="H141" s="180"/>
      <c r="I141" s="180"/>
      <c r="J141" s="180"/>
      <c r="K141" s="180"/>
      <c r="L141" s="180"/>
      <c r="M141" s="180"/>
      <c r="N141" s="180"/>
      <c r="O141" s="180"/>
      <c r="P141" s="180"/>
      <c r="Q141" s="180"/>
      <c r="R141" s="180"/>
      <c r="S141" s="180"/>
      <c r="U141" s="554">
        <v>0</v>
      </c>
      <c r="V141" s="554">
        <v>0</v>
      </c>
      <c r="W141" s="554">
        <v>0</v>
      </c>
      <c r="X141" s="554">
        <v>0</v>
      </c>
      <c r="Y141" s="554">
        <v>0</v>
      </c>
      <c r="Z141" s="554">
        <v>0</v>
      </c>
      <c r="AA141" s="554">
        <v>0</v>
      </c>
      <c r="AB141" s="554">
        <v>0</v>
      </c>
      <c r="AD141" s="153" t="e">
        <f>#REF!-U141</f>
        <v>#REF!</v>
      </c>
      <c r="AE141" s="153">
        <f t="shared" ref="AE141:AJ144" si="71">J128-V141</f>
        <v>0</v>
      </c>
      <c r="AF141" s="153">
        <f t="shared" si="71"/>
        <v>0</v>
      </c>
      <c r="AG141" s="153">
        <f t="shared" si="71"/>
        <v>0</v>
      </c>
      <c r="AH141" s="153">
        <f t="shared" si="71"/>
        <v>0</v>
      </c>
      <c r="AI141" s="153">
        <f t="shared" si="71"/>
        <v>0</v>
      </c>
      <c r="AJ141" s="153">
        <f t="shared" si="71"/>
        <v>0</v>
      </c>
    </row>
    <row r="142" spans="2:36" s="583" customFormat="1" x14ac:dyDescent="0.35">
      <c r="B142" s="180"/>
      <c r="C142" s="1616"/>
      <c r="D142" s="180"/>
      <c r="E142" s="180"/>
      <c r="F142" s="180"/>
      <c r="G142" s="180"/>
      <c r="H142" s="180"/>
      <c r="I142" s="180"/>
      <c r="J142" s="180"/>
      <c r="K142" s="180"/>
      <c r="L142" s="180"/>
      <c r="M142" s="180"/>
      <c r="N142" s="180"/>
      <c r="O142" s="180"/>
      <c r="P142" s="180"/>
      <c r="Q142" s="180"/>
      <c r="R142" s="180"/>
      <c r="S142" s="180"/>
      <c r="U142" s="554">
        <v>502.63658175355391</v>
      </c>
      <c r="V142" s="554">
        <v>460.4104184234543</v>
      </c>
      <c r="W142" s="554">
        <v>474.47944107711015</v>
      </c>
      <c r="X142" s="554">
        <v>477.26602072694021</v>
      </c>
      <c r="Y142" s="554">
        <v>491.58400134874842</v>
      </c>
      <c r="Z142" s="554">
        <v>506.33152138921088</v>
      </c>
      <c r="AA142" s="554">
        <v>521.52146703088727</v>
      </c>
      <c r="AB142" s="554">
        <v>537.16711104181388</v>
      </c>
      <c r="AD142" s="153" t="e">
        <f>#REF!-U142</f>
        <v>#REF!</v>
      </c>
      <c r="AE142" s="153">
        <f t="shared" si="71"/>
        <v>-425.74820068808845</v>
      </c>
      <c r="AF142" s="153">
        <f t="shared" si="71"/>
        <v>-427.28204772345163</v>
      </c>
      <c r="AG142" s="153">
        <f t="shared" si="71"/>
        <v>-428.44980089096458</v>
      </c>
      <c r="AH142" s="153">
        <f t="shared" si="71"/>
        <v>-441.10308092850448</v>
      </c>
      <c r="AI142" s="153">
        <f t="shared" si="71"/>
        <v>-454.84098256056211</v>
      </c>
      <c r="AJ142" s="153">
        <f t="shared" si="71"/>
        <v>-469.00111742566548</v>
      </c>
    </row>
    <row r="143" spans="2:36" s="583" customFormat="1" x14ac:dyDescent="0.35">
      <c r="B143" s="180"/>
      <c r="C143" s="1616"/>
      <c r="D143" s="180"/>
      <c r="E143" s="180"/>
      <c r="F143" s="180"/>
      <c r="G143" s="180"/>
      <c r="H143" s="180"/>
      <c r="I143" s="180"/>
      <c r="J143" s="180"/>
      <c r="K143" s="180"/>
      <c r="L143" s="180"/>
      <c r="M143" s="180"/>
      <c r="N143" s="180"/>
      <c r="O143" s="180"/>
      <c r="P143" s="180"/>
      <c r="Q143" s="180"/>
      <c r="R143" s="180"/>
      <c r="S143" s="180"/>
      <c r="U143" s="554">
        <v>0</v>
      </c>
      <c r="V143" s="554">
        <v>0</v>
      </c>
      <c r="W143" s="554">
        <v>0</v>
      </c>
      <c r="X143" s="554">
        <v>0</v>
      </c>
      <c r="Y143" s="554">
        <v>0</v>
      </c>
      <c r="Z143" s="554">
        <v>0</v>
      </c>
      <c r="AA143" s="554">
        <v>0</v>
      </c>
      <c r="AB143" s="554">
        <v>0</v>
      </c>
      <c r="AD143" s="153" t="e">
        <f>#REF!-U143</f>
        <v>#REF!</v>
      </c>
      <c r="AE143" s="153">
        <f t="shared" si="71"/>
        <v>0</v>
      </c>
      <c r="AF143" s="153">
        <f t="shared" si="71"/>
        <v>0</v>
      </c>
      <c r="AG143" s="153">
        <f t="shared" si="71"/>
        <v>0</v>
      </c>
      <c r="AH143" s="153">
        <f t="shared" si="71"/>
        <v>0</v>
      </c>
      <c r="AI143" s="153">
        <f t="shared" si="71"/>
        <v>0</v>
      </c>
      <c r="AJ143" s="153">
        <f t="shared" si="71"/>
        <v>0</v>
      </c>
    </row>
    <row r="144" spans="2:36" s="583" customFormat="1" x14ac:dyDescent="0.35">
      <c r="B144" s="180"/>
      <c r="C144" s="1616"/>
      <c r="D144" s="180"/>
      <c r="E144" s="180"/>
      <c r="F144" s="180"/>
      <c r="G144" s="180"/>
      <c r="H144" s="180"/>
      <c r="I144" s="180"/>
      <c r="J144" s="180"/>
      <c r="K144" s="180"/>
      <c r="L144" s="180"/>
      <c r="M144" s="180"/>
      <c r="N144" s="180"/>
      <c r="O144" s="180"/>
      <c r="P144" s="180"/>
      <c r="Q144" s="180"/>
      <c r="R144" s="180"/>
      <c r="S144" s="180"/>
      <c r="U144" s="554">
        <v>36.141207910878549</v>
      </c>
      <c r="V144" s="554">
        <v>91.085177196012822</v>
      </c>
      <c r="W144" s="554">
        <v>89.035097323069621</v>
      </c>
      <c r="X144" s="554">
        <v>92.930619068711636</v>
      </c>
      <c r="Y144" s="554">
        <v>94.126264994779973</v>
      </c>
      <c r="Z144" s="554">
        <v>96.582119623941509</v>
      </c>
      <c r="AA144" s="554">
        <v>99.110344789763786</v>
      </c>
      <c r="AB144" s="554">
        <v>101.71320216162059</v>
      </c>
      <c r="AD144" s="153" t="e">
        <f>#REF!-U144</f>
        <v>#REF!</v>
      </c>
      <c r="AE144" s="153">
        <f t="shared" si="71"/>
        <v>-17.622201097397976</v>
      </c>
      <c r="AF144" s="153">
        <f t="shared" si="71"/>
        <v>10.87148157784867</v>
      </c>
      <c r="AG144" s="153">
        <f t="shared" si="71"/>
        <v>11.430259073870317</v>
      </c>
      <c r="AH144" s="153">
        <f t="shared" si="71"/>
        <v>13.694640652087898</v>
      </c>
      <c r="AI144" s="153">
        <f t="shared" si="71"/>
        <v>13.391412368543598</v>
      </c>
      <c r="AJ144" s="153">
        <f t="shared" si="71"/>
        <v>13.006061557908993</v>
      </c>
    </row>
    <row r="145" spans="2:37" s="583" customFormat="1" x14ac:dyDescent="0.35">
      <c r="B145" s="180"/>
      <c r="C145" s="1616"/>
      <c r="D145" s="180"/>
      <c r="E145" s="180"/>
      <c r="F145" s="180"/>
      <c r="G145" s="180"/>
      <c r="H145" s="180"/>
      <c r="I145" s="180"/>
      <c r="J145" s="180"/>
      <c r="K145" s="180"/>
      <c r="L145" s="180"/>
      <c r="M145" s="180"/>
      <c r="N145" s="180"/>
      <c r="O145" s="180"/>
      <c r="P145" s="180"/>
      <c r="Q145" s="180"/>
      <c r="R145" s="180"/>
      <c r="S145" s="180"/>
      <c r="U145" s="554">
        <v>0.33715499999999998</v>
      </c>
      <c r="V145" s="554">
        <v>0.34726964999999999</v>
      </c>
      <c r="W145" s="554">
        <v>0.35768773949999999</v>
      </c>
      <c r="X145" s="554">
        <v>0.36841837168500002</v>
      </c>
      <c r="Y145" s="554">
        <v>0.37947092283555001</v>
      </c>
      <c r="Z145" s="554">
        <v>0.39085505052061648</v>
      </c>
      <c r="AA145" s="554">
        <v>0.40258070203623503</v>
      </c>
      <c r="AB145" s="554">
        <v>0.41465812309732208</v>
      </c>
      <c r="AD145" s="153" t="e">
        <f>#REF!-U145</f>
        <v>#REF!</v>
      </c>
      <c r="AE145" s="153">
        <f t="shared" ref="AE145:AJ145" si="72">J133-V145</f>
        <v>-0.34726964999999999</v>
      </c>
      <c r="AF145" s="153">
        <f t="shared" si="72"/>
        <v>-0.35768773949999999</v>
      </c>
      <c r="AG145" s="153">
        <f t="shared" si="72"/>
        <v>-0.36841837168500002</v>
      </c>
      <c r="AH145" s="153">
        <f t="shared" si="72"/>
        <v>-0.37947092283555001</v>
      </c>
      <c r="AI145" s="153">
        <f t="shared" si="72"/>
        <v>-0.39085505052061648</v>
      </c>
      <c r="AJ145" s="153">
        <f t="shared" si="72"/>
        <v>-0.40258070203623503</v>
      </c>
    </row>
    <row r="146" spans="2:37" s="583" customFormat="1" x14ac:dyDescent="0.35">
      <c r="B146" s="180"/>
      <c r="C146" s="1616"/>
      <c r="D146" s="180"/>
      <c r="E146" s="180"/>
      <c r="F146" s="180"/>
      <c r="G146" s="180"/>
      <c r="H146" s="180"/>
      <c r="I146" s="180"/>
      <c r="J146" s="180"/>
      <c r="K146" s="180"/>
      <c r="L146" s="180"/>
      <c r="M146" s="180"/>
      <c r="N146" s="180"/>
      <c r="O146" s="180"/>
      <c r="P146" s="180"/>
      <c r="Q146" s="180"/>
      <c r="R146" s="180"/>
      <c r="S146" s="180"/>
    </row>
    <row r="147" spans="2:37" s="583" customFormat="1" x14ac:dyDescent="0.35">
      <c r="B147" s="180"/>
      <c r="C147" s="1616"/>
      <c r="D147" s="180"/>
      <c r="E147" s="180"/>
      <c r="F147" s="180"/>
      <c r="G147" s="180"/>
      <c r="H147" s="180"/>
      <c r="I147" s="180"/>
      <c r="J147" s="180"/>
      <c r="K147" s="180"/>
      <c r="L147" s="180"/>
      <c r="M147" s="180"/>
      <c r="N147" s="180"/>
      <c r="O147" s="180"/>
      <c r="P147" s="180"/>
      <c r="Q147" s="180"/>
      <c r="R147" s="180"/>
      <c r="S147" s="180"/>
      <c r="U147" s="1618">
        <v>-461.55222071543255</v>
      </c>
      <c r="V147" s="1618">
        <v>-12.727920605034683</v>
      </c>
      <c r="W147" s="1618">
        <v>-12.029360870212486</v>
      </c>
      <c r="X147" s="1618">
        <v>-6.6928320276572322</v>
      </c>
      <c r="Y147" s="1618">
        <v>-15.524679099027026</v>
      </c>
      <c r="Z147" s="1618">
        <v>-17.214758797309059</v>
      </c>
      <c r="AA147" s="1618">
        <v>-17.729896459014299</v>
      </c>
      <c r="AB147" s="1618">
        <v>-18.26057880384451</v>
      </c>
      <c r="AD147" s="1682" t="e">
        <f>U147-#REF!</f>
        <v>#REF!</v>
      </c>
      <c r="AE147" s="1682">
        <f t="shared" ref="AE147:AK147" si="73">V147-J135</f>
        <v>29.318748873946035</v>
      </c>
      <c r="AF147" s="1682">
        <f t="shared" si="73"/>
        <v>26.949417550383643</v>
      </c>
      <c r="AG147" s="1682">
        <f t="shared" si="73"/>
        <v>-0.6197063036765087</v>
      </c>
      <c r="AH147" s="1682">
        <f t="shared" si="73"/>
        <v>-10.39995101047279</v>
      </c>
      <c r="AI147" s="1682">
        <f t="shared" si="73"/>
        <v>-14.052514043286976</v>
      </c>
      <c r="AJ147" s="1682">
        <f t="shared" si="73"/>
        <v>-14.55721132725364</v>
      </c>
      <c r="AK147" s="1682">
        <f t="shared" si="73"/>
        <v>-15.004760269478822</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7" tint="0.79998168889431442"/>
    <pageSetUpPr fitToPage="1"/>
  </sheetPr>
  <dimension ref="A1:AG233"/>
  <sheetViews>
    <sheetView showGridLines="0" zoomScale="80" zoomScaleNormal="80" zoomScaleSheetLayoutView="80" workbookViewId="0">
      <pane xSplit="1" ySplit="5" topLeftCell="B6" activePane="bottomRight" state="frozen"/>
      <selection pane="topRight" activeCell="B1" sqref="B1"/>
      <selection pane="bottomLeft" activeCell="A6" sqref="A6"/>
      <selection pane="bottomRight" activeCell="J7" sqref="J7"/>
    </sheetView>
  </sheetViews>
  <sheetFormatPr defaultColWidth="8.54296875" defaultRowHeight="14.5" outlineLevelCol="1" x14ac:dyDescent="0.35"/>
  <cols>
    <col min="1" max="1" width="4.453125" style="168" bestFit="1" customWidth="1"/>
    <col min="2" max="2" width="53.453125" style="133" customWidth="1"/>
    <col min="3" max="3" width="7.453125" style="295" customWidth="1"/>
    <col min="4" max="4" width="9.54296875" style="133" hidden="1" customWidth="1" outlineLevel="1"/>
    <col min="5" max="8" width="10.54296875" style="133" customWidth="1" outlineLevel="1"/>
    <col min="9" max="9" width="10.54296875" style="582" customWidth="1" outlineLevel="1"/>
    <col min="10" max="17" width="10.54296875" style="133" bestFit="1" customWidth="1"/>
    <col min="18" max="18" width="10.54296875" style="133" hidden="1" customWidth="1"/>
    <col min="19" max="19" width="10.54296875" style="582" hidden="1" customWidth="1"/>
    <col min="20" max="20" width="8.54296875" style="133"/>
    <col min="21" max="33" width="9.81640625" style="133" bestFit="1" customWidth="1"/>
    <col min="34" max="16384" width="8.54296875" style="133"/>
  </cols>
  <sheetData>
    <row r="1" spans="1:19" x14ac:dyDescent="0.35">
      <c r="A1" s="166"/>
      <c r="B1" s="110"/>
      <c r="J1" s="111"/>
      <c r="K1" s="111"/>
      <c r="L1" s="111"/>
      <c r="M1" s="111"/>
      <c r="N1" s="111"/>
      <c r="O1" s="111"/>
      <c r="P1" s="111"/>
      <c r="Q1" s="111"/>
      <c r="R1" s="111"/>
      <c r="S1" s="111"/>
    </row>
    <row r="2" spans="1:19" x14ac:dyDescent="0.35">
      <c r="A2" s="166"/>
      <c r="B2" s="112" t="str">
        <f>'P&amp;L'!B2</f>
        <v>All figures in INR Crores</v>
      </c>
    </row>
    <row r="3" spans="1:19" x14ac:dyDescent="0.35">
      <c r="A3" s="166"/>
      <c r="B3" s="112"/>
      <c r="F3" s="582"/>
      <c r="G3" s="582"/>
      <c r="H3" s="582"/>
    </row>
    <row r="4" spans="1:19" s="114" customFormat="1" x14ac:dyDescent="0.35">
      <c r="A4" s="166"/>
      <c r="B4" s="85" t="s">
        <v>366</v>
      </c>
      <c r="C4" s="296"/>
      <c r="D4" s="85"/>
      <c r="E4" s="1621" t="s">
        <v>920</v>
      </c>
      <c r="F4" s="1621" t="s">
        <v>920</v>
      </c>
      <c r="G4" s="1621" t="s">
        <v>920</v>
      </c>
      <c r="H4" s="1621" t="s">
        <v>920</v>
      </c>
      <c r="I4" s="1621" t="s">
        <v>920</v>
      </c>
      <c r="J4" s="1621" t="s">
        <v>368</v>
      </c>
      <c r="K4" s="1621" t="s">
        <v>368</v>
      </c>
      <c r="L4" s="1621" t="s">
        <v>368</v>
      </c>
      <c r="M4" s="1621" t="s">
        <v>368</v>
      </c>
      <c r="N4" s="1621" t="s">
        <v>368</v>
      </c>
      <c r="O4" s="1621" t="s">
        <v>368</v>
      </c>
      <c r="P4" s="1621" t="s">
        <v>368</v>
      </c>
      <c r="Q4" s="1621" t="s">
        <v>368</v>
      </c>
      <c r="R4" s="1621" t="s">
        <v>368</v>
      </c>
      <c r="S4" s="1621" t="s">
        <v>368</v>
      </c>
    </row>
    <row r="5" spans="1:19" s="113" customFormat="1" x14ac:dyDescent="0.35">
      <c r="A5" s="166"/>
      <c r="B5" s="85" t="s">
        <v>379</v>
      </c>
      <c r="C5" s="296"/>
      <c r="D5" s="85"/>
      <c r="E5" s="127">
        <f>EOMONTH(F5,-12)</f>
        <v>43190</v>
      </c>
      <c r="F5" s="127">
        <f>EOMONTH(G5,-12)</f>
        <v>43555</v>
      </c>
      <c r="G5" s="127">
        <f>'P&amp;L'!G5</f>
        <v>43921</v>
      </c>
      <c r="H5" s="127">
        <f>'P&amp;L'!H5</f>
        <v>44286</v>
      </c>
      <c r="I5" s="127">
        <f>'P&amp;L'!I5</f>
        <v>44651</v>
      </c>
      <c r="J5" s="127">
        <f>'P&amp;L'!J5</f>
        <v>45016</v>
      </c>
      <c r="K5" s="127">
        <f>'P&amp;L'!K5</f>
        <v>45382</v>
      </c>
      <c r="L5" s="127">
        <f>'P&amp;L'!L5</f>
        <v>45747</v>
      </c>
      <c r="M5" s="127">
        <f>'P&amp;L'!M5</f>
        <v>46112</v>
      </c>
      <c r="N5" s="127">
        <f>'P&amp;L'!N5</f>
        <v>46477</v>
      </c>
      <c r="O5" s="127">
        <f>'P&amp;L'!O5</f>
        <v>46843</v>
      </c>
      <c r="P5" s="127">
        <f>'P&amp;L'!P5</f>
        <v>47208</v>
      </c>
      <c r="Q5" s="127">
        <f>'P&amp;L'!Q5</f>
        <v>47573</v>
      </c>
      <c r="R5" s="127">
        <f>'P&amp;L'!R5</f>
        <v>47938</v>
      </c>
      <c r="S5" s="127">
        <f>'P&amp;L'!S5</f>
        <v>48304</v>
      </c>
    </row>
    <row r="6" spans="1:19" s="114" customFormat="1" x14ac:dyDescent="0.35">
      <c r="A6" s="166"/>
      <c r="B6" s="120" t="s">
        <v>95</v>
      </c>
      <c r="C6" s="164"/>
      <c r="D6" s="128"/>
      <c r="E6" s="128"/>
      <c r="F6" s="128"/>
      <c r="G6" s="128"/>
      <c r="H6" s="128"/>
      <c r="I6" s="128"/>
      <c r="J6" s="128"/>
      <c r="K6" s="128"/>
      <c r="L6" s="128"/>
      <c r="M6" s="128"/>
      <c r="N6" s="128"/>
      <c r="O6" s="128"/>
      <c r="P6" s="128"/>
      <c r="Q6" s="128"/>
      <c r="R6" s="128"/>
      <c r="S6" s="128"/>
    </row>
    <row r="7" spans="1:19" s="117" customFormat="1" x14ac:dyDescent="0.35">
      <c r="A7" s="167"/>
      <c r="B7" s="577" t="s">
        <v>793</v>
      </c>
      <c r="C7" s="578"/>
      <c r="D7" s="577"/>
      <c r="E7" s="77">
        <v>7.5814735039999865</v>
      </c>
      <c r="F7" s="77">
        <f>77197204/10^7</f>
        <v>7.7197203999999999</v>
      </c>
      <c r="G7" s="77">
        <v>7.6277064000000001</v>
      </c>
      <c r="H7" s="77">
        <v>7.6142291999999996</v>
      </c>
      <c r="I7" s="77">
        <f>76614018/10^7</f>
        <v>7.6614018000000002</v>
      </c>
      <c r="J7" s="62">
        <f>I7*(1+Assumptions!J152)</f>
        <v>7.6614018000000002</v>
      </c>
      <c r="K7" s="62">
        <f>J7*(1+Assumptions!K152)</f>
        <v>7.6614018000000002</v>
      </c>
      <c r="L7" s="62">
        <f>K7*(1+Assumptions!L152)</f>
        <v>7.6614018000000002</v>
      </c>
      <c r="M7" s="62">
        <f>L7*(1+Assumptions!M152)</f>
        <v>7.6614018000000002</v>
      </c>
      <c r="N7" s="62">
        <f>M7*(1+Assumptions!N152)</f>
        <v>7.6614018000000002</v>
      </c>
      <c r="O7" s="62">
        <f>N7*(1+Assumptions!O152)</f>
        <v>7.6614018000000002</v>
      </c>
      <c r="P7" s="62">
        <f>O7*(1+Assumptions!P152)</f>
        <v>7.6614018000000002</v>
      </c>
      <c r="Q7" s="62">
        <f>P7*(1+Assumptions!Q152)</f>
        <v>7.6614018000000002</v>
      </c>
      <c r="R7" s="62">
        <f>Q7*(1+Assumptions!R152)</f>
        <v>7.6614018000000002</v>
      </c>
      <c r="S7" s="62">
        <f>R7*(1+Assumptions!S152)</f>
        <v>7.6614018000000002</v>
      </c>
    </row>
    <row r="8" spans="1:19" s="117" customFormat="1" x14ac:dyDescent="0.35">
      <c r="A8" s="166"/>
      <c r="B8" s="577" t="s">
        <v>794</v>
      </c>
      <c r="C8" s="578"/>
      <c r="D8" s="577"/>
      <c r="E8" s="77">
        <v>6.4394695000000612E-2</v>
      </c>
      <c r="F8" s="77">
        <f>135868/10^7</f>
        <v>1.35868E-2</v>
      </c>
      <c r="G8" s="77">
        <v>0</v>
      </c>
      <c r="H8" s="77">
        <v>1.82866E-2</v>
      </c>
      <c r="I8" s="77">
        <f>(6429+2892)/10^7</f>
        <v>9.3210000000000005E-4</v>
      </c>
      <c r="J8" s="513">
        <f>I8</f>
        <v>9.3210000000000005E-4</v>
      </c>
      <c r="K8" s="513">
        <f t="shared" ref="K8:S8" si="0">J8</f>
        <v>9.3210000000000005E-4</v>
      </c>
      <c r="L8" s="513">
        <f t="shared" si="0"/>
        <v>9.3210000000000005E-4</v>
      </c>
      <c r="M8" s="513">
        <f t="shared" si="0"/>
        <v>9.3210000000000005E-4</v>
      </c>
      <c r="N8" s="513">
        <f t="shared" si="0"/>
        <v>9.3210000000000005E-4</v>
      </c>
      <c r="O8" s="513">
        <f t="shared" si="0"/>
        <v>9.3210000000000005E-4</v>
      </c>
      <c r="P8" s="513">
        <f t="shared" si="0"/>
        <v>9.3210000000000005E-4</v>
      </c>
      <c r="Q8" s="513">
        <f t="shared" si="0"/>
        <v>9.3210000000000005E-4</v>
      </c>
      <c r="R8" s="513">
        <f t="shared" si="0"/>
        <v>9.3210000000000005E-4</v>
      </c>
      <c r="S8" s="513">
        <f t="shared" si="0"/>
        <v>9.3210000000000005E-4</v>
      </c>
    </row>
    <row r="9" spans="1:19" s="117" customFormat="1" x14ac:dyDescent="0.35">
      <c r="A9" s="166"/>
      <c r="B9" s="57" t="s">
        <v>96</v>
      </c>
      <c r="C9" s="90"/>
      <c r="D9" s="57"/>
      <c r="E9" s="643">
        <f>SUM(E7:E8)</f>
        <v>7.6458681989999873</v>
      </c>
      <c r="F9" s="643">
        <f>SUM(F7:F8)</f>
        <v>7.7333071999999996</v>
      </c>
      <c r="G9" s="643">
        <f>SUM(G7:G8)</f>
        <v>7.6277064000000001</v>
      </c>
      <c r="H9" s="643">
        <f>SUM(H7:H8)</f>
        <v>7.6325157999999993</v>
      </c>
      <c r="I9" s="643">
        <f>SUM(I7:I8)</f>
        <v>7.6623339000000001</v>
      </c>
      <c r="J9" s="643">
        <f t="shared" ref="J9:R9" si="1">SUM(J7:J8)</f>
        <v>7.6623339000000001</v>
      </c>
      <c r="K9" s="643">
        <f t="shared" si="1"/>
        <v>7.6623339000000001</v>
      </c>
      <c r="L9" s="643">
        <f t="shared" si="1"/>
        <v>7.6623339000000001</v>
      </c>
      <c r="M9" s="643">
        <f t="shared" si="1"/>
        <v>7.6623339000000001</v>
      </c>
      <c r="N9" s="643">
        <f t="shared" si="1"/>
        <v>7.6623339000000001</v>
      </c>
      <c r="O9" s="643">
        <f t="shared" si="1"/>
        <v>7.6623339000000001</v>
      </c>
      <c r="P9" s="643">
        <f t="shared" si="1"/>
        <v>7.6623339000000001</v>
      </c>
      <c r="Q9" s="643">
        <f t="shared" si="1"/>
        <v>7.6623339000000001</v>
      </c>
      <c r="R9" s="643">
        <f t="shared" si="1"/>
        <v>7.6623339000000001</v>
      </c>
      <c r="S9" s="643">
        <f>SUM(S7:S8)</f>
        <v>7.6623339000000001</v>
      </c>
    </row>
    <row r="10" spans="1:19" s="117" customFormat="1" x14ac:dyDescent="0.35">
      <c r="A10" s="166"/>
      <c r="B10" s="577" t="s">
        <v>73</v>
      </c>
      <c r="C10" s="578"/>
      <c r="D10" s="577"/>
      <c r="E10" s="63">
        <f>E51</f>
        <v>159.01951036600002</v>
      </c>
      <c r="F10" s="63">
        <f>F51</f>
        <v>149.33221412</v>
      </c>
      <c r="G10" s="63">
        <f>G51</f>
        <v>1.0974467000000001</v>
      </c>
      <c r="H10" s="63">
        <f t="shared" ref="H10:R10" si="2">H51</f>
        <v>0.69416549999999999</v>
      </c>
      <c r="I10" s="63">
        <f t="shared" si="2"/>
        <v>3.5106021550000004</v>
      </c>
      <c r="J10" s="63">
        <f t="shared" si="2"/>
        <v>1.6833741550000001</v>
      </c>
      <c r="K10" s="63">
        <f t="shared" si="2"/>
        <v>1.6833741550000001</v>
      </c>
      <c r="L10" s="63">
        <f t="shared" si="2"/>
        <v>1.6833741550000001</v>
      </c>
      <c r="M10" s="63">
        <f t="shared" si="2"/>
        <v>1.6833741550000001</v>
      </c>
      <c r="N10" s="63">
        <f t="shared" si="2"/>
        <v>1.6833741550000001</v>
      </c>
      <c r="O10" s="63">
        <f t="shared" si="2"/>
        <v>1.6833741550000001</v>
      </c>
      <c r="P10" s="63">
        <f t="shared" si="2"/>
        <v>1.6833741550000001</v>
      </c>
      <c r="Q10" s="63">
        <f t="shared" si="2"/>
        <v>1.6833741550000001</v>
      </c>
      <c r="R10" s="63">
        <f t="shared" si="2"/>
        <v>1.6833741550000001</v>
      </c>
      <c r="S10" s="63">
        <f>S51</f>
        <v>1.6833741550000001</v>
      </c>
    </row>
    <row r="11" spans="1:19" s="114" customFormat="1" x14ac:dyDescent="0.35">
      <c r="A11" s="166"/>
      <c r="B11" s="103" t="s">
        <v>98</v>
      </c>
      <c r="C11" s="98"/>
      <c r="D11" s="103"/>
      <c r="E11" s="123">
        <f t="shared" ref="E11:S11" si="3">SUM(E9:E10)</f>
        <v>166.665378565</v>
      </c>
      <c r="F11" s="123">
        <f t="shared" si="3"/>
        <v>157.06552132000002</v>
      </c>
      <c r="G11" s="123">
        <f t="shared" si="3"/>
        <v>8.7251531</v>
      </c>
      <c r="H11" s="123">
        <f t="shared" si="3"/>
        <v>8.3266812999999988</v>
      </c>
      <c r="I11" s="123">
        <f t="shared" si="3"/>
        <v>11.172936055000001</v>
      </c>
      <c r="J11" s="123">
        <f t="shared" si="3"/>
        <v>9.3457080549999993</v>
      </c>
      <c r="K11" s="123">
        <f t="shared" si="3"/>
        <v>9.3457080549999993</v>
      </c>
      <c r="L11" s="123">
        <f t="shared" si="3"/>
        <v>9.3457080549999993</v>
      </c>
      <c r="M11" s="123">
        <f t="shared" si="3"/>
        <v>9.3457080549999993</v>
      </c>
      <c r="N11" s="123">
        <f t="shared" si="3"/>
        <v>9.3457080549999993</v>
      </c>
      <c r="O11" s="123">
        <f t="shared" si="3"/>
        <v>9.3457080549999993</v>
      </c>
      <c r="P11" s="123">
        <f t="shared" si="3"/>
        <v>9.3457080549999993</v>
      </c>
      <c r="Q11" s="123">
        <f t="shared" si="3"/>
        <v>9.3457080549999993</v>
      </c>
      <c r="R11" s="123">
        <f t="shared" si="3"/>
        <v>9.3457080549999993</v>
      </c>
      <c r="S11" s="123">
        <f t="shared" si="3"/>
        <v>9.3457080549999993</v>
      </c>
    </row>
    <row r="12" spans="1:19" s="114" customFormat="1" x14ac:dyDescent="0.35">
      <c r="A12" s="166"/>
      <c r="B12" s="120" t="s">
        <v>99</v>
      </c>
      <c r="C12" s="164"/>
      <c r="D12" s="128"/>
      <c r="E12" s="128"/>
      <c r="F12" s="128"/>
      <c r="G12" s="122"/>
      <c r="H12" s="122"/>
      <c r="I12" s="122"/>
      <c r="J12" s="122"/>
      <c r="K12" s="122"/>
      <c r="L12" s="122"/>
      <c r="M12" s="122"/>
      <c r="N12" s="122"/>
      <c r="O12" s="122"/>
      <c r="P12" s="122"/>
      <c r="Q12" s="122"/>
      <c r="R12" s="122"/>
      <c r="S12" s="122"/>
    </row>
    <row r="13" spans="1:19" s="114" customFormat="1" x14ac:dyDescent="0.35">
      <c r="A13" s="167"/>
      <c r="B13" s="128" t="s">
        <v>100</v>
      </c>
      <c r="C13" s="164"/>
      <c r="D13" s="128"/>
      <c r="E13" s="121">
        <v>30.202156288999941</v>
      </c>
      <c r="F13" s="121">
        <f>321674300/10^7</f>
        <v>32.167430000000003</v>
      </c>
      <c r="G13" s="121">
        <v>35.038670324000002</v>
      </c>
      <c r="H13" s="121">
        <v>35.624560789999997</v>
      </c>
      <c r="I13" s="121">
        <f>260081685.11/10^7</f>
        <v>26.008168511000001</v>
      </c>
      <c r="J13" s="122">
        <f>I13*(1+Assumptions!J154)</f>
        <v>27.828740306770001</v>
      </c>
      <c r="K13" s="122">
        <f>J13*(1+Assumptions!K154)</f>
        <v>29.776752128243903</v>
      </c>
      <c r="L13" s="122">
        <f>K13*(1+Assumptions!L154)</f>
        <v>31.861124777220979</v>
      </c>
      <c r="M13" s="122">
        <f>L13*(1+Assumptions!M154)</f>
        <v>34.091403511626453</v>
      </c>
      <c r="N13" s="122">
        <f>M13*(1+Assumptions!N154)</f>
        <v>36.477801757440304</v>
      </c>
      <c r="O13" s="122">
        <f>N13*(1+Assumptions!O154)</f>
        <v>39.03124788046113</v>
      </c>
      <c r="P13" s="122">
        <f>O13*(1+Assumptions!P154)</f>
        <v>41.763435232093414</v>
      </c>
      <c r="Q13" s="122">
        <f>P13*(1+Assumptions!Q154)</f>
        <v>44.686875698339954</v>
      </c>
      <c r="R13" s="122">
        <f>Q13*(1+Assumptions!R154)</f>
        <v>47.814956997223753</v>
      </c>
      <c r="S13" s="122">
        <f>R13*(1+Assumptions!S154)</f>
        <v>51.162003987029422</v>
      </c>
    </row>
    <row r="14" spans="1:19" s="114" customFormat="1" x14ac:dyDescent="0.35">
      <c r="A14" s="167"/>
      <c r="B14" s="120" t="s">
        <v>43</v>
      </c>
      <c r="C14" s="164"/>
      <c r="D14" s="128"/>
      <c r="E14" s="311">
        <f>SUM(E15:E26)</f>
        <v>77.77773956799976</v>
      </c>
      <c r="F14" s="311">
        <f>SUM(F15:F26)</f>
        <v>33.702667298000108</v>
      </c>
      <c r="G14" s="311">
        <f>SUM(G15:G26)</f>
        <v>38.887517129999999</v>
      </c>
      <c r="H14" s="311">
        <f t="shared" ref="H14:R14" si="4">SUM(H15:H26)</f>
        <v>24.912945266999948</v>
      </c>
      <c r="I14" s="311">
        <f t="shared" si="4"/>
        <v>44.629940726000001</v>
      </c>
      <c r="J14" s="311">
        <f t="shared" si="4"/>
        <v>24.047635053960001</v>
      </c>
      <c r="K14" s="311">
        <f t="shared" si="4"/>
        <v>24.528587755039201</v>
      </c>
      <c r="L14" s="311">
        <f t="shared" si="4"/>
        <v>25.019159510139986</v>
      </c>
      <c r="M14" s="311">
        <f t="shared" si="4"/>
        <v>25.519542700342786</v>
      </c>
      <c r="N14" s="311">
        <f t="shared" si="4"/>
        <v>26.029933554349643</v>
      </c>
      <c r="O14" s="311">
        <f t="shared" si="4"/>
        <v>26.550532225436637</v>
      </c>
      <c r="P14" s="311">
        <f t="shared" si="4"/>
        <v>27.081542869945373</v>
      </c>
      <c r="Q14" s="311">
        <f t="shared" si="4"/>
        <v>27.62317372734428</v>
      </c>
      <c r="R14" s="311">
        <f t="shared" si="4"/>
        <v>28.175637201891167</v>
      </c>
      <c r="S14" s="311">
        <f>SUM(S15:S26)</f>
        <v>28.73914994592899</v>
      </c>
    </row>
    <row r="15" spans="1:19" s="114" customFormat="1" x14ac:dyDescent="0.35">
      <c r="A15" s="167"/>
      <c r="B15" s="493" t="s">
        <v>56</v>
      </c>
      <c r="C15" s="70"/>
      <c r="D15" s="70"/>
      <c r="E15" s="428">
        <v>3.9651069999981914E-2</v>
      </c>
      <c r="F15" s="428">
        <v>1.499670870000088</v>
      </c>
      <c r="G15" s="428">
        <v>0.3656141</v>
      </c>
      <c r="H15" s="428">
        <v>1.6640735759999439</v>
      </c>
      <c r="I15" s="428">
        <f>(18875372.47+321990.53)/10^7</f>
        <v>1.9197363000000001</v>
      </c>
      <c r="J15" s="71">
        <f>I15*(1+Assumptions!J155)</f>
        <v>1.958131026</v>
      </c>
      <c r="K15" s="71">
        <f>J15*(1+Assumptions!K155)</f>
        <v>1.99729364652</v>
      </c>
      <c r="L15" s="71">
        <f>K15*(1+Assumptions!L155)</f>
        <v>2.0372395194504</v>
      </c>
      <c r="M15" s="71">
        <f>L15*(1+Assumptions!M155)</f>
        <v>2.0779843098394082</v>
      </c>
      <c r="N15" s="71">
        <f>M15*(1+Assumptions!N155)</f>
        <v>2.1195439960361964</v>
      </c>
      <c r="O15" s="71">
        <f>N15*(1+Assumptions!O155)</f>
        <v>2.1619348759569204</v>
      </c>
      <c r="P15" s="71">
        <f>O15*(1+Assumptions!P155)</f>
        <v>2.2051735734760589</v>
      </c>
      <c r="Q15" s="71">
        <f>P15*(1+Assumptions!Q155)</f>
        <v>2.2492770449455803</v>
      </c>
      <c r="R15" s="71">
        <f>Q15*(1+Assumptions!R155)</f>
        <v>2.2942625858444918</v>
      </c>
      <c r="S15" s="71">
        <f>R15*(1+Assumptions!S155)</f>
        <v>2.3401478375613816</v>
      </c>
    </row>
    <row r="16" spans="1:19" s="114" customFormat="1" x14ac:dyDescent="0.35">
      <c r="A16" s="167"/>
      <c r="B16" s="493" t="s">
        <v>59</v>
      </c>
      <c r="C16" s="70"/>
      <c r="D16" s="70"/>
      <c r="E16" s="428">
        <v>4.9000000000000004</v>
      </c>
      <c r="F16" s="428">
        <v>4.4400000000000004</v>
      </c>
      <c r="G16" s="428">
        <v>1.7542373659999999</v>
      </c>
      <c r="H16" s="428">
        <v>1.6368975449999998</v>
      </c>
      <c r="I16" s="428">
        <f>16525779.15/10^7</f>
        <v>1.652577915</v>
      </c>
      <c r="J16" s="71">
        <f>I16*(1+Assumptions!J156)</f>
        <v>1.6856294732999999</v>
      </c>
      <c r="K16" s="71">
        <f>J16*(1+Assumptions!K156)</f>
        <v>1.7193420627659999</v>
      </c>
      <c r="L16" s="71">
        <f>K16*(1+Assumptions!L156)</f>
        <v>1.75372890402132</v>
      </c>
      <c r="M16" s="71">
        <f>L16*(1+Assumptions!M156)</f>
        <v>1.7888034821017464</v>
      </c>
      <c r="N16" s="71">
        <f>M16*(1+Assumptions!N156)</f>
        <v>1.8245795517437815</v>
      </c>
      <c r="O16" s="71">
        <f>N16*(1+Assumptions!O156)</f>
        <v>1.8610711427786573</v>
      </c>
      <c r="P16" s="71">
        <f>O16*(1+Assumptions!P156)</f>
        <v>1.8982925656342304</v>
      </c>
      <c r="Q16" s="71">
        <f>P16*(1+Assumptions!Q156)</f>
        <v>1.936258416946915</v>
      </c>
      <c r="R16" s="71">
        <f>Q16*(1+Assumptions!R156)</f>
        <v>1.9749835852858533</v>
      </c>
      <c r="S16" s="71">
        <f>R16*(1+Assumptions!S156)</f>
        <v>2.0144832569915705</v>
      </c>
    </row>
    <row r="17" spans="1:19" s="114" customFormat="1" x14ac:dyDescent="0.35">
      <c r="A17" s="167"/>
      <c r="B17" s="493" t="s">
        <v>60</v>
      </c>
      <c r="C17" s="70"/>
      <c r="D17" s="70"/>
      <c r="E17" s="428">
        <v>0.65</v>
      </c>
      <c r="F17" s="428">
        <v>0.71969260000000002</v>
      </c>
      <c r="G17" s="428">
        <v>0.72799999999999998</v>
      </c>
      <c r="H17" s="428">
        <v>0.3</v>
      </c>
      <c r="I17" s="428">
        <f>3900000/10^7</f>
        <v>0.39</v>
      </c>
      <c r="J17" s="71">
        <f>I17*(1+Assumptions!J157)</f>
        <v>0.39780000000000004</v>
      </c>
      <c r="K17" s="71">
        <f>J17*(1+Assumptions!K157)</f>
        <v>0.40575600000000006</v>
      </c>
      <c r="L17" s="71">
        <f>K17*(1+Assumptions!L157)</f>
        <v>0.41387112000000009</v>
      </c>
      <c r="M17" s="71">
        <f>L17*(1+Assumptions!M157)</f>
        <v>0.4221485424000001</v>
      </c>
      <c r="N17" s="71">
        <f>M17*(1+Assumptions!N157)</f>
        <v>0.4305915132480001</v>
      </c>
      <c r="O17" s="71">
        <f>N17*(1+Assumptions!O157)</f>
        <v>0.43920334351296009</v>
      </c>
      <c r="P17" s="71">
        <f>O17*(1+Assumptions!P157)</f>
        <v>0.44798741038321932</v>
      </c>
      <c r="Q17" s="71">
        <f>P17*(1+Assumptions!Q157)</f>
        <v>0.4569471585908837</v>
      </c>
      <c r="R17" s="71">
        <f>Q17*(1+Assumptions!R157)</f>
        <v>0.46608610176270138</v>
      </c>
      <c r="S17" s="71">
        <f>R17*(1+Assumptions!S157)</f>
        <v>0.47540782379795543</v>
      </c>
    </row>
    <row r="18" spans="1:19" s="114" customFormat="1" x14ac:dyDescent="0.35">
      <c r="A18" s="167"/>
      <c r="B18" s="493" t="s">
        <v>61</v>
      </c>
      <c r="C18" s="70"/>
      <c r="D18" s="70"/>
      <c r="E18" s="428">
        <v>0.83574946100000003</v>
      </c>
      <c r="F18" s="428">
        <v>0.92124279100000006</v>
      </c>
      <c r="G18" s="428">
        <v>0.70487504400000001</v>
      </c>
      <c r="H18" s="428">
        <v>1.0686943380000011</v>
      </c>
      <c r="I18" s="428">
        <f>13712716.71/10^7</f>
        <v>1.3712716710000001</v>
      </c>
      <c r="J18" s="71">
        <f>I18*(1+Assumptions!J158)</f>
        <v>1.3986971044200001</v>
      </c>
      <c r="K18" s="71">
        <f>J18*(1+Assumptions!K158)</f>
        <v>1.4266710465084</v>
      </c>
      <c r="L18" s="71">
        <f>K18*(1+Assumptions!L158)</f>
        <v>1.455204467438568</v>
      </c>
      <c r="M18" s="71">
        <f>L18*(1+Assumptions!M158)</f>
        <v>1.4843085567873393</v>
      </c>
      <c r="N18" s="71">
        <f>M18*(1+Assumptions!N158)</f>
        <v>1.5139947279230861</v>
      </c>
      <c r="O18" s="71">
        <f>N18*(1+Assumptions!O158)</f>
        <v>1.5442746224815478</v>
      </c>
      <c r="P18" s="71">
        <f>O18*(1+Assumptions!P158)</f>
        <v>1.5751601149311787</v>
      </c>
      <c r="Q18" s="71">
        <f>P18*(1+Assumptions!Q158)</f>
        <v>1.6066633172298024</v>
      </c>
      <c r="R18" s="71">
        <f>Q18*(1+Assumptions!R158)</f>
        <v>1.6387965835743985</v>
      </c>
      <c r="S18" s="71">
        <f>R18*(1+Assumptions!S158)</f>
        <v>1.6715725152458865</v>
      </c>
    </row>
    <row r="19" spans="1:19" s="114" customFormat="1" x14ac:dyDescent="0.35">
      <c r="A19" s="167"/>
      <c r="B19" s="493" t="s">
        <v>62</v>
      </c>
      <c r="C19" s="70"/>
      <c r="D19" s="70"/>
      <c r="E19" s="428"/>
      <c r="F19" s="428">
        <v>0</v>
      </c>
      <c r="G19" s="428">
        <v>0.52</v>
      </c>
      <c r="H19" s="428">
        <v>0</v>
      </c>
      <c r="I19" s="428">
        <v>0</v>
      </c>
      <c r="J19" s="71">
        <f>+I19</f>
        <v>0</v>
      </c>
      <c r="K19" s="71">
        <f t="shared" ref="K19:S19" si="5">+J19</f>
        <v>0</v>
      </c>
      <c r="L19" s="71">
        <f t="shared" si="5"/>
        <v>0</v>
      </c>
      <c r="M19" s="71">
        <f t="shared" si="5"/>
        <v>0</v>
      </c>
      <c r="N19" s="71">
        <f t="shared" si="5"/>
        <v>0</v>
      </c>
      <c r="O19" s="71">
        <f t="shared" si="5"/>
        <v>0</v>
      </c>
      <c r="P19" s="71">
        <f t="shared" si="5"/>
        <v>0</v>
      </c>
      <c r="Q19" s="71">
        <f t="shared" si="5"/>
        <v>0</v>
      </c>
      <c r="R19" s="71">
        <f t="shared" si="5"/>
        <v>0</v>
      </c>
      <c r="S19" s="71">
        <f t="shared" si="5"/>
        <v>0</v>
      </c>
    </row>
    <row r="20" spans="1:19" s="114" customFormat="1" x14ac:dyDescent="0.35">
      <c r="A20" s="167"/>
      <c r="B20" s="493" t="s">
        <v>63</v>
      </c>
      <c r="C20" s="70"/>
      <c r="D20" s="70"/>
      <c r="E20" s="428">
        <v>15.05</v>
      </c>
      <c r="F20" s="428">
        <v>11.03</v>
      </c>
      <c r="G20" s="428">
        <v>14.299736675</v>
      </c>
      <c r="H20" s="428">
        <v>6.3053999999999997</v>
      </c>
      <c r="I20" s="428">
        <f>71616000/10^7</f>
        <v>7.1616</v>
      </c>
      <c r="J20" s="71">
        <v>0</v>
      </c>
      <c r="K20" s="71">
        <f t="shared" ref="K20:S20" si="6">+J20</f>
        <v>0</v>
      </c>
      <c r="L20" s="71">
        <f t="shared" si="6"/>
        <v>0</v>
      </c>
      <c r="M20" s="71">
        <f t="shared" si="6"/>
        <v>0</v>
      </c>
      <c r="N20" s="71">
        <f t="shared" si="6"/>
        <v>0</v>
      </c>
      <c r="O20" s="71">
        <f t="shared" si="6"/>
        <v>0</v>
      </c>
      <c r="P20" s="71">
        <f t="shared" si="6"/>
        <v>0</v>
      </c>
      <c r="Q20" s="71">
        <f t="shared" si="6"/>
        <v>0</v>
      </c>
      <c r="R20" s="71">
        <f t="shared" si="6"/>
        <v>0</v>
      </c>
      <c r="S20" s="71">
        <f t="shared" si="6"/>
        <v>0</v>
      </c>
    </row>
    <row r="21" spans="1:19" s="114" customFormat="1" x14ac:dyDescent="0.35">
      <c r="A21" s="167"/>
      <c r="B21" s="493" t="s">
        <v>64</v>
      </c>
      <c r="C21" s="70"/>
      <c r="D21" s="70"/>
      <c r="E21" s="428">
        <v>7.6586650000000003E-3</v>
      </c>
      <c r="F21" s="428">
        <v>3.0191194000000088E-2</v>
      </c>
      <c r="G21" s="428">
        <v>6.1225000000000003E-3</v>
      </c>
      <c r="H21" s="428">
        <v>0</v>
      </c>
      <c r="I21" s="428">
        <f>494749/10^7</f>
        <v>4.9474900000000002E-2</v>
      </c>
      <c r="J21" s="71">
        <v>0</v>
      </c>
      <c r="K21" s="71">
        <f t="shared" ref="K21:S21" si="7">+J21</f>
        <v>0</v>
      </c>
      <c r="L21" s="71">
        <f t="shared" si="7"/>
        <v>0</v>
      </c>
      <c r="M21" s="71">
        <f t="shared" si="7"/>
        <v>0</v>
      </c>
      <c r="N21" s="71">
        <f t="shared" si="7"/>
        <v>0</v>
      </c>
      <c r="O21" s="71">
        <f t="shared" si="7"/>
        <v>0</v>
      </c>
      <c r="P21" s="71">
        <f t="shared" si="7"/>
        <v>0</v>
      </c>
      <c r="Q21" s="71">
        <f t="shared" si="7"/>
        <v>0</v>
      </c>
      <c r="R21" s="71">
        <f t="shared" si="7"/>
        <v>0</v>
      </c>
      <c r="S21" s="71">
        <f t="shared" si="7"/>
        <v>0</v>
      </c>
    </row>
    <row r="22" spans="1:19" s="114" customFormat="1" x14ac:dyDescent="0.35">
      <c r="A22" s="167"/>
      <c r="B22" s="493" t="s">
        <v>47</v>
      </c>
      <c r="C22" s="70"/>
      <c r="D22" s="70"/>
      <c r="E22" s="428"/>
      <c r="F22" s="428">
        <v>0</v>
      </c>
      <c r="G22" s="428">
        <v>4.8288760540000002</v>
      </c>
      <c r="H22" s="428">
        <v>1.2401058E-2</v>
      </c>
      <c r="I22" s="428">
        <f>59202541.28/10^7</f>
        <v>5.9202541279999998</v>
      </c>
      <c r="J22" s="71">
        <v>0</v>
      </c>
      <c r="K22" s="71">
        <f t="shared" ref="K22:S22" si="8">+J22</f>
        <v>0</v>
      </c>
      <c r="L22" s="71">
        <f t="shared" si="8"/>
        <v>0</v>
      </c>
      <c r="M22" s="71">
        <f t="shared" si="8"/>
        <v>0</v>
      </c>
      <c r="N22" s="71">
        <f t="shared" si="8"/>
        <v>0</v>
      </c>
      <c r="O22" s="71">
        <f t="shared" si="8"/>
        <v>0</v>
      </c>
      <c r="P22" s="71">
        <f t="shared" si="8"/>
        <v>0</v>
      </c>
      <c r="Q22" s="71">
        <f t="shared" si="8"/>
        <v>0</v>
      </c>
      <c r="R22" s="71">
        <f t="shared" si="8"/>
        <v>0</v>
      </c>
      <c r="S22" s="71">
        <f t="shared" si="8"/>
        <v>0</v>
      </c>
    </row>
    <row r="23" spans="1:19" s="114" customFormat="1" x14ac:dyDescent="0.35">
      <c r="A23" s="167"/>
      <c r="B23" s="493" t="s">
        <v>75</v>
      </c>
      <c r="C23" s="70"/>
      <c r="D23" s="70"/>
      <c r="E23" s="428">
        <v>0.14862976900002689</v>
      </c>
      <c r="F23" s="428">
        <v>2.8694029000007504E-2</v>
      </c>
      <c r="G23" s="428">
        <v>3.1525998999999999E-2</v>
      </c>
      <c r="H23" s="428">
        <v>0</v>
      </c>
      <c r="I23" s="428">
        <f>79224989/10^7</f>
        <v>7.9224988999999999</v>
      </c>
      <c r="J23" s="71">
        <v>0</v>
      </c>
      <c r="K23" s="71">
        <f t="shared" ref="K23:S23" si="9">+J23</f>
        <v>0</v>
      </c>
      <c r="L23" s="71">
        <f t="shared" si="9"/>
        <v>0</v>
      </c>
      <c r="M23" s="71">
        <f t="shared" si="9"/>
        <v>0</v>
      </c>
      <c r="N23" s="71">
        <f t="shared" si="9"/>
        <v>0</v>
      </c>
      <c r="O23" s="71">
        <f t="shared" si="9"/>
        <v>0</v>
      </c>
      <c r="P23" s="71">
        <f t="shared" si="9"/>
        <v>0</v>
      </c>
      <c r="Q23" s="71">
        <f t="shared" si="9"/>
        <v>0</v>
      </c>
      <c r="R23" s="71">
        <f t="shared" si="9"/>
        <v>0</v>
      </c>
      <c r="S23" s="71">
        <f t="shared" si="9"/>
        <v>0</v>
      </c>
    </row>
    <row r="24" spans="1:19" s="114" customFormat="1" x14ac:dyDescent="0.35">
      <c r="A24" s="167"/>
      <c r="B24" s="493" t="s">
        <v>76</v>
      </c>
      <c r="C24" s="70"/>
      <c r="D24" s="70"/>
      <c r="E24" s="428">
        <v>0.59225660300000094</v>
      </c>
      <c r="F24" s="428">
        <v>0.98846712700000072</v>
      </c>
      <c r="G24" s="428">
        <v>0.65815326600000013</v>
      </c>
      <c r="H24" s="428">
        <v>0.57794525500000005</v>
      </c>
      <c r="I24" s="428">
        <f>8467245.38/10^7</f>
        <v>0.84672453800000003</v>
      </c>
      <c r="J24" s="71">
        <f>I24*(1+Assumptions!J159)</f>
        <v>0.86365902876</v>
      </c>
      <c r="K24" s="71">
        <f>J24*(1+Assumptions!K159)</f>
        <v>0.8809322093352</v>
      </c>
      <c r="L24" s="71">
        <f>K24*(1+Assumptions!L159)</f>
        <v>0.898550853521904</v>
      </c>
      <c r="M24" s="71">
        <f>L24*(1+Assumptions!M159)</f>
        <v>0.91652187059234214</v>
      </c>
      <c r="N24" s="71">
        <f>M24*(1+Assumptions!N159)</f>
        <v>0.93485230800418895</v>
      </c>
      <c r="O24" s="71">
        <f>N24*(1+Assumptions!O159)</f>
        <v>0.95354935416427278</v>
      </c>
      <c r="P24" s="71">
        <f>O24*(1+Assumptions!P159)</f>
        <v>0.97262034124755825</v>
      </c>
      <c r="Q24" s="71">
        <f>P24*(1+Assumptions!Q159)</f>
        <v>0.99207274807250945</v>
      </c>
      <c r="R24" s="71">
        <f>Q24*(1+Assumptions!R159)</f>
        <v>1.0119142030339596</v>
      </c>
      <c r="S24" s="71">
        <f>R24*(1+Assumptions!S159)</f>
        <v>1.0321524870946388</v>
      </c>
    </row>
    <row r="25" spans="1:19" s="114" customFormat="1" x14ac:dyDescent="0.35">
      <c r="A25" s="167"/>
      <c r="B25" s="493" t="s">
        <v>393</v>
      </c>
      <c r="C25" s="70"/>
      <c r="D25" s="70"/>
      <c r="E25" s="428">
        <v>0.47379399999974203</v>
      </c>
      <c r="F25" s="428">
        <v>0.31880200000001191</v>
      </c>
      <c r="G25" s="294">
        <v>0.25673980000000002</v>
      </c>
      <c r="H25" s="294">
        <v>0.133195284</v>
      </c>
      <c r="I25" s="294">
        <f>2178440.73/10^7</f>
        <v>0.217844073</v>
      </c>
      <c r="J25" s="71">
        <f>I25*(1+Assumptions!J160)</f>
        <v>0.22220095446000002</v>
      </c>
      <c r="K25" s="71">
        <f>J25*(1+Assumptions!K160)</f>
        <v>0.22664497354920002</v>
      </c>
      <c r="L25" s="71">
        <f>K25*(1+Assumptions!L160)</f>
        <v>0.23117787302018403</v>
      </c>
      <c r="M25" s="71">
        <f>L25*(1+Assumptions!M160)</f>
        <v>0.23580143048058771</v>
      </c>
      <c r="N25" s="71">
        <f>M25*(1+Assumptions!N160)</f>
        <v>0.24051745909019948</v>
      </c>
      <c r="O25" s="71">
        <f>N25*(1+Assumptions!O160)</f>
        <v>0.24532780827200346</v>
      </c>
      <c r="P25" s="71">
        <f>O25*(1+Assumptions!P160)</f>
        <v>0.25023436443744351</v>
      </c>
      <c r="Q25" s="71">
        <f>P25*(1+Assumptions!Q160)</f>
        <v>0.25523905172619238</v>
      </c>
      <c r="R25" s="71">
        <f>Q25*(1+Assumptions!R160)</f>
        <v>0.26034383276071621</v>
      </c>
      <c r="S25" s="71">
        <f>R25*(1+Assumptions!S160)</f>
        <v>0.26555070941593056</v>
      </c>
    </row>
    <row r="26" spans="1:19" s="114" customFormat="1" x14ac:dyDescent="0.35">
      <c r="A26" s="167"/>
      <c r="B26" s="514" t="s">
        <v>69</v>
      </c>
      <c r="C26" s="164"/>
      <c r="D26" s="164"/>
      <c r="E26" s="294">
        <v>55.08</v>
      </c>
      <c r="F26" s="294">
        <f>13.515906687+0.21</f>
        <v>13.725906687</v>
      </c>
      <c r="G26" s="294">
        <v>14.733636326000001</v>
      </c>
      <c r="H26" s="294">
        <v>13.214338211000003</v>
      </c>
      <c r="I26" s="294">
        <f>171779583.01/10^7</f>
        <v>17.177958301</v>
      </c>
      <c r="J26" s="71">
        <f>I26*(1+Assumptions!J161)</f>
        <v>17.521517467020001</v>
      </c>
      <c r="K26" s="71">
        <f>J26*(1+Assumptions!K161)</f>
        <v>17.8719478163604</v>
      </c>
      <c r="L26" s="71">
        <f>K26*(1+Assumptions!L161)</f>
        <v>18.229386772687608</v>
      </c>
      <c r="M26" s="71">
        <f>L26*(1+Assumptions!M161)</f>
        <v>18.593974508141361</v>
      </c>
      <c r="N26" s="71">
        <f>M26*(1+Assumptions!N161)</f>
        <v>18.96585399830419</v>
      </c>
      <c r="O26" s="71">
        <f>N26*(1+Assumptions!O161)</f>
        <v>19.345171078270276</v>
      </c>
      <c r="P26" s="71">
        <f>O26*(1+Assumptions!P161)</f>
        <v>19.732074499835683</v>
      </c>
      <c r="Q26" s="71">
        <f>P26*(1+Assumptions!Q161)</f>
        <v>20.126715989832398</v>
      </c>
      <c r="R26" s="71">
        <f>Q26*(1+Assumptions!R161)</f>
        <v>20.529250309629045</v>
      </c>
      <c r="S26" s="71">
        <f>R26*(1+Assumptions!S161)</f>
        <v>20.939835315821625</v>
      </c>
    </row>
    <row r="27" spans="1:19" s="114" customFormat="1" x14ac:dyDescent="0.35">
      <c r="A27" s="166"/>
      <c r="B27" s="103" t="s">
        <v>394</v>
      </c>
      <c r="C27" s="97"/>
      <c r="D27" s="155"/>
      <c r="E27" s="123">
        <f t="shared" ref="E27:S27" si="10">SUM(E15:E26)+E13</f>
        <v>107.9798958569997</v>
      </c>
      <c r="F27" s="123">
        <f t="shared" si="10"/>
        <v>65.870097298000104</v>
      </c>
      <c r="G27" s="123">
        <f t="shared" si="10"/>
        <v>73.926187454000001</v>
      </c>
      <c r="H27" s="123">
        <f t="shared" si="10"/>
        <v>60.537506056999945</v>
      </c>
      <c r="I27" s="123">
        <f t="shared" si="10"/>
        <v>70.638109237000009</v>
      </c>
      <c r="J27" s="123">
        <f t="shared" si="10"/>
        <v>51.876375360730002</v>
      </c>
      <c r="K27" s="123">
        <f t="shared" si="10"/>
        <v>54.305339883283104</v>
      </c>
      <c r="L27" s="123">
        <f t="shared" si="10"/>
        <v>56.880284287360965</v>
      </c>
      <c r="M27" s="123">
        <f t="shared" si="10"/>
        <v>59.610946211969235</v>
      </c>
      <c r="N27" s="123">
        <f t="shared" si="10"/>
        <v>62.507735311789943</v>
      </c>
      <c r="O27" s="123">
        <f t="shared" si="10"/>
        <v>65.581780105897764</v>
      </c>
      <c r="P27" s="123">
        <f t="shared" si="10"/>
        <v>68.844978102038795</v>
      </c>
      <c r="Q27" s="123">
        <f t="shared" si="10"/>
        <v>72.310049425684241</v>
      </c>
      <c r="R27" s="123">
        <f t="shared" si="10"/>
        <v>75.990594199114923</v>
      </c>
      <c r="S27" s="123">
        <f t="shared" si="10"/>
        <v>79.901153932958408</v>
      </c>
    </row>
    <row r="28" spans="1:19" s="114" customFormat="1" x14ac:dyDescent="0.35">
      <c r="A28" s="166"/>
      <c r="B28" s="367" t="s">
        <v>72</v>
      </c>
      <c r="C28" s="368"/>
      <c r="D28" s="369"/>
      <c r="E28" s="372">
        <f t="shared" ref="E28" si="11">E11-E27</f>
        <v>58.685482708000293</v>
      </c>
      <c r="F28" s="372">
        <f t="shared" ref="F28:S28" si="12">F11-F27</f>
        <v>91.195424021999912</v>
      </c>
      <c r="G28" s="372">
        <f t="shared" si="12"/>
        <v>-65.201034354000001</v>
      </c>
      <c r="H28" s="372">
        <f t="shared" si="12"/>
        <v>-52.210824756999948</v>
      </c>
      <c r="I28" s="372">
        <f t="shared" si="12"/>
        <v>-59.465173182000008</v>
      </c>
      <c r="J28" s="372">
        <f t="shared" si="12"/>
        <v>-42.530667305730006</v>
      </c>
      <c r="K28" s="372">
        <f t="shared" si="12"/>
        <v>-44.959631828283108</v>
      </c>
      <c r="L28" s="372">
        <f t="shared" si="12"/>
        <v>-47.534576232360962</v>
      </c>
      <c r="M28" s="372">
        <f t="shared" si="12"/>
        <v>-50.265238156969232</v>
      </c>
      <c r="N28" s="372">
        <f t="shared" si="12"/>
        <v>-53.162027256789941</v>
      </c>
      <c r="O28" s="372">
        <f t="shared" si="12"/>
        <v>-56.236072050897761</v>
      </c>
      <c r="P28" s="372">
        <f t="shared" si="12"/>
        <v>-59.499270047038792</v>
      </c>
      <c r="Q28" s="372">
        <f t="shared" si="12"/>
        <v>-62.964341370684238</v>
      </c>
      <c r="R28" s="372">
        <f t="shared" si="12"/>
        <v>-66.644886144114921</v>
      </c>
      <c r="S28" s="372">
        <f t="shared" si="12"/>
        <v>-70.555445877958405</v>
      </c>
    </row>
    <row r="29" spans="1:19" s="114" customFormat="1" x14ac:dyDescent="0.35">
      <c r="A29" s="166"/>
      <c r="B29" s="248" t="s">
        <v>380</v>
      </c>
      <c r="C29" s="373"/>
      <c r="D29" s="348"/>
      <c r="E29" s="588">
        <f t="shared" ref="E29" si="13">E28/E11</f>
        <v>0.35211561761228521</v>
      </c>
      <c r="F29" s="588">
        <f t="shared" ref="F29:S29" si="14">F28/F11</f>
        <v>0.58062026124881616</v>
      </c>
      <c r="G29" s="588">
        <f t="shared" si="14"/>
        <v>-7.4727667935133422</v>
      </c>
      <c r="H29" s="588">
        <f t="shared" si="14"/>
        <v>-6.270304203548652</v>
      </c>
      <c r="I29" s="588">
        <f t="shared" si="14"/>
        <v>-5.3222512765915946</v>
      </c>
      <c r="J29" s="588">
        <f t="shared" si="14"/>
        <v>-4.55082344274342</v>
      </c>
      <c r="K29" s="588">
        <f t="shared" si="14"/>
        <v>-4.8107250476575167</v>
      </c>
      <c r="L29" s="588">
        <f t="shared" si="14"/>
        <v>-5.0862466441940404</v>
      </c>
      <c r="M29" s="588">
        <f t="shared" si="14"/>
        <v>-5.3784301693521321</v>
      </c>
      <c r="N29" s="588">
        <f t="shared" si="14"/>
        <v>-5.6883894664725805</v>
      </c>
      <c r="O29" s="588">
        <f t="shared" si="14"/>
        <v>-6.0173152980967757</v>
      </c>
      <c r="P29" s="588">
        <f t="shared" si="14"/>
        <v>-6.3664807093140894</v>
      </c>
      <c r="Q29" s="588">
        <f t="shared" si="14"/>
        <v>-6.7372467661236231</v>
      </c>
      <c r="R29" s="588">
        <f t="shared" si="14"/>
        <v>-7.1310686950529751</v>
      </c>
      <c r="S29" s="588">
        <f t="shared" si="14"/>
        <v>-7.5495024521133951</v>
      </c>
    </row>
    <row r="30" spans="1:19" s="117" customFormat="1" x14ac:dyDescent="0.35">
      <c r="A30" s="166"/>
      <c r="B30" s="370"/>
      <c r="C30" s="72"/>
      <c r="G30" s="371"/>
      <c r="H30" s="371"/>
      <c r="I30" s="371"/>
      <c r="J30" s="371"/>
      <c r="K30" s="371"/>
      <c r="L30" s="371"/>
      <c r="M30" s="371"/>
      <c r="N30" s="371"/>
      <c r="O30" s="371"/>
      <c r="P30" s="371"/>
      <c r="Q30" s="371"/>
      <c r="R30" s="371"/>
      <c r="S30" s="371"/>
    </row>
    <row r="31" spans="1:19" s="114" customFormat="1" x14ac:dyDescent="0.35">
      <c r="A31" s="166"/>
      <c r="B31" s="248" t="s">
        <v>53</v>
      </c>
      <c r="C31" s="373"/>
      <c r="D31" s="348"/>
      <c r="E31" s="348"/>
      <c r="F31" s="348"/>
      <c r="G31" s="251"/>
      <c r="H31" s="251"/>
      <c r="I31" s="251"/>
      <c r="J31" s="251"/>
      <c r="K31" s="251"/>
      <c r="L31" s="251"/>
      <c r="M31" s="251"/>
      <c r="N31" s="251"/>
      <c r="O31" s="251"/>
      <c r="P31" s="251"/>
      <c r="Q31" s="251"/>
      <c r="R31" s="251"/>
      <c r="S31" s="251"/>
    </row>
    <row r="32" spans="1:19" s="114" customFormat="1" x14ac:dyDescent="0.35">
      <c r="A32" s="166"/>
      <c r="B32" s="374" t="s">
        <v>209</v>
      </c>
      <c r="C32" s="272"/>
      <c r="D32" s="236"/>
      <c r="E32" s="576">
        <v>641.77</v>
      </c>
      <c r="F32" s="288">
        <v>290.45</v>
      </c>
      <c r="G32" s="349">
        <v>244.84</v>
      </c>
      <c r="H32" s="349">
        <v>203.26</v>
      </c>
      <c r="I32" s="288">
        <v>151.4</v>
      </c>
      <c r="J32" s="320">
        <f>'Debt Assumptions &amp; working'!E50</f>
        <v>121.55663532003958</v>
      </c>
      <c r="K32" s="320">
        <f>'Debt Assumptions &amp; working'!F50</f>
        <v>108.36891172302285</v>
      </c>
      <c r="L32" s="320">
        <f>'Debt Assumptions &amp; working'!G50</f>
        <v>95.408682436146904</v>
      </c>
      <c r="M32" s="320">
        <f>'Debt Assumptions &amp; working'!H50</f>
        <v>82.257427392664169</v>
      </c>
      <c r="N32" s="320">
        <f>'Debt Assumptions &amp; working'!I50</f>
        <v>68.312547160369704</v>
      </c>
      <c r="O32" s="320">
        <f>'Debt Assumptions &amp; working'!J50</f>
        <v>52.118772793477291</v>
      </c>
      <c r="P32" s="320">
        <f>'Debt Assumptions &amp; working'!K50</f>
        <v>31.713748792299171</v>
      </c>
      <c r="Q32" s="320">
        <f>'Debt Assumptions &amp; working'!L50</f>
        <v>11.904377832176719</v>
      </c>
      <c r="R32" s="320">
        <f>'Debt Assumptions &amp; working'!M50</f>
        <v>4.4375392249662573E-14</v>
      </c>
      <c r="S32" s="320">
        <f>'Debt Assumptions &amp; working'!N50</f>
        <v>4.4496968666784935E-14</v>
      </c>
    </row>
    <row r="33" spans="1:19" s="114" customFormat="1" x14ac:dyDescent="0.35">
      <c r="A33" s="166"/>
      <c r="B33" s="374" t="s">
        <v>549</v>
      </c>
      <c r="C33" s="272"/>
      <c r="D33" s="236"/>
      <c r="E33" s="576">
        <v>21.24</v>
      </c>
      <c r="F33" s="288">
        <v>7.98</v>
      </c>
      <c r="G33" s="320">
        <f>'WC &amp; DP'!E73</f>
        <v>0</v>
      </c>
      <c r="H33" s="320">
        <f>'WC &amp; DP'!F73</f>
        <v>0</v>
      </c>
      <c r="I33" s="349">
        <v>0.01</v>
      </c>
      <c r="J33" s="320">
        <f>'WC &amp; DP'!H73</f>
        <v>0</v>
      </c>
      <c r="K33" s="320">
        <f>'WC &amp; DP'!I73</f>
        <v>0</v>
      </c>
      <c r="L33" s="320">
        <f>'WC &amp; DP'!J73</f>
        <v>46.923535190139923</v>
      </c>
      <c r="M33" s="320">
        <f>'WC &amp; DP'!K73</f>
        <v>54.308082499999998</v>
      </c>
      <c r="N33" s="320">
        <f>'WC &amp; DP'!L73</f>
        <v>54.308082499999998</v>
      </c>
      <c r="O33" s="320">
        <f>'WC &amp; DP'!M73</f>
        <v>54.308082499999998</v>
      </c>
      <c r="P33" s="320">
        <f>'WC &amp; DP'!N73</f>
        <v>54.308082499999998</v>
      </c>
      <c r="Q33" s="320">
        <f>'WC &amp; DP'!O73</f>
        <v>54.308082499999998</v>
      </c>
      <c r="R33" s="320">
        <f>'WC &amp; DP'!P73</f>
        <v>54.308082499999998</v>
      </c>
      <c r="S33" s="320">
        <f>'WC &amp; DP'!Q73</f>
        <v>54.308082499999998</v>
      </c>
    </row>
    <row r="34" spans="1:19" s="114" customFormat="1" x14ac:dyDescent="0.35">
      <c r="A34" s="166"/>
      <c r="B34" s="374" t="s">
        <v>548</v>
      </c>
      <c r="C34" s="272"/>
      <c r="D34" s="236"/>
      <c r="E34" s="576">
        <v>9.9600000000000009</v>
      </c>
      <c r="F34" s="288">
        <v>11.27</v>
      </c>
      <c r="G34" s="349">
        <v>12.62</v>
      </c>
      <c r="H34" s="349">
        <v>14.13</v>
      </c>
      <c r="I34" s="288">
        <v>4.6100000000000003</v>
      </c>
      <c r="J34" s="237">
        <f>'Promoter Loan &amp; Equity workings'!G28</f>
        <v>0.97178859263519246</v>
      </c>
      <c r="K34" s="237">
        <f>'Promoter Loan &amp; Equity workings'!H28</f>
        <v>1.0884032237514154</v>
      </c>
      <c r="L34" s="237">
        <f>'Promoter Loan &amp; Equity workings'!I28</f>
        <v>1.2190116106015854</v>
      </c>
      <c r="M34" s="237">
        <f>'Promoter Loan &amp; Equity workings'!J28</f>
        <v>1.3652930038737754</v>
      </c>
      <c r="N34" s="237">
        <f>'Promoter Loan &amp; Equity workings'!K28</f>
        <v>1.5291281643386285</v>
      </c>
      <c r="O34" s="237">
        <f>'Promoter Loan &amp; Equity workings'!L28</f>
        <v>1.7126235440592641</v>
      </c>
      <c r="P34" s="237">
        <f>'Promoter Loan &amp; Equity workings'!M28</f>
        <v>1.9181383693463756</v>
      </c>
      <c r="Q34" s="237">
        <f>'Promoter Loan &amp; Equity workings'!N28</f>
        <v>2.1483149736679406</v>
      </c>
      <c r="R34" s="237">
        <f>'Promoter Loan &amp; Equity workings'!O28</f>
        <v>2.4061127705080931</v>
      </c>
      <c r="S34" s="237">
        <f>'Promoter Loan &amp; Equity workings'!P28</f>
        <v>2.6948463029690646</v>
      </c>
    </row>
    <row r="35" spans="1:19" s="151" customFormat="1" x14ac:dyDescent="0.35">
      <c r="A35" s="166"/>
      <c r="B35" s="1720" t="s">
        <v>210</v>
      </c>
      <c r="C35" s="1721"/>
      <c r="D35" s="592"/>
      <c r="E35" s="592"/>
      <c r="F35" s="592"/>
      <c r="G35" s="288">
        <v>1.23</v>
      </c>
      <c r="H35" s="288">
        <v>0.98</v>
      </c>
      <c r="I35" s="288">
        <v>0.7</v>
      </c>
      <c r="J35" s="288">
        <v>0.43</v>
      </c>
      <c r="K35" s="288">
        <v>0.15</v>
      </c>
      <c r="L35" s="288">
        <f>+K35</f>
        <v>0.15</v>
      </c>
      <c r="M35" s="384">
        <v>0</v>
      </c>
      <c r="N35" s="384">
        <v>0</v>
      </c>
      <c r="O35" s="384">
        <v>0</v>
      </c>
      <c r="P35" s="384">
        <v>0</v>
      </c>
      <c r="Q35" s="384">
        <v>0</v>
      </c>
      <c r="R35" s="384">
        <v>0</v>
      </c>
      <c r="S35" s="384">
        <v>0</v>
      </c>
    </row>
    <row r="36" spans="1:19" s="114" customFormat="1" x14ac:dyDescent="0.35">
      <c r="A36" s="166"/>
      <c r="B36" s="374" t="s">
        <v>208</v>
      </c>
      <c r="C36" s="272"/>
      <c r="D36" s="236"/>
      <c r="E36" s="591"/>
      <c r="F36" s="591"/>
      <c r="G36" s="237"/>
      <c r="H36" s="237"/>
      <c r="I36" s="237"/>
      <c r="J36" s="237">
        <f>IF('Debt repayment Schedule'!B4=2,+YTM!D5,'OCD working'!I231)</f>
        <v>1784.1232734095768</v>
      </c>
      <c r="K36" s="237">
        <f>'OCD working'!J231</f>
        <v>0</v>
      </c>
      <c r="L36" s="237">
        <f>'OCD working'!K231</f>
        <v>0</v>
      </c>
      <c r="M36" s="237">
        <f>'OCD working'!L231</f>
        <v>0</v>
      </c>
      <c r="N36" s="237">
        <f>'OCD working'!M231</f>
        <v>0</v>
      </c>
      <c r="O36" s="237">
        <f>'OCD working'!N231</f>
        <v>0</v>
      </c>
      <c r="P36" s="237">
        <f>'OCD working'!O231</f>
        <v>0</v>
      </c>
      <c r="Q36" s="237">
        <f>'OCD working'!P231</f>
        <v>0</v>
      </c>
      <c r="R36" s="237">
        <f>'OCD working'!Q231</f>
        <v>0</v>
      </c>
      <c r="S36" s="237">
        <f>'OCD working'!R231</f>
        <v>0</v>
      </c>
    </row>
    <row r="37" spans="1:19" s="115" customFormat="1" x14ac:dyDescent="0.35">
      <c r="A37" s="166"/>
      <c r="B37" s="407" t="s">
        <v>215</v>
      </c>
      <c r="C37" s="375"/>
      <c r="D37" s="376"/>
      <c r="E37" s="384">
        <f>'Working - Corporate'!E56</f>
        <v>0.99</v>
      </c>
      <c r="F37" s="384">
        <f>'Working - Corporate'!F56</f>
        <v>5.09</v>
      </c>
      <c r="G37" s="273">
        <f>'Working - Corporate'!G56</f>
        <v>4.29</v>
      </c>
      <c r="H37" s="273">
        <f>'Working - Corporate'!H56</f>
        <v>5.25</v>
      </c>
      <c r="I37" s="273">
        <f>'Working - Corporate'!I56</f>
        <v>6.2388816</v>
      </c>
      <c r="J37" s="273">
        <f>'Working - Corporate'!J56</f>
        <v>2.2621804999999999</v>
      </c>
      <c r="K37" s="273">
        <f>'Working - Corporate'!K56</f>
        <v>2.2621804999999999</v>
      </c>
      <c r="L37" s="273">
        <f>'Working - Corporate'!L56</f>
        <v>2.2621804999999999</v>
      </c>
      <c r="M37" s="273">
        <f>'Working - Corporate'!M56</f>
        <v>2.2621804999999999</v>
      </c>
      <c r="N37" s="273">
        <f>'Working - Corporate'!N56</f>
        <v>2.2621804999999999</v>
      </c>
      <c r="O37" s="273">
        <f>'Working - Corporate'!O56</f>
        <v>2.2621804999999999</v>
      </c>
      <c r="P37" s="273">
        <f>'Working - Corporate'!P56</f>
        <v>2.2621804999999999</v>
      </c>
      <c r="Q37" s="273">
        <f>'Working - Corporate'!Q56</f>
        <v>2.2621804999999999</v>
      </c>
      <c r="R37" s="273">
        <f>'Working - Corporate'!R56</f>
        <v>2.2621804999999999</v>
      </c>
      <c r="S37" s="273">
        <f>'Working - Corporate'!S56</f>
        <v>2.2621804999999999</v>
      </c>
    </row>
    <row r="38" spans="1:19" s="114" customFormat="1" x14ac:dyDescent="0.35">
      <c r="A38" s="166"/>
      <c r="B38" s="374" t="s">
        <v>392</v>
      </c>
      <c r="C38" s="272"/>
      <c r="D38" s="236"/>
      <c r="E38" s="576">
        <v>0.1</v>
      </c>
      <c r="F38" s="288">
        <v>0.35</v>
      </c>
      <c r="G38" s="377">
        <v>34.880000000000003</v>
      </c>
      <c r="H38" s="377">
        <v>34.840000000000003</v>
      </c>
      <c r="I38" s="377">
        <v>87.08</v>
      </c>
      <c r="J38" s="237">
        <f>'OCD working'!I236</f>
        <v>0</v>
      </c>
      <c r="K38" s="237">
        <f>'OCD working'!J236</f>
        <v>0</v>
      </c>
      <c r="L38" s="237">
        <f>'OCD working'!K236</f>
        <v>0</v>
      </c>
      <c r="M38" s="237">
        <f>'OCD working'!L236</f>
        <v>0</v>
      </c>
      <c r="N38" s="237">
        <f>'OCD working'!M236</f>
        <v>0</v>
      </c>
      <c r="O38" s="237">
        <f>'OCD working'!N236</f>
        <v>0</v>
      </c>
      <c r="P38" s="237">
        <f>'OCD working'!O236</f>
        <v>0</v>
      </c>
      <c r="Q38" s="237">
        <f>'OCD working'!P236</f>
        <v>0</v>
      </c>
      <c r="R38" s="237">
        <f>'OCD working'!Q236</f>
        <v>0</v>
      </c>
      <c r="S38" s="237">
        <f>'OCD working'!R236</f>
        <v>0</v>
      </c>
    </row>
    <row r="39" spans="1:19" s="115" customFormat="1" x14ac:dyDescent="0.35">
      <c r="A39" s="166"/>
      <c r="B39" s="407" t="s">
        <v>211</v>
      </c>
      <c r="C39" s="408"/>
      <c r="D39" s="263"/>
      <c r="E39" s="273">
        <f>'Working - Corporate'!E62</f>
        <v>6.1099999999999994</v>
      </c>
      <c r="F39" s="273">
        <f>'Working - Corporate'!F62</f>
        <v>6.64</v>
      </c>
      <c r="G39" s="273">
        <f>'Working - Corporate'!G62</f>
        <v>2.89</v>
      </c>
      <c r="H39" s="273">
        <f>'Working - Corporate'!H62</f>
        <v>4.62</v>
      </c>
      <c r="I39" s="273">
        <f>'Working - Corporate'!I62</f>
        <v>3.5070550029999996</v>
      </c>
      <c r="J39" s="384">
        <f>'Working - Corporate'!J62</f>
        <v>18.507055002999998</v>
      </c>
      <c r="K39" s="384">
        <f>'Working - Corporate'!K62</f>
        <v>3.5070550029999996</v>
      </c>
      <c r="L39" s="384">
        <f>'Working - Corporate'!L62</f>
        <v>3.5070550029999996</v>
      </c>
      <c r="M39" s="384">
        <f>'Working - Corporate'!M62</f>
        <v>3.5070550029999996</v>
      </c>
      <c r="N39" s="384">
        <f>'Working - Corporate'!N62</f>
        <v>3.5070550029999996</v>
      </c>
      <c r="O39" s="384">
        <f>'Working - Corporate'!O62</f>
        <v>3.5070550029999996</v>
      </c>
      <c r="P39" s="384">
        <f>'Working - Corporate'!P62</f>
        <v>3.5070550029999996</v>
      </c>
      <c r="Q39" s="384">
        <f>'Working - Corporate'!Q62</f>
        <v>3.5070550029999996</v>
      </c>
      <c r="R39" s="384">
        <f>'Working - Corporate'!R62</f>
        <v>3.5070550029999996</v>
      </c>
      <c r="S39" s="384">
        <f>'Working - Corporate'!S62</f>
        <v>3.5070550029999996</v>
      </c>
    </row>
    <row r="40" spans="1:19" s="114" customFormat="1" x14ac:dyDescent="0.35">
      <c r="A40" s="166"/>
      <c r="B40" s="248" t="s">
        <v>212</v>
      </c>
      <c r="C40" s="373"/>
      <c r="D40" s="348"/>
      <c r="E40" s="252">
        <f t="shared" ref="E40:S40" si="15">SUM(E32:E39)</f>
        <v>680.17000000000007</v>
      </c>
      <c r="F40" s="252">
        <f t="shared" si="15"/>
        <v>321.77999999999997</v>
      </c>
      <c r="G40" s="252">
        <f t="shared" si="15"/>
        <v>300.75</v>
      </c>
      <c r="H40" s="252">
        <f t="shared" si="15"/>
        <v>263.08</v>
      </c>
      <c r="I40" s="252">
        <f t="shared" si="15"/>
        <v>253.54593660300003</v>
      </c>
      <c r="J40" s="252">
        <f t="shared" si="15"/>
        <v>1927.8509328252517</v>
      </c>
      <c r="K40" s="252">
        <f t="shared" si="15"/>
        <v>115.37655044977427</v>
      </c>
      <c r="L40" s="252">
        <f t="shared" si="15"/>
        <v>149.47046473988843</v>
      </c>
      <c r="M40" s="252">
        <f t="shared" si="15"/>
        <v>143.70003839953796</v>
      </c>
      <c r="N40" s="252">
        <f t="shared" si="15"/>
        <v>129.91899332770834</v>
      </c>
      <c r="O40" s="252">
        <f t="shared" si="15"/>
        <v>113.90871434053656</v>
      </c>
      <c r="P40" s="252">
        <f t="shared" si="15"/>
        <v>93.709205164645553</v>
      </c>
      <c r="Q40" s="252">
        <f t="shared" si="15"/>
        <v>74.130010808844659</v>
      </c>
      <c r="R40" s="252">
        <f t="shared" si="15"/>
        <v>62.483430773508132</v>
      </c>
      <c r="S40" s="252">
        <f t="shared" si="15"/>
        <v>62.772164305969099</v>
      </c>
    </row>
    <row r="41" spans="1:19" x14ac:dyDescent="0.35">
      <c r="G41" s="172"/>
      <c r="J41" s="1606"/>
      <c r="K41" s="1606"/>
      <c r="L41" s="1606"/>
      <c r="M41" s="1606"/>
      <c r="N41" s="1606"/>
      <c r="O41" s="1606"/>
      <c r="P41" s="1606"/>
      <c r="Q41" s="1606"/>
    </row>
    <row r="42" spans="1:19" x14ac:dyDescent="0.35">
      <c r="B42" s="429" t="s">
        <v>251</v>
      </c>
      <c r="C42" s="56"/>
      <c r="D42" s="56"/>
      <c r="E42" s="56">
        <v>43190</v>
      </c>
      <c r="F42" s="56">
        <v>43555</v>
      </c>
      <c r="G42" s="56">
        <v>43921</v>
      </c>
      <c r="H42" s="56">
        <v>44286</v>
      </c>
      <c r="I42" s="56">
        <v>44651</v>
      </c>
      <c r="J42" s="56">
        <v>45016</v>
      </c>
      <c r="K42" s="56">
        <v>45382</v>
      </c>
      <c r="L42" s="56">
        <v>45747</v>
      </c>
      <c r="M42" s="56">
        <v>46112</v>
      </c>
      <c r="N42" s="56">
        <v>46477</v>
      </c>
      <c r="O42" s="56">
        <v>46843</v>
      </c>
      <c r="P42" s="56">
        <v>47208</v>
      </c>
      <c r="Q42" s="56">
        <v>47573</v>
      </c>
      <c r="R42" s="56">
        <v>47938</v>
      </c>
      <c r="S42" s="56">
        <v>47938</v>
      </c>
    </row>
    <row r="43" spans="1:19" x14ac:dyDescent="0.35">
      <c r="B43" s="85" t="s">
        <v>73</v>
      </c>
      <c r="C43" s="85"/>
      <c r="D43" s="85"/>
      <c r="E43" s="85"/>
      <c r="F43" s="85"/>
      <c r="G43" s="85"/>
      <c r="H43" s="85"/>
      <c r="I43" s="85"/>
      <c r="J43" s="85"/>
      <c r="K43" s="85"/>
      <c r="L43" s="85"/>
      <c r="M43" s="85"/>
      <c r="N43" s="85"/>
      <c r="O43" s="85"/>
      <c r="P43" s="85"/>
      <c r="Q43" s="85"/>
      <c r="R43" s="85"/>
      <c r="S43" s="85"/>
    </row>
    <row r="44" spans="1:19" x14ac:dyDescent="0.35">
      <c r="B44" s="374" t="s">
        <v>815</v>
      </c>
      <c r="C44" s="374"/>
      <c r="D44" s="374"/>
      <c r="E44" s="511">
        <v>0.78223280000000006</v>
      </c>
      <c r="F44" s="511">
        <v>0.37599199999999999</v>
      </c>
      <c r="G44" s="511">
        <v>0.42455999999999999</v>
      </c>
      <c r="H44" s="511"/>
      <c r="I44" s="511"/>
      <c r="J44" s="509">
        <f>I44</f>
        <v>0</v>
      </c>
      <c r="K44" s="509">
        <f t="shared" ref="K44:S44" si="16">J44</f>
        <v>0</v>
      </c>
      <c r="L44" s="509">
        <f t="shared" si="16"/>
        <v>0</v>
      </c>
      <c r="M44" s="509">
        <f t="shared" si="16"/>
        <v>0</v>
      </c>
      <c r="N44" s="509">
        <f t="shared" si="16"/>
        <v>0</v>
      </c>
      <c r="O44" s="509">
        <f t="shared" si="16"/>
        <v>0</v>
      </c>
      <c r="P44" s="509">
        <f t="shared" si="16"/>
        <v>0</v>
      </c>
      <c r="Q44" s="509">
        <f t="shared" si="16"/>
        <v>0</v>
      </c>
      <c r="R44" s="509">
        <f t="shared" si="16"/>
        <v>0</v>
      </c>
      <c r="S44" s="509">
        <f t="shared" si="16"/>
        <v>0</v>
      </c>
    </row>
    <row r="45" spans="1:19" x14ac:dyDescent="0.35">
      <c r="B45" s="374" t="s">
        <v>816</v>
      </c>
      <c r="C45" s="374"/>
      <c r="D45" s="374"/>
      <c r="E45" s="511"/>
      <c r="F45" s="511">
        <f>529501.1/10^7</f>
        <v>5.2950109999999995E-2</v>
      </c>
      <c r="G45" s="511">
        <v>1.27584E-2</v>
      </c>
      <c r="H45" s="511">
        <v>1.9342100000000001E-2</v>
      </c>
      <c r="I45" s="511">
        <f>18272280/10^7</f>
        <v>1.8272280000000001</v>
      </c>
      <c r="J45" s="1699">
        <v>0</v>
      </c>
      <c r="K45" s="509">
        <f t="shared" ref="K45:S45" si="17">J45</f>
        <v>0</v>
      </c>
      <c r="L45" s="509">
        <f t="shared" si="17"/>
        <v>0</v>
      </c>
      <c r="M45" s="509">
        <f t="shared" si="17"/>
        <v>0</v>
      </c>
      <c r="N45" s="509">
        <f t="shared" si="17"/>
        <v>0</v>
      </c>
      <c r="O45" s="509">
        <f t="shared" si="17"/>
        <v>0</v>
      </c>
      <c r="P45" s="509">
        <f t="shared" si="17"/>
        <v>0</v>
      </c>
      <c r="Q45" s="509">
        <f t="shared" si="17"/>
        <v>0</v>
      </c>
      <c r="R45" s="509">
        <f t="shared" si="17"/>
        <v>0</v>
      </c>
      <c r="S45" s="509">
        <f t="shared" si="17"/>
        <v>0</v>
      </c>
    </row>
    <row r="46" spans="1:19" x14ac:dyDescent="0.35">
      <c r="B46" s="374" t="s">
        <v>798</v>
      </c>
      <c r="C46" s="374"/>
      <c r="D46" s="374"/>
      <c r="E46" s="511">
        <v>10.472514883000001</v>
      </c>
      <c r="F46" s="511">
        <f>-50615/10^7</f>
        <v>-5.0615E-3</v>
      </c>
      <c r="G46" s="511">
        <v>1.1485E-3</v>
      </c>
      <c r="H46" s="511"/>
      <c r="I46" s="511">
        <f>208588/10^7</f>
        <v>2.08588E-2</v>
      </c>
      <c r="J46" s="509">
        <f>I46</f>
        <v>2.08588E-2</v>
      </c>
      <c r="K46" s="509">
        <f t="shared" ref="K46:S46" si="18">J46</f>
        <v>2.08588E-2</v>
      </c>
      <c r="L46" s="509">
        <f t="shared" si="18"/>
        <v>2.08588E-2</v>
      </c>
      <c r="M46" s="509">
        <f t="shared" si="18"/>
        <v>2.08588E-2</v>
      </c>
      <c r="N46" s="509">
        <f t="shared" si="18"/>
        <v>2.08588E-2</v>
      </c>
      <c r="O46" s="509">
        <f t="shared" si="18"/>
        <v>2.08588E-2</v>
      </c>
      <c r="P46" s="509">
        <f t="shared" si="18"/>
        <v>2.08588E-2</v>
      </c>
      <c r="Q46" s="509">
        <f t="shared" si="18"/>
        <v>2.08588E-2</v>
      </c>
      <c r="R46" s="509">
        <f t="shared" si="18"/>
        <v>2.08588E-2</v>
      </c>
      <c r="S46" s="509">
        <f t="shared" si="18"/>
        <v>2.08588E-2</v>
      </c>
    </row>
    <row r="47" spans="1:19" x14ac:dyDescent="0.35">
      <c r="B47" s="374" t="s">
        <v>800</v>
      </c>
      <c r="C47" s="374"/>
      <c r="D47" s="374"/>
      <c r="E47" s="511"/>
      <c r="F47" s="511">
        <v>0</v>
      </c>
      <c r="G47" s="511">
        <v>1.3586600000000001E-2</v>
      </c>
      <c r="H47" s="511"/>
      <c r="I47" s="511">
        <v>0</v>
      </c>
      <c r="J47" s="509">
        <f>I47</f>
        <v>0</v>
      </c>
      <c r="K47" s="509">
        <f t="shared" ref="K47:S47" si="19">J47</f>
        <v>0</v>
      </c>
      <c r="L47" s="509">
        <f t="shared" si="19"/>
        <v>0</v>
      </c>
      <c r="M47" s="509">
        <f t="shared" si="19"/>
        <v>0</v>
      </c>
      <c r="N47" s="509">
        <f t="shared" si="19"/>
        <v>0</v>
      </c>
      <c r="O47" s="509">
        <f t="shared" si="19"/>
        <v>0</v>
      </c>
      <c r="P47" s="509">
        <f t="shared" si="19"/>
        <v>0</v>
      </c>
      <c r="Q47" s="509">
        <f t="shared" si="19"/>
        <v>0</v>
      </c>
      <c r="R47" s="509">
        <f t="shared" si="19"/>
        <v>0</v>
      </c>
      <c r="S47" s="509">
        <f t="shared" si="19"/>
        <v>0</v>
      </c>
    </row>
    <row r="48" spans="1:19" x14ac:dyDescent="0.35">
      <c r="B48" s="374" t="s">
        <v>817</v>
      </c>
      <c r="C48" s="374"/>
      <c r="D48" s="374"/>
      <c r="E48" s="511">
        <v>5.2089299999999901E-2</v>
      </c>
      <c r="F48" s="511">
        <f>10627849.19/10^7</f>
        <v>1.0627849190000001</v>
      </c>
      <c r="G48" s="511">
        <v>1.6052299999999999E-2</v>
      </c>
      <c r="H48" s="511">
        <v>5.5927699999999997E-2</v>
      </c>
      <c r="I48" s="1700">
        <f>(2590420+6353686.15+2243593)/10^7</f>
        <v>1.1187699150000001</v>
      </c>
      <c r="J48" s="1699">
        <f>I48</f>
        <v>1.1187699150000001</v>
      </c>
      <c r="K48" s="509">
        <f t="shared" ref="K48:S48" si="20">J48</f>
        <v>1.1187699150000001</v>
      </c>
      <c r="L48" s="509">
        <f t="shared" si="20"/>
        <v>1.1187699150000001</v>
      </c>
      <c r="M48" s="509">
        <f t="shared" si="20"/>
        <v>1.1187699150000001</v>
      </c>
      <c r="N48" s="509">
        <f t="shared" si="20"/>
        <v>1.1187699150000001</v>
      </c>
      <c r="O48" s="509">
        <f t="shared" si="20"/>
        <v>1.1187699150000001</v>
      </c>
      <c r="P48" s="509">
        <f t="shared" si="20"/>
        <v>1.1187699150000001</v>
      </c>
      <c r="Q48" s="509">
        <f t="shared" si="20"/>
        <v>1.1187699150000001</v>
      </c>
      <c r="R48" s="509">
        <f t="shared" si="20"/>
        <v>1.1187699150000001</v>
      </c>
      <c r="S48" s="509">
        <f t="shared" si="20"/>
        <v>1.1187699150000001</v>
      </c>
    </row>
    <row r="49" spans="1:19" x14ac:dyDescent="0.35">
      <c r="B49" s="374" t="s">
        <v>818</v>
      </c>
      <c r="C49" s="374"/>
      <c r="D49" s="374"/>
      <c r="E49" s="511"/>
      <c r="F49" s="511">
        <f>874498/10^7</f>
        <v>8.7449799999999994E-2</v>
      </c>
      <c r="G49" s="511">
        <v>6.1983999999999997E-3</v>
      </c>
      <c r="H49" s="511">
        <v>3.8890000000000002E-4</v>
      </c>
      <c r="I49" s="511">
        <f>1012/10^7</f>
        <v>1.0119999999999999E-4</v>
      </c>
      <c r="J49" s="509">
        <f>I49</f>
        <v>1.0119999999999999E-4</v>
      </c>
      <c r="K49" s="509">
        <f t="shared" ref="K49:S49" si="21">J49</f>
        <v>1.0119999999999999E-4</v>
      </c>
      <c r="L49" s="509">
        <f t="shared" si="21"/>
        <v>1.0119999999999999E-4</v>
      </c>
      <c r="M49" s="509">
        <f t="shared" si="21"/>
        <v>1.0119999999999999E-4</v>
      </c>
      <c r="N49" s="509">
        <f t="shared" si="21"/>
        <v>1.0119999999999999E-4</v>
      </c>
      <c r="O49" s="509">
        <f t="shared" si="21"/>
        <v>1.0119999999999999E-4</v>
      </c>
      <c r="P49" s="509">
        <f t="shared" si="21"/>
        <v>1.0119999999999999E-4</v>
      </c>
      <c r="Q49" s="509">
        <f t="shared" si="21"/>
        <v>1.0119999999999999E-4</v>
      </c>
      <c r="R49" s="509">
        <f t="shared" si="21"/>
        <v>1.0119999999999999E-4</v>
      </c>
      <c r="S49" s="509">
        <f t="shared" si="21"/>
        <v>1.0119999999999999E-4</v>
      </c>
    </row>
    <row r="50" spans="1:19" x14ac:dyDescent="0.35">
      <c r="B50" s="374" t="s">
        <v>795</v>
      </c>
      <c r="C50" s="374"/>
      <c r="D50" s="374"/>
      <c r="E50" s="511">
        <v>147.71267338300001</v>
      </c>
      <c r="F50" s="511">
        <v>147.75809879100001</v>
      </c>
      <c r="G50" s="511">
        <v>0.62314250000000004</v>
      </c>
      <c r="H50" s="511">
        <v>0.61850680000000002</v>
      </c>
      <c r="I50" s="511">
        <f>5436442.4/10^7</f>
        <v>0.54364424</v>
      </c>
      <c r="J50" s="509">
        <f>I50</f>
        <v>0.54364424</v>
      </c>
      <c r="K50" s="509">
        <f t="shared" ref="K50:S50" si="22">J50</f>
        <v>0.54364424</v>
      </c>
      <c r="L50" s="509">
        <f t="shared" si="22"/>
        <v>0.54364424</v>
      </c>
      <c r="M50" s="509">
        <f t="shared" si="22"/>
        <v>0.54364424</v>
      </c>
      <c r="N50" s="509">
        <f t="shared" si="22"/>
        <v>0.54364424</v>
      </c>
      <c r="O50" s="509">
        <f t="shared" si="22"/>
        <v>0.54364424</v>
      </c>
      <c r="P50" s="509">
        <f t="shared" si="22"/>
        <v>0.54364424</v>
      </c>
      <c r="Q50" s="509">
        <f t="shared" si="22"/>
        <v>0.54364424</v>
      </c>
      <c r="R50" s="509">
        <f t="shared" si="22"/>
        <v>0.54364424</v>
      </c>
      <c r="S50" s="509">
        <f t="shared" si="22"/>
        <v>0.54364424</v>
      </c>
    </row>
    <row r="51" spans="1:19" x14ac:dyDescent="0.35">
      <c r="B51" s="508" t="s">
        <v>819</v>
      </c>
      <c r="C51" s="508"/>
      <c r="D51" s="508"/>
      <c r="E51" s="510">
        <f t="shared" ref="E51:R51" si="23">SUM(E44:E50)</f>
        <v>159.01951036600002</v>
      </c>
      <c r="F51" s="510">
        <f t="shared" si="23"/>
        <v>149.33221412</v>
      </c>
      <c r="G51" s="510">
        <f t="shared" si="23"/>
        <v>1.0974467000000001</v>
      </c>
      <c r="H51" s="510">
        <f t="shared" si="23"/>
        <v>0.69416549999999999</v>
      </c>
      <c r="I51" s="510">
        <f t="shared" si="23"/>
        <v>3.5106021550000004</v>
      </c>
      <c r="J51" s="510">
        <f t="shared" si="23"/>
        <v>1.6833741550000001</v>
      </c>
      <c r="K51" s="510">
        <f t="shared" si="23"/>
        <v>1.6833741550000001</v>
      </c>
      <c r="L51" s="510">
        <f t="shared" si="23"/>
        <v>1.6833741550000001</v>
      </c>
      <c r="M51" s="510">
        <f t="shared" si="23"/>
        <v>1.6833741550000001</v>
      </c>
      <c r="N51" s="510">
        <f t="shared" si="23"/>
        <v>1.6833741550000001</v>
      </c>
      <c r="O51" s="510">
        <f t="shared" si="23"/>
        <v>1.6833741550000001</v>
      </c>
      <c r="P51" s="510">
        <f t="shared" si="23"/>
        <v>1.6833741550000001</v>
      </c>
      <c r="Q51" s="510">
        <f t="shared" si="23"/>
        <v>1.6833741550000001</v>
      </c>
      <c r="R51" s="510">
        <f t="shared" si="23"/>
        <v>1.6833741550000001</v>
      </c>
      <c r="S51" s="510">
        <f>SUM(S44:S50)</f>
        <v>1.6833741550000001</v>
      </c>
    </row>
    <row r="52" spans="1:19" s="33" customFormat="1" x14ac:dyDescent="0.35">
      <c r="B52" s="85" t="s">
        <v>53</v>
      </c>
      <c r="C52" s="85"/>
      <c r="D52" s="85"/>
      <c r="E52" s="85"/>
      <c r="F52" s="85"/>
      <c r="G52" s="85"/>
      <c r="H52" s="85"/>
      <c r="I52" s="1704"/>
      <c r="J52" s="85"/>
      <c r="K52" s="85"/>
      <c r="L52" s="85"/>
      <c r="M52" s="85"/>
      <c r="N52" s="85"/>
      <c r="O52" s="85"/>
      <c r="P52" s="85"/>
      <c r="Q52" s="85"/>
      <c r="R52" s="85"/>
      <c r="S52" s="85"/>
    </row>
    <row r="53" spans="1:19" s="33" customFormat="1" x14ac:dyDescent="0.35">
      <c r="B53" s="374" t="s">
        <v>215</v>
      </c>
      <c r="C53" s="374"/>
      <c r="D53" s="374"/>
      <c r="E53" s="374"/>
      <c r="F53" s="374"/>
      <c r="G53" s="374"/>
      <c r="H53" s="374"/>
      <c r="I53" s="374"/>
      <c r="J53" s="374"/>
      <c r="K53" s="374"/>
      <c r="L53" s="374"/>
      <c r="M53" s="374"/>
      <c r="N53" s="374"/>
      <c r="O53" s="374"/>
      <c r="P53" s="374"/>
      <c r="Q53" s="374"/>
      <c r="R53" s="374"/>
      <c r="S53" s="374"/>
    </row>
    <row r="54" spans="1:19" s="33" customFormat="1" x14ac:dyDescent="0.35">
      <c r="B54" s="374" t="s">
        <v>719</v>
      </c>
      <c r="C54" s="374"/>
      <c r="D54" s="374"/>
      <c r="E54" s="509"/>
      <c r="F54" s="509"/>
      <c r="G54" s="509"/>
      <c r="H54" s="511">
        <v>4.25</v>
      </c>
      <c r="I54" s="1700">
        <f>39767011/10^7</f>
        <v>3.9767011000000001</v>
      </c>
      <c r="J54" s="1699">
        <v>0</v>
      </c>
      <c r="K54" s="509">
        <f t="shared" ref="K54:S54" si="24">J54</f>
        <v>0</v>
      </c>
      <c r="L54" s="509">
        <f t="shared" si="24"/>
        <v>0</v>
      </c>
      <c r="M54" s="509">
        <f t="shared" si="24"/>
        <v>0</v>
      </c>
      <c r="N54" s="509">
        <f t="shared" si="24"/>
        <v>0</v>
      </c>
      <c r="O54" s="509">
        <f t="shared" si="24"/>
        <v>0</v>
      </c>
      <c r="P54" s="509">
        <f t="shared" si="24"/>
        <v>0</v>
      </c>
      <c r="Q54" s="509">
        <f t="shared" si="24"/>
        <v>0</v>
      </c>
      <c r="R54" s="509">
        <f t="shared" si="24"/>
        <v>0</v>
      </c>
      <c r="S54" s="509">
        <f t="shared" si="24"/>
        <v>0</v>
      </c>
    </row>
    <row r="55" spans="1:19" s="33" customFormat="1" x14ac:dyDescent="0.35">
      <c r="B55" s="374" t="s">
        <v>720</v>
      </c>
      <c r="C55" s="374"/>
      <c r="D55" s="374"/>
      <c r="E55" s="509"/>
      <c r="F55" s="509"/>
      <c r="G55" s="509"/>
      <c r="H55" s="511">
        <v>1</v>
      </c>
      <c r="I55" s="511">
        <f>(20126873+2494932)/10^7</f>
        <v>2.2621804999999999</v>
      </c>
      <c r="J55" s="509">
        <f>I55</f>
        <v>2.2621804999999999</v>
      </c>
      <c r="K55" s="509">
        <f t="shared" ref="K55:S55" si="25">J55</f>
        <v>2.2621804999999999</v>
      </c>
      <c r="L55" s="509">
        <f t="shared" si="25"/>
        <v>2.2621804999999999</v>
      </c>
      <c r="M55" s="509">
        <f t="shared" si="25"/>
        <v>2.2621804999999999</v>
      </c>
      <c r="N55" s="509">
        <f t="shared" si="25"/>
        <v>2.2621804999999999</v>
      </c>
      <c r="O55" s="509">
        <f t="shared" si="25"/>
        <v>2.2621804999999999</v>
      </c>
      <c r="P55" s="509">
        <f t="shared" si="25"/>
        <v>2.2621804999999999</v>
      </c>
      <c r="Q55" s="509">
        <f t="shared" si="25"/>
        <v>2.2621804999999999</v>
      </c>
      <c r="R55" s="509">
        <f t="shared" si="25"/>
        <v>2.2621804999999999</v>
      </c>
      <c r="S55" s="509">
        <f t="shared" si="25"/>
        <v>2.2621804999999999</v>
      </c>
    </row>
    <row r="56" spans="1:19" s="33" customFormat="1" x14ac:dyDescent="0.35">
      <c r="B56" s="508" t="s">
        <v>36</v>
      </c>
      <c r="C56" s="508"/>
      <c r="D56" s="508"/>
      <c r="E56" s="512">
        <v>0.99</v>
      </c>
      <c r="F56" s="512">
        <v>5.09</v>
      </c>
      <c r="G56" s="512">
        <v>4.29</v>
      </c>
      <c r="H56" s="510">
        <f t="shared" ref="H56:R56" si="26">SUM(H54:H55)</f>
        <v>5.25</v>
      </c>
      <c r="I56" s="510">
        <f t="shared" si="26"/>
        <v>6.2388816</v>
      </c>
      <c r="J56" s="510">
        <f t="shared" si="26"/>
        <v>2.2621804999999999</v>
      </c>
      <c r="K56" s="510">
        <f t="shared" si="26"/>
        <v>2.2621804999999999</v>
      </c>
      <c r="L56" s="510">
        <f t="shared" si="26"/>
        <v>2.2621804999999999</v>
      </c>
      <c r="M56" s="510">
        <f t="shared" si="26"/>
        <v>2.2621804999999999</v>
      </c>
      <c r="N56" s="510">
        <f t="shared" si="26"/>
        <v>2.2621804999999999</v>
      </c>
      <c r="O56" s="510">
        <f t="shared" si="26"/>
        <v>2.2621804999999999</v>
      </c>
      <c r="P56" s="510">
        <f t="shared" si="26"/>
        <v>2.2621804999999999</v>
      </c>
      <c r="Q56" s="510">
        <f t="shared" si="26"/>
        <v>2.2621804999999999</v>
      </c>
      <c r="R56" s="510">
        <f t="shared" si="26"/>
        <v>2.2621804999999999</v>
      </c>
      <c r="S56" s="510">
        <f>SUM(S54:S55)</f>
        <v>2.2621804999999999</v>
      </c>
    </row>
    <row r="57" spans="1:19" s="33" customFormat="1" x14ac:dyDescent="0.35">
      <c r="B57" s="85" t="s">
        <v>718</v>
      </c>
      <c r="C57" s="85"/>
      <c r="D57" s="85"/>
      <c r="E57" s="85"/>
      <c r="F57" s="85"/>
      <c r="G57" s="85"/>
      <c r="H57" s="85"/>
      <c r="I57" s="85"/>
      <c r="J57" s="85"/>
      <c r="K57" s="85"/>
      <c r="L57" s="85"/>
      <c r="M57" s="85"/>
      <c r="N57" s="85"/>
      <c r="O57" s="85"/>
      <c r="P57" s="85"/>
      <c r="Q57" s="85"/>
      <c r="R57" s="85"/>
      <c r="S57" s="85"/>
    </row>
    <row r="58" spans="1:19" s="33" customFormat="1" x14ac:dyDescent="0.35">
      <c r="B58" s="374" t="s">
        <v>721</v>
      </c>
      <c r="C58" s="374"/>
      <c r="D58" s="374"/>
      <c r="E58" s="374"/>
      <c r="F58" s="374"/>
      <c r="G58" s="374"/>
      <c r="H58" s="1700">
        <v>0.25</v>
      </c>
      <c r="I58" s="1700">
        <f>1435908.8/10^7</f>
        <v>0.14359088</v>
      </c>
      <c r="J58" s="509">
        <f>I58</f>
        <v>0.14359088</v>
      </c>
      <c r="K58" s="509">
        <f t="shared" ref="K58:S58" si="27">J58</f>
        <v>0.14359088</v>
      </c>
      <c r="L58" s="509">
        <f t="shared" si="27"/>
        <v>0.14359088</v>
      </c>
      <c r="M58" s="509">
        <f t="shared" si="27"/>
        <v>0.14359088</v>
      </c>
      <c r="N58" s="509">
        <f t="shared" si="27"/>
        <v>0.14359088</v>
      </c>
      <c r="O58" s="509">
        <f t="shared" si="27"/>
        <v>0.14359088</v>
      </c>
      <c r="P58" s="509">
        <f t="shared" si="27"/>
        <v>0.14359088</v>
      </c>
      <c r="Q58" s="509">
        <f t="shared" si="27"/>
        <v>0.14359088</v>
      </c>
      <c r="R58" s="509">
        <f t="shared" si="27"/>
        <v>0.14359088</v>
      </c>
      <c r="S58" s="509">
        <f t="shared" si="27"/>
        <v>0.14359088</v>
      </c>
    </row>
    <row r="59" spans="1:19" s="33" customFormat="1" x14ac:dyDescent="0.35">
      <c r="B59" s="374" t="s">
        <v>722</v>
      </c>
      <c r="C59" s="374"/>
      <c r="D59" s="374"/>
      <c r="E59" s="509"/>
      <c r="F59" s="509"/>
      <c r="G59" s="509"/>
      <c r="H59" s="511">
        <v>3.99</v>
      </c>
      <c r="I59" s="1700">
        <f>28748299.68/10^7</f>
        <v>2.8748299679999998</v>
      </c>
      <c r="J59" s="1699">
        <f>I59</f>
        <v>2.8748299679999998</v>
      </c>
      <c r="K59" s="1699">
        <f t="shared" ref="K59:S59" si="28">J59</f>
        <v>2.8748299679999998</v>
      </c>
      <c r="L59" s="509">
        <f t="shared" si="28"/>
        <v>2.8748299679999998</v>
      </c>
      <c r="M59" s="509">
        <f t="shared" si="28"/>
        <v>2.8748299679999998</v>
      </c>
      <c r="N59" s="509">
        <f t="shared" si="28"/>
        <v>2.8748299679999998</v>
      </c>
      <c r="O59" s="509">
        <f t="shared" si="28"/>
        <v>2.8748299679999998</v>
      </c>
      <c r="P59" s="509">
        <f t="shared" si="28"/>
        <v>2.8748299679999998</v>
      </c>
      <c r="Q59" s="509">
        <f t="shared" si="28"/>
        <v>2.8748299679999998</v>
      </c>
      <c r="R59" s="509">
        <f t="shared" si="28"/>
        <v>2.8748299679999998</v>
      </c>
      <c r="S59" s="509">
        <f t="shared" si="28"/>
        <v>2.8748299679999998</v>
      </c>
    </row>
    <row r="60" spans="1:19" s="33" customFormat="1" x14ac:dyDescent="0.35">
      <c r="B60" s="374" t="s">
        <v>923</v>
      </c>
      <c r="C60" s="374"/>
      <c r="D60" s="374"/>
      <c r="E60" s="509"/>
      <c r="F60" s="509"/>
      <c r="G60" s="509"/>
      <c r="H60" s="511"/>
      <c r="I60" s="511"/>
      <c r="J60" s="509">
        <v>15</v>
      </c>
      <c r="K60" s="509"/>
      <c r="L60" s="509"/>
      <c r="M60" s="509"/>
      <c r="N60" s="509"/>
      <c r="O60" s="509"/>
      <c r="P60" s="509"/>
      <c r="Q60" s="509"/>
      <c r="R60" s="509"/>
      <c r="S60" s="509"/>
    </row>
    <row r="61" spans="1:19" s="33" customFormat="1" x14ac:dyDescent="0.35">
      <c r="B61" s="374" t="s">
        <v>764</v>
      </c>
      <c r="C61" s="374"/>
      <c r="D61" s="374"/>
      <c r="E61" s="509"/>
      <c r="F61" s="509"/>
      <c r="G61" s="509"/>
      <c r="H61" s="511">
        <v>0.38</v>
      </c>
      <c r="I61" s="511">
        <f>4886341.55/10^7</f>
        <v>0.48863415499999996</v>
      </c>
      <c r="J61" s="509">
        <f>I61</f>
        <v>0.48863415499999996</v>
      </c>
      <c r="K61" s="509">
        <f t="shared" ref="K61:S61" si="29">J61</f>
        <v>0.48863415499999996</v>
      </c>
      <c r="L61" s="509">
        <f t="shared" si="29"/>
        <v>0.48863415499999996</v>
      </c>
      <c r="M61" s="509">
        <f t="shared" si="29"/>
        <v>0.48863415499999996</v>
      </c>
      <c r="N61" s="509">
        <f t="shared" si="29"/>
        <v>0.48863415499999996</v>
      </c>
      <c r="O61" s="509">
        <f t="shared" si="29"/>
        <v>0.48863415499999996</v>
      </c>
      <c r="P61" s="509">
        <f t="shared" si="29"/>
        <v>0.48863415499999996</v>
      </c>
      <c r="Q61" s="509">
        <f t="shared" si="29"/>
        <v>0.48863415499999996</v>
      </c>
      <c r="R61" s="509">
        <f t="shared" si="29"/>
        <v>0.48863415499999996</v>
      </c>
      <c r="S61" s="509">
        <f t="shared" si="29"/>
        <v>0.48863415499999996</v>
      </c>
    </row>
    <row r="62" spans="1:19" s="1" customFormat="1" x14ac:dyDescent="0.35">
      <c r="B62" s="508" t="s">
        <v>36</v>
      </c>
      <c r="C62" s="508"/>
      <c r="D62" s="508"/>
      <c r="E62" s="512">
        <v>6.1099999999999994</v>
      </c>
      <c r="F62" s="512">
        <v>6.64</v>
      </c>
      <c r="G62" s="512">
        <v>2.89</v>
      </c>
      <c r="H62" s="510">
        <f t="shared" ref="H62:R62" si="30">SUM(H58:H61)</f>
        <v>4.62</v>
      </c>
      <c r="I62" s="510">
        <f t="shared" si="30"/>
        <v>3.5070550029999996</v>
      </c>
      <c r="J62" s="510">
        <f t="shared" si="30"/>
        <v>18.507055002999998</v>
      </c>
      <c r="K62" s="510">
        <f t="shared" si="30"/>
        <v>3.5070550029999996</v>
      </c>
      <c r="L62" s="510">
        <f t="shared" si="30"/>
        <v>3.5070550029999996</v>
      </c>
      <c r="M62" s="510">
        <f t="shared" si="30"/>
        <v>3.5070550029999996</v>
      </c>
      <c r="N62" s="510">
        <f t="shared" si="30"/>
        <v>3.5070550029999996</v>
      </c>
      <c r="O62" s="510">
        <f t="shared" si="30"/>
        <v>3.5070550029999996</v>
      </c>
      <c r="P62" s="510">
        <f t="shared" si="30"/>
        <v>3.5070550029999996</v>
      </c>
      <c r="Q62" s="510">
        <f t="shared" si="30"/>
        <v>3.5070550029999996</v>
      </c>
      <c r="R62" s="510">
        <f t="shared" si="30"/>
        <v>3.5070550029999996</v>
      </c>
      <c r="S62" s="510">
        <f>SUM(S58:S61)</f>
        <v>3.5070550029999996</v>
      </c>
    </row>
    <row r="63" spans="1:19" x14ac:dyDescent="0.35">
      <c r="G63" s="172"/>
    </row>
    <row r="64" spans="1:19" s="135" customFormat="1" x14ac:dyDescent="0.35">
      <c r="A64" s="168"/>
      <c r="B64" s="118" t="s">
        <v>171</v>
      </c>
      <c r="C64" s="301"/>
      <c r="D64" s="119"/>
      <c r="E64" s="175">
        <f t="shared" ref="E64:S64" si="31">E5</f>
        <v>43190</v>
      </c>
      <c r="F64" s="175">
        <f t="shared" si="31"/>
        <v>43555</v>
      </c>
      <c r="G64" s="175">
        <f t="shared" si="31"/>
        <v>43921</v>
      </c>
      <c r="H64" s="175">
        <f t="shared" si="31"/>
        <v>44286</v>
      </c>
      <c r="I64" s="175">
        <f t="shared" si="31"/>
        <v>44651</v>
      </c>
      <c r="J64" s="175">
        <f t="shared" si="31"/>
        <v>45016</v>
      </c>
      <c r="K64" s="175">
        <f t="shared" si="31"/>
        <v>45382</v>
      </c>
      <c r="L64" s="175">
        <f t="shared" si="31"/>
        <v>45747</v>
      </c>
      <c r="M64" s="175">
        <f t="shared" si="31"/>
        <v>46112</v>
      </c>
      <c r="N64" s="175">
        <f t="shared" si="31"/>
        <v>46477</v>
      </c>
      <c r="O64" s="175">
        <f t="shared" si="31"/>
        <v>46843</v>
      </c>
      <c r="P64" s="175">
        <f t="shared" si="31"/>
        <v>47208</v>
      </c>
      <c r="Q64" s="175">
        <f t="shared" si="31"/>
        <v>47573</v>
      </c>
      <c r="R64" s="175">
        <f t="shared" si="31"/>
        <v>47938</v>
      </c>
      <c r="S64" s="175">
        <f t="shared" si="31"/>
        <v>48304</v>
      </c>
    </row>
    <row r="65" spans="1:19" s="135" customFormat="1" x14ac:dyDescent="0.35">
      <c r="A65" s="168"/>
      <c r="B65" s="144" t="s">
        <v>175</v>
      </c>
      <c r="C65" s="302"/>
      <c r="D65" s="148"/>
      <c r="E65" s="148"/>
      <c r="F65" s="148"/>
      <c r="G65" s="176"/>
      <c r="H65" s="176"/>
      <c r="I65" s="176"/>
      <c r="J65" s="176"/>
      <c r="K65" s="176"/>
      <c r="L65" s="176"/>
      <c r="M65" s="176"/>
      <c r="N65" s="176"/>
      <c r="O65" s="176"/>
      <c r="P65" s="176"/>
      <c r="Q65" s="176"/>
      <c r="R65" s="176"/>
      <c r="S65" s="176"/>
    </row>
    <row r="66" spans="1:19" s="135" customFormat="1" x14ac:dyDescent="0.35">
      <c r="A66" s="168"/>
      <c r="B66" s="401" t="s">
        <v>613</v>
      </c>
      <c r="C66" s="402"/>
      <c r="D66" s="143"/>
      <c r="E66" s="143"/>
      <c r="F66" s="143"/>
      <c r="G66" s="69"/>
      <c r="H66" s="69"/>
      <c r="I66" s="69"/>
      <c r="J66" s="69"/>
      <c r="K66" s="69"/>
      <c r="L66" s="69"/>
      <c r="M66" s="69"/>
      <c r="N66" s="69"/>
      <c r="O66" s="69"/>
      <c r="P66" s="69"/>
      <c r="Q66" s="69"/>
      <c r="R66" s="69"/>
      <c r="S66" s="69"/>
    </row>
    <row r="67" spans="1:19" s="135" customFormat="1" x14ac:dyDescent="0.35">
      <c r="A67" s="168"/>
      <c r="B67" s="126" t="s">
        <v>1634</v>
      </c>
      <c r="C67" s="78"/>
      <c r="D67" s="126"/>
      <c r="E67" s="94">
        <v>92.32</v>
      </c>
      <c r="F67" s="94">
        <v>92.32</v>
      </c>
      <c r="G67" s="77">
        <v>92.32</v>
      </c>
      <c r="H67" s="77">
        <v>92.32</v>
      </c>
      <c r="I67" s="77">
        <v>92.32</v>
      </c>
      <c r="J67" s="63">
        <f>+I67</f>
        <v>92.32</v>
      </c>
      <c r="K67" s="63">
        <f>+J67</f>
        <v>92.32</v>
      </c>
      <c r="L67" s="63">
        <f>+K67</f>
        <v>92.32</v>
      </c>
      <c r="M67" s="63">
        <f t="shared" ref="M67:M76" si="32">+L67</f>
        <v>92.32</v>
      </c>
      <c r="N67" s="63">
        <f t="shared" ref="N67:N76" si="33">+M67</f>
        <v>92.32</v>
      </c>
      <c r="O67" s="63">
        <f t="shared" ref="O67:O76" si="34">+N67</f>
        <v>92.32</v>
      </c>
      <c r="P67" s="63">
        <f t="shared" ref="P67:P76" si="35">+O67</f>
        <v>92.32</v>
      </c>
      <c r="Q67" s="63">
        <f t="shared" ref="Q67:Q76" si="36">+P67</f>
        <v>92.32</v>
      </c>
      <c r="R67" s="63">
        <f t="shared" ref="R67:S76" si="37">+Q67</f>
        <v>92.32</v>
      </c>
      <c r="S67" s="63">
        <f t="shared" si="37"/>
        <v>92.32</v>
      </c>
    </row>
    <row r="68" spans="1:19" s="135" customFormat="1" x14ac:dyDescent="0.35">
      <c r="A68" s="168"/>
      <c r="B68" s="126" t="s">
        <v>1633</v>
      </c>
      <c r="C68" s="78"/>
      <c r="D68" s="126"/>
      <c r="E68" s="94">
        <v>0.02</v>
      </c>
      <c r="F68" s="94">
        <v>0.02</v>
      </c>
      <c r="G68" s="77">
        <v>0.02</v>
      </c>
      <c r="H68" s="77">
        <v>0.02</v>
      </c>
      <c r="I68" s="77">
        <v>0.02</v>
      </c>
      <c r="J68" s="63">
        <f>+I68</f>
        <v>0.02</v>
      </c>
      <c r="K68" s="63">
        <f t="shared" ref="K68:L76" si="38">+J68</f>
        <v>0.02</v>
      </c>
      <c r="L68" s="63">
        <f t="shared" si="38"/>
        <v>0.02</v>
      </c>
      <c r="M68" s="63">
        <f t="shared" si="32"/>
        <v>0.02</v>
      </c>
      <c r="N68" s="63">
        <f t="shared" si="33"/>
        <v>0.02</v>
      </c>
      <c r="O68" s="63">
        <f t="shared" si="34"/>
        <v>0.02</v>
      </c>
      <c r="P68" s="63">
        <f t="shared" si="35"/>
        <v>0.02</v>
      </c>
      <c r="Q68" s="63">
        <f t="shared" si="36"/>
        <v>0.02</v>
      </c>
      <c r="R68" s="63">
        <f t="shared" si="37"/>
        <v>0.02</v>
      </c>
      <c r="S68" s="63">
        <f t="shared" si="37"/>
        <v>0.02</v>
      </c>
    </row>
    <row r="69" spans="1:19" s="135" customFormat="1" x14ac:dyDescent="0.35">
      <c r="A69" s="168"/>
      <c r="B69" s="126" t="s">
        <v>1632</v>
      </c>
      <c r="C69" s="78"/>
      <c r="D69" s="126"/>
      <c r="E69" s="77">
        <v>5</v>
      </c>
      <c r="F69" s="77">
        <v>5</v>
      </c>
      <c r="G69" s="77">
        <v>5</v>
      </c>
      <c r="H69" s="77">
        <v>5</v>
      </c>
      <c r="I69" s="77">
        <v>5</v>
      </c>
      <c r="J69" s="63">
        <f>+I69</f>
        <v>5</v>
      </c>
      <c r="K69" s="63">
        <f t="shared" si="38"/>
        <v>5</v>
      </c>
      <c r="L69" s="63">
        <f t="shared" si="38"/>
        <v>5</v>
      </c>
      <c r="M69" s="63">
        <f t="shared" si="32"/>
        <v>5</v>
      </c>
      <c r="N69" s="63">
        <f t="shared" si="33"/>
        <v>5</v>
      </c>
      <c r="O69" s="63">
        <f t="shared" si="34"/>
        <v>5</v>
      </c>
      <c r="P69" s="63">
        <f t="shared" si="35"/>
        <v>5</v>
      </c>
      <c r="Q69" s="63">
        <f t="shared" si="36"/>
        <v>5</v>
      </c>
      <c r="R69" s="63">
        <f t="shared" si="37"/>
        <v>5</v>
      </c>
      <c r="S69" s="63">
        <f t="shared" si="37"/>
        <v>5</v>
      </c>
    </row>
    <row r="70" spans="1:19" s="135" customFormat="1" x14ac:dyDescent="0.35">
      <c r="A70" s="168"/>
      <c r="B70" s="401" t="s">
        <v>615</v>
      </c>
      <c r="C70" s="78"/>
      <c r="D70" s="126"/>
      <c r="E70" s="94"/>
      <c r="F70" s="94"/>
      <c r="G70" s="77"/>
      <c r="H70" s="77"/>
      <c r="I70" s="77"/>
      <c r="J70" s="63"/>
      <c r="K70" s="63"/>
      <c r="L70" s="63"/>
      <c r="M70" s="63"/>
      <c r="N70" s="63"/>
      <c r="O70" s="63"/>
      <c r="P70" s="63"/>
      <c r="Q70" s="63"/>
      <c r="R70" s="63"/>
      <c r="S70" s="63"/>
    </row>
    <row r="71" spans="1:19" s="135" customFormat="1" x14ac:dyDescent="0.35">
      <c r="A71" s="168"/>
      <c r="B71" s="126" t="s">
        <v>617</v>
      </c>
      <c r="C71" s="78"/>
      <c r="D71" s="126"/>
      <c r="E71" s="94">
        <v>1.1499999999999999</v>
      </c>
      <c r="F71" s="94">
        <v>1.1499999999999999</v>
      </c>
      <c r="G71" s="77">
        <v>1.1499999999999999</v>
      </c>
      <c r="H71" s="77">
        <v>1.1499999999999999</v>
      </c>
      <c r="I71" s="77">
        <v>1.1499999999999999</v>
      </c>
      <c r="J71" s="63">
        <f>+I71</f>
        <v>1.1499999999999999</v>
      </c>
      <c r="K71" s="63">
        <f t="shared" si="38"/>
        <v>1.1499999999999999</v>
      </c>
      <c r="L71" s="63">
        <f t="shared" si="38"/>
        <v>1.1499999999999999</v>
      </c>
      <c r="M71" s="63">
        <f t="shared" si="32"/>
        <v>1.1499999999999999</v>
      </c>
      <c r="N71" s="63">
        <f t="shared" si="33"/>
        <v>1.1499999999999999</v>
      </c>
      <c r="O71" s="63">
        <f t="shared" si="34"/>
        <v>1.1499999999999999</v>
      </c>
      <c r="P71" s="63">
        <f t="shared" si="35"/>
        <v>1.1499999999999999</v>
      </c>
      <c r="Q71" s="63">
        <f t="shared" si="36"/>
        <v>1.1499999999999999</v>
      </c>
      <c r="R71" s="63">
        <f t="shared" si="37"/>
        <v>1.1499999999999999</v>
      </c>
      <c r="S71" s="63">
        <f t="shared" si="37"/>
        <v>1.1499999999999999</v>
      </c>
    </row>
    <row r="72" spans="1:19" s="135" customFormat="1" x14ac:dyDescent="0.35">
      <c r="A72" s="168"/>
      <c r="B72" s="126" t="s">
        <v>616</v>
      </c>
      <c r="C72" s="78"/>
      <c r="D72" s="126"/>
      <c r="E72" s="94">
        <v>0.01</v>
      </c>
      <c r="F72" s="94">
        <v>0.01</v>
      </c>
      <c r="G72" s="77">
        <v>0.01</v>
      </c>
      <c r="H72" s="77">
        <v>0.01</v>
      </c>
      <c r="I72" s="77">
        <v>0.01</v>
      </c>
      <c r="J72" s="63">
        <f>+I72</f>
        <v>0.01</v>
      </c>
      <c r="K72" s="63">
        <f t="shared" si="38"/>
        <v>0.01</v>
      </c>
      <c r="L72" s="63">
        <f t="shared" si="38"/>
        <v>0.01</v>
      </c>
      <c r="M72" s="63">
        <f t="shared" si="32"/>
        <v>0.01</v>
      </c>
      <c r="N72" s="63">
        <f t="shared" si="33"/>
        <v>0.01</v>
      </c>
      <c r="O72" s="63">
        <f t="shared" si="34"/>
        <v>0.01</v>
      </c>
      <c r="P72" s="63">
        <f t="shared" si="35"/>
        <v>0.01</v>
      </c>
      <c r="Q72" s="63">
        <f t="shared" si="36"/>
        <v>0.01</v>
      </c>
      <c r="R72" s="63">
        <f t="shared" si="37"/>
        <v>0.01</v>
      </c>
      <c r="S72" s="63">
        <f t="shared" si="37"/>
        <v>0.01</v>
      </c>
    </row>
    <row r="73" spans="1:19" s="583" customFormat="1" x14ac:dyDescent="0.35">
      <c r="A73" s="586"/>
      <c r="B73" s="581" t="s">
        <v>181</v>
      </c>
      <c r="C73" s="579"/>
      <c r="D73" s="581"/>
      <c r="E73" s="590">
        <v>770.13</v>
      </c>
      <c r="F73" s="580"/>
      <c r="G73" s="77"/>
      <c r="H73" s="77"/>
      <c r="I73" s="77"/>
      <c r="J73" s="63"/>
      <c r="K73" s="63"/>
      <c r="L73" s="63"/>
      <c r="M73" s="63"/>
      <c r="N73" s="63"/>
      <c r="O73" s="63"/>
      <c r="P73" s="63"/>
      <c r="Q73" s="63"/>
      <c r="R73" s="63"/>
      <c r="S73" s="63"/>
    </row>
    <row r="74" spans="1:19" s="135" customFormat="1" x14ac:dyDescent="0.35">
      <c r="A74" s="168"/>
      <c r="B74" s="401" t="s">
        <v>215</v>
      </c>
      <c r="C74" s="78"/>
      <c r="D74" s="126"/>
      <c r="E74" s="126"/>
      <c r="F74" s="126"/>
      <c r="G74" s="77"/>
      <c r="H74" s="77"/>
      <c r="I74" s="77"/>
      <c r="J74" s="63"/>
      <c r="K74" s="63"/>
      <c r="L74" s="63"/>
      <c r="M74" s="63"/>
      <c r="N74" s="63"/>
      <c r="O74" s="63"/>
      <c r="P74" s="63"/>
      <c r="Q74" s="63"/>
      <c r="R74" s="63"/>
      <c r="S74" s="63"/>
    </row>
    <row r="75" spans="1:19" s="135" customFormat="1" x14ac:dyDescent="0.35">
      <c r="A75" s="168"/>
      <c r="B75" s="126" t="s">
        <v>618</v>
      </c>
      <c r="C75" s="78"/>
      <c r="D75" s="126"/>
      <c r="E75" s="94">
        <v>350.04</v>
      </c>
      <c r="F75" s="94">
        <v>350.04</v>
      </c>
      <c r="G75" s="77">
        <v>350.04</v>
      </c>
      <c r="H75" s="77">
        <v>350.04</v>
      </c>
      <c r="I75" s="77">
        <v>350.04</v>
      </c>
      <c r="J75" s="63">
        <f>+I75</f>
        <v>350.04</v>
      </c>
      <c r="K75" s="63">
        <f t="shared" si="38"/>
        <v>350.04</v>
      </c>
      <c r="L75" s="63">
        <f t="shared" si="38"/>
        <v>350.04</v>
      </c>
      <c r="M75" s="63">
        <f t="shared" si="32"/>
        <v>350.04</v>
      </c>
      <c r="N75" s="63">
        <f t="shared" si="33"/>
        <v>350.04</v>
      </c>
      <c r="O75" s="63">
        <f t="shared" si="34"/>
        <v>350.04</v>
      </c>
      <c r="P75" s="63">
        <f t="shared" si="35"/>
        <v>350.04</v>
      </c>
      <c r="Q75" s="63">
        <f t="shared" si="36"/>
        <v>350.04</v>
      </c>
      <c r="R75" s="63">
        <f t="shared" si="37"/>
        <v>350.04</v>
      </c>
      <c r="S75" s="63">
        <f t="shared" si="37"/>
        <v>350.04</v>
      </c>
    </row>
    <row r="76" spans="1:19" s="135" customFormat="1" x14ac:dyDescent="0.35">
      <c r="A76" s="168"/>
      <c r="B76" s="126" t="s">
        <v>619</v>
      </c>
      <c r="C76" s="78"/>
      <c r="D76" s="126"/>
      <c r="E76" s="94">
        <v>370.48</v>
      </c>
      <c r="F76" s="94">
        <v>370.48</v>
      </c>
      <c r="G76" s="77">
        <v>370.48</v>
      </c>
      <c r="H76" s="77">
        <v>370.48</v>
      </c>
      <c r="I76" s="77">
        <v>370.48</v>
      </c>
      <c r="J76" s="63">
        <f>+I76</f>
        <v>370.48</v>
      </c>
      <c r="K76" s="63">
        <f t="shared" si="38"/>
        <v>370.48</v>
      </c>
      <c r="L76" s="63">
        <f t="shared" si="38"/>
        <v>370.48</v>
      </c>
      <c r="M76" s="63">
        <f t="shared" si="32"/>
        <v>370.48</v>
      </c>
      <c r="N76" s="63">
        <f t="shared" si="33"/>
        <v>370.48</v>
      </c>
      <c r="O76" s="63">
        <f t="shared" si="34"/>
        <v>370.48</v>
      </c>
      <c r="P76" s="63">
        <f t="shared" si="35"/>
        <v>370.48</v>
      </c>
      <c r="Q76" s="63">
        <f t="shared" si="36"/>
        <v>370.48</v>
      </c>
      <c r="R76" s="63">
        <f t="shared" si="37"/>
        <v>370.48</v>
      </c>
      <c r="S76" s="63">
        <f t="shared" si="37"/>
        <v>370.48</v>
      </c>
    </row>
    <row r="77" spans="1:19" s="135" customFormat="1" x14ac:dyDescent="0.35">
      <c r="A77" s="168"/>
      <c r="B77" s="106" t="s">
        <v>425</v>
      </c>
      <c r="C77" s="78"/>
      <c r="D77" s="126"/>
      <c r="E77" s="107">
        <f t="shared" ref="E77:S77" si="39">SUM(E67:E76)</f>
        <v>1589.15</v>
      </c>
      <c r="F77" s="107">
        <f t="shared" si="39"/>
        <v>819.02</v>
      </c>
      <c r="G77" s="107">
        <f t="shared" si="39"/>
        <v>819.02</v>
      </c>
      <c r="H77" s="107">
        <f t="shared" si="39"/>
        <v>819.02</v>
      </c>
      <c r="I77" s="107">
        <f t="shared" ref="I77" si="40">SUM(I67:I76)</f>
        <v>819.02</v>
      </c>
      <c r="J77" s="107">
        <f t="shared" si="39"/>
        <v>819.02</v>
      </c>
      <c r="K77" s="107">
        <f t="shared" si="39"/>
        <v>819.02</v>
      </c>
      <c r="L77" s="107">
        <f t="shared" si="39"/>
        <v>819.02</v>
      </c>
      <c r="M77" s="107">
        <f t="shared" si="39"/>
        <v>819.02</v>
      </c>
      <c r="N77" s="107">
        <f t="shared" si="39"/>
        <v>819.02</v>
      </c>
      <c r="O77" s="107">
        <f t="shared" si="39"/>
        <v>819.02</v>
      </c>
      <c r="P77" s="107">
        <f t="shared" si="39"/>
        <v>819.02</v>
      </c>
      <c r="Q77" s="107">
        <f t="shared" si="39"/>
        <v>819.02</v>
      </c>
      <c r="R77" s="107">
        <f t="shared" si="39"/>
        <v>819.02</v>
      </c>
      <c r="S77" s="107">
        <f t="shared" si="39"/>
        <v>819.02</v>
      </c>
    </row>
    <row r="78" spans="1:19" s="135" customFormat="1" x14ac:dyDescent="0.35">
      <c r="A78" s="168"/>
      <c r="B78" s="106"/>
      <c r="C78" s="78"/>
      <c r="D78" s="126"/>
      <c r="E78" s="126"/>
      <c r="F78" s="126"/>
      <c r="G78" s="107"/>
      <c r="H78" s="107"/>
      <c r="I78" s="107"/>
      <c r="J78" s="107"/>
      <c r="K78" s="107"/>
      <c r="L78" s="107"/>
      <c r="M78" s="107"/>
      <c r="N78" s="107"/>
      <c r="O78" s="107"/>
      <c r="P78" s="107"/>
      <c r="Q78" s="107"/>
      <c r="R78" s="107"/>
      <c r="S78" s="107"/>
    </row>
    <row r="79" spans="1:19" s="135" customFormat="1" x14ac:dyDescent="0.35">
      <c r="A79" s="168"/>
      <c r="B79" s="106" t="s">
        <v>427</v>
      </c>
      <c r="C79" s="78"/>
      <c r="D79" s="126"/>
      <c r="E79" s="126"/>
      <c r="F79" s="126"/>
      <c r="G79" s="69"/>
      <c r="H79" s="69"/>
      <c r="I79" s="69"/>
      <c r="J79" s="69"/>
      <c r="K79" s="69"/>
      <c r="L79" s="69"/>
      <c r="M79" s="69"/>
      <c r="N79" s="69"/>
      <c r="O79" s="69"/>
      <c r="P79" s="69"/>
      <c r="Q79" s="69"/>
      <c r="R79" s="69"/>
      <c r="S79" s="69"/>
    </row>
    <row r="80" spans="1:19" s="135" customFormat="1" x14ac:dyDescent="0.35">
      <c r="A80" s="168"/>
      <c r="B80" s="401" t="s">
        <v>613</v>
      </c>
      <c r="C80" s="78"/>
      <c r="D80" s="126"/>
      <c r="E80" s="126"/>
      <c r="F80" s="126"/>
      <c r="G80" s="69"/>
      <c r="H80" s="69"/>
      <c r="I80" s="69"/>
      <c r="J80" s="69"/>
      <c r="K80" s="69"/>
      <c r="L80" s="69"/>
      <c r="M80" s="69"/>
      <c r="N80" s="69"/>
      <c r="O80" s="69"/>
      <c r="P80" s="69"/>
      <c r="Q80" s="69"/>
      <c r="R80" s="69"/>
      <c r="S80" s="69"/>
    </row>
    <row r="81" spans="1:19" s="135" customFormat="1" x14ac:dyDescent="0.35">
      <c r="A81" s="168"/>
      <c r="B81" s="126" t="s">
        <v>610</v>
      </c>
      <c r="C81" s="78"/>
      <c r="D81" s="126"/>
      <c r="E81" s="93">
        <v>0</v>
      </c>
      <c r="F81" s="93">
        <v>0</v>
      </c>
      <c r="G81" s="93">
        <v>0</v>
      </c>
      <c r="H81" s="69">
        <v>0</v>
      </c>
      <c r="I81" s="69">
        <v>0</v>
      </c>
      <c r="J81" s="69">
        <v>0</v>
      </c>
      <c r="K81" s="69">
        <v>0</v>
      </c>
      <c r="L81" s="69">
        <v>0</v>
      </c>
      <c r="M81" s="69">
        <v>0</v>
      </c>
      <c r="N81" s="69">
        <v>0</v>
      </c>
      <c r="O81" s="69">
        <v>0</v>
      </c>
      <c r="P81" s="69">
        <v>0</v>
      </c>
      <c r="Q81" s="69">
        <v>0</v>
      </c>
      <c r="R81" s="69">
        <v>0</v>
      </c>
      <c r="S81" s="69">
        <v>0</v>
      </c>
    </row>
    <row r="82" spans="1:19" s="135" customFormat="1" x14ac:dyDescent="0.35">
      <c r="A82" s="168"/>
      <c r="B82" s="126" t="s">
        <v>611</v>
      </c>
      <c r="C82" s="78"/>
      <c r="D82" s="126"/>
      <c r="E82" s="93">
        <v>0</v>
      </c>
      <c r="F82" s="93">
        <v>0</v>
      </c>
      <c r="G82" s="93">
        <v>0</v>
      </c>
      <c r="H82" s="69">
        <v>0</v>
      </c>
      <c r="I82" s="69">
        <v>0</v>
      </c>
      <c r="J82" s="69">
        <v>0</v>
      </c>
      <c r="K82" s="69">
        <v>0</v>
      </c>
      <c r="L82" s="69">
        <v>0</v>
      </c>
      <c r="M82" s="69">
        <v>0</v>
      </c>
      <c r="N82" s="69">
        <v>0</v>
      </c>
      <c r="O82" s="69">
        <v>0</v>
      </c>
      <c r="P82" s="69">
        <v>0</v>
      </c>
      <c r="Q82" s="69">
        <v>0</v>
      </c>
      <c r="R82" s="69">
        <v>0</v>
      </c>
      <c r="S82" s="69">
        <v>0</v>
      </c>
    </row>
    <row r="83" spans="1:19" s="135" customFormat="1" x14ac:dyDescent="0.35">
      <c r="A83" s="168"/>
      <c r="B83" s="126" t="s">
        <v>612</v>
      </c>
      <c r="C83" s="78"/>
      <c r="D83" s="126"/>
      <c r="E83" s="63">
        <v>0</v>
      </c>
      <c r="F83" s="77">
        <v>0</v>
      </c>
      <c r="G83" s="77">
        <v>-5</v>
      </c>
      <c r="H83" s="63">
        <f t="shared" ref="H83:I86" si="41">+G83</f>
        <v>-5</v>
      </c>
      <c r="I83" s="63">
        <f t="shared" si="41"/>
        <v>-5</v>
      </c>
      <c r="J83" s="63">
        <f>+I83</f>
        <v>-5</v>
      </c>
      <c r="K83" s="63">
        <f>+J83</f>
        <v>-5</v>
      </c>
      <c r="L83" s="63">
        <f>+K83</f>
        <v>-5</v>
      </c>
      <c r="M83" s="63">
        <f t="shared" ref="M83:M89" si="42">+L83</f>
        <v>-5</v>
      </c>
      <c r="N83" s="63">
        <f t="shared" ref="N83:N89" si="43">+M83</f>
        <v>-5</v>
      </c>
      <c r="O83" s="63">
        <f t="shared" ref="O83:O89" si="44">+N83</f>
        <v>-5</v>
      </c>
      <c r="P83" s="63">
        <f t="shared" ref="P83:P89" si="45">+O83</f>
        <v>-5</v>
      </c>
      <c r="Q83" s="63">
        <f t="shared" ref="Q83:Q89" si="46">+P83</f>
        <v>-5</v>
      </c>
      <c r="R83" s="63">
        <f t="shared" ref="R83:S89" si="47">+Q83</f>
        <v>-5</v>
      </c>
      <c r="S83" s="63">
        <f t="shared" si="47"/>
        <v>-5</v>
      </c>
    </row>
    <row r="84" spans="1:19" s="135" customFormat="1" x14ac:dyDescent="0.35">
      <c r="A84" s="168"/>
      <c r="B84" s="401" t="s">
        <v>615</v>
      </c>
      <c r="C84" s="78"/>
      <c r="D84" s="126"/>
      <c r="E84" s="63"/>
      <c r="F84" s="77"/>
      <c r="G84" s="77"/>
      <c r="H84" s="63"/>
      <c r="I84" s="63"/>
      <c r="J84" s="63"/>
      <c r="K84" s="63"/>
      <c r="L84" s="63"/>
      <c r="M84" s="63"/>
      <c r="N84" s="63"/>
      <c r="O84" s="63"/>
      <c r="P84" s="63"/>
      <c r="Q84" s="63"/>
      <c r="R84" s="63"/>
      <c r="S84" s="63"/>
    </row>
    <row r="85" spans="1:19" s="135" customFormat="1" x14ac:dyDescent="0.35">
      <c r="A85" s="168"/>
      <c r="B85" s="126" t="s">
        <v>617</v>
      </c>
      <c r="C85" s="78"/>
      <c r="D85" s="126"/>
      <c r="E85" s="77">
        <v>-1.1499999999999999</v>
      </c>
      <c r="F85" s="77">
        <v>-1.1499999999999999</v>
      </c>
      <c r="G85" s="77">
        <v>-1.1499999999999999</v>
      </c>
      <c r="H85" s="63">
        <f t="shared" si="41"/>
        <v>-1.1499999999999999</v>
      </c>
      <c r="I85" s="63">
        <f t="shared" si="41"/>
        <v>-1.1499999999999999</v>
      </c>
      <c r="J85" s="63">
        <f>+I85</f>
        <v>-1.1499999999999999</v>
      </c>
      <c r="K85" s="63">
        <f t="shared" ref="K85:L86" si="48">+J85</f>
        <v>-1.1499999999999999</v>
      </c>
      <c r="L85" s="63">
        <f t="shared" si="48"/>
        <v>-1.1499999999999999</v>
      </c>
      <c r="M85" s="63">
        <f t="shared" si="42"/>
        <v>-1.1499999999999999</v>
      </c>
      <c r="N85" s="63">
        <f t="shared" si="43"/>
        <v>-1.1499999999999999</v>
      </c>
      <c r="O85" s="63">
        <f t="shared" si="44"/>
        <v>-1.1499999999999999</v>
      </c>
      <c r="P85" s="63">
        <f t="shared" si="45"/>
        <v>-1.1499999999999999</v>
      </c>
      <c r="Q85" s="63">
        <f t="shared" si="46"/>
        <v>-1.1499999999999999</v>
      </c>
      <c r="R85" s="63">
        <f t="shared" si="47"/>
        <v>-1.1499999999999999</v>
      </c>
      <c r="S85" s="63">
        <f t="shared" si="47"/>
        <v>-1.1499999999999999</v>
      </c>
    </row>
    <row r="86" spans="1:19" s="135" customFormat="1" x14ac:dyDescent="0.35">
      <c r="A86" s="168"/>
      <c r="B86" s="126" t="s">
        <v>616</v>
      </c>
      <c r="C86" s="78"/>
      <c r="D86" s="126"/>
      <c r="E86" s="77">
        <v>-0.01</v>
      </c>
      <c r="F86" s="77">
        <v>-0.01</v>
      </c>
      <c r="G86" s="77">
        <v>-0.01</v>
      </c>
      <c r="H86" s="63">
        <f t="shared" si="41"/>
        <v>-0.01</v>
      </c>
      <c r="I86" s="63">
        <f t="shared" si="41"/>
        <v>-0.01</v>
      </c>
      <c r="J86" s="63">
        <f>+I86</f>
        <v>-0.01</v>
      </c>
      <c r="K86" s="63">
        <f t="shared" si="48"/>
        <v>-0.01</v>
      </c>
      <c r="L86" s="63">
        <f t="shared" si="48"/>
        <v>-0.01</v>
      </c>
      <c r="M86" s="63">
        <f t="shared" si="42"/>
        <v>-0.01</v>
      </c>
      <c r="N86" s="63">
        <f t="shared" si="43"/>
        <v>-0.01</v>
      </c>
      <c r="O86" s="63">
        <f t="shared" si="44"/>
        <v>-0.01</v>
      </c>
      <c r="P86" s="63">
        <f t="shared" si="45"/>
        <v>-0.01</v>
      </c>
      <c r="Q86" s="63">
        <f t="shared" si="46"/>
        <v>-0.01</v>
      </c>
      <c r="R86" s="63">
        <f t="shared" si="47"/>
        <v>-0.01</v>
      </c>
      <c r="S86" s="63">
        <f t="shared" si="47"/>
        <v>-0.01</v>
      </c>
    </row>
    <row r="87" spans="1:19" s="135" customFormat="1" x14ac:dyDescent="0.35">
      <c r="A87" s="168"/>
      <c r="B87" s="401" t="s">
        <v>215</v>
      </c>
      <c r="C87" s="78"/>
      <c r="D87" s="126"/>
      <c r="E87" s="126"/>
      <c r="F87" s="126"/>
      <c r="G87" s="77"/>
      <c r="H87" s="63"/>
      <c r="I87" s="63"/>
      <c r="J87" s="63"/>
      <c r="K87" s="63"/>
      <c r="L87" s="63"/>
      <c r="M87" s="63"/>
      <c r="N87" s="63"/>
      <c r="O87" s="63"/>
      <c r="P87" s="63"/>
      <c r="Q87" s="63"/>
      <c r="R87" s="63"/>
      <c r="S87" s="63"/>
    </row>
    <row r="88" spans="1:19" s="135" customFormat="1" x14ac:dyDescent="0.35">
      <c r="A88" s="168"/>
      <c r="B88" s="126" t="s">
        <v>618</v>
      </c>
      <c r="C88" s="78"/>
      <c r="D88" s="126"/>
      <c r="E88" s="77">
        <v>-350.04</v>
      </c>
      <c r="F88" s="77">
        <v>-350.04</v>
      </c>
      <c r="G88" s="77">
        <v>-350.04</v>
      </c>
      <c r="H88" s="63">
        <f>+G88</f>
        <v>-350.04</v>
      </c>
      <c r="I88" s="63">
        <f>+H88</f>
        <v>-350.04</v>
      </c>
      <c r="J88" s="63">
        <f>+I88</f>
        <v>-350.04</v>
      </c>
      <c r="K88" s="63">
        <f t="shared" ref="K88:L89" si="49">+J88</f>
        <v>-350.04</v>
      </c>
      <c r="L88" s="63">
        <f t="shared" si="49"/>
        <v>-350.04</v>
      </c>
      <c r="M88" s="63">
        <f t="shared" si="42"/>
        <v>-350.04</v>
      </c>
      <c r="N88" s="63">
        <f t="shared" si="43"/>
        <v>-350.04</v>
      </c>
      <c r="O88" s="63">
        <f t="shared" si="44"/>
        <v>-350.04</v>
      </c>
      <c r="P88" s="63">
        <f t="shared" si="45"/>
        <v>-350.04</v>
      </c>
      <c r="Q88" s="63">
        <f t="shared" si="46"/>
        <v>-350.04</v>
      </c>
      <c r="R88" s="63">
        <f t="shared" si="47"/>
        <v>-350.04</v>
      </c>
      <c r="S88" s="63">
        <f t="shared" si="47"/>
        <v>-350.04</v>
      </c>
    </row>
    <row r="89" spans="1:19" s="135" customFormat="1" x14ac:dyDescent="0.35">
      <c r="A89" s="168"/>
      <c r="B89" s="126" t="s">
        <v>619</v>
      </c>
      <c r="C89" s="78"/>
      <c r="D89" s="126"/>
      <c r="E89" s="94">
        <v>-182.03</v>
      </c>
      <c r="F89" s="94">
        <v>-216.55</v>
      </c>
      <c r="G89" s="77">
        <v>-271.14</v>
      </c>
      <c r="H89" s="77">
        <v>-322.58</v>
      </c>
      <c r="I89" s="77">
        <v>-370.48</v>
      </c>
      <c r="J89" s="63">
        <f>+I89</f>
        <v>-370.48</v>
      </c>
      <c r="K89" s="63">
        <f t="shared" si="49"/>
        <v>-370.48</v>
      </c>
      <c r="L89" s="63">
        <f t="shared" si="49"/>
        <v>-370.48</v>
      </c>
      <c r="M89" s="63">
        <f t="shared" si="42"/>
        <v>-370.48</v>
      </c>
      <c r="N89" s="63">
        <f t="shared" si="43"/>
        <v>-370.48</v>
      </c>
      <c r="O89" s="63">
        <f t="shared" si="44"/>
        <v>-370.48</v>
      </c>
      <c r="P89" s="63">
        <f t="shared" si="45"/>
        <v>-370.48</v>
      </c>
      <c r="Q89" s="63">
        <f t="shared" si="46"/>
        <v>-370.48</v>
      </c>
      <c r="R89" s="63">
        <f t="shared" si="47"/>
        <v>-370.48</v>
      </c>
      <c r="S89" s="63">
        <f t="shared" si="47"/>
        <v>-370.48</v>
      </c>
    </row>
    <row r="90" spans="1:19" s="135" customFormat="1" x14ac:dyDescent="0.35">
      <c r="A90" s="168"/>
      <c r="B90" s="106" t="s">
        <v>426</v>
      </c>
      <c r="C90" s="78"/>
      <c r="D90" s="126"/>
      <c r="E90" s="107">
        <f t="shared" ref="E90:S90" si="50">SUM(E81:E89)</f>
        <v>-533.23</v>
      </c>
      <c r="F90" s="107">
        <f t="shared" si="50"/>
        <v>-567.75</v>
      </c>
      <c r="G90" s="107">
        <f t="shared" si="50"/>
        <v>-627.34</v>
      </c>
      <c r="H90" s="107">
        <f t="shared" si="50"/>
        <v>-678.78</v>
      </c>
      <c r="I90" s="107">
        <f t="shared" ref="I90" si="51">SUM(I81:I89)</f>
        <v>-726.68000000000006</v>
      </c>
      <c r="J90" s="107">
        <f t="shared" si="50"/>
        <v>-726.68000000000006</v>
      </c>
      <c r="K90" s="107">
        <f t="shared" si="50"/>
        <v>-726.68000000000006</v>
      </c>
      <c r="L90" s="107">
        <f t="shared" si="50"/>
        <v>-726.68000000000006</v>
      </c>
      <c r="M90" s="107">
        <f t="shared" si="50"/>
        <v>-726.68000000000006</v>
      </c>
      <c r="N90" s="107">
        <f t="shared" si="50"/>
        <v>-726.68000000000006</v>
      </c>
      <c r="O90" s="107">
        <f t="shared" si="50"/>
        <v>-726.68000000000006</v>
      </c>
      <c r="P90" s="107">
        <f t="shared" si="50"/>
        <v>-726.68000000000006</v>
      </c>
      <c r="Q90" s="107">
        <f t="shared" si="50"/>
        <v>-726.68000000000006</v>
      </c>
      <c r="R90" s="107">
        <f t="shared" si="50"/>
        <v>-726.68000000000006</v>
      </c>
      <c r="S90" s="107">
        <f t="shared" si="50"/>
        <v>-726.68000000000006</v>
      </c>
    </row>
    <row r="91" spans="1:19" s="135" customFormat="1" x14ac:dyDescent="0.35">
      <c r="A91" s="168"/>
      <c r="B91" s="138" t="s">
        <v>428</v>
      </c>
      <c r="C91" s="298"/>
      <c r="D91" s="139"/>
      <c r="E91" s="177">
        <f t="shared" ref="E91:S91" si="52">+E90+E77</f>
        <v>1055.92</v>
      </c>
      <c r="F91" s="177">
        <f t="shared" si="52"/>
        <v>251.26999999999998</v>
      </c>
      <c r="G91" s="177">
        <f t="shared" si="52"/>
        <v>191.67999999999995</v>
      </c>
      <c r="H91" s="177">
        <f t="shared" si="52"/>
        <v>140.24</v>
      </c>
      <c r="I91" s="177">
        <f t="shared" ref="I91" si="53">+I90+I77</f>
        <v>92.339999999999918</v>
      </c>
      <c r="J91" s="177">
        <f t="shared" si="52"/>
        <v>92.339999999999918</v>
      </c>
      <c r="K91" s="177">
        <f t="shared" si="52"/>
        <v>92.339999999999918</v>
      </c>
      <c r="L91" s="177">
        <f t="shared" si="52"/>
        <v>92.339999999999918</v>
      </c>
      <c r="M91" s="177">
        <f t="shared" si="52"/>
        <v>92.339999999999918</v>
      </c>
      <c r="N91" s="177">
        <f t="shared" si="52"/>
        <v>92.339999999999918</v>
      </c>
      <c r="O91" s="177">
        <f t="shared" si="52"/>
        <v>92.339999999999918</v>
      </c>
      <c r="P91" s="177">
        <f t="shared" si="52"/>
        <v>92.339999999999918</v>
      </c>
      <c r="Q91" s="177">
        <f t="shared" si="52"/>
        <v>92.339999999999918</v>
      </c>
      <c r="R91" s="177">
        <f t="shared" si="52"/>
        <v>92.339999999999918</v>
      </c>
      <c r="S91" s="177">
        <f t="shared" si="52"/>
        <v>92.339999999999918</v>
      </c>
    </row>
    <row r="92" spans="1:19" s="135" customFormat="1" x14ac:dyDescent="0.35">
      <c r="A92" s="168"/>
      <c r="B92" s="126"/>
      <c r="C92" s="78"/>
      <c r="D92" s="126"/>
      <c r="E92" s="126"/>
      <c r="F92" s="126"/>
      <c r="G92" s="107"/>
      <c r="H92" s="107"/>
      <c r="I92" s="107"/>
      <c r="J92" s="107"/>
      <c r="K92" s="107"/>
      <c r="L92" s="107"/>
      <c r="M92" s="107"/>
      <c r="N92" s="107"/>
      <c r="O92" s="107"/>
      <c r="P92" s="107"/>
      <c r="Q92" s="107"/>
      <c r="R92" s="107"/>
      <c r="S92" s="107"/>
    </row>
    <row r="93" spans="1:19" s="135" customFormat="1" x14ac:dyDescent="0.35">
      <c r="A93" s="168"/>
      <c r="B93" s="106" t="s">
        <v>614</v>
      </c>
      <c r="C93" s="78"/>
      <c r="D93" s="126"/>
      <c r="E93" s="126"/>
      <c r="F93" s="126"/>
      <c r="G93" s="69"/>
      <c r="H93" s="69"/>
      <c r="I93" s="69"/>
      <c r="J93" s="69"/>
      <c r="K93" s="69"/>
      <c r="L93" s="69"/>
      <c r="M93" s="69"/>
      <c r="N93" s="69"/>
      <c r="O93" s="69"/>
      <c r="P93" s="69"/>
      <c r="Q93" s="69"/>
      <c r="R93" s="69"/>
      <c r="S93" s="69"/>
    </row>
    <row r="94" spans="1:19" s="135" customFormat="1" x14ac:dyDescent="0.35">
      <c r="A94" s="168"/>
      <c r="B94" s="126" t="s">
        <v>181</v>
      </c>
      <c r="C94" s="78"/>
      <c r="D94" s="126"/>
      <c r="E94" s="77">
        <v>0</v>
      </c>
      <c r="F94" s="77">
        <v>770.13</v>
      </c>
      <c r="G94" s="77">
        <v>770.13</v>
      </c>
      <c r="H94" s="63">
        <f>G94</f>
        <v>770.13</v>
      </c>
      <c r="I94" s="63">
        <f>H94</f>
        <v>770.13</v>
      </c>
      <c r="J94" s="63">
        <f>I94</f>
        <v>770.13</v>
      </c>
      <c r="K94" s="63">
        <f t="shared" ref="K94:S94" si="54">J94</f>
        <v>770.13</v>
      </c>
      <c r="L94" s="63">
        <f t="shared" si="54"/>
        <v>770.13</v>
      </c>
      <c r="M94" s="63">
        <f t="shared" si="54"/>
        <v>770.13</v>
      </c>
      <c r="N94" s="63">
        <f t="shared" si="54"/>
        <v>770.13</v>
      </c>
      <c r="O94" s="63">
        <f t="shared" si="54"/>
        <v>770.13</v>
      </c>
      <c r="P94" s="63">
        <f t="shared" si="54"/>
        <v>770.13</v>
      </c>
      <c r="Q94" s="63">
        <f t="shared" si="54"/>
        <v>770.13</v>
      </c>
      <c r="R94" s="63">
        <f t="shared" si="54"/>
        <v>770.13</v>
      </c>
      <c r="S94" s="63">
        <f t="shared" si="54"/>
        <v>770.13</v>
      </c>
    </row>
    <row r="95" spans="1:19" s="135" customFormat="1" x14ac:dyDescent="0.35">
      <c r="A95" s="168"/>
      <c r="B95" s="126"/>
      <c r="C95" s="78"/>
      <c r="D95" s="126"/>
      <c r="E95" s="126"/>
      <c r="F95" s="126"/>
      <c r="G95" s="107"/>
      <c r="H95" s="107"/>
      <c r="I95" s="107"/>
      <c r="J95" s="107"/>
      <c r="K95" s="107"/>
      <c r="L95" s="107"/>
      <c r="M95" s="107"/>
      <c r="N95" s="107"/>
      <c r="O95" s="107"/>
      <c r="P95" s="107"/>
      <c r="Q95" s="107"/>
      <c r="R95" s="107"/>
      <c r="S95" s="107"/>
    </row>
    <row r="96" spans="1:19" s="135" customFormat="1" x14ac:dyDescent="0.35">
      <c r="A96" s="168"/>
      <c r="B96" s="106" t="s">
        <v>184</v>
      </c>
      <c r="C96" s="78"/>
      <c r="D96" s="126"/>
      <c r="E96" s="126"/>
      <c r="F96" s="126"/>
      <c r="G96" s="63"/>
      <c r="H96" s="63"/>
      <c r="I96" s="63"/>
      <c r="J96" s="63"/>
      <c r="K96" s="63"/>
      <c r="L96" s="63"/>
      <c r="M96" s="63"/>
      <c r="N96" s="63"/>
      <c r="O96" s="63"/>
      <c r="P96" s="63"/>
      <c r="Q96" s="63"/>
      <c r="R96" s="63"/>
      <c r="S96" s="63"/>
    </row>
    <row r="97" spans="1:19" s="135" customFormat="1" x14ac:dyDescent="0.35">
      <c r="A97" s="168"/>
      <c r="B97" s="126" t="s">
        <v>185</v>
      </c>
      <c r="C97" s="78"/>
      <c r="D97" s="126"/>
      <c r="E97" s="77">
        <v>1476</v>
      </c>
      <c r="F97" s="77">
        <v>1579.43</v>
      </c>
      <c r="G97" s="77">
        <v>1579.43</v>
      </c>
      <c r="H97" s="63">
        <f t="shared" ref="H97:Q97" si="55">+G97</f>
        <v>1579.43</v>
      </c>
      <c r="I97" s="77">
        <v>1643.25</v>
      </c>
      <c r="J97" s="63">
        <f>+I97</f>
        <v>1643.25</v>
      </c>
      <c r="K97" s="63">
        <f t="shared" si="55"/>
        <v>1643.25</v>
      </c>
      <c r="L97" s="63">
        <f t="shared" si="55"/>
        <v>1643.25</v>
      </c>
      <c r="M97" s="63">
        <f t="shared" si="55"/>
        <v>1643.25</v>
      </c>
      <c r="N97" s="63">
        <f t="shared" si="55"/>
        <v>1643.25</v>
      </c>
      <c r="O97" s="63">
        <f t="shared" si="55"/>
        <v>1643.25</v>
      </c>
      <c r="P97" s="63">
        <f t="shared" si="55"/>
        <v>1643.25</v>
      </c>
      <c r="Q97" s="63">
        <f t="shared" si="55"/>
        <v>1643.25</v>
      </c>
      <c r="R97" s="63">
        <f t="shared" ref="R97:S100" si="56">+Q97</f>
        <v>1643.25</v>
      </c>
      <c r="S97" s="63">
        <f t="shared" si="56"/>
        <v>1643.25</v>
      </c>
    </row>
    <row r="98" spans="1:19" s="135" customFormat="1" x14ac:dyDescent="0.35">
      <c r="A98" s="168"/>
      <c r="B98" s="126" t="s">
        <v>186</v>
      </c>
      <c r="C98" s="78"/>
      <c r="D98" s="126"/>
      <c r="E98" s="94">
        <v>11.92</v>
      </c>
      <c r="F98" s="94">
        <v>12.29</v>
      </c>
      <c r="G98" s="77">
        <v>12.72</v>
      </c>
      <c r="H98" s="63">
        <f t="shared" ref="H98:L100" si="57">+G98</f>
        <v>12.72</v>
      </c>
      <c r="I98" s="63">
        <f t="shared" si="57"/>
        <v>12.72</v>
      </c>
      <c r="J98" s="63">
        <f>+I98</f>
        <v>12.72</v>
      </c>
      <c r="K98" s="63">
        <f t="shared" si="57"/>
        <v>12.72</v>
      </c>
      <c r="L98" s="63">
        <f t="shared" si="57"/>
        <v>12.72</v>
      </c>
      <c r="M98" s="63">
        <f t="shared" ref="M98:Q100" si="58">+L98</f>
        <v>12.72</v>
      </c>
      <c r="N98" s="63">
        <f t="shared" si="58"/>
        <v>12.72</v>
      </c>
      <c r="O98" s="63">
        <f t="shared" si="58"/>
        <v>12.72</v>
      </c>
      <c r="P98" s="63">
        <f t="shared" si="58"/>
        <v>12.72</v>
      </c>
      <c r="Q98" s="63">
        <f t="shared" si="58"/>
        <v>12.72</v>
      </c>
      <c r="R98" s="63">
        <f t="shared" si="56"/>
        <v>12.72</v>
      </c>
      <c r="S98" s="63">
        <f t="shared" si="56"/>
        <v>12.72</v>
      </c>
    </row>
    <row r="99" spans="1:19" s="135" customFormat="1" x14ac:dyDescent="0.35">
      <c r="A99" s="168"/>
      <c r="B99" s="126" t="s">
        <v>187</v>
      </c>
      <c r="C99" s="78"/>
      <c r="D99" s="126"/>
      <c r="E99" s="77">
        <v>40.1</v>
      </c>
      <c r="F99" s="77">
        <v>43</v>
      </c>
      <c r="G99" s="77">
        <v>43</v>
      </c>
      <c r="H99" s="63">
        <f t="shared" si="57"/>
        <v>43</v>
      </c>
      <c r="I99" s="63">
        <f t="shared" si="57"/>
        <v>43</v>
      </c>
      <c r="J99" s="63">
        <f>+I99</f>
        <v>43</v>
      </c>
      <c r="K99" s="63">
        <f t="shared" si="57"/>
        <v>43</v>
      </c>
      <c r="L99" s="63">
        <f t="shared" si="57"/>
        <v>43</v>
      </c>
      <c r="M99" s="63">
        <f t="shared" si="58"/>
        <v>43</v>
      </c>
      <c r="N99" s="63">
        <f t="shared" si="58"/>
        <v>43</v>
      </c>
      <c r="O99" s="63">
        <f t="shared" si="58"/>
        <v>43</v>
      </c>
      <c r="P99" s="63">
        <f t="shared" si="58"/>
        <v>43</v>
      </c>
      <c r="Q99" s="63">
        <f t="shared" si="58"/>
        <v>43</v>
      </c>
      <c r="R99" s="63">
        <f t="shared" si="56"/>
        <v>43</v>
      </c>
      <c r="S99" s="63">
        <f t="shared" si="56"/>
        <v>43</v>
      </c>
    </row>
    <row r="100" spans="1:19" s="135" customFormat="1" x14ac:dyDescent="0.35">
      <c r="A100" s="168"/>
      <c r="B100" s="126" t="s">
        <v>620</v>
      </c>
      <c r="C100" s="78"/>
      <c r="D100" s="126"/>
      <c r="E100" s="580">
        <v>474.02</v>
      </c>
      <c r="F100" s="580">
        <v>511.86</v>
      </c>
      <c r="G100" s="77">
        <v>511.86</v>
      </c>
      <c r="H100" s="63">
        <f t="shared" si="57"/>
        <v>511.86</v>
      </c>
      <c r="I100" s="63">
        <v>445.54</v>
      </c>
      <c r="J100" s="63">
        <f>+I100</f>
        <v>445.54</v>
      </c>
      <c r="K100" s="63">
        <f t="shared" si="57"/>
        <v>445.54</v>
      </c>
      <c r="L100" s="63">
        <f t="shared" si="57"/>
        <v>445.54</v>
      </c>
      <c r="M100" s="63">
        <f t="shared" si="58"/>
        <v>445.54</v>
      </c>
      <c r="N100" s="63">
        <f t="shared" si="58"/>
        <v>445.54</v>
      </c>
      <c r="O100" s="63">
        <f t="shared" si="58"/>
        <v>445.54</v>
      </c>
      <c r="P100" s="63">
        <f t="shared" si="58"/>
        <v>445.54</v>
      </c>
      <c r="Q100" s="63">
        <f t="shared" si="58"/>
        <v>445.54</v>
      </c>
      <c r="R100" s="63">
        <f t="shared" si="56"/>
        <v>445.54</v>
      </c>
      <c r="S100" s="63">
        <f t="shared" si="56"/>
        <v>445.54</v>
      </c>
    </row>
    <row r="101" spans="1:19" s="135" customFormat="1" x14ac:dyDescent="0.35">
      <c r="A101" s="168"/>
      <c r="B101" s="106" t="s">
        <v>432</v>
      </c>
      <c r="C101" s="78"/>
      <c r="D101" s="126"/>
      <c r="E101" s="107">
        <f>SUM(E97:E100)</f>
        <v>2002.04</v>
      </c>
      <c r="F101" s="107">
        <f>SUM(F97:F100)</f>
        <v>2146.58</v>
      </c>
      <c r="G101" s="107">
        <f>SUM(G97:G100)</f>
        <v>2147.0100000000002</v>
      </c>
      <c r="H101" s="107">
        <f t="shared" ref="H101:R101" si="59">SUM(H97:H100)</f>
        <v>2147.0100000000002</v>
      </c>
      <c r="I101" s="107">
        <f t="shared" si="59"/>
        <v>2144.5100000000002</v>
      </c>
      <c r="J101" s="107">
        <f t="shared" si="59"/>
        <v>2144.5100000000002</v>
      </c>
      <c r="K101" s="107">
        <f t="shared" si="59"/>
        <v>2144.5100000000002</v>
      </c>
      <c r="L101" s="107">
        <f t="shared" si="59"/>
        <v>2144.5100000000002</v>
      </c>
      <c r="M101" s="107">
        <f t="shared" si="59"/>
        <v>2144.5100000000002</v>
      </c>
      <c r="N101" s="107">
        <f t="shared" si="59"/>
        <v>2144.5100000000002</v>
      </c>
      <c r="O101" s="107">
        <f t="shared" si="59"/>
        <v>2144.5100000000002</v>
      </c>
      <c r="P101" s="107">
        <f t="shared" si="59"/>
        <v>2144.5100000000002</v>
      </c>
      <c r="Q101" s="107">
        <f t="shared" si="59"/>
        <v>2144.5100000000002</v>
      </c>
      <c r="R101" s="107">
        <f t="shared" si="59"/>
        <v>2144.5100000000002</v>
      </c>
      <c r="S101" s="107">
        <f>SUM(S97:S100)</f>
        <v>2144.5100000000002</v>
      </c>
    </row>
    <row r="102" spans="1:19" s="135" customFormat="1" x14ac:dyDescent="0.35">
      <c r="A102" s="168"/>
      <c r="B102" s="126"/>
      <c r="C102" s="78"/>
      <c r="D102" s="126"/>
      <c r="E102" s="126"/>
      <c r="F102" s="126"/>
      <c r="G102" s="63"/>
      <c r="H102" s="63"/>
      <c r="I102" s="63"/>
      <c r="J102" s="63"/>
      <c r="K102" s="63"/>
      <c r="L102" s="63"/>
      <c r="M102" s="63"/>
      <c r="N102" s="63"/>
      <c r="O102" s="63"/>
      <c r="P102" s="63"/>
      <c r="Q102" s="63"/>
      <c r="R102" s="63"/>
      <c r="S102" s="63"/>
    </row>
    <row r="103" spans="1:19" s="135" customFormat="1" x14ac:dyDescent="0.35">
      <c r="A103" s="168"/>
      <c r="B103" s="106" t="s">
        <v>431</v>
      </c>
      <c r="C103" s="78"/>
      <c r="D103" s="126"/>
      <c r="E103" s="126"/>
      <c r="F103" s="126"/>
      <c r="G103" s="63"/>
      <c r="H103" s="63"/>
      <c r="I103" s="63"/>
      <c r="J103" s="63"/>
      <c r="K103" s="63"/>
      <c r="L103" s="63"/>
      <c r="M103" s="63"/>
      <c r="N103" s="63"/>
      <c r="O103" s="63"/>
      <c r="P103" s="63"/>
      <c r="Q103" s="63"/>
      <c r="R103" s="63"/>
      <c r="S103" s="63"/>
    </row>
    <row r="104" spans="1:19" s="135" customFormat="1" x14ac:dyDescent="0.35">
      <c r="A104" s="168"/>
      <c r="B104" s="174" t="s">
        <v>186</v>
      </c>
      <c r="C104" s="78"/>
      <c r="D104" s="126"/>
      <c r="E104" s="63"/>
      <c r="F104" s="63"/>
      <c r="G104" s="63">
        <f>G98</f>
        <v>12.72</v>
      </c>
      <c r="H104" s="63">
        <f t="shared" ref="H104:S104" si="60">+G104</f>
        <v>12.72</v>
      </c>
      <c r="I104" s="63">
        <f t="shared" si="60"/>
        <v>12.72</v>
      </c>
      <c r="J104" s="63">
        <f>+I104</f>
        <v>12.72</v>
      </c>
      <c r="K104" s="63">
        <f t="shared" si="60"/>
        <v>12.72</v>
      </c>
      <c r="L104" s="63">
        <f t="shared" si="60"/>
        <v>12.72</v>
      </c>
      <c r="M104" s="63">
        <f t="shared" si="60"/>
        <v>12.72</v>
      </c>
      <c r="N104" s="63">
        <f t="shared" si="60"/>
        <v>12.72</v>
      </c>
      <c r="O104" s="63">
        <f t="shared" si="60"/>
        <v>12.72</v>
      </c>
      <c r="P104" s="63">
        <f t="shared" si="60"/>
        <v>12.72</v>
      </c>
      <c r="Q104" s="63">
        <f t="shared" si="60"/>
        <v>12.72</v>
      </c>
      <c r="R104" s="63">
        <f t="shared" si="60"/>
        <v>12.72</v>
      </c>
      <c r="S104" s="63">
        <f t="shared" si="60"/>
        <v>12.72</v>
      </c>
    </row>
    <row r="105" spans="1:19" s="135" customFormat="1" x14ac:dyDescent="0.35">
      <c r="A105" s="168"/>
      <c r="B105" s="126" t="s">
        <v>187</v>
      </c>
      <c r="C105" s="78"/>
      <c r="D105" s="126"/>
      <c r="E105" s="63"/>
      <c r="F105" s="63"/>
      <c r="G105" s="63">
        <f>G99</f>
        <v>43</v>
      </c>
      <c r="H105" s="63">
        <f t="shared" ref="H105:S105" si="61">+G105</f>
        <v>43</v>
      </c>
      <c r="I105" s="63">
        <f t="shared" si="61"/>
        <v>43</v>
      </c>
      <c r="J105" s="63">
        <f>+I105</f>
        <v>43</v>
      </c>
      <c r="K105" s="63">
        <f t="shared" si="61"/>
        <v>43</v>
      </c>
      <c r="L105" s="63">
        <f t="shared" si="61"/>
        <v>43</v>
      </c>
      <c r="M105" s="63">
        <f t="shared" si="61"/>
        <v>43</v>
      </c>
      <c r="N105" s="63">
        <f t="shared" si="61"/>
        <v>43</v>
      </c>
      <c r="O105" s="63">
        <f t="shared" si="61"/>
        <v>43</v>
      </c>
      <c r="P105" s="63">
        <f t="shared" si="61"/>
        <v>43</v>
      </c>
      <c r="Q105" s="63">
        <f t="shared" si="61"/>
        <v>43</v>
      </c>
      <c r="R105" s="63">
        <f t="shared" si="61"/>
        <v>43</v>
      </c>
      <c r="S105" s="63">
        <f t="shared" si="61"/>
        <v>43</v>
      </c>
    </row>
    <row r="106" spans="1:19" s="135" customFormat="1" x14ac:dyDescent="0.35">
      <c r="A106" s="168"/>
      <c r="B106" s="106" t="s">
        <v>433</v>
      </c>
      <c r="C106" s="78"/>
      <c r="D106" s="126"/>
      <c r="E106" s="107">
        <f>SUM(E104:E105)</f>
        <v>0</v>
      </c>
      <c r="F106" s="107">
        <f>SUM(F104:F105)</f>
        <v>0</v>
      </c>
      <c r="G106" s="107">
        <f>SUM(G104:G105)</f>
        <v>55.72</v>
      </c>
      <c r="H106" s="107">
        <f t="shared" ref="H106:R106" si="62">SUM(H104:H105)</f>
        <v>55.72</v>
      </c>
      <c r="I106" s="107">
        <f t="shared" ref="I106" si="63">SUM(I104:I105)</f>
        <v>55.72</v>
      </c>
      <c r="J106" s="107">
        <f t="shared" si="62"/>
        <v>55.72</v>
      </c>
      <c r="K106" s="107">
        <f t="shared" si="62"/>
        <v>55.72</v>
      </c>
      <c r="L106" s="107">
        <f t="shared" si="62"/>
        <v>55.72</v>
      </c>
      <c r="M106" s="107">
        <f t="shared" si="62"/>
        <v>55.72</v>
      </c>
      <c r="N106" s="107">
        <f t="shared" si="62"/>
        <v>55.72</v>
      </c>
      <c r="O106" s="107">
        <f t="shared" si="62"/>
        <v>55.72</v>
      </c>
      <c r="P106" s="107">
        <f t="shared" si="62"/>
        <v>55.72</v>
      </c>
      <c r="Q106" s="107">
        <f t="shared" si="62"/>
        <v>55.72</v>
      </c>
      <c r="R106" s="107">
        <f t="shared" si="62"/>
        <v>55.72</v>
      </c>
      <c r="S106" s="107">
        <f>SUM(S104:S105)</f>
        <v>55.72</v>
      </c>
    </row>
    <row r="107" spans="1:19" s="135" customFormat="1" x14ac:dyDescent="0.35">
      <c r="A107" s="168"/>
      <c r="B107" s="138" t="s">
        <v>434</v>
      </c>
      <c r="C107" s="298"/>
      <c r="D107" s="139"/>
      <c r="E107" s="177">
        <f>+E101-E106</f>
        <v>2002.04</v>
      </c>
      <c r="F107" s="177">
        <f>+F101-F106</f>
        <v>2146.58</v>
      </c>
      <c r="G107" s="177">
        <f>+G101-G106</f>
        <v>2091.2900000000004</v>
      </c>
      <c r="H107" s="177">
        <f t="shared" ref="H107:R107" si="64">+H101-H106</f>
        <v>2091.2900000000004</v>
      </c>
      <c r="I107" s="177">
        <f t="shared" si="64"/>
        <v>2088.7900000000004</v>
      </c>
      <c r="J107" s="177">
        <f t="shared" si="64"/>
        <v>2088.7900000000004</v>
      </c>
      <c r="K107" s="177">
        <f t="shared" si="64"/>
        <v>2088.7900000000004</v>
      </c>
      <c r="L107" s="177">
        <f t="shared" si="64"/>
        <v>2088.7900000000004</v>
      </c>
      <c r="M107" s="177">
        <f t="shared" si="64"/>
        <v>2088.7900000000004</v>
      </c>
      <c r="N107" s="177">
        <f t="shared" si="64"/>
        <v>2088.7900000000004</v>
      </c>
      <c r="O107" s="177">
        <f t="shared" si="64"/>
        <v>2088.7900000000004</v>
      </c>
      <c r="P107" s="177">
        <f t="shared" si="64"/>
        <v>2088.7900000000004</v>
      </c>
      <c r="Q107" s="177">
        <f t="shared" si="64"/>
        <v>2088.7900000000004</v>
      </c>
      <c r="R107" s="177">
        <f t="shared" si="64"/>
        <v>2088.7900000000004</v>
      </c>
      <c r="S107" s="177">
        <f>+S101-S106</f>
        <v>2088.7900000000004</v>
      </c>
    </row>
    <row r="108" spans="1:19" s="554" customFormat="1" x14ac:dyDescent="0.35">
      <c r="A108" s="555"/>
      <c r="B108" s="107"/>
      <c r="C108" s="102"/>
      <c r="D108" s="63"/>
      <c r="E108" s="125"/>
      <c r="F108" s="125"/>
      <c r="G108" s="125"/>
      <c r="H108" s="125"/>
      <c r="I108" s="125"/>
      <c r="J108" s="107"/>
      <c r="K108" s="107"/>
      <c r="L108" s="107"/>
      <c r="M108" s="107"/>
      <c r="N108" s="107"/>
      <c r="O108" s="107"/>
      <c r="P108" s="107"/>
      <c r="Q108" s="107"/>
      <c r="R108" s="107"/>
      <c r="S108" s="107"/>
    </row>
    <row r="109" spans="1:19" s="135" customFormat="1" x14ac:dyDescent="0.35">
      <c r="A109" s="168"/>
      <c r="B109" s="106" t="s">
        <v>152</v>
      </c>
      <c r="C109" s="78"/>
      <c r="D109" s="126"/>
      <c r="E109" s="126"/>
      <c r="F109" s="126"/>
      <c r="G109" s="69"/>
      <c r="H109" s="69"/>
      <c r="I109" s="69"/>
      <c r="J109" s="69"/>
      <c r="K109" s="69"/>
      <c r="L109" s="69"/>
      <c r="M109" s="69"/>
      <c r="N109" s="69"/>
      <c r="O109" s="69"/>
      <c r="P109" s="69"/>
      <c r="Q109" s="69"/>
      <c r="R109" s="69"/>
      <c r="S109" s="69"/>
    </row>
    <row r="110" spans="1:19" s="135" customFormat="1" x14ac:dyDescent="0.35">
      <c r="A110" s="168"/>
      <c r="B110" s="126" t="s">
        <v>176</v>
      </c>
      <c r="C110" s="78"/>
      <c r="D110" s="126"/>
      <c r="E110" s="77">
        <v>5.36</v>
      </c>
      <c r="F110" s="77">
        <v>6.36</v>
      </c>
      <c r="G110" s="77">
        <v>4.37</v>
      </c>
      <c r="H110" s="77">
        <v>8.33</v>
      </c>
      <c r="I110" s="77">
        <v>6.22</v>
      </c>
      <c r="J110" s="63">
        <f>I110</f>
        <v>6.22</v>
      </c>
      <c r="K110" s="63">
        <f t="shared" ref="K110:P110" si="65">J110</f>
        <v>6.22</v>
      </c>
      <c r="L110" s="63">
        <f t="shared" si="65"/>
        <v>6.22</v>
      </c>
      <c r="M110" s="63">
        <f t="shared" si="65"/>
        <v>6.22</v>
      </c>
      <c r="N110" s="63">
        <f t="shared" si="65"/>
        <v>6.22</v>
      </c>
      <c r="O110" s="63">
        <f t="shared" si="65"/>
        <v>6.22</v>
      </c>
      <c r="P110" s="63">
        <f t="shared" si="65"/>
        <v>6.22</v>
      </c>
      <c r="Q110" s="63">
        <f t="shared" ref="Q110:S111" si="66">P110</f>
        <v>6.22</v>
      </c>
      <c r="R110" s="63">
        <f t="shared" si="66"/>
        <v>6.22</v>
      </c>
      <c r="S110" s="63">
        <f t="shared" si="66"/>
        <v>6.22</v>
      </c>
    </row>
    <row r="111" spans="1:19" s="135" customFormat="1" x14ac:dyDescent="0.35">
      <c r="A111" s="168"/>
      <c r="B111" s="126" t="s">
        <v>177</v>
      </c>
      <c r="C111" s="78"/>
      <c r="D111" s="126"/>
      <c r="E111" s="77">
        <v>61.77</v>
      </c>
      <c r="F111" s="77">
        <v>84.29</v>
      </c>
      <c r="G111" s="77">
        <v>92.86</v>
      </c>
      <c r="H111" s="77">
        <v>112.16</v>
      </c>
      <c r="I111" s="77">
        <v>108.82</v>
      </c>
      <c r="J111" s="63">
        <f>I111</f>
        <v>108.82</v>
      </c>
      <c r="K111" s="63">
        <f t="shared" ref="K111:P111" si="67">J111</f>
        <v>108.82</v>
      </c>
      <c r="L111" s="63">
        <f t="shared" si="67"/>
        <v>108.82</v>
      </c>
      <c r="M111" s="63">
        <f t="shared" si="67"/>
        <v>108.82</v>
      </c>
      <c r="N111" s="63">
        <f t="shared" si="67"/>
        <v>108.82</v>
      </c>
      <c r="O111" s="63">
        <f t="shared" si="67"/>
        <v>108.82</v>
      </c>
      <c r="P111" s="63">
        <f t="shared" si="67"/>
        <v>108.82</v>
      </c>
      <c r="Q111" s="63">
        <f t="shared" si="66"/>
        <v>108.82</v>
      </c>
      <c r="R111" s="63">
        <f t="shared" si="66"/>
        <v>108.82</v>
      </c>
      <c r="S111" s="63">
        <f t="shared" si="66"/>
        <v>108.82</v>
      </c>
    </row>
    <row r="112" spans="1:19" s="135" customFormat="1" x14ac:dyDescent="0.35">
      <c r="A112" s="168"/>
      <c r="B112" s="126" t="s">
        <v>178</v>
      </c>
      <c r="C112" s="78"/>
      <c r="D112" s="126"/>
      <c r="E112" s="77">
        <v>2655.03</v>
      </c>
      <c r="F112" s="77">
        <v>2516.9</v>
      </c>
      <c r="G112" s="63">
        <f>+'Working - Distillery'!G130+'Working - Distillery'!G131+'Working - Sugar + Cogen'!G115+'Working - Sugar + Cogen'!G116+'Working - Sugar + Cogen'!G123</f>
        <v>2398.3885123707682</v>
      </c>
      <c r="H112" s="63">
        <f>+'Working - Distillery'!H130+'Working - Distillery'!H131+'Working - Sugar + Cogen'!H115+'Working - Sugar + Cogen'!H116+'Working - Sugar + Cogen'!H123</f>
        <v>2093.2791183170002</v>
      </c>
      <c r="I112" s="69">
        <f>+'Working - Distillery'!I130+'Working - Distillery'!I131+'Working - Sugar + Cogen'!I115+'Working - Sugar + Cogen'!I116+'Working - Sugar + Cogen'!I123</f>
        <v>2184.002929455</v>
      </c>
      <c r="J112" s="63">
        <f>+'Working - Distillery'!J130+'Working - Distillery'!J131+'Working - Sugar + Cogen'!J115+'Working - Sugar + Cogen'!J116+'Working - Sugar + Cogen'!J123</f>
        <v>2149.2324930769641</v>
      </c>
      <c r="K112" s="63">
        <f>+'Working - Distillery'!K130+'Working - Distillery'!K131+'Working - Sugar + Cogen'!K115+'Working - Sugar + Cogen'!K116+'Working - Sugar + Cogen'!K123</f>
        <v>2400.9259509778617</v>
      </c>
      <c r="L112" s="63">
        <f>+'Working - Distillery'!L130+'Working - Distillery'!L131+'Working - Sugar + Cogen'!L115+'Working - Sugar + Cogen'!L116+'Working - Sugar + Cogen'!L123</f>
        <v>2529.6869544141459</v>
      </c>
      <c r="M112" s="63">
        <f>+'Working - Distillery'!M130+'Working - Distillery'!M131+'Working - Sugar + Cogen'!M115+'Working - Sugar + Cogen'!M116+'Working - Sugar + Cogen'!M123</f>
        <v>2593.7086629625833</v>
      </c>
      <c r="N112" s="63">
        <f>+'Working - Distillery'!N130+'Working - Distillery'!N131+'Working - Sugar + Cogen'!N115+'Working - Sugar + Cogen'!N116+'Working - Sugar + Cogen'!N123</f>
        <v>2655.4365630729153</v>
      </c>
      <c r="O112" s="63">
        <f>+'Working - Distillery'!O130+'Working - Distillery'!O131+'Working - Sugar + Cogen'!O115+'Working - Sugar + Cogen'!O116+'Working - Sugar + Cogen'!O123</f>
        <v>2719.2134210949944</v>
      </c>
      <c r="P112" s="63">
        <f>+'Working - Distillery'!P130+'Working - Distillery'!P131+'Working - Sugar + Cogen'!P115+'Working - Sugar + Cogen'!P116+'Working - Sugar + Cogen'!P123</f>
        <v>2785.3006444618836</v>
      </c>
      <c r="Q112" s="63">
        <f>+'Working - Distillery'!Q130+'Working - Distillery'!Q131+'Working - Sugar + Cogen'!Q115+'Working - Sugar + Cogen'!Q116+'Working - Sugar + Cogen'!Q123</f>
        <v>2853.5828672668677</v>
      </c>
      <c r="R112" s="63">
        <f>+'Working - Distillery'!R130+'Working - Distillery'!R131+'Working - Sugar + Cogen'!R115+'Working - Sugar + Cogen'!R116+'Working - Sugar + Cogen'!R123</f>
        <v>2880.9449242026726</v>
      </c>
      <c r="S112" s="63">
        <f>+'Working - Distillery'!S130+'Working - Distillery'!S131+'Working - Sugar + Cogen'!S115+'Working - Sugar + Cogen'!S116+'Working - Sugar + Cogen'!S123</f>
        <v>2951.3651398138923</v>
      </c>
    </row>
    <row r="113" spans="1:19" s="135" customFormat="1" x14ac:dyDescent="0.35">
      <c r="A113" s="168"/>
      <c r="B113" s="126" t="s">
        <v>179</v>
      </c>
      <c r="C113" s="78"/>
      <c r="D113" s="126"/>
      <c r="E113" s="77">
        <v>70.72</v>
      </c>
      <c r="F113" s="77">
        <v>101.25</v>
      </c>
      <c r="G113" s="63">
        <f>+'Working - Distillery'!G128+'Working - Distillery'!G129+'Working - Distillery'!G133+'Working - Sugar + Cogen'!G118+'Working - Sugar + Cogen'!G119+'Working - Sugar + Cogen'!G122</f>
        <v>154.00318271864091</v>
      </c>
      <c r="H113" s="63">
        <f>+'Working - Distillery'!H128+'Working - Distillery'!H129+'Working - Distillery'!H133+'Working - Sugar + Cogen'!H118+'Working - Sugar + Cogen'!H119+'Working - Sugar + Cogen'!H122</f>
        <v>301.78427940630002</v>
      </c>
      <c r="I113" s="63">
        <f>+'Working - Distillery'!I128+'Working - Distillery'!I129+'Working - Distillery'!I133+'Working - Sugar + Cogen'!I118+'Working - Sugar + Cogen'!I119+'Working - Sugar + Cogen'!I122+'Working - Sugar + Cogen'!I124</f>
        <v>412.4509901504718</v>
      </c>
      <c r="J113" s="63">
        <f>+'Working - Distillery'!J128+'Working - Distillery'!J129+'Working - Distillery'!J133+'Working - Sugar + Cogen'!J118+'Working - Sugar + Cogen'!J119+'Working - Sugar + Cogen'!J122</f>
        <v>525.19544944268296</v>
      </c>
      <c r="K113" s="63">
        <f>+'Working - Distillery'!K128+'Working - Distillery'!K129+'Working - Distillery'!K133+'Working - Sugar + Cogen'!K118+'Working - Sugar + Cogen'!K119+'Working - Sugar + Cogen'!K122</f>
        <v>550.65064213414644</v>
      </c>
      <c r="L113" s="63">
        <f>+'Working - Distillery'!L128+'Working - Distillery'!L129+'Working - Distillery'!L133+'Working - Sugar + Cogen'!L118+'Working - Sugar + Cogen'!L119+'Working - Sugar + Cogen'!L122</f>
        <v>576.73610589695124</v>
      </c>
      <c r="M113" s="63">
        <f>+'Working - Distillery'!M128+'Working - Distillery'!M129+'Working - Distillery'!M133+'Working - Sugar + Cogen'!M118+'Working - Sugar + Cogen'!M119+'Working - Sugar + Cogen'!M122</f>
        <v>587.30920420243899</v>
      </c>
      <c r="N113" s="63">
        <f>+'Working - Distillery'!N128+'Working - Distillery'!N129+'Working - Distillery'!N133+'Working - Sugar + Cogen'!N118+'Working - Sugar + Cogen'!N119+'Working - Sugar + Cogen'!N122</f>
        <v>597.40538828648778</v>
      </c>
      <c r="O113" s="63">
        <f>+'Working - Distillery'!O128+'Working - Distillery'!O129+'Working - Distillery'!O133+'Working - Sugar + Cogen'!O118+'Working - Sugar + Cogen'!O119+'Working - Sugar + Cogen'!O122</f>
        <v>607.70349605221759</v>
      </c>
      <c r="P113" s="63">
        <f>+'Working - Distillery'!P128+'Working - Distillery'!P129+'Working - Distillery'!P133+'Working - Sugar + Cogen'!P118+'Working - Sugar + Cogen'!P119+'Working - Sugar + Cogen'!P122</f>
        <v>618.20756597326204</v>
      </c>
      <c r="Q113" s="63">
        <f>+'Working - Distillery'!Q128+'Working - Distillery'!Q129+'Working - Distillery'!Q133+'Working - Sugar + Cogen'!Q118+'Working - Sugar + Cogen'!Q119+'Working - Sugar + Cogen'!Q122</f>
        <v>628.92171729272729</v>
      </c>
      <c r="R113" s="63">
        <f>+'Working - Distillery'!R128+'Working - Distillery'!R129+'Working - Distillery'!R133+'Working - Sugar + Cogen'!R118+'Working - Sugar + Cogen'!R119+'Working - Sugar + Cogen'!R122</f>
        <v>639.85015163858179</v>
      </c>
      <c r="S113" s="63">
        <f>+'Working - Distillery'!S128+'Working - Distillery'!S129+'Working - Distillery'!S133+'Working - Sugar + Cogen'!S118+'Working - Sugar + Cogen'!S119+'Working - Sugar + Cogen'!S122</f>
        <v>650.99715467135343</v>
      </c>
    </row>
    <row r="114" spans="1:19" s="135" customFormat="1" x14ac:dyDescent="0.35">
      <c r="A114" s="168"/>
      <c r="B114" s="126" t="s">
        <v>180</v>
      </c>
      <c r="C114" s="78"/>
      <c r="D114" s="126"/>
      <c r="E114" s="77">
        <v>55</v>
      </c>
      <c r="F114" s="77">
        <v>56.18</v>
      </c>
      <c r="G114" s="63">
        <f>+'Working - Sugar + Cogen'!G117+'Working - Sugar + Cogen'!G120+'Working - Sugar + Cogen'!G121</f>
        <v>61.767974400000021</v>
      </c>
      <c r="H114" s="63">
        <f>+'Working - Sugar + Cogen'!H117+'Working - Sugar + Cogen'!H120+'Working - Sugar + Cogen'!H121</f>
        <v>25.788956600000006</v>
      </c>
      <c r="I114" s="63">
        <f>+'Working - Sugar + Cogen'!I117+'Working - Sugar + Cogen'!I120+'Working - Sugar + Cogen'!I121</f>
        <v>34.065124260000005</v>
      </c>
      <c r="J114" s="63">
        <f>+'Working - Sugar + Cogen'!J117+'Working - Sugar + Cogen'!J120+'Working - Sugar + Cogen'!J121</f>
        <v>34.855159334654182</v>
      </c>
      <c r="K114" s="63">
        <f>+'Working - Sugar + Cogen'!K117+'Working - Sugar + Cogen'!K120+'Working - Sugar + Cogen'!K121</f>
        <v>35.106725908835195</v>
      </c>
      <c r="L114" s="63">
        <f>+'Working - Sugar + Cogen'!L117+'Working - Sugar + Cogen'!L120+'Working - Sugar + Cogen'!L121</f>
        <v>35.871490779472595</v>
      </c>
      <c r="M114" s="63">
        <f>+'Working - Sugar + Cogen'!M117+'Working - Sugar + Cogen'!M120+'Working - Sugar + Cogen'!M121</f>
        <v>36.738116205344852</v>
      </c>
      <c r="N114" s="63">
        <f>+'Working - Sugar + Cogen'!N117+'Working - Sugar + Cogen'!N120+'Working - Sugar + Cogen'!N121</f>
        <v>37.594875961660136</v>
      </c>
      <c r="O114" s="63">
        <f>+'Working - Sugar + Cogen'!O117+'Working - Sugar + Cogen'!O120+'Working - Sugar + Cogen'!O121</f>
        <v>38.479503503865701</v>
      </c>
      <c r="P114" s="63">
        <f>+'Working - Sugar + Cogen'!P117+'Working - Sugar + Cogen'!P120+'Working - Sugar + Cogen'!P121</f>
        <v>39.394387155068387</v>
      </c>
      <c r="Q114" s="63">
        <f>+'Working - Sugar + Cogen'!Q117+'Working - Sugar + Cogen'!Q120+'Working - Sugar + Cogen'!Q121</f>
        <v>40.338148274447931</v>
      </c>
      <c r="R114" s="63">
        <f>+'Working - Sugar + Cogen'!R117+'Working - Sugar + Cogen'!R120+'Working - Sugar + Cogen'!R121</f>
        <v>40.777210323329726</v>
      </c>
      <c r="S114" s="63">
        <f>+'Working - Sugar + Cogen'!S117+'Working - Sugar + Cogen'!S120+'Working - Sugar + Cogen'!S121</f>
        <v>41.751334608857356</v>
      </c>
    </row>
    <row r="115" spans="1:19" s="135" customFormat="1" x14ac:dyDescent="0.35">
      <c r="A115" s="168"/>
      <c r="B115" s="138" t="s">
        <v>429</v>
      </c>
      <c r="C115" s="298"/>
      <c r="D115" s="139"/>
      <c r="E115" s="177">
        <f t="shared" ref="E115:S115" si="68">SUM(E110:E114)</f>
        <v>2847.88</v>
      </c>
      <c r="F115" s="177">
        <f t="shared" si="68"/>
        <v>2764.98</v>
      </c>
      <c r="G115" s="177">
        <f t="shared" si="68"/>
        <v>2711.3896694894092</v>
      </c>
      <c r="H115" s="177">
        <f t="shared" si="68"/>
        <v>2541.3423543232998</v>
      </c>
      <c r="I115" s="177">
        <f t="shared" ref="I115" si="69">SUM(I110:I114)</f>
        <v>2745.5590438654717</v>
      </c>
      <c r="J115" s="177">
        <f t="shared" si="68"/>
        <v>2824.3231018543015</v>
      </c>
      <c r="K115" s="177">
        <f t="shared" si="68"/>
        <v>3101.7233190208435</v>
      </c>
      <c r="L115" s="177">
        <f t="shared" si="68"/>
        <v>3257.3345510905697</v>
      </c>
      <c r="M115" s="177">
        <f t="shared" si="68"/>
        <v>3332.7959833703671</v>
      </c>
      <c r="N115" s="177">
        <f t="shared" si="68"/>
        <v>3405.476827321063</v>
      </c>
      <c r="O115" s="177">
        <f t="shared" si="68"/>
        <v>3480.4364206510777</v>
      </c>
      <c r="P115" s="177">
        <f t="shared" si="68"/>
        <v>3557.9425975902141</v>
      </c>
      <c r="Q115" s="177">
        <f t="shared" si="68"/>
        <v>3637.8827328340431</v>
      </c>
      <c r="R115" s="177">
        <f t="shared" si="68"/>
        <v>3676.612286164584</v>
      </c>
      <c r="S115" s="177">
        <f t="shared" si="68"/>
        <v>3759.1536290941031</v>
      </c>
    </row>
    <row r="116" spans="1:19" s="583" customFormat="1" x14ac:dyDescent="0.35">
      <c r="A116" s="586"/>
      <c r="B116" s="581"/>
      <c r="C116" s="579"/>
      <c r="D116" s="581"/>
      <c r="E116" s="644"/>
      <c r="F116" s="644"/>
      <c r="G116" s="644"/>
    </row>
    <row r="117" spans="1:19" s="135" customFormat="1" x14ac:dyDescent="0.35">
      <c r="A117" s="168"/>
      <c r="B117" s="106" t="s">
        <v>182</v>
      </c>
      <c r="C117" s="78"/>
      <c r="D117" s="126"/>
      <c r="E117" s="126"/>
      <c r="F117" s="126"/>
      <c r="G117" s="63"/>
      <c r="H117" s="63"/>
      <c r="I117" s="63"/>
      <c r="J117" s="63"/>
      <c r="K117" s="63"/>
      <c r="L117" s="63"/>
      <c r="M117" s="63"/>
      <c r="N117" s="63"/>
      <c r="O117" s="63"/>
      <c r="P117" s="63"/>
      <c r="Q117" s="63"/>
      <c r="R117" s="63"/>
      <c r="S117" s="63"/>
    </row>
    <row r="118" spans="1:19" s="135" customFormat="1" x14ac:dyDescent="0.35">
      <c r="A118" s="168"/>
      <c r="B118" s="126" t="s">
        <v>182</v>
      </c>
      <c r="C118" s="78" t="s">
        <v>88</v>
      </c>
      <c r="D118" s="126"/>
      <c r="E118" s="94">
        <v>192.43</v>
      </c>
      <c r="F118" s="94">
        <v>206.05</v>
      </c>
      <c r="G118" s="100">
        <v>173.18</v>
      </c>
      <c r="H118" s="100">
        <v>218.73</v>
      </c>
      <c r="I118" s="100">
        <v>213.86999999999998</v>
      </c>
      <c r="J118" s="63">
        <f t="shared" ref="J118:R118" si="70">J119*J120/365</f>
        <v>179.81821058331286</v>
      </c>
      <c r="K118" s="63">
        <f t="shared" si="70"/>
        <v>197.14785897399614</v>
      </c>
      <c r="L118" s="63">
        <f t="shared" si="70"/>
        <v>213.08692933507467</v>
      </c>
      <c r="M118" s="63">
        <f t="shared" si="70"/>
        <v>220.94907558182902</v>
      </c>
      <c r="N118" s="63">
        <f t="shared" si="70"/>
        <v>226.31584435537064</v>
      </c>
      <c r="O118" s="63">
        <f t="shared" si="70"/>
        <v>231.73706997282187</v>
      </c>
      <c r="P118" s="63">
        <f t="shared" si="70"/>
        <v>237.28650033603523</v>
      </c>
      <c r="Q118" s="63">
        <f t="shared" si="70"/>
        <v>242.96978653060688</v>
      </c>
      <c r="R118" s="63">
        <f t="shared" si="70"/>
        <v>248.79017735376618</v>
      </c>
      <c r="S118" s="63">
        <f>S119*S120/365</f>
        <v>254.75100087070231</v>
      </c>
    </row>
    <row r="119" spans="1:19" s="135" customFormat="1" x14ac:dyDescent="0.35">
      <c r="A119" s="168"/>
      <c r="B119" s="126" t="s">
        <v>898</v>
      </c>
      <c r="C119" s="78" t="s">
        <v>88</v>
      </c>
      <c r="D119" s="126"/>
      <c r="E119" s="143">
        <f>'P&amp;L'!E14</f>
        <v>5851.4155228408999</v>
      </c>
      <c r="F119" s="143">
        <f>'P&amp;L'!F14</f>
        <v>6683.3430871707997</v>
      </c>
      <c r="G119" s="143">
        <f>'P&amp;L'!G14</f>
        <v>6603.2052743099994</v>
      </c>
      <c r="H119" s="143">
        <f>'P&amp;L'!H14</f>
        <v>6555.1348893891991</v>
      </c>
      <c r="I119" s="143">
        <f>'P&amp;L'!I14</f>
        <v>5486.0217791739842</v>
      </c>
      <c r="J119" s="143">
        <f>'P&amp;L'!J14</f>
        <v>6563.3646862909191</v>
      </c>
      <c r="K119" s="143">
        <f>'P&amp;L'!K14</f>
        <v>7195.8968525508599</v>
      </c>
      <c r="L119" s="143">
        <f>'P&amp;L'!L14</f>
        <v>7777.672920730226</v>
      </c>
      <c r="M119" s="143">
        <f>'P&amp;L'!M14</f>
        <v>8064.6412587367595</v>
      </c>
      <c r="N119" s="143">
        <f>'P&amp;L'!N14</f>
        <v>8260.5283189710281</v>
      </c>
      <c r="O119" s="143">
        <f>'P&amp;L'!O14</f>
        <v>8458.4030540079984</v>
      </c>
      <c r="P119" s="143">
        <f>'P&amp;L'!P14</f>
        <v>8660.9572622652868</v>
      </c>
      <c r="Q119" s="143">
        <f>'P&amp;L'!Q14</f>
        <v>8868.3972083671506</v>
      </c>
      <c r="R119" s="143">
        <f>'P&amp;L'!R14</f>
        <v>9080.8414734124653</v>
      </c>
      <c r="S119" s="143">
        <f>'P&amp;L'!S14</f>
        <v>9298.4115317806336</v>
      </c>
    </row>
    <row r="120" spans="1:19" s="135" customFormat="1" x14ac:dyDescent="0.35">
      <c r="A120" s="168"/>
      <c r="B120" s="126" t="s">
        <v>183</v>
      </c>
      <c r="C120" s="78" t="s">
        <v>225</v>
      </c>
      <c r="D120" s="126"/>
      <c r="E120" s="63">
        <f>+E118/(E119/365)</f>
        <v>12.003411777172767</v>
      </c>
      <c r="F120" s="63">
        <f>+F118/(F119/365)</f>
        <v>11.253088315093104</v>
      </c>
      <c r="G120" s="63">
        <f>+G118/(G119/365)</f>
        <v>9.5727298144014146</v>
      </c>
      <c r="H120" s="63">
        <f>+H118/(H119/365)</f>
        <v>12.179223059045102</v>
      </c>
      <c r="I120" s="63">
        <f>+I118/(I119/365)</f>
        <v>14.229354738681636</v>
      </c>
      <c r="J120" s="63">
        <f>Assumptions!J164</f>
        <v>10</v>
      </c>
      <c r="K120" s="63">
        <f>Assumptions!K164</f>
        <v>10</v>
      </c>
      <c r="L120" s="63">
        <f>Assumptions!L164</f>
        <v>10</v>
      </c>
      <c r="M120" s="63">
        <f>Assumptions!M164</f>
        <v>10</v>
      </c>
      <c r="N120" s="63">
        <f>Assumptions!N164</f>
        <v>10</v>
      </c>
      <c r="O120" s="63">
        <f>Assumptions!O164</f>
        <v>10</v>
      </c>
      <c r="P120" s="63">
        <f>Assumptions!P164</f>
        <v>10</v>
      </c>
      <c r="Q120" s="63">
        <f>Assumptions!Q164</f>
        <v>10</v>
      </c>
      <c r="R120" s="63">
        <f>Assumptions!R164</f>
        <v>10</v>
      </c>
      <c r="S120" s="63">
        <f>Assumptions!S164</f>
        <v>10</v>
      </c>
    </row>
    <row r="121" spans="1:19" s="135" customFormat="1" x14ac:dyDescent="0.35">
      <c r="A121" s="168"/>
      <c r="B121" s="126"/>
      <c r="C121" s="78"/>
      <c r="D121" s="126"/>
      <c r="E121" s="126"/>
      <c r="F121" s="126"/>
      <c r="G121" s="63"/>
      <c r="H121" s="63"/>
      <c r="I121" s="63"/>
      <c r="J121" s="63"/>
      <c r="K121" s="63"/>
      <c r="L121" s="63"/>
      <c r="M121" s="63"/>
      <c r="N121" s="63"/>
      <c r="O121" s="63"/>
      <c r="P121" s="63"/>
      <c r="Q121" s="63"/>
      <c r="R121" s="63"/>
      <c r="S121" s="63"/>
    </row>
    <row r="122" spans="1:19" s="583" customFormat="1" x14ac:dyDescent="0.35">
      <c r="A122" s="586"/>
      <c r="B122" s="106" t="s">
        <v>1640</v>
      </c>
      <c r="C122" s="579"/>
      <c r="D122" s="581"/>
      <c r="E122" s="581"/>
      <c r="F122" s="581"/>
      <c r="G122" s="63"/>
      <c r="H122" s="63"/>
      <c r="I122" s="63"/>
      <c r="J122" s="63"/>
      <c r="K122" s="63"/>
      <c r="L122" s="63"/>
      <c r="M122" s="63"/>
      <c r="N122" s="63"/>
      <c r="O122" s="63"/>
      <c r="P122" s="63"/>
      <c r="Q122" s="63"/>
      <c r="R122" s="63"/>
      <c r="S122" s="63"/>
    </row>
    <row r="123" spans="1:19" s="583" customFormat="1" x14ac:dyDescent="0.35">
      <c r="A123" s="586"/>
      <c r="B123" s="581" t="s">
        <v>1641</v>
      </c>
      <c r="C123" s="579"/>
      <c r="D123" s="581"/>
      <c r="E123" s="63">
        <v>0</v>
      </c>
      <c r="F123" s="63">
        <v>0</v>
      </c>
      <c r="G123" s="63">
        <v>0</v>
      </c>
      <c r="H123" s="77">
        <v>47.49</v>
      </c>
      <c r="I123" s="77">
        <v>54.8</v>
      </c>
      <c r="J123" s="63">
        <f>I123</f>
        <v>54.8</v>
      </c>
      <c r="K123" s="63">
        <f>J123</f>
        <v>54.8</v>
      </c>
      <c r="L123" s="63">
        <f t="shared" ref="L123:S123" si="71">K123</f>
        <v>54.8</v>
      </c>
      <c r="M123" s="63">
        <f t="shared" si="71"/>
        <v>54.8</v>
      </c>
      <c r="N123" s="63">
        <f t="shared" si="71"/>
        <v>54.8</v>
      </c>
      <c r="O123" s="63">
        <f t="shared" si="71"/>
        <v>54.8</v>
      </c>
      <c r="P123" s="63">
        <f t="shared" si="71"/>
        <v>54.8</v>
      </c>
      <c r="Q123" s="63">
        <f t="shared" si="71"/>
        <v>54.8</v>
      </c>
      <c r="R123" s="63">
        <f t="shared" si="71"/>
        <v>54.8</v>
      </c>
      <c r="S123" s="63">
        <f t="shared" si="71"/>
        <v>54.8</v>
      </c>
    </row>
    <row r="124" spans="1:19" s="583" customFormat="1" x14ac:dyDescent="0.35">
      <c r="A124" s="586"/>
      <c r="B124" s="581" t="s">
        <v>1642</v>
      </c>
      <c r="C124" s="579"/>
      <c r="D124" s="581"/>
      <c r="E124" s="63">
        <v>0</v>
      </c>
      <c r="F124" s="63">
        <v>0</v>
      </c>
      <c r="G124" s="63">
        <v>0</v>
      </c>
      <c r="H124" s="77">
        <v>79.44</v>
      </c>
      <c r="I124" s="77">
        <v>79.44</v>
      </c>
      <c r="J124" s="63">
        <f>'Tax calc'!H104</f>
        <v>79.44</v>
      </c>
      <c r="K124" s="63">
        <f>'Tax calc'!I104</f>
        <v>79.44</v>
      </c>
      <c r="L124" s="63">
        <f>'Tax calc'!J104</f>
        <v>79.44</v>
      </c>
      <c r="M124" s="63">
        <f>'Tax calc'!K104</f>
        <v>79.44</v>
      </c>
      <c r="N124" s="63">
        <f>'Tax calc'!L104</f>
        <v>79.44</v>
      </c>
      <c r="O124" s="63">
        <f>'Tax calc'!M104</f>
        <v>79.44</v>
      </c>
      <c r="P124" s="63">
        <f>'Tax calc'!N104</f>
        <v>79.44</v>
      </c>
      <c r="Q124" s="63">
        <f>'Tax calc'!O104</f>
        <v>88.229070641151253</v>
      </c>
      <c r="R124" s="63">
        <f>'Tax calc'!P104</f>
        <v>159.00200803776451</v>
      </c>
      <c r="S124" s="63">
        <f>'Tax calc'!Q104</f>
        <v>69.945166422822879</v>
      </c>
    </row>
    <row r="125" spans="1:19" s="583" customFormat="1" x14ac:dyDescent="0.35">
      <c r="A125" s="586"/>
      <c r="B125" s="581" t="s">
        <v>215</v>
      </c>
      <c r="C125" s="579"/>
      <c r="D125" s="581"/>
      <c r="E125" s="63">
        <v>0</v>
      </c>
      <c r="F125" s="63">
        <v>0</v>
      </c>
      <c r="G125" s="63">
        <v>0</v>
      </c>
      <c r="H125" s="77">
        <v>6.63</v>
      </c>
      <c r="I125" s="77">
        <v>3.7399999999999998</v>
      </c>
      <c r="J125" s="63">
        <f>I125</f>
        <v>3.7399999999999998</v>
      </c>
      <c r="K125" s="63">
        <f t="shared" ref="K125:S125" si="72">J125</f>
        <v>3.7399999999999998</v>
      </c>
      <c r="L125" s="63">
        <f t="shared" si="72"/>
        <v>3.7399999999999998</v>
      </c>
      <c r="M125" s="63">
        <f t="shared" si="72"/>
        <v>3.7399999999999998</v>
      </c>
      <c r="N125" s="63">
        <f t="shared" si="72"/>
        <v>3.7399999999999998</v>
      </c>
      <c r="O125" s="63">
        <f t="shared" si="72"/>
        <v>3.7399999999999998</v>
      </c>
      <c r="P125" s="63">
        <f t="shared" si="72"/>
        <v>3.7399999999999998</v>
      </c>
      <c r="Q125" s="63">
        <f t="shared" si="72"/>
        <v>3.7399999999999998</v>
      </c>
      <c r="R125" s="63">
        <f t="shared" si="72"/>
        <v>3.7399999999999998</v>
      </c>
      <c r="S125" s="63">
        <f t="shared" si="72"/>
        <v>3.7399999999999998</v>
      </c>
    </row>
    <row r="126" spans="1:19" s="583" customFormat="1" x14ac:dyDescent="0.35">
      <c r="A126" s="586"/>
      <c r="B126" s="138" t="s">
        <v>1644</v>
      </c>
      <c r="C126" s="303"/>
      <c r="D126" s="138"/>
      <c r="E126" s="177">
        <f>SUM(E123:E125)</f>
        <v>0</v>
      </c>
      <c r="F126" s="177">
        <f t="shared" ref="F126:G126" si="73">SUM(F123:F125)</f>
        <v>0</v>
      </c>
      <c r="G126" s="177">
        <f t="shared" si="73"/>
        <v>0</v>
      </c>
      <c r="H126" s="177">
        <f>SUM(H123:H125)</f>
        <v>133.56</v>
      </c>
      <c r="I126" s="177">
        <f>SUM(I123:I125)</f>
        <v>137.98000000000002</v>
      </c>
      <c r="J126" s="177">
        <f>SUM(J123:J125)</f>
        <v>137.98000000000002</v>
      </c>
      <c r="K126" s="177">
        <f t="shared" ref="K126" si="74">SUM(K123:K125)</f>
        <v>137.98000000000002</v>
      </c>
      <c r="L126" s="177">
        <f t="shared" ref="L126" si="75">SUM(L123:L125)</f>
        <v>137.98000000000002</v>
      </c>
      <c r="M126" s="177">
        <f t="shared" ref="M126" si="76">SUM(M123:M125)</f>
        <v>137.98000000000002</v>
      </c>
      <c r="N126" s="177">
        <f t="shared" ref="N126" si="77">SUM(N123:N125)</f>
        <v>137.98000000000002</v>
      </c>
      <c r="O126" s="177">
        <f t="shared" ref="O126" si="78">SUM(O123:O125)</f>
        <v>137.98000000000002</v>
      </c>
      <c r="P126" s="177">
        <f t="shared" ref="P126" si="79">SUM(P123:P125)</f>
        <v>137.98000000000002</v>
      </c>
      <c r="Q126" s="177">
        <f t="shared" ref="Q126" si="80">SUM(Q123:Q125)</f>
        <v>146.76907064115125</v>
      </c>
      <c r="R126" s="177">
        <f t="shared" ref="R126" si="81">SUM(R123:R125)</f>
        <v>217.5420080377645</v>
      </c>
      <c r="S126" s="177">
        <f t="shared" ref="S126" si="82">SUM(S123:S125)</f>
        <v>128.48516642282289</v>
      </c>
    </row>
    <row r="127" spans="1:19" s="583" customFormat="1" x14ac:dyDescent="0.35">
      <c r="A127" s="586"/>
      <c r="B127" s="581"/>
      <c r="C127" s="579"/>
      <c r="D127" s="581"/>
      <c r="E127" s="143"/>
      <c r="F127" s="143"/>
      <c r="G127" s="143"/>
      <c r="H127" s="63"/>
      <c r="I127" s="63"/>
      <c r="J127" s="63"/>
      <c r="K127" s="63"/>
      <c r="L127" s="63"/>
      <c r="M127" s="63"/>
      <c r="N127" s="63"/>
      <c r="O127" s="63"/>
      <c r="P127" s="63"/>
      <c r="Q127" s="63"/>
      <c r="R127" s="63"/>
      <c r="S127" s="63"/>
    </row>
    <row r="128" spans="1:19" s="135" customFormat="1" x14ac:dyDescent="0.35">
      <c r="A128" s="168"/>
      <c r="B128" s="106" t="s">
        <v>159</v>
      </c>
      <c r="C128" s="78"/>
      <c r="D128" s="126"/>
      <c r="E128" s="126"/>
      <c r="F128" s="126"/>
      <c r="G128" s="63"/>
      <c r="H128" s="63"/>
      <c r="I128" s="63"/>
      <c r="J128" s="63"/>
      <c r="K128" s="63"/>
      <c r="L128" s="63"/>
      <c r="M128" s="63"/>
      <c r="N128" s="63"/>
      <c r="O128" s="63"/>
      <c r="P128" s="63"/>
      <c r="Q128" s="63"/>
      <c r="R128" s="63"/>
      <c r="S128" s="63"/>
    </row>
    <row r="129" spans="1:19" s="135" customFormat="1" x14ac:dyDescent="0.35">
      <c r="A129" s="168"/>
      <c r="B129" s="126" t="s">
        <v>190</v>
      </c>
      <c r="C129" s="78" t="s">
        <v>88</v>
      </c>
      <c r="D129" s="126"/>
      <c r="E129" s="77">
        <v>589.91</v>
      </c>
      <c r="F129" s="77">
        <v>592.38</v>
      </c>
      <c r="G129" s="77">
        <v>592.38</v>
      </c>
      <c r="H129" s="77">
        <v>592.38</v>
      </c>
      <c r="I129" s="77">
        <v>592.38</v>
      </c>
      <c r="J129" s="63">
        <f>+I129</f>
        <v>592.38</v>
      </c>
      <c r="K129" s="63">
        <f t="shared" ref="K129:S129" si="83">+J129</f>
        <v>592.38</v>
      </c>
      <c r="L129" s="63">
        <f t="shared" si="83"/>
        <v>592.38</v>
      </c>
      <c r="M129" s="63">
        <f t="shared" si="83"/>
        <v>592.38</v>
      </c>
      <c r="N129" s="63">
        <f t="shared" si="83"/>
        <v>592.38</v>
      </c>
      <c r="O129" s="63">
        <f t="shared" si="83"/>
        <v>592.38</v>
      </c>
      <c r="P129" s="63">
        <f t="shared" si="83"/>
        <v>592.38</v>
      </c>
      <c r="Q129" s="63">
        <f t="shared" si="83"/>
        <v>592.38</v>
      </c>
      <c r="R129" s="63">
        <f t="shared" si="83"/>
        <v>592.38</v>
      </c>
      <c r="S129" s="63">
        <f t="shared" si="83"/>
        <v>592.38</v>
      </c>
    </row>
    <row r="130" spans="1:19" s="135" customFormat="1" x14ac:dyDescent="0.35">
      <c r="A130" s="168"/>
      <c r="B130" s="126" t="s">
        <v>188</v>
      </c>
      <c r="C130" s="78" t="s">
        <v>88</v>
      </c>
      <c r="D130" s="126"/>
      <c r="E130" s="77">
        <v>54.03</v>
      </c>
      <c r="F130" s="77">
        <v>14.58</v>
      </c>
      <c r="G130" s="77">
        <v>13.37</v>
      </c>
      <c r="H130" s="77">
        <v>14.37</v>
      </c>
      <c r="I130" s="77">
        <v>18.100000000000001</v>
      </c>
      <c r="J130" s="63">
        <f>+I130</f>
        <v>18.100000000000001</v>
      </c>
      <c r="K130" s="63">
        <f t="shared" ref="K130:L131" si="84">+J130</f>
        <v>18.100000000000001</v>
      </c>
      <c r="L130" s="63">
        <f t="shared" si="84"/>
        <v>18.100000000000001</v>
      </c>
      <c r="M130" s="63">
        <f t="shared" ref="M130:S131" si="85">+L130</f>
        <v>18.100000000000001</v>
      </c>
      <c r="N130" s="63">
        <f t="shared" si="85"/>
        <v>18.100000000000001</v>
      </c>
      <c r="O130" s="63">
        <f t="shared" si="85"/>
        <v>18.100000000000001</v>
      </c>
      <c r="P130" s="63">
        <f t="shared" si="85"/>
        <v>18.100000000000001</v>
      </c>
      <c r="Q130" s="63">
        <f t="shared" si="85"/>
        <v>18.100000000000001</v>
      </c>
      <c r="R130" s="63">
        <f t="shared" si="85"/>
        <v>18.100000000000001</v>
      </c>
      <c r="S130" s="63">
        <f t="shared" si="85"/>
        <v>18.100000000000001</v>
      </c>
    </row>
    <row r="131" spans="1:19" s="135" customFormat="1" x14ac:dyDescent="0.35">
      <c r="A131" s="168"/>
      <c r="B131" s="126" t="s">
        <v>189</v>
      </c>
      <c r="C131" s="78" t="s">
        <v>88</v>
      </c>
      <c r="D131" s="126"/>
      <c r="E131" s="77">
        <v>0.77</v>
      </c>
      <c r="F131" s="77">
        <v>0.09</v>
      </c>
      <c r="G131" s="77">
        <v>0.09</v>
      </c>
      <c r="H131" s="77">
        <v>0.11</v>
      </c>
      <c r="I131" s="77">
        <v>0.14000000000000001</v>
      </c>
      <c r="J131" s="63">
        <f>+I131</f>
        <v>0.14000000000000001</v>
      </c>
      <c r="K131" s="63">
        <f t="shared" si="84"/>
        <v>0.14000000000000001</v>
      </c>
      <c r="L131" s="63">
        <f t="shared" si="84"/>
        <v>0.14000000000000001</v>
      </c>
      <c r="M131" s="63">
        <f t="shared" si="85"/>
        <v>0.14000000000000001</v>
      </c>
      <c r="N131" s="63">
        <f t="shared" si="85"/>
        <v>0.14000000000000001</v>
      </c>
      <c r="O131" s="63">
        <f t="shared" si="85"/>
        <v>0.14000000000000001</v>
      </c>
      <c r="P131" s="63">
        <f t="shared" si="85"/>
        <v>0.14000000000000001</v>
      </c>
      <c r="Q131" s="63">
        <f t="shared" si="85"/>
        <v>0.14000000000000001</v>
      </c>
      <c r="R131" s="63">
        <f t="shared" si="85"/>
        <v>0.14000000000000001</v>
      </c>
      <c r="S131" s="63">
        <f t="shared" si="85"/>
        <v>0.14000000000000001</v>
      </c>
    </row>
    <row r="132" spans="1:19" s="135" customFormat="1" x14ac:dyDescent="0.35">
      <c r="A132" s="168"/>
      <c r="B132" s="126" t="s">
        <v>191</v>
      </c>
      <c r="C132" s="78" t="s">
        <v>88</v>
      </c>
      <c r="D132" s="126"/>
      <c r="E132" s="77">
        <v>93.67</v>
      </c>
      <c r="F132" s="77">
        <v>93.32</v>
      </c>
      <c r="G132" s="77">
        <v>104.04</v>
      </c>
      <c r="H132" s="63">
        <f>'Working - Corporate'!H210</f>
        <v>78.47</v>
      </c>
      <c r="I132" s="63">
        <f>'Working - Corporate'!I210</f>
        <v>74.536551553999999</v>
      </c>
      <c r="J132" s="63">
        <f>'Working - Corporate'!J210</f>
        <v>74.536551553999999</v>
      </c>
      <c r="K132" s="63">
        <f>'Working - Corporate'!K210</f>
        <v>74.536551553999999</v>
      </c>
      <c r="L132" s="63">
        <f>'Working - Corporate'!L210</f>
        <v>74.536551553999999</v>
      </c>
      <c r="M132" s="63">
        <f>'Working - Corporate'!M210</f>
        <v>74.536551553999999</v>
      </c>
      <c r="N132" s="63">
        <f>'Working - Corporate'!N210</f>
        <v>74.536551553999999</v>
      </c>
      <c r="O132" s="63">
        <f>'Working - Corporate'!O210</f>
        <v>74.536551553999999</v>
      </c>
      <c r="P132" s="63">
        <f>'Working - Corporate'!P210</f>
        <v>74.536551553999999</v>
      </c>
      <c r="Q132" s="63">
        <f>'Working - Corporate'!Q210</f>
        <v>74.536551553999999</v>
      </c>
      <c r="R132" s="63">
        <f>'Working - Corporate'!R210</f>
        <v>74.536551553999999</v>
      </c>
      <c r="S132" s="63">
        <f>'Working - Corporate'!S210</f>
        <v>74.536551553999999</v>
      </c>
    </row>
    <row r="133" spans="1:19" s="135" customFormat="1" x14ac:dyDescent="0.35">
      <c r="A133" s="168"/>
      <c r="B133" s="138" t="s">
        <v>435</v>
      </c>
      <c r="C133" s="303" t="s">
        <v>88</v>
      </c>
      <c r="D133" s="138"/>
      <c r="E133" s="177">
        <f t="shared" ref="E133:R133" si="86">SUM(E129:E132)</f>
        <v>738.37999999999988</v>
      </c>
      <c r="F133" s="177">
        <f t="shared" si="86"/>
        <v>700.37000000000012</v>
      </c>
      <c r="G133" s="177">
        <f t="shared" si="86"/>
        <v>709.88</v>
      </c>
      <c r="H133" s="177">
        <f t="shared" si="86"/>
        <v>685.33</v>
      </c>
      <c r="I133" s="177">
        <f t="shared" si="86"/>
        <v>685.15655155399998</v>
      </c>
      <c r="J133" s="177">
        <f t="shared" si="86"/>
        <v>685.15655155399998</v>
      </c>
      <c r="K133" s="177">
        <f t="shared" si="86"/>
        <v>685.15655155399998</v>
      </c>
      <c r="L133" s="177">
        <f t="shared" si="86"/>
        <v>685.15655155399998</v>
      </c>
      <c r="M133" s="177">
        <f t="shared" si="86"/>
        <v>685.15655155399998</v>
      </c>
      <c r="N133" s="177">
        <f t="shared" si="86"/>
        <v>685.15655155399998</v>
      </c>
      <c r="O133" s="177">
        <f t="shared" si="86"/>
        <v>685.15655155399998</v>
      </c>
      <c r="P133" s="177">
        <f t="shared" si="86"/>
        <v>685.15655155399998</v>
      </c>
      <c r="Q133" s="177">
        <f t="shared" si="86"/>
        <v>685.15655155399998</v>
      </c>
      <c r="R133" s="177">
        <f t="shared" si="86"/>
        <v>685.15655155399998</v>
      </c>
      <c r="S133" s="177">
        <f>SUM(S129:S132)</f>
        <v>685.15655155399998</v>
      </c>
    </row>
    <row r="134" spans="1:19" s="135" customFormat="1" x14ac:dyDescent="0.35">
      <c r="A134" s="168"/>
      <c r="B134" s="126"/>
      <c r="C134" s="78"/>
      <c r="D134" s="126"/>
      <c r="E134" s="126"/>
      <c r="F134" s="126"/>
      <c r="G134" s="63"/>
      <c r="H134" s="63"/>
      <c r="I134" s="63"/>
      <c r="J134" s="63"/>
      <c r="K134" s="63"/>
      <c r="L134" s="63"/>
      <c r="M134" s="63"/>
      <c r="N134" s="63"/>
      <c r="O134" s="63"/>
      <c r="P134" s="63"/>
      <c r="Q134" s="63"/>
      <c r="R134" s="63"/>
      <c r="S134" s="63"/>
    </row>
    <row r="135" spans="1:19" s="135" customFormat="1" x14ac:dyDescent="0.35">
      <c r="A135" s="168"/>
      <c r="B135" s="106" t="s">
        <v>192</v>
      </c>
      <c r="C135" s="78"/>
      <c r="D135" s="126"/>
      <c r="E135" s="126"/>
      <c r="F135" s="126"/>
      <c r="G135" s="63"/>
      <c r="H135" s="63"/>
      <c r="I135" s="63"/>
      <c r="J135" s="63"/>
      <c r="K135" s="63"/>
      <c r="L135" s="63"/>
      <c r="M135" s="63"/>
      <c r="N135" s="63"/>
      <c r="O135" s="63"/>
      <c r="P135" s="63"/>
      <c r="Q135" s="63"/>
      <c r="R135" s="63"/>
      <c r="S135" s="63"/>
    </row>
    <row r="136" spans="1:19" s="135" customFormat="1" x14ac:dyDescent="0.35">
      <c r="A136" s="168"/>
      <c r="B136" s="106" t="s">
        <v>193</v>
      </c>
      <c r="C136" s="78"/>
      <c r="D136" s="126"/>
      <c r="E136" s="126"/>
      <c r="F136" s="126"/>
      <c r="G136" s="63"/>
      <c r="H136" s="63"/>
      <c r="I136" s="63"/>
      <c r="J136" s="63"/>
      <c r="K136" s="63"/>
      <c r="L136" s="63"/>
      <c r="M136" s="63"/>
      <c r="N136" s="63"/>
      <c r="O136" s="63"/>
      <c r="P136" s="63"/>
      <c r="Q136" s="63"/>
      <c r="R136" s="63"/>
      <c r="S136" s="63"/>
    </row>
    <row r="137" spans="1:19" s="135" customFormat="1" x14ac:dyDescent="0.35">
      <c r="A137" s="168"/>
      <c r="B137" s="126" t="s">
        <v>172</v>
      </c>
      <c r="C137" s="78"/>
      <c r="D137" s="126"/>
      <c r="E137" s="77">
        <v>0.05</v>
      </c>
      <c r="F137" s="77">
        <v>0.05</v>
      </c>
      <c r="G137" s="77">
        <v>0.05</v>
      </c>
      <c r="H137" s="63">
        <f t="shared" ref="H137:S137" si="87">+G139</f>
        <v>0.05</v>
      </c>
      <c r="I137" s="63">
        <f t="shared" si="87"/>
        <v>0.05</v>
      </c>
      <c r="J137" s="63">
        <f>+I139</f>
        <v>0.05</v>
      </c>
      <c r="K137" s="63">
        <f t="shared" si="87"/>
        <v>0.05</v>
      </c>
      <c r="L137" s="63">
        <f t="shared" si="87"/>
        <v>0.05</v>
      </c>
      <c r="M137" s="63">
        <f t="shared" si="87"/>
        <v>0.05</v>
      </c>
      <c r="N137" s="63">
        <f t="shared" si="87"/>
        <v>0.05</v>
      </c>
      <c r="O137" s="63">
        <f t="shared" si="87"/>
        <v>0.05</v>
      </c>
      <c r="P137" s="63">
        <f t="shared" si="87"/>
        <v>0.05</v>
      </c>
      <c r="Q137" s="63">
        <f t="shared" si="87"/>
        <v>0.05</v>
      </c>
      <c r="R137" s="63">
        <f t="shared" si="87"/>
        <v>0.05</v>
      </c>
      <c r="S137" s="63">
        <f t="shared" si="87"/>
        <v>0.05</v>
      </c>
    </row>
    <row r="138" spans="1:19" s="135" customFormat="1" x14ac:dyDescent="0.35">
      <c r="A138" s="168"/>
      <c r="B138" s="126" t="s">
        <v>194</v>
      </c>
      <c r="C138" s="78"/>
      <c r="D138" s="126"/>
      <c r="E138" s="126"/>
      <c r="F138" s="126"/>
      <c r="G138" s="63"/>
      <c r="H138" s="63"/>
      <c r="I138" s="63"/>
      <c r="J138" s="63"/>
      <c r="K138" s="63"/>
      <c r="L138" s="63"/>
      <c r="M138" s="63"/>
      <c r="N138" s="63"/>
      <c r="O138" s="63"/>
      <c r="P138" s="63"/>
      <c r="Q138" s="63"/>
      <c r="R138" s="63"/>
      <c r="S138" s="63"/>
    </row>
    <row r="139" spans="1:19" s="135" customFormat="1" x14ac:dyDescent="0.35">
      <c r="A139" s="168"/>
      <c r="B139" s="126" t="s">
        <v>174</v>
      </c>
      <c r="C139" s="78"/>
      <c r="D139" s="126"/>
      <c r="E139" s="63">
        <f t="shared" ref="E139:S139" si="88">SUM(E137:E138)</f>
        <v>0.05</v>
      </c>
      <c r="F139" s="63">
        <f t="shared" si="88"/>
        <v>0.05</v>
      </c>
      <c r="G139" s="63">
        <f t="shared" si="88"/>
        <v>0.05</v>
      </c>
      <c r="H139" s="63">
        <f t="shared" si="88"/>
        <v>0.05</v>
      </c>
      <c r="I139" s="63">
        <f t="shared" si="88"/>
        <v>0.05</v>
      </c>
      <c r="J139" s="63">
        <f t="shared" si="88"/>
        <v>0.05</v>
      </c>
      <c r="K139" s="63">
        <f t="shared" si="88"/>
        <v>0.05</v>
      </c>
      <c r="L139" s="63">
        <f t="shared" si="88"/>
        <v>0.05</v>
      </c>
      <c r="M139" s="63">
        <f t="shared" si="88"/>
        <v>0.05</v>
      </c>
      <c r="N139" s="63">
        <f t="shared" si="88"/>
        <v>0.05</v>
      </c>
      <c r="O139" s="63">
        <f t="shared" si="88"/>
        <v>0.05</v>
      </c>
      <c r="P139" s="63">
        <f t="shared" si="88"/>
        <v>0.05</v>
      </c>
      <c r="Q139" s="63">
        <f t="shared" si="88"/>
        <v>0.05</v>
      </c>
      <c r="R139" s="63">
        <f t="shared" si="88"/>
        <v>0.05</v>
      </c>
      <c r="S139" s="63">
        <f t="shared" si="88"/>
        <v>0.05</v>
      </c>
    </row>
    <row r="140" spans="1:19" s="135" customFormat="1" x14ac:dyDescent="0.35">
      <c r="A140" s="168"/>
      <c r="B140" s="126"/>
      <c r="C140" s="78"/>
      <c r="D140" s="126"/>
      <c r="E140" s="126"/>
      <c r="F140" s="126"/>
      <c r="G140" s="63"/>
      <c r="H140" s="63"/>
      <c r="I140" s="63"/>
      <c r="J140" s="63"/>
      <c r="K140" s="63"/>
      <c r="L140" s="63"/>
      <c r="M140" s="63"/>
      <c r="N140" s="63"/>
      <c r="O140" s="63"/>
      <c r="P140" s="63"/>
      <c r="Q140" s="63"/>
      <c r="R140" s="63"/>
      <c r="S140" s="63"/>
    </row>
    <row r="141" spans="1:19" s="135" customFormat="1" x14ac:dyDescent="0.35">
      <c r="A141" s="168"/>
      <c r="B141" s="106" t="s">
        <v>195</v>
      </c>
      <c r="C141" s="78"/>
      <c r="D141" s="126"/>
      <c r="E141" s="126"/>
      <c r="F141" s="126"/>
      <c r="G141" s="63"/>
      <c r="H141" s="63"/>
      <c r="I141" s="63"/>
      <c r="J141" s="63"/>
      <c r="K141" s="63"/>
      <c r="L141" s="63"/>
      <c r="M141" s="63"/>
      <c r="N141" s="63"/>
      <c r="O141" s="63"/>
      <c r="P141" s="63"/>
      <c r="Q141" s="63"/>
      <c r="R141" s="63"/>
      <c r="S141" s="63"/>
    </row>
    <row r="142" spans="1:19" s="135" customFormat="1" x14ac:dyDescent="0.35">
      <c r="A142" s="168"/>
      <c r="B142" s="126" t="s">
        <v>172</v>
      </c>
      <c r="C142" s="78"/>
      <c r="D142" s="126"/>
      <c r="E142" s="77">
        <v>4185.3100000000004</v>
      </c>
      <c r="F142" s="77">
        <v>4185.3100000000004</v>
      </c>
      <c r="G142" s="77">
        <v>4185.3100000000004</v>
      </c>
      <c r="H142" s="63">
        <f t="shared" ref="H142:S142" si="89">+G145</f>
        <v>4185.3100000000004</v>
      </c>
      <c r="I142" s="63">
        <f t="shared" si="89"/>
        <v>4185.3100000000004</v>
      </c>
      <c r="J142" s="63">
        <f>+I145</f>
        <v>4361.8964000000005</v>
      </c>
      <c r="K142" s="63">
        <f t="shared" si="89"/>
        <v>10446.401651616165</v>
      </c>
      <c r="L142" s="63">
        <f t="shared" si="89"/>
        <v>10446.401651616165</v>
      </c>
      <c r="M142" s="63">
        <f t="shared" si="89"/>
        <v>10446.401651616165</v>
      </c>
      <c r="N142" s="63">
        <f t="shared" si="89"/>
        <v>10446.401651616165</v>
      </c>
      <c r="O142" s="63">
        <f t="shared" si="89"/>
        <v>10446.401651616165</v>
      </c>
      <c r="P142" s="63">
        <f t="shared" si="89"/>
        <v>10446.401651616165</v>
      </c>
      <c r="Q142" s="63">
        <f t="shared" si="89"/>
        <v>10446.401651616165</v>
      </c>
      <c r="R142" s="63">
        <f t="shared" si="89"/>
        <v>10446.401651616165</v>
      </c>
      <c r="S142" s="63">
        <f t="shared" si="89"/>
        <v>10446.401651616165</v>
      </c>
    </row>
    <row r="143" spans="1:19" s="135" customFormat="1" x14ac:dyDescent="0.35">
      <c r="A143" s="168"/>
      <c r="B143" s="126" t="s">
        <v>173</v>
      </c>
      <c r="C143" s="78"/>
      <c r="D143" s="126"/>
      <c r="E143" s="126"/>
      <c r="F143" s="126"/>
      <c r="G143" s="125"/>
      <c r="H143" s="125"/>
      <c r="I143" s="63">
        <f>+'Promoter Loan &amp; Equity workings'!F58</f>
        <v>176.5864</v>
      </c>
      <c r="J143" s="63">
        <f>+'Promoter Loan &amp; Equity workings'!G58</f>
        <v>6084.5052516161632</v>
      </c>
      <c r="K143" s="63"/>
      <c r="L143" s="63"/>
      <c r="M143" s="63"/>
      <c r="N143" s="63"/>
      <c r="O143" s="63"/>
      <c r="P143" s="63"/>
      <c r="Q143" s="63"/>
      <c r="R143" s="63"/>
      <c r="S143" s="63"/>
    </row>
    <row r="144" spans="1:19" s="135" customFormat="1" x14ac:dyDescent="0.35">
      <c r="A144" s="168"/>
      <c r="B144" s="126" t="s">
        <v>196</v>
      </c>
      <c r="C144" s="78"/>
      <c r="D144" s="126"/>
      <c r="E144" s="126"/>
      <c r="F144" s="126"/>
      <c r="G144" s="125"/>
      <c r="H144" s="125"/>
      <c r="I144" s="125"/>
      <c r="J144" s="125"/>
      <c r="K144" s="63"/>
      <c r="L144" s="63"/>
      <c r="M144" s="63"/>
      <c r="N144" s="63"/>
      <c r="O144" s="63"/>
      <c r="P144" s="63"/>
      <c r="Q144" s="63"/>
      <c r="R144" s="63"/>
      <c r="S144" s="63"/>
    </row>
    <row r="145" spans="1:19" s="135" customFormat="1" x14ac:dyDescent="0.35">
      <c r="A145" s="168"/>
      <c r="B145" s="126" t="s">
        <v>174</v>
      </c>
      <c r="C145" s="78"/>
      <c r="D145" s="126"/>
      <c r="E145" s="63">
        <f t="shared" ref="E145:S145" si="90">SUM(E142:E144)</f>
        <v>4185.3100000000004</v>
      </c>
      <c r="F145" s="63">
        <f t="shared" si="90"/>
        <v>4185.3100000000004</v>
      </c>
      <c r="G145" s="63">
        <f t="shared" si="90"/>
        <v>4185.3100000000004</v>
      </c>
      <c r="H145" s="63">
        <f t="shared" si="90"/>
        <v>4185.3100000000004</v>
      </c>
      <c r="I145" s="63">
        <f t="shared" si="90"/>
        <v>4361.8964000000005</v>
      </c>
      <c r="J145" s="63">
        <f t="shared" si="90"/>
        <v>10446.401651616165</v>
      </c>
      <c r="K145" s="63">
        <f t="shared" si="90"/>
        <v>10446.401651616165</v>
      </c>
      <c r="L145" s="63">
        <f t="shared" si="90"/>
        <v>10446.401651616165</v>
      </c>
      <c r="M145" s="63">
        <f t="shared" si="90"/>
        <v>10446.401651616165</v>
      </c>
      <c r="N145" s="63">
        <f t="shared" si="90"/>
        <v>10446.401651616165</v>
      </c>
      <c r="O145" s="63">
        <f t="shared" si="90"/>
        <v>10446.401651616165</v>
      </c>
      <c r="P145" s="63">
        <f t="shared" si="90"/>
        <v>10446.401651616165</v>
      </c>
      <c r="Q145" s="63">
        <f t="shared" si="90"/>
        <v>10446.401651616165</v>
      </c>
      <c r="R145" s="63">
        <f t="shared" si="90"/>
        <v>10446.401651616165</v>
      </c>
      <c r="S145" s="63">
        <f t="shared" si="90"/>
        <v>10446.401651616165</v>
      </c>
    </row>
    <row r="146" spans="1:19" s="135" customFormat="1" x14ac:dyDescent="0.35">
      <c r="A146" s="168"/>
      <c r="B146" s="126"/>
      <c r="C146" s="78"/>
      <c r="D146" s="126"/>
      <c r="E146" s="126"/>
      <c r="F146" s="126"/>
      <c r="G146" s="63"/>
      <c r="H146" s="63"/>
      <c r="I146" s="63"/>
      <c r="J146" s="63"/>
      <c r="K146" s="63"/>
      <c r="L146" s="63"/>
      <c r="M146" s="63"/>
      <c r="N146" s="63"/>
      <c r="O146" s="63"/>
      <c r="P146" s="63"/>
      <c r="Q146" s="63"/>
      <c r="R146" s="63"/>
      <c r="S146" s="63"/>
    </row>
    <row r="147" spans="1:19" s="135" customFormat="1" x14ac:dyDescent="0.35">
      <c r="A147" s="168"/>
      <c r="B147" s="106" t="s">
        <v>424</v>
      </c>
      <c r="C147" s="78"/>
      <c r="D147" s="126"/>
      <c r="E147" s="126"/>
      <c r="F147" s="126"/>
      <c r="G147" s="63"/>
      <c r="H147" s="63"/>
      <c r="I147" s="63"/>
      <c r="J147" s="63"/>
      <c r="K147" s="63"/>
      <c r="L147" s="63"/>
      <c r="M147" s="63"/>
      <c r="N147" s="63"/>
      <c r="O147" s="63"/>
      <c r="P147" s="63"/>
      <c r="Q147" s="63"/>
      <c r="R147" s="63"/>
      <c r="S147" s="63"/>
    </row>
    <row r="148" spans="1:19" s="135" customFormat="1" x14ac:dyDescent="0.35">
      <c r="A148" s="168"/>
      <c r="B148" s="126" t="s">
        <v>172</v>
      </c>
      <c r="C148" s="78"/>
      <c r="D148" s="126"/>
      <c r="E148" s="77">
        <v>146.54</v>
      </c>
      <c r="F148" s="77">
        <v>146.54</v>
      </c>
      <c r="G148" s="77">
        <v>146.54</v>
      </c>
      <c r="H148" s="63">
        <f t="shared" ref="H148:S148" si="91">+G150</f>
        <v>146.54</v>
      </c>
      <c r="I148" s="63">
        <f t="shared" si="91"/>
        <v>146.54</v>
      </c>
      <c r="J148" s="63">
        <f>+I150</f>
        <v>83.979083045283403</v>
      </c>
      <c r="K148" s="63">
        <f t="shared" si="91"/>
        <v>83.979083045283403</v>
      </c>
      <c r="L148" s="63">
        <f t="shared" si="91"/>
        <v>83.979083045283403</v>
      </c>
      <c r="M148" s="63">
        <f t="shared" si="91"/>
        <v>83.979083045283403</v>
      </c>
      <c r="N148" s="63">
        <f t="shared" si="91"/>
        <v>83.979083045283403</v>
      </c>
      <c r="O148" s="63">
        <f t="shared" si="91"/>
        <v>83.979083045283403</v>
      </c>
      <c r="P148" s="63">
        <f t="shared" si="91"/>
        <v>83.979083045283403</v>
      </c>
      <c r="Q148" s="63">
        <f t="shared" si="91"/>
        <v>83.979083045283403</v>
      </c>
      <c r="R148" s="63">
        <f t="shared" si="91"/>
        <v>83.979083045283403</v>
      </c>
      <c r="S148" s="63">
        <f t="shared" si="91"/>
        <v>83.979083045283403</v>
      </c>
    </row>
    <row r="149" spans="1:19" s="583" customFormat="1" x14ac:dyDescent="0.35">
      <c r="A149" s="586"/>
      <c r="B149" s="581" t="s">
        <v>194</v>
      </c>
      <c r="C149" s="579"/>
      <c r="D149" s="581"/>
      <c r="E149" s="581"/>
      <c r="F149" s="581"/>
      <c r="G149" s="125"/>
      <c r="H149" s="125"/>
      <c r="I149" s="63">
        <f>-'Promoter Loan &amp; Equity workings'!$F$9</f>
        <v>-62.560916954716596</v>
      </c>
      <c r="J149" s="125"/>
      <c r="K149" s="63"/>
      <c r="L149" s="63"/>
      <c r="M149" s="63"/>
      <c r="N149" s="63"/>
      <c r="O149" s="63"/>
      <c r="P149" s="63"/>
      <c r="Q149" s="63"/>
      <c r="R149" s="63"/>
      <c r="S149" s="63"/>
    </row>
    <row r="150" spans="1:19" s="135" customFormat="1" x14ac:dyDescent="0.35">
      <c r="A150" s="168"/>
      <c r="B150" s="126" t="s">
        <v>174</v>
      </c>
      <c r="C150" s="78"/>
      <c r="D150" s="126"/>
      <c r="E150" s="63">
        <f t="shared" ref="E150:I150" si="92">SUM(E148:E149)</f>
        <v>146.54</v>
      </c>
      <c r="F150" s="63">
        <f t="shared" si="92"/>
        <v>146.54</v>
      </c>
      <c r="G150" s="63">
        <f t="shared" si="92"/>
        <v>146.54</v>
      </c>
      <c r="H150" s="63">
        <f t="shared" si="92"/>
        <v>146.54</v>
      </c>
      <c r="I150" s="63">
        <f t="shared" si="92"/>
        <v>83.979083045283403</v>
      </c>
      <c r="J150" s="63">
        <f t="shared" ref="J150:S150" si="93">SUM(J148:J149)</f>
        <v>83.979083045283403</v>
      </c>
      <c r="K150" s="63">
        <f t="shared" si="93"/>
        <v>83.979083045283403</v>
      </c>
      <c r="L150" s="63">
        <f t="shared" si="93"/>
        <v>83.979083045283403</v>
      </c>
      <c r="M150" s="63">
        <f t="shared" si="93"/>
        <v>83.979083045283403</v>
      </c>
      <c r="N150" s="63">
        <f t="shared" si="93"/>
        <v>83.979083045283403</v>
      </c>
      <c r="O150" s="63">
        <f t="shared" si="93"/>
        <v>83.979083045283403</v>
      </c>
      <c r="P150" s="63">
        <f t="shared" si="93"/>
        <v>83.979083045283403</v>
      </c>
      <c r="Q150" s="63">
        <f t="shared" si="93"/>
        <v>83.979083045283403</v>
      </c>
      <c r="R150" s="63">
        <f t="shared" si="93"/>
        <v>83.979083045283403</v>
      </c>
      <c r="S150" s="63">
        <f t="shared" si="93"/>
        <v>83.979083045283403</v>
      </c>
    </row>
    <row r="151" spans="1:19" s="135" customFormat="1" x14ac:dyDescent="0.35">
      <c r="A151" s="168"/>
      <c r="B151" s="126"/>
      <c r="C151" s="78"/>
      <c r="D151" s="126"/>
      <c r="E151" s="126"/>
      <c r="F151" s="126"/>
      <c r="G151" s="125"/>
      <c r="H151" s="125"/>
      <c r="I151" s="125"/>
      <c r="J151" s="125"/>
      <c r="K151" s="63"/>
      <c r="L151" s="63"/>
      <c r="M151" s="63"/>
      <c r="N151" s="63"/>
      <c r="O151" s="63"/>
      <c r="P151" s="63"/>
      <c r="Q151" s="63"/>
      <c r="R151" s="63"/>
      <c r="S151" s="63"/>
    </row>
    <row r="152" spans="1:19" s="135" customFormat="1" x14ac:dyDescent="0.35">
      <c r="A152" s="168"/>
      <c r="B152" s="106" t="s">
        <v>263</v>
      </c>
      <c r="C152" s="78"/>
      <c r="D152" s="126"/>
      <c r="E152" s="126"/>
      <c r="F152" s="126"/>
      <c r="G152" s="125"/>
      <c r="H152" s="125"/>
      <c r="I152" s="125"/>
      <c r="J152" s="125"/>
      <c r="K152" s="63"/>
      <c r="L152" s="63"/>
      <c r="M152" s="63"/>
      <c r="N152" s="63"/>
      <c r="O152" s="63"/>
      <c r="P152" s="63"/>
      <c r="Q152" s="63"/>
      <c r="R152" s="63"/>
      <c r="S152" s="63"/>
    </row>
    <row r="153" spans="1:19" s="135" customFormat="1" x14ac:dyDescent="0.35">
      <c r="A153" s="168"/>
      <c r="B153" s="126" t="s">
        <v>197</v>
      </c>
      <c r="C153" s="78"/>
      <c r="D153" s="126"/>
      <c r="E153" s="77">
        <v>156.05000000000001</v>
      </c>
      <c r="F153" s="77">
        <v>156.05000000000001</v>
      </c>
      <c r="G153" s="77">
        <v>156.05000000000001</v>
      </c>
      <c r="H153" s="63">
        <f t="shared" ref="H153:S153" si="94">+G155</f>
        <v>156.05000000000001</v>
      </c>
      <c r="I153" s="63">
        <f t="shared" si="94"/>
        <v>156.05000000000001</v>
      </c>
      <c r="J153" s="63">
        <f>+I155</f>
        <v>156.05000000000001</v>
      </c>
      <c r="K153" s="63">
        <f t="shared" si="94"/>
        <v>156.05000000000001</v>
      </c>
      <c r="L153" s="63">
        <f t="shared" si="94"/>
        <v>156.05000000000001</v>
      </c>
      <c r="M153" s="63">
        <f t="shared" si="94"/>
        <v>156.05000000000001</v>
      </c>
      <c r="N153" s="63">
        <f t="shared" si="94"/>
        <v>156.05000000000001</v>
      </c>
      <c r="O153" s="63">
        <f t="shared" si="94"/>
        <v>156.05000000000001</v>
      </c>
      <c r="P153" s="63">
        <f t="shared" si="94"/>
        <v>156.05000000000001</v>
      </c>
      <c r="Q153" s="63">
        <f t="shared" si="94"/>
        <v>156.05000000000001</v>
      </c>
      <c r="R153" s="63">
        <f t="shared" si="94"/>
        <v>156.05000000000001</v>
      </c>
      <c r="S153" s="63">
        <f t="shared" si="94"/>
        <v>156.05000000000001</v>
      </c>
    </row>
    <row r="154" spans="1:19" s="135" customFormat="1" x14ac:dyDescent="0.35">
      <c r="A154" s="168"/>
      <c r="B154" s="126" t="s">
        <v>194</v>
      </c>
      <c r="C154" s="78"/>
      <c r="D154" s="126"/>
      <c r="E154" s="126"/>
      <c r="F154" s="126"/>
      <c r="G154" s="125"/>
      <c r="H154" s="125"/>
      <c r="I154" s="125"/>
      <c r="J154" s="125"/>
      <c r="K154" s="63"/>
      <c r="L154" s="63"/>
      <c r="M154" s="63"/>
      <c r="N154" s="63"/>
      <c r="O154" s="63"/>
      <c r="P154" s="63"/>
      <c r="Q154" s="63"/>
      <c r="R154" s="63"/>
      <c r="S154" s="63"/>
    </row>
    <row r="155" spans="1:19" s="135" customFormat="1" x14ac:dyDescent="0.35">
      <c r="A155" s="168"/>
      <c r="B155" s="126" t="s">
        <v>174</v>
      </c>
      <c r="C155" s="78"/>
      <c r="D155" s="126"/>
      <c r="E155" s="63">
        <f>SUM(E153:E154)</f>
        <v>156.05000000000001</v>
      </c>
      <c r="F155" s="63">
        <f>SUM(F153:F154)</f>
        <v>156.05000000000001</v>
      </c>
      <c r="G155" s="63">
        <f>SUM(G153:G154)</f>
        <v>156.05000000000001</v>
      </c>
      <c r="H155" s="63">
        <f t="shared" ref="H155:R155" si="95">SUM(H153:H154)</f>
        <v>156.05000000000001</v>
      </c>
      <c r="I155" s="63">
        <f t="shared" si="95"/>
        <v>156.05000000000001</v>
      </c>
      <c r="J155" s="63">
        <f t="shared" si="95"/>
        <v>156.05000000000001</v>
      </c>
      <c r="K155" s="63">
        <f t="shared" si="95"/>
        <v>156.05000000000001</v>
      </c>
      <c r="L155" s="63">
        <f t="shared" si="95"/>
        <v>156.05000000000001</v>
      </c>
      <c r="M155" s="63">
        <f t="shared" si="95"/>
        <v>156.05000000000001</v>
      </c>
      <c r="N155" s="63">
        <f t="shared" si="95"/>
        <v>156.05000000000001</v>
      </c>
      <c r="O155" s="63">
        <f t="shared" si="95"/>
        <v>156.05000000000001</v>
      </c>
      <c r="P155" s="63">
        <f t="shared" si="95"/>
        <v>156.05000000000001</v>
      </c>
      <c r="Q155" s="63">
        <f t="shared" si="95"/>
        <v>156.05000000000001</v>
      </c>
      <c r="R155" s="63">
        <f t="shared" si="95"/>
        <v>156.05000000000001</v>
      </c>
      <c r="S155" s="63">
        <f>SUM(S153:S154)</f>
        <v>156.05000000000001</v>
      </c>
    </row>
    <row r="156" spans="1:19" s="135" customFormat="1" x14ac:dyDescent="0.35">
      <c r="A156" s="168"/>
      <c r="B156" s="126"/>
      <c r="C156" s="78"/>
      <c r="D156" s="126"/>
      <c r="E156" s="126"/>
      <c r="F156" s="126"/>
      <c r="G156" s="63"/>
      <c r="H156" s="63"/>
      <c r="I156" s="63"/>
      <c r="J156" s="63"/>
      <c r="K156" s="63"/>
      <c r="L156" s="63"/>
      <c r="M156" s="63"/>
      <c r="N156" s="63"/>
      <c r="O156" s="63"/>
      <c r="P156" s="63"/>
      <c r="Q156" s="63"/>
      <c r="R156" s="63"/>
      <c r="S156" s="63"/>
    </row>
    <row r="157" spans="1:19" s="135" customFormat="1" x14ac:dyDescent="0.35">
      <c r="A157" s="168"/>
      <c r="B157" s="106" t="s">
        <v>198</v>
      </c>
      <c r="C157" s="78"/>
      <c r="D157" s="126"/>
      <c r="E157" s="126"/>
      <c r="F157" s="126"/>
      <c r="G157" s="63"/>
      <c r="H157" s="63"/>
      <c r="I157" s="63"/>
      <c r="J157" s="63"/>
      <c r="K157" s="63"/>
      <c r="L157" s="63"/>
      <c r="M157" s="63"/>
      <c r="N157" s="63"/>
      <c r="O157" s="63"/>
      <c r="P157" s="63"/>
      <c r="Q157" s="63"/>
      <c r="R157" s="63"/>
      <c r="S157" s="63"/>
    </row>
    <row r="158" spans="1:19" s="135" customFormat="1" x14ac:dyDescent="0.35">
      <c r="A158" s="168"/>
      <c r="B158" s="126" t="s">
        <v>172</v>
      </c>
      <c r="C158" s="78"/>
      <c r="D158" s="126"/>
      <c r="E158" s="126"/>
      <c r="F158" s="126"/>
      <c r="G158" s="77">
        <v>2.85</v>
      </c>
      <c r="H158" s="63">
        <f t="shared" ref="H158:S158" si="96">+G161</f>
        <v>2.0999999999999996</v>
      </c>
      <c r="I158" s="63">
        <f t="shared" si="96"/>
        <v>2.8899999999999997</v>
      </c>
      <c r="J158" s="63">
        <f>+I161</f>
        <v>1.89</v>
      </c>
      <c r="K158" s="63">
        <f t="shared" si="96"/>
        <v>1.89</v>
      </c>
      <c r="L158" s="63">
        <f t="shared" si="96"/>
        <v>1.89</v>
      </c>
      <c r="M158" s="63">
        <f t="shared" si="96"/>
        <v>1.89</v>
      </c>
      <c r="N158" s="63">
        <f t="shared" si="96"/>
        <v>1.89</v>
      </c>
      <c r="O158" s="63">
        <f t="shared" si="96"/>
        <v>1.89</v>
      </c>
      <c r="P158" s="63">
        <f t="shared" si="96"/>
        <v>1.89</v>
      </c>
      <c r="Q158" s="63">
        <f t="shared" si="96"/>
        <v>1.89</v>
      </c>
      <c r="R158" s="63">
        <f t="shared" si="96"/>
        <v>1.89</v>
      </c>
      <c r="S158" s="63">
        <f t="shared" si="96"/>
        <v>1.89</v>
      </c>
    </row>
    <row r="159" spans="1:19" s="135" customFormat="1" x14ac:dyDescent="0.35">
      <c r="A159" s="168"/>
      <c r="B159" s="126" t="s">
        <v>194</v>
      </c>
      <c r="C159" s="78"/>
      <c r="D159" s="126"/>
      <c r="E159" s="126"/>
      <c r="F159" s="126"/>
      <c r="G159" s="77">
        <v>0.82</v>
      </c>
      <c r="H159" s="77">
        <v>0.96</v>
      </c>
      <c r="I159" s="77">
        <v>0.93</v>
      </c>
      <c r="J159" s="63"/>
      <c r="K159" s="63"/>
      <c r="L159" s="63"/>
      <c r="M159" s="63"/>
      <c r="N159" s="63"/>
      <c r="O159" s="63"/>
      <c r="P159" s="63"/>
      <c r="Q159" s="63"/>
      <c r="R159" s="63"/>
      <c r="S159" s="63"/>
    </row>
    <row r="160" spans="1:19" s="135" customFormat="1" x14ac:dyDescent="0.35">
      <c r="A160" s="168"/>
      <c r="B160" s="126" t="s">
        <v>196</v>
      </c>
      <c r="C160" s="78"/>
      <c r="D160" s="126"/>
      <c r="E160" s="126"/>
      <c r="F160" s="126"/>
      <c r="G160" s="77">
        <v>-1.57</v>
      </c>
      <c r="H160" s="77">
        <v>-0.17</v>
      </c>
      <c r="I160" s="77">
        <v>-1.93</v>
      </c>
      <c r="J160" s="63"/>
      <c r="K160" s="63"/>
      <c r="L160" s="63"/>
      <c r="M160" s="63"/>
      <c r="N160" s="63"/>
      <c r="O160" s="63"/>
      <c r="P160" s="63"/>
      <c r="Q160" s="63"/>
      <c r="R160" s="63"/>
      <c r="S160" s="63"/>
    </row>
    <row r="161" spans="1:19" s="135" customFormat="1" x14ac:dyDescent="0.35">
      <c r="A161" s="168"/>
      <c r="B161" s="126" t="s">
        <v>976</v>
      </c>
      <c r="C161" s="78"/>
      <c r="D161" s="126"/>
      <c r="E161" s="126">
        <v>2.88</v>
      </c>
      <c r="F161" s="143">
        <f>+G158</f>
        <v>2.85</v>
      </c>
      <c r="G161" s="63">
        <f t="shared" ref="G161:S161" si="97">SUM(G158:G160)</f>
        <v>2.0999999999999996</v>
      </c>
      <c r="H161" s="63">
        <f t="shared" si="97"/>
        <v>2.8899999999999997</v>
      </c>
      <c r="I161" s="63">
        <f t="shared" si="97"/>
        <v>1.89</v>
      </c>
      <c r="J161" s="63">
        <f t="shared" si="97"/>
        <v>1.89</v>
      </c>
      <c r="K161" s="63">
        <f t="shared" si="97"/>
        <v>1.89</v>
      </c>
      <c r="L161" s="63">
        <f t="shared" si="97"/>
        <v>1.89</v>
      </c>
      <c r="M161" s="63">
        <f t="shared" si="97"/>
        <v>1.89</v>
      </c>
      <c r="N161" s="63">
        <f t="shared" si="97"/>
        <v>1.89</v>
      </c>
      <c r="O161" s="63">
        <f t="shared" si="97"/>
        <v>1.89</v>
      </c>
      <c r="P161" s="63">
        <f t="shared" si="97"/>
        <v>1.89</v>
      </c>
      <c r="Q161" s="63">
        <f t="shared" si="97"/>
        <v>1.89</v>
      </c>
      <c r="R161" s="63">
        <f t="shared" si="97"/>
        <v>1.89</v>
      </c>
      <c r="S161" s="63">
        <f t="shared" si="97"/>
        <v>1.89</v>
      </c>
    </row>
    <row r="162" spans="1:19" s="583" customFormat="1" x14ac:dyDescent="0.35">
      <c r="A162" s="586"/>
      <c r="B162" s="581"/>
      <c r="C162" s="579"/>
      <c r="D162" s="581"/>
      <c r="E162" s="581"/>
      <c r="F162" s="581"/>
      <c r="G162" s="63"/>
      <c r="H162" s="63"/>
      <c r="I162" s="63"/>
      <c r="J162" s="63"/>
      <c r="K162" s="63"/>
      <c r="L162" s="63"/>
      <c r="M162" s="63"/>
      <c r="N162" s="63"/>
      <c r="O162" s="63"/>
      <c r="P162" s="63"/>
      <c r="Q162" s="63"/>
      <c r="R162" s="63"/>
      <c r="S162" s="63"/>
    </row>
    <row r="163" spans="1:19" s="135" customFormat="1" x14ac:dyDescent="0.35">
      <c r="A163" s="168"/>
      <c r="B163" s="106" t="s">
        <v>199</v>
      </c>
      <c r="C163" s="78"/>
      <c r="D163" s="126"/>
      <c r="E163" s="126"/>
      <c r="F163" s="126"/>
      <c r="G163" s="63"/>
      <c r="H163" s="63"/>
      <c r="I163" s="63"/>
      <c r="J163" s="63"/>
      <c r="K163" s="63"/>
      <c r="L163" s="63"/>
      <c r="M163" s="63"/>
      <c r="N163" s="63"/>
      <c r="O163" s="63"/>
      <c r="P163" s="63"/>
      <c r="Q163" s="63"/>
      <c r="R163" s="63"/>
      <c r="S163" s="63"/>
    </row>
    <row r="164" spans="1:19" s="135" customFormat="1" x14ac:dyDescent="0.35">
      <c r="A164" s="168"/>
      <c r="B164" s="126" t="s">
        <v>172</v>
      </c>
      <c r="C164" s="78"/>
      <c r="D164" s="126"/>
      <c r="E164" s="126"/>
      <c r="F164" s="126"/>
      <c r="G164" s="77">
        <v>-84.56</v>
      </c>
      <c r="H164" s="63">
        <f t="shared" ref="H164:S164" si="98">+G166</f>
        <v>-122.12</v>
      </c>
      <c r="I164" s="63">
        <f t="shared" si="98"/>
        <v>-157.51</v>
      </c>
      <c r="J164" s="63">
        <f>+I166</f>
        <v>-124.21</v>
      </c>
      <c r="K164" s="63">
        <f t="shared" si="98"/>
        <v>-124.21</v>
      </c>
      <c r="L164" s="63">
        <f t="shared" si="98"/>
        <v>-124.21</v>
      </c>
      <c r="M164" s="63">
        <f t="shared" si="98"/>
        <v>-124.21</v>
      </c>
      <c r="N164" s="63">
        <f t="shared" si="98"/>
        <v>-124.21</v>
      </c>
      <c r="O164" s="63">
        <f t="shared" si="98"/>
        <v>-124.21</v>
      </c>
      <c r="P164" s="63">
        <f t="shared" si="98"/>
        <v>-124.21</v>
      </c>
      <c r="Q164" s="63">
        <f t="shared" si="98"/>
        <v>-124.21</v>
      </c>
      <c r="R164" s="63">
        <f t="shared" si="98"/>
        <v>-124.21</v>
      </c>
      <c r="S164" s="63">
        <f t="shared" si="98"/>
        <v>-124.21</v>
      </c>
    </row>
    <row r="165" spans="1:19" s="135" customFormat="1" x14ac:dyDescent="0.35">
      <c r="A165" s="168"/>
      <c r="B165" s="126" t="s">
        <v>200</v>
      </c>
      <c r="C165" s="78"/>
      <c r="D165" s="126"/>
      <c r="E165" s="126"/>
      <c r="F165" s="126"/>
      <c r="G165" s="77">
        <v>-37.56</v>
      </c>
      <c r="H165" s="77">
        <v>-35.39</v>
      </c>
      <c r="I165" s="77">
        <v>33.299999999999997</v>
      </c>
      <c r="J165" s="63"/>
      <c r="K165" s="63"/>
      <c r="L165" s="63"/>
      <c r="M165" s="63"/>
      <c r="N165" s="63"/>
      <c r="O165" s="63"/>
      <c r="P165" s="63"/>
      <c r="Q165" s="63"/>
      <c r="R165" s="63"/>
      <c r="S165" s="63"/>
    </row>
    <row r="166" spans="1:19" s="135" customFormat="1" x14ac:dyDescent="0.35">
      <c r="A166" s="168"/>
      <c r="B166" s="126" t="s">
        <v>174</v>
      </c>
      <c r="C166" s="78"/>
      <c r="D166" s="126"/>
      <c r="E166" s="126">
        <v>-60.81</v>
      </c>
      <c r="F166" s="126">
        <v>-84.56</v>
      </c>
      <c r="G166" s="63">
        <f t="shared" ref="G166:L166" si="99">SUM(G164:G165)</f>
        <v>-122.12</v>
      </c>
      <c r="H166" s="63">
        <f t="shared" si="99"/>
        <v>-157.51</v>
      </c>
      <c r="I166" s="63">
        <f t="shared" si="99"/>
        <v>-124.21</v>
      </c>
      <c r="J166" s="63">
        <f t="shared" si="99"/>
        <v>-124.21</v>
      </c>
      <c r="K166" s="63">
        <f t="shared" si="99"/>
        <v>-124.21</v>
      </c>
      <c r="L166" s="63">
        <f t="shared" si="99"/>
        <v>-124.21</v>
      </c>
      <c r="M166" s="63">
        <f t="shared" ref="M166:S166" si="100">SUM(M164:M165)</f>
        <v>-124.21</v>
      </c>
      <c r="N166" s="63">
        <f t="shared" si="100"/>
        <v>-124.21</v>
      </c>
      <c r="O166" s="63">
        <f t="shared" si="100"/>
        <v>-124.21</v>
      </c>
      <c r="P166" s="63">
        <f t="shared" si="100"/>
        <v>-124.21</v>
      </c>
      <c r="Q166" s="63">
        <f t="shared" si="100"/>
        <v>-124.21</v>
      </c>
      <c r="R166" s="63">
        <f t="shared" si="100"/>
        <v>-124.21</v>
      </c>
      <c r="S166" s="63">
        <f t="shared" si="100"/>
        <v>-124.21</v>
      </c>
    </row>
    <row r="167" spans="1:19" s="583" customFormat="1" x14ac:dyDescent="0.35">
      <c r="A167" s="586"/>
      <c r="B167" s="581"/>
      <c r="C167" s="579"/>
      <c r="D167" s="581"/>
      <c r="E167" s="581"/>
      <c r="F167" s="581"/>
      <c r="G167" s="63"/>
      <c r="H167" s="63"/>
      <c r="I167" s="63"/>
      <c r="J167" s="63"/>
      <c r="K167" s="63"/>
      <c r="L167" s="63"/>
      <c r="M167" s="63"/>
      <c r="N167" s="63"/>
      <c r="O167" s="63"/>
      <c r="P167" s="63"/>
      <c r="Q167" s="63"/>
      <c r="R167" s="63"/>
      <c r="S167" s="63"/>
    </row>
    <row r="168" spans="1:19" s="135" customFormat="1" x14ac:dyDescent="0.35">
      <c r="A168" s="168"/>
      <c r="B168" s="106" t="s">
        <v>201</v>
      </c>
      <c r="C168" s="78"/>
      <c r="D168" s="126"/>
      <c r="E168" s="126"/>
      <c r="F168" s="126"/>
      <c r="G168" s="63"/>
      <c r="H168" s="63"/>
      <c r="I168" s="63"/>
      <c r="J168" s="63"/>
      <c r="K168" s="63"/>
      <c r="L168" s="63"/>
      <c r="M168" s="63"/>
      <c r="N168" s="63"/>
      <c r="O168" s="63"/>
      <c r="P168" s="63"/>
      <c r="Q168" s="63"/>
      <c r="R168" s="63"/>
      <c r="S168" s="63"/>
    </row>
    <row r="169" spans="1:19" s="135" customFormat="1" x14ac:dyDescent="0.35">
      <c r="A169" s="168"/>
      <c r="B169" s="126" t="s">
        <v>172</v>
      </c>
      <c r="C169" s="78"/>
      <c r="D169" s="126"/>
      <c r="E169" s="126"/>
      <c r="F169" s="126"/>
      <c r="G169" s="77">
        <v>-12.08</v>
      </c>
      <c r="H169" s="63">
        <f t="shared" ref="H169:S169" si="101">+G171</f>
        <v>-18.350000000000001</v>
      </c>
      <c r="I169" s="63">
        <f t="shared" si="101"/>
        <v>-16.560000000000002</v>
      </c>
      <c r="J169" s="63">
        <f>+I171</f>
        <v>-17.750000000000004</v>
      </c>
      <c r="K169" s="63">
        <f t="shared" si="101"/>
        <v>-17.750000000000004</v>
      </c>
      <c r="L169" s="63">
        <f t="shared" si="101"/>
        <v>-17.750000000000004</v>
      </c>
      <c r="M169" s="63">
        <f t="shared" si="101"/>
        <v>-17.750000000000004</v>
      </c>
      <c r="N169" s="63">
        <f t="shared" si="101"/>
        <v>-17.750000000000004</v>
      </c>
      <c r="O169" s="63">
        <f t="shared" si="101"/>
        <v>-17.750000000000004</v>
      </c>
      <c r="P169" s="63">
        <f t="shared" si="101"/>
        <v>-17.750000000000004</v>
      </c>
      <c r="Q169" s="63">
        <f t="shared" si="101"/>
        <v>-17.750000000000004</v>
      </c>
      <c r="R169" s="63">
        <f t="shared" si="101"/>
        <v>-17.750000000000004</v>
      </c>
      <c r="S169" s="63">
        <f t="shared" si="101"/>
        <v>-17.750000000000004</v>
      </c>
    </row>
    <row r="170" spans="1:19" s="135" customFormat="1" x14ac:dyDescent="0.35">
      <c r="A170" s="168"/>
      <c r="B170" s="126" t="s">
        <v>200</v>
      </c>
      <c r="C170" s="78"/>
      <c r="D170" s="126"/>
      <c r="E170" s="126"/>
      <c r="F170" s="126"/>
      <c r="G170" s="77">
        <v>-6.27</v>
      </c>
      <c r="H170" s="77">
        <v>1.79</v>
      </c>
      <c r="I170" s="77">
        <v>-1.19</v>
      </c>
      <c r="J170" s="63"/>
      <c r="K170" s="63"/>
      <c r="L170" s="63"/>
      <c r="M170" s="63"/>
      <c r="N170" s="63"/>
      <c r="O170" s="63"/>
      <c r="P170" s="63"/>
      <c r="Q170" s="63"/>
      <c r="R170" s="63"/>
      <c r="S170" s="63"/>
    </row>
    <row r="171" spans="1:19" s="135" customFormat="1" x14ac:dyDescent="0.35">
      <c r="A171" s="168"/>
      <c r="B171" s="126" t="s">
        <v>174</v>
      </c>
      <c r="C171" s="78"/>
      <c r="D171" s="126"/>
      <c r="E171" s="126">
        <v>-8.31</v>
      </c>
      <c r="F171" s="126">
        <v>-12.08</v>
      </c>
      <c r="G171" s="63">
        <f>SUM(G169:G170)</f>
        <v>-18.350000000000001</v>
      </c>
      <c r="H171" s="63">
        <f t="shared" ref="H171:S171" si="102">SUM(H168:H170)</f>
        <v>-16.560000000000002</v>
      </c>
      <c r="I171" s="63">
        <f t="shared" si="102"/>
        <v>-17.750000000000004</v>
      </c>
      <c r="J171" s="63">
        <f t="shared" si="102"/>
        <v>-17.750000000000004</v>
      </c>
      <c r="K171" s="63">
        <f t="shared" si="102"/>
        <v>-17.750000000000004</v>
      </c>
      <c r="L171" s="63">
        <f t="shared" si="102"/>
        <v>-17.750000000000004</v>
      </c>
      <c r="M171" s="63">
        <f t="shared" si="102"/>
        <v>-17.750000000000004</v>
      </c>
      <c r="N171" s="63">
        <f t="shared" si="102"/>
        <v>-17.750000000000004</v>
      </c>
      <c r="O171" s="63">
        <f t="shared" si="102"/>
        <v>-17.750000000000004</v>
      </c>
      <c r="P171" s="63">
        <f t="shared" si="102"/>
        <v>-17.750000000000004</v>
      </c>
      <c r="Q171" s="63">
        <f t="shared" si="102"/>
        <v>-17.750000000000004</v>
      </c>
      <c r="R171" s="63">
        <f t="shared" si="102"/>
        <v>-17.750000000000004</v>
      </c>
      <c r="S171" s="63">
        <f t="shared" si="102"/>
        <v>-17.750000000000004</v>
      </c>
    </row>
    <row r="172" spans="1:19" s="583" customFormat="1" x14ac:dyDescent="0.35">
      <c r="A172" s="586"/>
      <c r="B172" s="581"/>
      <c r="C172" s="579"/>
      <c r="D172" s="581"/>
      <c r="E172" s="581"/>
      <c r="F172" s="581"/>
      <c r="G172" s="63"/>
      <c r="H172" s="63"/>
      <c r="I172" s="63"/>
      <c r="J172" s="63"/>
      <c r="K172" s="63"/>
      <c r="L172" s="63"/>
      <c r="M172" s="63"/>
      <c r="N172" s="63"/>
      <c r="O172" s="63"/>
      <c r="P172" s="63"/>
      <c r="Q172" s="63"/>
      <c r="R172" s="63"/>
      <c r="S172" s="63"/>
    </row>
    <row r="173" spans="1:19" s="135" customFormat="1" x14ac:dyDescent="0.35">
      <c r="A173" s="168"/>
      <c r="B173" s="106" t="s">
        <v>202</v>
      </c>
      <c r="C173" s="78"/>
      <c r="D173" s="126"/>
      <c r="E173" s="126"/>
      <c r="F173" s="126"/>
      <c r="G173" s="63"/>
      <c r="H173" s="63"/>
      <c r="I173" s="63"/>
      <c r="J173" s="63"/>
      <c r="K173" s="63"/>
      <c r="L173" s="63"/>
      <c r="M173" s="63"/>
      <c r="N173" s="63"/>
      <c r="O173" s="63"/>
      <c r="P173" s="63"/>
      <c r="Q173" s="63"/>
      <c r="R173" s="63"/>
      <c r="S173" s="63"/>
    </row>
    <row r="174" spans="1:19" s="135" customFormat="1" x14ac:dyDescent="0.35">
      <c r="A174" s="168"/>
      <c r="B174" s="126" t="s">
        <v>172</v>
      </c>
      <c r="C174" s="78"/>
      <c r="D174" s="126"/>
      <c r="E174" s="126"/>
      <c r="F174" s="126"/>
      <c r="G174" s="77">
        <v>-1099.18</v>
      </c>
      <c r="H174" s="63">
        <f t="shared" ref="H174:S174" si="103">+G177</f>
        <v>-1205.3687941472642</v>
      </c>
      <c r="I174" s="63">
        <f t="shared" si="103"/>
        <v>-1485.922138218175</v>
      </c>
      <c r="J174" s="63">
        <f>+I177</f>
        <v>-1708.9667908950182</v>
      </c>
      <c r="K174" s="63">
        <f t="shared" si="103"/>
        <v>-3459.4363892492829</v>
      </c>
      <c r="L174" s="63">
        <f t="shared" si="103"/>
        <v>-3324.721958466333</v>
      </c>
      <c r="M174" s="63">
        <f t="shared" si="103"/>
        <v>-3143.5416216704461</v>
      </c>
      <c r="N174" s="63">
        <f t="shared" si="103"/>
        <v>-2936.1550906803677</v>
      </c>
      <c r="O174" s="63">
        <f t="shared" si="103"/>
        <v>-2703.4789685705837</v>
      </c>
      <c r="P174" s="63">
        <f t="shared" si="103"/>
        <v>-2442.1335430333384</v>
      </c>
      <c r="Q174" s="63">
        <f t="shared" si="103"/>
        <v>-2149.6635121270501</v>
      </c>
      <c r="R174" s="63">
        <f t="shared" si="103"/>
        <v>-1828.3032167312399</v>
      </c>
      <c r="S174" s="63">
        <f t="shared" si="103"/>
        <v>-1423.2383277854221</v>
      </c>
    </row>
    <row r="175" spans="1:19" s="135" customFormat="1" x14ac:dyDescent="0.35">
      <c r="A175" s="168"/>
      <c r="B175" s="126" t="s">
        <v>203</v>
      </c>
      <c r="C175" s="78"/>
      <c r="D175" s="126"/>
      <c r="E175" s="126"/>
      <c r="F175" s="126"/>
      <c r="G175" s="63">
        <f>+'P&amp;L'!G45</f>
        <v>-105.36879414726415</v>
      </c>
      <c r="H175" s="63">
        <f>+'P&amp;L'!H45</f>
        <v>-279.59334407091069</v>
      </c>
      <c r="I175" s="63">
        <f>+'P&amp;L'!I45</f>
        <v>-218.25465267684336</v>
      </c>
      <c r="J175" s="63">
        <f>+'P&amp;L'!J45</f>
        <v>-1750.4695983542647</v>
      </c>
      <c r="K175" s="63">
        <f>+'P&amp;L'!K45</f>
        <v>134.71443078294979</v>
      </c>
      <c r="L175" s="63">
        <f>+'P&amp;L'!L45</f>
        <v>181.18033679588706</v>
      </c>
      <c r="M175" s="63">
        <f>+'P&amp;L'!M45</f>
        <v>207.38653099007865</v>
      </c>
      <c r="N175" s="63">
        <f>+'P&amp;L'!N45</f>
        <v>232.67612210978422</v>
      </c>
      <c r="O175" s="63">
        <f>+'P&amp;L'!O45</f>
        <v>261.34542553724555</v>
      </c>
      <c r="P175" s="63">
        <f>+'P&amp;L'!P45</f>
        <v>292.470030906288</v>
      </c>
      <c r="Q175" s="63">
        <f>+'P&amp;L'!Q45</f>
        <v>321.36029539581011</v>
      </c>
      <c r="R175" s="63">
        <f>+'P&amp;L'!R45</f>
        <v>405.0648889458177</v>
      </c>
      <c r="S175" s="63">
        <f>+'P&amp;L'!S45</f>
        <v>289.72379807949733</v>
      </c>
    </row>
    <row r="176" spans="1:19" s="135" customFormat="1" x14ac:dyDescent="0.35">
      <c r="A176" s="168"/>
      <c r="B176" s="126" t="s">
        <v>977</v>
      </c>
      <c r="C176" s="78"/>
      <c r="D176" s="126"/>
      <c r="E176" s="126"/>
      <c r="F176" s="126"/>
      <c r="G176" s="77">
        <v>-0.82</v>
      </c>
      <c r="H176" s="77">
        <v>-0.96</v>
      </c>
      <c r="I176" s="77">
        <v>-4.79</v>
      </c>
      <c r="J176" s="63"/>
      <c r="K176" s="63"/>
      <c r="L176" s="63"/>
      <c r="M176" s="63"/>
      <c r="N176" s="63"/>
      <c r="O176" s="63"/>
      <c r="P176" s="63"/>
      <c r="Q176" s="63"/>
      <c r="R176" s="63"/>
      <c r="S176" s="63"/>
    </row>
    <row r="177" spans="1:33" s="135" customFormat="1" x14ac:dyDescent="0.35">
      <c r="A177" s="168"/>
      <c r="B177" s="581" t="s">
        <v>174</v>
      </c>
      <c r="C177" s="78"/>
      <c r="D177" s="126"/>
      <c r="E177" s="126">
        <v>-1005.5005538412584</v>
      </c>
      <c r="F177" s="143">
        <f>+G174</f>
        <v>-1099.18</v>
      </c>
      <c r="G177" s="107">
        <f t="shared" ref="G177:S177" si="104">SUM(G174:G176)</f>
        <v>-1205.3687941472642</v>
      </c>
      <c r="H177" s="107">
        <f t="shared" si="104"/>
        <v>-1485.922138218175</v>
      </c>
      <c r="I177" s="107">
        <f t="shared" si="104"/>
        <v>-1708.9667908950182</v>
      </c>
      <c r="J177" s="107">
        <f t="shared" si="104"/>
        <v>-3459.4363892492829</v>
      </c>
      <c r="K177" s="107">
        <f t="shared" si="104"/>
        <v>-3324.721958466333</v>
      </c>
      <c r="L177" s="107">
        <f t="shared" si="104"/>
        <v>-3143.5416216704461</v>
      </c>
      <c r="M177" s="107">
        <f t="shared" si="104"/>
        <v>-2936.1550906803677</v>
      </c>
      <c r="N177" s="107">
        <f t="shared" si="104"/>
        <v>-2703.4789685705837</v>
      </c>
      <c r="O177" s="107">
        <f t="shared" si="104"/>
        <v>-2442.1335430333384</v>
      </c>
      <c r="P177" s="107">
        <f t="shared" si="104"/>
        <v>-2149.6635121270501</v>
      </c>
      <c r="Q177" s="107">
        <f t="shared" si="104"/>
        <v>-1828.3032167312399</v>
      </c>
      <c r="R177" s="107">
        <f t="shared" si="104"/>
        <v>-1423.2383277854221</v>
      </c>
      <c r="S177" s="107">
        <f t="shared" si="104"/>
        <v>-1133.5145297059248</v>
      </c>
    </row>
    <row r="178" spans="1:33" s="583" customFormat="1" x14ac:dyDescent="0.35">
      <c r="A178" s="586"/>
      <c r="B178" s="581"/>
      <c r="C178" s="579"/>
      <c r="D178" s="581"/>
      <c r="E178" s="581"/>
      <c r="F178" s="581"/>
      <c r="G178" s="107"/>
      <c r="H178" s="107"/>
      <c r="I178" s="107"/>
      <c r="J178" s="107"/>
      <c r="K178" s="107"/>
      <c r="L178" s="107"/>
      <c r="M178" s="107"/>
      <c r="N178" s="107"/>
      <c r="O178" s="107"/>
      <c r="P178" s="107"/>
      <c r="Q178" s="107"/>
      <c r="R178" s="107"/>
      <c r="S178" s="107"/>
    </row>
    <row r="179" spans="1:33" s="135" customFormat="1" x14ac:dyDescent="0.35">
      <c r="A179" s="168"/>
      <c r="B179" s="106" t="s">
        <v>192</v>
      </c>
      <c r="C179" s="78"/>
      <c r="D179" s="126"/>
      <c r="E179" s="107">
        <f t="shared" ref="E179:S179" si="105">+E177+E171+E166+E161+E155+E150+E145+E139</f>
        <v>3416.2094461587421</v>
      </c>
      <c r="F179" s="107">
        <f t="shared" si="105"/>
        <v>3294.9800000000005</v>
      </c>
      <c r="G179" s="107">
        <f t="shared" si="105"/>
        <v>3144.2112058527364</v>
      </c>
      <c r="H179" s="107">
        <f t="shared" si="105"/>
        <v>2830.8478617818255</v>
      </c>
      <c r="I179" s="107">
        <f t="shared" si="105"/>
        <v>2752.938692150266</v>
      </c>
      <c r="J179" s="107">
        <f t="shared" si="105"/>
        <v>7086.9743454121653</v>
      </c>
      <c r="K179" s="107">
        <f t="shared" si="105"/>
        <v>7221.6887761951157</v>
      </c>
      <c r="L179" s="107">
        <f t="shared" si="105"/>
        <v>7402.8691129910021</v>
      </c>
      <c r="M179" s="107">
        <f t="shared" si="105"/>
        <v>7610.2556439810805</v>
      </c>
      <c r="N179" s="107">
        <f t="shared" si="105"/>
        <v>7842.9317660908646</v>
      </c>
      <c r="O179" s="107">
        <f t="shared" si="105"/>
        <v>8104.2771916281099</v>
      </c>
      <c r="P179" s="107">
        <f t="shared" si="105"/>
        <v>8396.7472225343972</v>
      </c>
      <c r="Q179" s="107">
        <f t="shared" si="105"/>
        <v>8718.1075179302079</v>
      </c>
      <c r="R179" s="107">
        <f t="shared" si="105"/>
        <v>9123.172406876025</v>
      </c>
      <c r="S179" s="107">
        <f t="shared" si="105"/>
        <v>9412.896204955523</v>
      </c>
    </row>
    <row r="180" spans="1:33" s="135" customFormat="1" x14ac:dyDescent="0.35">
      <c r="A180" s="168"/>
      <c r="B180" s="126"/>
      <c r="C180" s="78"/>
      <c r="D180" s="126"/>
      <c r="E180" s="126"/>
      <c r="F180" s="126"/>
      <c r="G180" s="107"/>
      <c r="H180" s="107"/>
      <c r="I180" s="107"/>
      <c r="J180" s="107"/>
      <c r="K180" s="107"/>
      <c r="L180" s="107"/>
      <c r="M180" s="107"/>
      <c r="N180" s="107"/>
      <c r="O180" s="107"/>
      <c r="P180" s="107"/>
      <c r="Q180" s="107"/>
      <c r="R180" s="107"/>
      <c r="S180" s="107"/>
    </row>
    <row r="181" spans="1:33" s="135" customFormat="1" x14ac:dyDescent="0.35">
      <c r="A181" s="168"/>
      <c r="B181" s="106" t="s">
        <v>213</v>
      </c>
      <c r="C181" s="78"/>
      <c r="D181" s="126"/>
      <c r="E181" s="126"/>
      <c r="F181" s="126"/>
      <c r="G181" s="63"/>
      <c r="H181" s="63"/>
      <c r="I181" s="63"/>
      <c r="J181" s="63"/>
      <c r="K181" s="63"/>
      <c r="L181" s="63"/>
      <c r="M181" s="63"/>
      <c r="N181" s="63"/>
      <c r="O181" s="63"/>
      <c r="P181" s="63"/>
      <c r="Q181" s="63"/>
      <c r="R181" s="63"/>
      <c r="S181" s="63"/>
    </row>
    <row r="182" spans="1:33" s="135" customFormat="1" x14ac:dyDescent="0.35">
      <c r="A182" s="168"/>
      <c r="B182" s="106" t="s">
        <v>214</v>
      </c>
      <c r="C182" s="78"/>
      <c r="D182" s="126"/>
      <c r="E182" s="126"/>
      <c r="F182" s="126"/>
      <c r="G182" s="63"/>
      <c r="H182" s="63"/>
      <c r="I182" s="63"/>
      <c r="J182" s="63"/>
      <c r="K182" s="63"/>
      <c r="L182" s="63"/>
      <c r="M182" s="63"/>
      <c r="N182" s="63"/>
      <c r="O182" s="63"/>
      <c r="P182" s="63"/>
      <c r="Q182" s="63"/>
      <c r="R182" s="63"/>
      <c r="S182" s="63"/>
    </row>
    <row r="183" spans="1:33" s="135" customFormat="1" x14ac:dyDescent="0.35">
      <c r="A183" s="168"/>
      <c r="B183" s="126" t="s">
        <v>606</v>
      </c>
      <c r="C183" s="78"/>
      <c r="D183" s="126"/>
      <c r="E183" s="77">
        <v>3161.763250382</v>
      </c>
      <c r="F183" s="77">
        <v>3959.8109543629998</v>
      </c>
      <c r="G183" s="77">
        <v>4156.2659595810001</v>
      </c>
      <c r="H183" s="77">
        <f>40837222866.61/10^7</f>
        <v>4083.722286661</v>
      </c>
      <c r="I183" s="77">
        <v>3740.9217800050001</v>
      </c>
      <c r="J183" s="63">
        <f>J189*J186/365</f>
        <v>2663.369454869488</v>
      </c>
      <c r="K183" s="63">
        <f t="shared" ref="K183:R183" si="106">K189*K186/365</f>
        <v>2805.3045041885516</v>
      </c>
      <c r="L183" s="63">
        <f t="shared" si="106"/>
        <v>1871.6691083606281</v>
      </c>
      <c r="M183" s="63">
        <f t="shared" si="106"/>
        <v>1651.1156674835381</v>
      </c>
      <c r="N183" s="63">
        <f t="shared" si="106"/>
        <v>1526.2500451300953</v>
      </c>
      <c r="O183" s="63">
        <f t="shared" si="106"/>
        <v>1431.5172837082278</v>
      </c>
      <c r="P183" s="63">
        <f t="shared" si="106"/>
        <v>1295.8810210768729</v>
      </c>
      <c r="Q183" s="63">
        <f t="shared" si="106"/>
        <v>1117.0129364775298</v>
      </c>
      <c r="R183" s="63">
        <f t="shared" si="106"/>
        <v>747.70229854956426</v>
      </c>
      <c r="S183" s="63">
        <f>S189*S186/365</f>
        <v>381.32817226027782</v>
      </c>
    </row>
    <row r="184" spans="1:33" s="135" customFormat="1" x14ac:dyDescent="0.35">
      <c r="A184" s="168"/>
      <c r="B184" s="126" t="s">
        <v>215</v>
      </c>
      <c r="C184" s="78"/>
      <c r="D184" s="126"/>
      <c r="E184" s="77">
        <v>210.90674961800005</v>
      </c>
      <c r="F184" s="77">
        <v>202.10904563700024</v>
      </c>
      <c r="G184" s="63">
        <v>283.25404041900038</v>
      </c>
      <c r="H184" s="63">
        <v>376.19771333900007</v>
      </c>
      <c r="I184" s="63">
        <f>4092.248034621-3740.921780005</f>
        <v>351.32625461599991</v>
      </c>
      <c r="J184" s="63">
        <f t="shared" ref="J184:R184" si="107">J190*J187/365</f>
        <v>239.61842952036065</v>
      </c>
      <c r="K184" s="63">
        <f t="shared" si="107"/>
        <v>260.29696429150925</v>
      </c>
      <c r="L184" s="63">
        <f t="shared" si="107"/>
        <v>261.04606948380149</v>
      </c>
      <c r="M184" s="63">
        <f t="shared" si="107"/>
        <v>232.10983419164734</v>
      </c>
      <c r="N184" s="63">
        <f t="shared" si="107"/>
        <v>213.11029564718348</v>
      </c>
      <c r="O184" s="63">
        <f t="shared" si="107"/>
        <v>217.37323362233064</v>
      </c>
      <c r="P184" s="63">
        <f t="shared" si="107"/>
        <v>221.72069829477726</v>
      </c>
      <c r="Q184" s="63">
        <f t="shared" si="107"/>
        <v>226.10184665613554</v>
      </c>
      <c r="R184" s="63">
        <f t="shared" si="107"/>
        <v>230.57061798472088</v>
      </c>
      <c r="S184" s="63">
        <f>S190*S187/365</f>
        <v>235.12876473987797</v>
      </c>
    </row>
    <row r="185" spans="1:33" s="135" customFormat="1" x14ac:dyDescent="0.35">
      <c r="A185" s="168"/>
      <c r="B185" s="106" t="s">
        <v>423</v>
      </c>
      <c r="C185" s="78"/>
      <c r="D185" s="126"/>
      <c r="E185" s="169">
        <f t="shared" ref="E185:S185" si="108">SUM(E183:E184)</f>
        <v>3372.67</v>
      </c>
      <c r="F185" s="169">
        <f t="shared" si="108"/>
        <v>4161.92</v>
      </c>
      <c r="G185" s="169">
        <f t="shared" si="108"/>
        <v>4439.5200000000004</v>
      </c>
      <c r="H185" s="169">
        <f t="shared" si="108"/>
        <v>4459.92</v>
      </c>
      <c r="I185" s="169">
        <f t="shared" si="108"/>
        <v>4092.248034621</v>
      </c>
      <c r="J185" s="107">
        <f t="shared" si="108"/>
        <v>2902.9878843898487</v>
      </c>
      <c r="K185" s="107">
        <f t="shared" si="108"/>
        <v>3065.6014684800607</v>
      </c>
      <c r="L185" s="107">
        <f t="shared" si="108"/>
        <v>2132.7151778444295</v>
      </c>
      <c r="M185" s="107">
        <f t="shared" si="108"/>
        <v>1883.2255016751856</v>
      </c>
      <c r="N185" s="107">
        <f t="shared" si="108"/>
        <v>1739.3603407772787</v>
      </c>
      <c r="O185" s="107">
        <f t="shared" si="108"/>
        <v>1648.8905173305584</v>
      </c>
      <c r="P185" s="107">
        <f t="shared" si="108"/>
        <v>1517.6017193716502</v>
      </c>
      <c r="Q185" s="107">
        <f t="shared" si="108"/>
        <v>1343.1147831336652</v>
      </c>
      <c r="R185" s="107">
        <f t="shared" si="108"/>
        <v>978.27291653428517</v>
      </c>
      <c r="S185" s="107">
        <f t="shared" si="108"/>
        <v>616.45693700015579</v>
      </c>
    </row>
    <row r="186" spans="1:33" s="135" customFormat="1" x14ac:dyDescent="0.35">
      <c r="A186" s="168"/>
      <c r="B186" s="78" t="s">
        <v>363</v>
      </c>
      <c r="C186" s="78"/>
      <c r="D186" s="78"/>
      <c r="E186" s="102">
        <f t="shared" ref="E186:I187" si="109">E183/E189*365</f>
        <v>243.15796673353387</v>
      </c>
      <c r="F186" s="102">
        <f t="shared" si="109"/>
        <v>265.28810865241638</v>
      </c>
      <c r="G186" s="102">
        <f>G183/G189*365</f>
        <v>293.5213938919693</v>
      </c>
      <c r="H186" s="102">
        <f>H183/H189*365</f>
        <v>292.40054682167153</v>
      </c>
      <c r="I186" s="102">
        <f>I183/I189*365</f>
        <v>310.14974693006326</v>
      </c>
      <c r="J186" s="102">
        <f>Assumptions!J166</f>
        <v>187</v>
      </c>
      <c r="K186" s="102">
        <f>Assumptions!K166</f>
        <v>175</v>
      </c>
      <c r="L186" s="102">
        <f>Assumptions!L166</f>
        <v>111</v>
      </c>
      <c r="M186" s="102">
        <f>Assumptions!M166</f>
        <v>96</v>
      </c>
      <c r="N186" s="102">
        <f>Assumptions!N166</f>
        <v>87</v>
      </c>
      <c r="O186" s="102">
        <f>Assumptions!O166</f>
        <v>80</v>
      </c>
      <c r="P186" s="102">
        <f>Assumptions!P166</f>
        <v>71</v>
      </c>
      <c r="Q186" s="102">
        <f>Assumptions!Q166</f>
        <v>60</v>
      </c>
      <c r="R186" s="102">
        <f>Assumptions!R166</f>
        <v>40</v>
      </c>
      <c r="S186" s="102">
        <f>Assumptions!S166</f>
        <v>20</v>
      </c>
    </row>
    <row r="187" spans="1:33" s="135" customFormat="1" x14ac:dyDescent="0.35">
      <c r="A187" s="168"/>
      <c r="B187" s="78" t="s">
        <v>364</v>
      </c>
      <c r="C187" s="78"/>
      <c r="D187" s="78"/>
      <c r="E187" s="102">
        <f t="shared" si="109"/>
        <v>141.83767947360676</v>
      </c>
      <c r="F187" s="102">
        <f t="shared" si="109"/>
        <v>113.31368660783316</v>
      </c>
      <c r="G187" s="102">
        <f t="shared" si="109"/>
        <v>155.81782587962124</v>
      </c>
      <c r="H187" s="102">
        <f t="shared" si="109"/>
        <v>159.41039343689485</v>
      </c>
      <c r="I187" s="102">
        <f t="shared" si="109"/>
        <v>162.85661061213079</v>
      </c>
      <c r="J187" s="102">
        <f>Assumptions!J167</f>
        <v>120</v>
      </c>
      <c r="K187" s="102">
        <f>Assumptions!K167</f>
        <v>120</v>
      </c>
      <c r="L187" s="102">
        <f>Assumptions!L167</f>
        <v>115</v>
      </c>
      <c r="M187" s="102">
        <f>Assumptions!M167</f>
        <v>100</v>
      </c>
      <c r="N187" s="102">
        <f>Assumptions!N167</f>
        <v>90</v>
      </c>
      <c r="O187" s="102">
        <f>Assumptions!O167</f>
        <v>90</v>
      </c>
      <c r="P187" s="102">
        <f>Assumptions!P167</f>
        <v>90</v>
      </c>
      <c r="Q187" s="102">
        <f>Assumptions!Q167</f>
        <v>90</v>
      </c>
      <c r="R187" s="102">
        <f>Assumptions!R167</f>
        <v>90</v>
      </c>
      <c r="S187" s="102">
        <f>Assumptions!S167</f>
        <v>90</v>
      </c>
    </row>
    <row r="188" spans="1:33" s="135" customFormat="1" x14ac:dyDescent="0.35">
      <c r="A188" s="168"/>
      <c r="B188" s="78"/>
      <c r="C188" s="78"/>
      <c r="D188" s="78"/>
      <c r="E188" s="102"/>
      <c r="F188" s="102"/>
      <c r="G188" s="102"/>
      <c r="H188" s="102"/>
      <c r="I188" s="102"/>
      <c r="J188" s="102"/>
      <c r="K188" s="102"/>
      <c r="L188" s="102"/>
      <c r="M188" s="102"/>
      <c r="N188" s="102"/>
      <c r="O188" s="102"/>
      <c r="P188" s="102"/>
      <c r="Q188" s="102"/>
      <c r="R188" s="102"/>
      <c r="S188" s="102"/>
    </row>
    <row r="189" spans="1:33" s="135" customFormat="1" x14ac:dyDescent="0.35">
      <c r="A189" s="168"/>
      <c r="B189" s="126" t="s">
        <v>103</v>
      </c>
      <c r="C189" s="78"/>
      <c r="D189" s="126"/>
      <c r="E189" s="63">
        <f>+'Working - Sugar + Cogen'!E29+'Working - Sugar + Cogen'!E30</f>
        <v>4746.065292008695</v>
      </c>
      <c r="F189" s="63">
        <f>+'Working - Sugar + Cogen'!F29+'Working - Sugar + Cogen'!F30</f>
        <v>5448.1559904224159</v>
      </c>
      <c r="G189" s="63">
        <f>+'Working - Sugar + Cogen'!G29+'Working - Sugar + Cogen'!G30</f>
        <v>5168.4037580082204</v>
      </c>
      <c r="H189" s="63">
        <f>+'Working - Sugar + Cogen'!H29+'Working - Sugar + Cogen'!H30</f>
        <v>5097.6602158693058</v>
      </c>
      <c r="I189" s="63">
        <f>+'Working - Sugar + Cogen'!I29+'Working - Sugar + Cogen'!I30</f>
        <v>4402.5070573722633</v>
      </c>
      <c r="J189" s="63">
        <f>+'Working - Sugar + Cogen'!J29+'Working - Sugar + Cogen'!J30</f>
        <v>5198.5553530875031</v>
      </c>
      <c r="K189" s="63">
        <f>+'Working - Sugar + Cogen'!K29+'Working - Sugar + Cogen'!K30</f>
        <v>5851.0636801646933</v>
      </c>
      <c r="L189" s="63">
        <f>+'Working - Sugar + Cogen'!L29+'Working - Sugar + Cogen'!L30</f>
        <v>6154.587608573237</v>
      </c>
      <c r="M189" s="63">
        <f>+'Working - Sugar + Cogen'!M29+'Working - Sugar + Cogen'!M30</f>
        <v>6277.6793607447025</v>
      </c>
      <c r="N189" s="63">
        <f>+'Working - Sugar + Cogen'!N29+'Working - Sugar + Cogen'!N30</f>
        <v>6403.2329479595955</v>
      </c>
      <c r="O189" s="63">
        <f>+'Working - Sugar + Cogen'!O29+'Working - Sugar + Cogen'!O30</f>
        <v>6531.2976069187889</v>
      </c>
      <c r="P189" s="63">
        <f>+'Working - Sugar + Cogen'!P29+'Working - Sugar + Cogen'!P30</f>
        <v>6661.9235590571643</v>
      </c>
      <c r="Q189" s="63">
        <f>+'Working - Sugar + Cogen'!Q29+'Working - Sugar + Cogen'!Q30</f>
        <v>6795.1620302383071</v>
      </c>
      <c r="R189" s="63">
        <f>+'Working - Sugar + Cogen'!R29</f>
        <v>6822.7834742647747</v>
      </c>
      <c r="S189" s="63">
        <f>+'Working - Sugar + Cogen'!S29</f>
        <v>6959.2391437500701</v>
      </c>
      <c r="U189" s="1801">
        <v>4686.6226969970003</v>
      </c>
      <c r="V189" s="1801">
        <v>5359.3387451029994</v>
      </c>
      <c r="W189" s="1801">
        <v>5081.5118900310008</v>
      </c>
      <c r="X189" s="1801">
        <v>5011.9267109990005</v>
      </c>
      <c r="Y189" s="1801">
        <v>4333.3754498579992</v>
      </c>
      <c r="Z189" s="1801">
        <v>5117.34</v>
      </c>
      <c r="AA189" s="1801">
        <v>5759.6544000000004</v>
      </c>
      <c r="AB189" s="1801">
        <v>6058.4364720000003</v>
      </c>
      <c r="AC189" s="1801">
        <v>6179.6052014400011</v>
      </c>
      <c r="AD189" s="1801">
        <v>6303.1973054688006</v>
      </c>
      <c r="AE189" s="1801">
        <v>6429.2612515781775</v>
      </c>
      <c r="AF189" s="1801">
        <v>6557.8464766097404</v>
      </c>
      <c r="AG189" s="1801">
        <v>6689.0034061419356</v>
      </c>
    </row>
    <row r="190" spans="1:33" s="135" customFormat="1" x14ac:dyDescent="0.35">
      <c r="A190" s="168"/>
      <c r="B190" s="126" t="s">
        <v>43</v>
      </c>
      <c r="C190" s="78"/>
      <c r="D190" s="126"/>
      <c r="E190" s="63">
        <f>'P&amp;L'!E24+'Working - Sugar + Cogen'!E31+'Working - Sugar + Cogen'!E32</f>
        <v>542.73986923830546</v>
      </c>
      <c r="F190" s="63">
        <f>'P&amp;L'!F24+'Working - Sugar + Cogen'!F31+'Working - Sugar + Cogen'!F32</f>
        <v>651.02287169258432</v>
      </c>
      <c r="G190" s="63">
        <f>'P&amp;L'!G24+'Working - Sugar + Cogen'!G31+'Working - Sugar + Cogen'!G32</f>
        <v>663.51666870777967</v>
      </c>
      <c r="H190" s="63">
        <f>'P&amp;L'!H24+'Working - Sugar + Cogen'!H31+'Working - Sugar + Cogen'!H32</f>
        <v>861.37523663469437</v>
      </c>
      <c r="I190" s="63">
        <f>'P&amp;L'!I24+'Working - Sugar + Cogen'!I31+'Working - Sugar + Cogen'!I32</f>
        <v>787.40483700873563</v>
      </c>
      <c r="J190" s="63">
        <f>'P&amp;L'!J24+'Working - Sugar + Cogen'!J31+'Working - Sugar + Cogen'!J32</f>
        <v>728.83938979109701</v>
      </c>
      <c r="K190" s="63">
        <f>'P&amp;L'!K24+'Working - Sugar + Cogen'!K31+'Working - Sugar + Cogen'!K32</f>
        <v>791.73659972000723</v>
      </c>
      <c r="L190" s="63">
        <f>'P&amp;L'!L24+'Working - Sugar + Cogen'!L31+'Working - Sugar + Cogen'!L32</f>
        <v>828.53752488337</v>
      </c>
      <c r="M190" s="63">
        <f>'P&amp;L'!M24+'Working - Sugar + Cogen'!M31+'Working - Sugar + Cogen'!M32</f>
        <v>847.20089479951275</v>
      </c>
      <c r="N190" s="63">
        <f>'P&amp;L'!N24+'Working - Sugar + Cogen'!N31+'Working - Sugar + Cogen'!N32</f>
        <v>864.28064345802181</v>
      </c>
      <c r="O190" s="63">
        <f>'P&amp;L'!O24+'Working - Sugar + Cogen'!O31+'Working - Sugar + Cogen'!O32</f>
        <v>881.56922524611866</v>
      </c>
      <c r="P190" s="63">
        <f>'P&amp;L'!P24+'Working - Sugar + Cogen'!P31+'Working - Sugar + Cogen'!P32</f>
        <v>899.20060975104116</v>
      </c>
      <c r="Q190" s="63">
        <f>'P&amp;L'!Q24+'Working - Sugar + Cogen'!Q31+'Working - Sugar + Cogen'!Q32</f>
        <v>916.96860032766074</v>
      </c>
      <c r="R190" s="63">
        <f>'P&amp;L'!R24+'Working - Sugar + Cogen'!R31+'Working - Sugar + Cogen'!R32</f>
        <v>935.09195071581246</v>
      </c>
      <c r="S190" s="63">
        <f>'P&amp;L'!S24+'Working - Sugar + Cogen'!S31+'Working - Sugar + Cogen'!S32</f>
        <v>953.57776811172721</v>
      </c>
      <c r="U190" s="1801">
        <v>602.18246425000063</v>
      </c>
      <c r="V190" s="1801">
        <v>739.84011701200052</v>
      </c>
      <c r="W190" s="1801">
        <v>750.40853668499881</v>
      </c>
      <c r="X190" s="1801">
        <v>947.10874150500001</v>
      </c>
      <c r="Y190" s="1801">
        <v>856.536444523</v>
      </c>
      <c r="Z190" s="1801">
        <v>810.0547428786</v>
      </c>
      <c r="AA190" s="1801">
        <v>883.14587988470032</v>
      </c>
      <c r="AB190" s="1801">
        <v>924.6886614566065</v>
      </c>
      <c r="AC190" s="1801">
        <v>945.27505410421395</v>
      </c>
      <c r="AD190" s="1801">
        <v>964.31628594881727</v>
      </c>
      <c r="AE190" s="1801">
        <v>983.60558058672984</v>
      </c>
      <c r="AF190" s="1801">
        <v>1003.2776921984646</v>
      </c>
      <c r="AG190" s="1801">
        <v>1023.1272244240325</v>
      </c>
    </row>
    <row r="191" spans="1:33" s="135" customFormat="1" x14ac:dyDescent="0.35">
      <c r="A191" s="168"/>
      <c r="B191" s="126"/>
      <c r="C191" s="78"/>
      <c r="D191" s="126"/>
      <c r="E191" s="126"/>
      <c r="F191" s="126"/>
      <c r="G191" s="63"/>
      <c r="H191" s="63"/>
      <c r="I191" s="63"/>
      <c r="J191" s="63"/>
      <c r="K191" s="63"/>
      <c r="L191" s="63"/>
      <c r="M191" s="63"/>
      <c r="N191" s="63"/>
      <c r="O191" s="63"/>
      <c r="P191" s="63"/>
      <c r="Q191" s="63"/>
      <c r="R191" s="63"/>
      <c r="S191" s="63"/>
      <c r="U191" s="1801">
        <f>+U189-E189</f>
        <v>-59.442595011694721</v>
      </c>
      <c r="V191" s="1801">
        <f t="shared" ref="V191:AG191" si="110">+V189-F189</f>
        <v>-88.817245319416543</v>
      </c>
      <c r="W191" s="1801">
        <f t="shared" si="110"/>
        <v>-86.89186797721959</v>
      </c>
      <c r="X191" s="1801">
        <f t="shared" si="110"/>
        <v>-85.733504870305296</v>
      </c>
      <c r="Y191" s="1801">
        <f t="shared" si="110"/>
        <v>-69.131607514264033</v>
      </c>
      <c r="Z191" s="1801">
        <f t="shared" si="110"/>
        <v>-81.21535308750299</v>
      </c>
      <c r="AA191" s="1801">
        <f t="shared" si="110"/>
        <v>-91.409280164692973</v>
      </c>
      <c r="AB191" s="1801">
        <f t="shared" si="110"/>
        <v>-96.151136573236727</v>
      </c>
      <c r="AC191" s="1801">
        <f t="shared" si="110"/>
        <v>-98.074159304701425</v>
      </c>
      <c r="AD191" s="1801">
        <f t="shared" si="110"/>
        <v>-100.035642490795</v>
      </c>
      <c r="AE191" s="1801">
        <f t="shared" si="110"/>
        <v>-102.03635534061141</v>
      </c>
      <c r="AF191" s="1801">
        <f t="shared" si="110"/>
        <v>-104.07708244742389</v>
      </c>
      <c r="AG191" s="1801">
        <f t="shared" si="110"/>
        <v>-106.15862409637157</v>
      </c>
    </row>
    <row r="192" spans="1:33" s="135" customFormat="1" x14ac:dyDescent="0.35">
      <c r="A192" s="168"/>
      <c r="B192" s="106" t="s">
        <v>218</v>
      </c>
      <c r="C192" s="78"/>
      <c r="D192" s="126"/>
      <c r="E192" s="126"/>
      <c r="F192" s="126"/>
      <c r="G192" s="63"/>
      <c r="H192" s="63"/>
      <c r="I192" s="63"/>
      <c r="J192" s="63"/>
      <c r="K192" s="63"/>
      <c r="L192" s="63"/>
      <c r="M192" s="63"/>
      <c r="N192" s="63"/>
      <c r="O192" s="63"/>
      <c r="P192" s="63"/>
      <c r="Q192" s="63"/>
      <c r="R192" s="63"/>
      <c r="S192" s="63"/>
      <c r="U192" s="1801">
        <f>+U190-E190</f>
        <v>59.442595011695175</v>
      </c>
      <c r="V192" s="1801">
        <f t="shared" ref="V192:AG192" si="111">+V190-F190</f>
        <v>88.817245319416202</v>
      </c>
      <c r="W192" s="1801">
        <f t="shared" si="111"/>
        <v>86.891867977219135</v>
      </c>
      <c r="X192" s="1801">
        <f t="shared" si="111"/>
        <v>85.733504870305637</v>
      </c>
      <c r="Y192" s="1801">
        <f t="shared" si="111"/>
        <v>69.131607514264374</v>
      </c>
      <c r="Z192" s="1801">
        <f t="shared" si="111"/>
        <v>81.21535308750299</v>
      </c>
      <c r="AA192" s="1801">
        <f t="shared" si="111"/>
        <v>91.409280164693087</v>
      </c>
      <c r="AB192" s="1801">
        <f t="shared" si="111"/>
        <v>96.151136573236499</v>
      </c>
      <c r="AC192" s="1801">
        <f t="shared" si="111"/>
        <v>98.074159304701197</v>
      </c>
      <c r="AD192" s="1801">
        <f t="shared" si="111"/>
        <v>100.03564249079545</v>
      </c>
      <c r="AE192" s="1801">
        <f t="shared" si="111"/>
        <v>102.03635534061118</v>
      </c>
      <c r="AF192" s="1801">
        <f t="shared" si="111"/>
        <v>104.07708244742344</v>
      </c>
      <c r="AG192" s="1801">
        <f t="shared" si="111"/>
        <v>106.1586240963718</v>
      </c>
    </row>
    <row r="193" spans="1:21" s="135" customFormat="1" x14ac:dyDescent="0.35">
      <c r="A193" s="168"/>
      <c r="B193" s="126" t="s">
        <v>221</v>
      </c>
      <c r="C193" s="78"/>
      <c r="D193" s="126"/>
      <c r="E193" s="77">
        <v>0</v>
      </c>
      <c r="F193" s="77">
        <v>0</v>
      </c>
      <c r="G193" s="77">
        <v>2.2599999999999998</v>
      </c>
      <c r="H193" s="77">
        <v>2.4300000000000002</v>
      </c>
      <c r="I193" s="77">
        <v>2.38</v>
      </c>
      <c r="J193" s="63">
        <f>+I193</f>
        <v>2.38</v>
      </c>
      <c r="K193" s="63">
        <f t="shared" ref="K193:S193" si="112">+J193</f>
        <v>2.38</v>
      </c>
      <c r="L193" s="63">
        <f t="shared" si="112"/>
        <v>2.38</v>
      </c>
      <c r="M193" s="63">
        <f t="shared" si="112"/>
        <v>2.38</v>
      </c>
      <c r="N193" s="63">
        <f t="shared" si="112"/>
        <v>2.38</v>
      </c>
      <c r="O193" s="63">
        <f t="shared" si="112"/>
        <v>2.38</v>
      </c>
      <c r="P193" s="63">
        <f t="shared" si="112"/>
        <v>2.38</v>
      </c>
      <c r="Q193" s="63">
        <f t="shared" si="112"/>
        <v>2.38</v>
      </c>
      <c r="R193" s="63">
        <f t="shared" si="112"/>
        <v>2.38</v>
      </c>
      <c r="S193" s="63">
        <f t="shared" si="112"/>
        <v>2.38</v>
      </c>
    </row>
    <row r="194" spans="1:21" s="135" customFormat="1" x14ac:dyDescent="0.35">
      <c r="A194" s="168"/>
      <c r="B194" s="126" t="s">
        <v>222</v>
      </c>
      <c r="C194" s="78"/>
      <c r="D194" s="126"/>
      <c r="E194" s="77">
        <v>742.09</v>
      </c>
      <c r="F194" s="77">
        <v>639.98</v>
      </c>
      <c r="G194" s="77">
        <v>347.46</v>
      </c>
      <c r="H194" s="77">
        <v>579.09</v>
      </c>
      <c r="I194" s="77">
        <v>543.01</v>
      </c>
      <c r="J194" s="63">
        <v>0</v>
      </c>
      <c r="K194" s="63">
        <v>0</v>
      </c>
      <c r="L194" s="63">
        <v>0</v>
      </c>
      <c r="M194" s="63">
        <v>0</v>
      </c>
      <c r="N194" s="63">
        <v>0</v>
      </c>
      <c r="O194" s="63">
        <v>0</v>
      </c>
      <c r="P194" s="63">
        <v>0</v>
      </c>
      <c r="Q194" s="63">
        <v>0</v>
      </c>
      <c r="R194" s="63">
        <v>0</v>
      </c>
      <c r="S194" s="63">
        <v>0</v>
      </c>
      <c r="U194" s="135" t="s">
        <v>1675</v>
      </c>
    </row>
    <row r="195" spans="1:21" s="135" customFormat="1" x14ac:dyDescent="0.35">
      <c r="A195" s="168"/>
      <c r="B195" s="126" t="s">
        <v>264</v>
      </c>
      <c r="C195" s="78"/>
      <c r="D195" s="126"/>
      <c r="E195" s="77">
        <v>0</v>
      </c>
      <c r="F195" s="77">
        <v>0</v>
      </c>
      <c r="G195" s="77">
        <v>0</v>
      </c>
      <c r="H195" s="77">
        <v>0</v>
      </c>
      <c r="I195" s="77">
        <v>0</v>
      </c>
      <c r="J195" s="63">
        <f>I195</f>
        <v>0</v>
      </c>
      <c r="K195" s="63">
        <f t="shared" ref="K195:S195" si="113">J195</f>
        <v>0</v>
      </c>
      <c r="L195" s="63">
        <f t="shared" si="113"/>
        <v>0</v>
      </c>
      <c r="M195" s="63">
        <f t="shared" si="113"/>
        <v>0</v>
      </c>
      <c r="N195" s="63">
        <f t="shared" si="113"/>
        <v>0</v>
      </c>
      <c r="O195" s="63">
        <f t="shared" si="113"/>
        <v>0</v>
      </c>
      <c r="P195" s="63">
        <f t="shared" si="113"/>
        <v>0</v>
      </c>
      <c r="Q195" s="63">
        <f t="shared" si="113"/>
        <v>0</v>
      </c>
      <c r="R195" s="63">
        <f t="shared" si="113"/>
        <v>0</v>
      </c>
      <c r="S195" s="63">
        <f t="shared" si="113"/>
        <v>0</v>
      </c>
      <c r="U195" s="135" t="s">
        <v>1676</v>
      </c>
    </row>
    <row r="196" spans="1:21" s="135" customFormat="1" x14ac:dyDescent="0.35">
      <c r="A196" s="168"/>
      <c r="B196" s="126" t="s">
        <v>219</v>
      </c>
      <c r="C196" s="78"/>
      <c r="D196" s="126"/>
      <c r="E196" s="77">
        <v>0.39</v>
      </c>
      <c r="F196" s="77">
        <v>0.21</v>
      </c>
      <c r="G196" s="77">
        <v>0.12</v>
      </c>
      <c r="H196" s="77">
        <v>0</v>
      </c>
      <c r="I196" s="77"/>
      <c r="J196" s="63">
        <v>0</v>
      </c>
      <c r="K196" s="63">
        <v>0</v>
      </c>
      <c r="L196" s="63">
        <v>0</v>
      </c>
      <c r="M196" s="63">
        <v>0</v>
      </c>
      <c r="N196" s="63">
        <v>0</v>
      </c>
      <c r="O196" s="63">
        <v>0</v>
      </c>
      <c r="P196" s="63">
        <v>0</v>
      </c>
      <c r="Q196" s="63">
        <v>0</v>
      </c>
      <c r="R196" s="63">
        <v>0</v>
      </c>
      <c r="S196" s="63">
        <v>0</v>
      </c>
    </row>
    <row r="197" spans="1:21" s="135" customFormat="1" x14ac:dyDescent="0.35">
      <c r="A197" s="168"/>
      <c r="B197" s="126" t="s">
        <v>220</v>
      </c>
      <c r="C197" s="78"/>
      <c r="D197" s="126"/>
      <c r="E197" s="77">
        <v>30.47</v>
      </c>
      <c r="F197" s="77">
        <v>23.52</v>
      </c>
      <c r="G197" s="77">
        <v>17.7</v>
      </c>
      <c r="H197" s="77">
        <v>15.24</v>
      </c>
      <c r="I197" s="77">
        <v>0.92</v>
      </c>
      <c r="J197" s="63">
        <v>0</v>
      </c>
      <c r="K197" s="63">
        <v>0</v>
      </c>
      <c r="L197" s="63">
        <v>0</v>
      </c>
      <c r="M197" s="63">
        <v>0</v>
      </c>
      <c r="N197" s="63">
        <v>0</v>
      </c>
      <c r="O197" s="63">
        <v>0</v>
      </c>
      <c r="P197" s="63">
        <v>0</v>
      </c>
      <c r="Q197" s="63">
        <v>0</v>
      </c>
      <c r="R197" s="63">
        <v>0</v>
      </c>
      <c r="S197" s="63">
        <v>0</v>
      </c>
    </row>
    <row r="198" spans="1:21" s="135" customFormat="1" x14ac:dyDescent="0.35">
      <c r="A198" s="168"/>
      <c r="B198" s="126" t="s">
        <v>223</v>
      </c>
      <c r="C198" s="78"/>
      <c r="D198" s="126"/>
      <c r="E198" s="77">
        <v>0</v>
      </c>
      <c r="F198" s="77">
        <v>0</v>
      </c>
      <c r="G198" s="77">
        <v>22.56</v>
      </c>
      <c r="H198" s="77">
        <v>0</v>
      </c>
      <c r="I198" s="77">
        <v>78.37</v>
      </c>
      <c r="J198" s="63">
        <v>0</v>
      </c>
      <c r="K198" s="63">
        <v>0</v>
      </c>
      <c r="L198" s="63">
        <v>0</v>
      </c>
      <c r="M198" s="63">
        <v>0</v>
      </c>
      <c r="N198" s="63">
        <v>0</v>
      </c>
      <c r="O198" s="63">
        <v>0</v>
      </c>
      <c r="P198" s="63">
        <v>0</v>
      </c>
      <c r="Q198" s="63">
        <v>0</v>
      </c>
      <c r="R198" s="63">
        <v>0</v>
      </c>
      <c r="S198" s="63">
        <v>0</v>
      </c>
    </row>
    <row r="199" spans="1:21" s="135" customFormat="1" x14ac:dyDescent="0.35">
      <c r="A199" s="168"/>
      <c r="B199" s="126" t="s">
        <v>224</v>
      </c>
      <c r="C199" s="78"/>
      <c r="D199" s="126"/>
      <c r="E199" s="77">
        <v>0.37</v>
      </c>
      <c r="F199" s="77">
        <v>0.2</v>
      </c>
      <c r="G199" s="77">
        <v>0.06</v>
      </c>
      <c r="H199" s="77">
        <v>0</v>
      </c>
      <c r="I199" s="77">
        <v>1E-4</v>
      </c>
      <c r="J199" s="63">
        <v>0</v>
      </c>
      <c r="K199" s="63">
        <v>0</v>
      </c>
      <c r="L199" s="63">
        <v>0</v>
      </c>
      <c r="M199" s="63">
        <v>0</v>
      </c>
      <c r="N199" s="63">
        <v>0</v>
      </c>
      <c r="O199" s="63">
        <v>0</v>
      </c>
      <c r="P199" s="63">
        <v>0</v>
      </c>
      <c r="Q199" s="63">
        <v>0</v>
      </c>
      <c r="R199" s="63">
        <v>0</v>
      </c>
      <c r="S199" s="63">
        <v>0</v>
      </c>
    </row>
    <row r="200" spans="1:21" s="583" customFormat="1" x14ac:dyDescent="0.35">
      <c r="A200" s="586"/>
      <c r="B200" s="581" t="s">
        <v>1574</v>
      </c>
      <c r="C200" s="579"/>
      <c r="D200" s="581"/>
      <c r="E200" s="77"/>
      <c r="F200" s="77"/>
      <c r="G200" s="77"/>
      <c r="H200" s="77"/>
      <c r="I200" s="77"/>
      <c r="J200" s="63"/>
      <c r="K200" s="63"/>
      <c r="L200" s="63"/>
      <c r="M200" s="63"/>
      <c r="N200" s="63"/>
      <c r="O200" s="63"/>
      <c r="P200" s="63"/>
      <c r="Q200" s="63"/>
      <c r="R200" s="63"/>
      <c r="S200" s="63"/>
    </row>
    <row r="201" spans="1:21" s="135" customFormat="1" x14ac:dyDescent="0.35">
      <c r="A201" s="168"/>
      <c r="B201" s="106" t="s">
        <v>517</v>
      </c>
      <c r="C201" s="78"/>
      <c r="D201" s="126"/>
      <c r="E201" s="107">
        <f t="shared" ref="E201:J201" si="114">SUM(E193:E200)</f>
        <v>773.32</v>
      </c>
      <c r="F201" s="107">
        <f t="shared" si="114"/>
        <v>663.91000000000008</v>
      </c>
      <c r="G201" s="107">
        <f t="shared" si="114"/>
        <v>390.15999999999997</v>
      </c>
      <c r="H201" s="107">
        <f t="shared" si="114"/>
        <v>596.76</v>
      </c>
      <c r="I201" s="107">
        <f>SUM(I193:I200)</f>
        <v>624.68009999999992</v>
      </c>
      <c r="J201" s="107">
        <f t="shared" si="114"/>
        <v>2.38</v>
      </c>
      <c r="K201" s="107">
        <f t="shared" ref="K201:S201" si="115">SUM(K193:K200)</f>
        <v>2.38</v>
      </c>
      <c r="L201" s="107">
        <f t="shared" si="115"/>
        <v>2.38</v>
      </c>
      <c r="M201" s="107">
        <f t="shared" si="115"/>
        <v>2.38</v>
      </c>
      <c r="N201" s="107">
        <f t="shared" si="115"/>
        <v>2.38</v>
      </c>
      <c r="O201" s="107">
        <f t="shared" si="115"/>
        <v>2.38</v>
      </c>
      <c r="P201" s="107">
        <f t="shared" si="115"/>
        <v>2.38</v>
      </c>
      <c r="Q201" s="107">
        <f t="shared" si="115"/>
        <v>2.38</v>
      </c>
      <c r="R201" s="107">
        <f t="shared" si="115"/>
        <v>2.38</v>
      </c>
      <c r="S201" s="107">
        <f t="shared" si="115"/>
        <v>2.38</v>
      </c>
    </row>
    <row r="202" spans="1:21" x14ac:dyDescent="0.35">
      <c r="E202" s="582"/>
      <c r="G202" s="582"/>
      <c r="J202" s="172"/>
    </row>
    <row r="203" spans="1:21" s="33" customFormat="1" x14ac:dyDescent="0.35">
      <c r="B203" s="85" t="s">
        <v>723</v>
      </c>
      <c r="C203" s="85"/>
      <c r="D203" s="85"/>
      <c r="E203" s="85"/>
      <c r="F203" s="85"/>
      <c r="G203" s="85"/>
      <c r="H203" s="85"/>
      <c r="I203" s="85"/>
      <c r="J203" s="85"/>
      <c r="K203" s="85"/>
      <c r="L203" s="85"/>
      <c r="M203" s="85"/>
      <c r="N203" s="85"/>
      <c r="O203" s="85"/>
      <c r="P203" s="85"/>
      <c r="Q203" s="85"/>
      <c r="R203" s="85"/>
      <c r="S203" s="85"/>
    </row>
    <row r="204" spans="1:21" s="33" customFormat="1" x14ac:dyDescent="0.35">
      <c r="B204" s="126" t="s">
        <v>724</v>
      </c>
      <c r="C204" s="126"/>
      <c r="D204" s="126"/>
      <c r="E204" s="63"/>
      <c r="F204" s="63"/>
      <c r="G204" s="63"/>
      <c r="H204" s="77">
        <v>49.88</v>
      </c>
      <c r="I204" s="77">
        <v>35.85</v>
      </c>
      <c r="J204" s="63">
        <f>I204</f>
        <v>35.85</v>
      </c>
      <c r="K204" s="63">
        <f>J204</f>
        <v>35.85</v>
      </c>
      <c r="L204" s="63">
        <f t="shared" ref="L204:S204" si="116">K204</f>
        <v>35.85</v>
      </c>
      <c r="M204" s="63">
        <f t="shared" si="116"/>
        <v>35.85</v>
      </c>
      <c r="N204" s="63">
        <f t="shared" si="116"/>
        <v>35.85</v>
      </c>
      <c r="O204" s="63">
        <f t="shared" si="116"/>
        <v>35.85</v>
      </c>
      <c r="P204" s="63">
        <f t="shared" si="116"/>
        <v>35.85</v>
      </c>
      <c r="Q204" s="63">
        <f t="shared" si="116"/>
        <v>35.85</v>
      </c>
      <c r="R204" s="63">
        <f t="shared" si="116"/>
        <v>35.85</v>
      </c>
      <c r="S204" s="63">
        <f t="shared" si="116"/>
        <v>35.85</v>
      </c>
    </row>
    <row r="205" spans="1:21" s="33" customFormat="1" x14ac:dyDescent="0.35">
      <c r="B205" s="126" t="s">
        <v>725</v>
      </c>
      <c r="C205" s="126"/>
      <c r="D205" s="126"/>
      <c r="E205" s="63"/>
      <c r="F205" s="63"/>
      <c r="G205" s="63"/>
      <c r="H205" s="77">
        <v>14.96</v>
      </c>
      <c r="I205" s="77">
        <f>219529536.9/10^7</f>
        <v>21.952953690000001</v>
      </c>
      <c r="J205" s="63">
        <f>I205</f>
        <v>21.952953690000001</v>
      </c>
      <c r="K205" s="63">
        <f>J205</f>
        <v>21.952953690000001</v>
      </c>
      <c r="L205" s="63">
        <f t="shared" ref="L205:S205" si="117">K205</f>
        <v>21.952953690000001</v>
      </c>
      <c r="M205" s="63">
        <f t="shared" si="117"/>
        <v>21.952953690000001</v>
      </c>
      <c r="N205" s="63">
        <f t="shared" si="117"/>
        <v>21.952953690000001</v>
      </c>
      <c r="O205" s="63">
        <f t="shared" si="117"/>
        <v>21.952953690000001</v>
      </c>
      <c r="P205" s="63">
        <f t="shared" si="117"/>
        <v>21.952953690000001</v>
      </c>
      <c r="Q205" s="63">
        <f t="shared" si="117"/>
        <v>21.952953690000001</v>
      </c>
      <c r="R205" s="63">
        <f t="shared" si="117"/>
        <v>21.952953690000001</v>
      </c>
      <c r="S205" s="63">
        <f t="shared" si="117"/>
        <v>21.952953690000001</v>
      </c>
    </row>
    <row r="206" spans="1:21" s="33" customFormat="1" x14ac:dyDescent="0.35">
      <c r="B206" s="126" t="s">
        <v>726</v>
      </c>
      <c r="C206" s="126"/>
      <c r="D206" s="126"/>
      <c r="E206" s="63"/>
      <c r="F206" s="63"/>
      <c r="G206" s="63"/>
      <c r="H206" s="77">
        <v>0</v>
      </c>
      <c r="I206" s="77">
        <v>0</v>
      </c>
      <c r="J206" s="63">
        <f>I206</f>
        <v>0</v>
      </c>
      <c r="K206" s="63">
        <f t="shared" ref="K206:S206" si="118">J206</f>
        <v>0</v>
      </c>
      <c r="L206" s="63">
        <f t="shared" si="118"/>
        <v>0</v>
      </c>
      <c r="M206" s="63">
        <f t="shared" si="118"/>
        <v>0</v>
      </c>
      <c r="N206" s="63">
        <f t="shared" si="118"/>
        <v>0</v>
      </c>
      <c r="O206" s="63">
        <f t="shared" si="118"/>
        <v>0</v>
      </c>
      <c r="P206" s="63">
        <f t="shared" si="118"/>
        <v>0</v>
      </c>
      <c r="Q206" s="63">
        <f t="shared" si="118"/>
        <v>0</v>
      </c>
      <c r="R206" s="63">
        <f t="shared" si="118"/>
        <v>0</v>
      </c>
      <c r="S206" s="63">
        <f t="shared" si="118"/>
        <v>0</v>
      </c>
    </row>
    <row r="207" spans="1:21" s="33" customFormat="1" x14ac:dyDescent="0.35">
      <c r="B207" s="126" t="s">
        <v>727</v>
      </c>
      <c r="C207" s="126"/>
      <c r="D207" s="126"/>
      <c r="E207" s="63"/>
      <c r="F207" s="63"/>
      <c r="G207" s="63"/>
      <c r="H207" s="77">
        <v>3.13</v>
      </c>
      <c r="I207" s="77">
        <f>(20847578+10494087)/10^7</f>
        <v>3.1341665000000001</v>
      </c>
      <c r="J207" s="63">
        <f>I207</f>
        <v>3.1341665000000001</v>
      </c>
      <c r="K207" s="63">
        <f t="shared" ref="K207:S207" si="119">J207</f>
        <v>3.1341665000000001</v>
      </c>
      <c r="L207" s="63">
        <f t="shared" si="119"/>
        <v>3.1341665000000001</v>
      </c>
      <c r="M207" s="63">
        <f t="shared" si="119"/>
        <v>3.1341665000000001</v>
      </c>
      <c r="N207" s="63">
        <f t="shared" si="119"/>
        <v>3.1341665000000001</v>
      </c>
      <c r="O207" s="63">
        <f t="shared" si="119"/>
        <v>3.1341665000000001</v>
      </c>
      <c r="P207" s="63">
        <f t="shared" si="119"/>
        <v>3.1341665000000001</v>
      </c>
      <c r="Q207" s="63">
        <f t="shared" si="119"/>
        <v>3.1341665000000001</v>
      </c>
      <c r="R207" s="63">
        <f t="shared" si="119"/>
        <v>3.1341665000000001</v>
      </c>
      <c r="S207" s="63">
        <f t="shared" si="119"/>
        <v>3.1341665000000001</v>
      </c>
    </row>
    <row r="208" spans="1:21" s="33" customFormat="1" x14ac:dyDescent="0.35">
      <c r="B208" s="126" t="s">
        <v>728</v>
      </c>
      <c r="C208" s="126"/>
      <c r="D208" s="126"/>
      <c r="E208" s="63"/>
      <c r="F208" s="63"/>
      <c r="G208" s="63"/>
      <c r="H208" s="77">
        <v>9.6300000000000008</v>
      </c>
      <c r="I208" s="77">
        <f>126494313.64/10^7</f>
        <v>12.649431364</v>
      </c>
      <c r="J208" s="63">
        <f>I208</f>
        <v>12.649431364</v>
      </c>
      <c r="K208" s="63">
        <f t="shared" ref="K208:S208" si="120">J208</f>
        <v>12.649431364</v>
      </c>
      <c r="L208" s="63">
        <f t="shared" si="120"/>
        <v>12.649431364</v>
      </c>
      <c r="M208" s="63">
        <f t="shared" si="120"/>
        <v>12.649431364</v>
      </c>
      <c r="N208" s="63">
        <f t="shared" si="120"/>
        <v>12.649431364</v>
      </c>
      <c r="O208" s="63">
        <f t="shared" si="120"/>
        <v>12.649431364</v>
      </c>
      <c r="P208" s="63">
        <f t="shared" si="120"/>
        <v>12.649431364</v>
      </c>
      <c r="Q208" s="63">
        <f t="shared" si="120"/>
        <v>12.649431364</v>
      </c>
      <c r="R208" s="63">
        <f t="shared" si="120"/>
        <v>12.649431364</v>
      </c>
      <c r="S208" s="63">
        <f t="shared" si="120"/>
        <v>12.649431364</v>
      </c>
    </row>
    <row r="209" spans="2:19" s="33" customFormat="1" x14ac:dyDescent="0.35">
      <c r="B209" s="126" t="s">
        <v>729</v>
      </c>
      <c r="C209" s="126"/>
      <c r="D209" s="126"/>
      <c r="E209" s="63"/>
      <c r="F209" s="63"/>
      <c r="G209" s="63"/>
      <c r="H209" s="77">
        <v>0.87000000000000455</v>
      </c>
      <c r="I209" s="77">
        <v>0.95</v>
      </c>
      <c r="J209" s="63">
        <f>I209</f>
        <v>0.95</v>
      </c>
      <c r="K209" s="63">
        <f t="shared" ref="K209:S209" si="121">J209</f>
        <v>0.95</v>
      </c>
      <c r="L209" s="63">
        <f t="shared" si="121"/>
        <v>0.95</v>
      </c>
      <c r="M209" s="63">
        <f t="shared" si="121"/>
        <v>0.95</v>
      </c>
      <c r="N209" s="63">
        <f t="shared" si="121"/>
        <v>0.95</v>
      </c>
      <c r="O209" s="63">
        <f t="shared" si="121"/>
        <v>0.95</v>
      </c>
      <c r="P209" s="63">
        <f t="shared" si="121"/>
        <v>0.95</v>
      </c>
      <c r="Q209" s="63">
        <f t="shared" si="121"/>
        <v>0.95</v>
      </c>
      <c r="R209" s="63">
        <f t="shared" si="121"/>
        <v>0.95</v>
      </c>
      <c r="S209" s="63">
        <f t="shared" si="121"/>
        <v>0.95</v>
      </c>
    </row>
    <row r="210" spans="2:19" s="33" customFormat="1" x14ac:dyDescent="0.35">
      <c r="B210" s="106" t="s">
        <v>36</v>
      </c>
      <c r="C210" s="106"/>
      <c r="D210" s="106"/>
      <c r="E210" s="107">
        <f>SUM(E204:E209)</f>
        <v>0</v>
      </c>
      <c r="F210" s="355">
        <v>93.32</v>
      </c>
      <c r="G210" s="355">
        <v>104.04</v>
      </c>
      <c r="H210" s="107">
        <f>SUM(H204:H209)</f>
        <v>78.47</v>
      </c>
      <c r="I210" s="107">
        <f t="shared" ref="I210:R210" si="122">SUM(I204:I209)</f>
        <v>74.536551553999999</v>
      </c>
      <c r="J210" s="107">
        <f>SUM(J204:J209)</f>
        <v>74.536551553999999</v>
      </c>
      <c r="K210" s="107">
        <f t="shared" si="122"/>
        <v>74.536551553999999</v>
      </c>
      <c r="L210" s="107">
        <f t="shared" si="122"/>
        <v>74.536551553999999</v>
      </c>
      <c r="M210" s="107">
        <f t="shared" si="122"/>
        <v>74.536551553999999</v>
      </c>
      <c r="N210" s="107">
        <f t="shared" si="122"/>
        <v>74.536551553999999</v>
      </c>
      <c r="O210" s="107">
        <f t="shared" si="122"/>
        <v>74.536551553999999</v>
      </c>
      <c r="P210" s="107">
        <f t="shared" si="122"/>
        <v>74.536551553999999</v>
      </c>
      <c r="Q210" s="107">
        <f t="shared" si="122"/>
        <v>74.536551553999999</v>
      </c>
      <c r="R210" s="107">
        <f t="shared" si="122"/>
        <v>74.536551553999999</v>
      </c>
      <c r="S210" s="107">
        <f>SUM(S204:S209)</f>
        <v>74.536551553999999</v>
      </c>
    </row>
    <row r="211" spans="2:19" s="33" customFormat="1" x14ac:dyDescent="0.35">
      <c r="H211" s="1703"/>
      <c r="I211" s="1694"/>
    </row>
    <row r="212" spans="2:19" s="33" customFormat="1" x14ac:dyDescent="0.35">
      <c r="B212" s="85" t="s">
        <v>730</v>
      </c>
      <c r="C212" s="85"/>
      <c r="D212" s="85"/>
      <c r="E212" s="85"/>
      <c r="F212" s="85"/>
      <c r="G212" s="85"/>
      <c r="H212" s="1704"/>
      <c r="I212" s="85"/>
      <c r="J212" s="85"/>
      <c r="K212" s="85"/>
      <c r="L212" s="85"/>
      <c r="M212" s="85"/>
      <c r="N212" s="85"/>
      <c r="O212" s="85"/>
      <c r="P212" s="85"/>
      <c r="Q212" s="85"/>
      <c r="R212" s="85"/>
      <c r="S212" s="85"/>
    </row>
    <row r="213" spans="2:19" s="641" customFormat="1" x14ac:dyDescent="0.35">
      <c r="B213" s="581" t="s">
        <v>1645</v>
      </c>
      <c r="C213" s="106"/>
      <c r="D213" s="106"/>
      <c r="E213" s="106"/>
      <c r="F213" s="106"/>
      <c r="G213" s="106"/>
      <c r="H213" s="106"/>
      <c r="I213" s="1716">
        <v>1000</v>
      </c>
      <c r="J213" s="63">
        <v>0</v>
      </c>
      <c r="K213" s="63">
        <v>0</v>
      </c>
      <c r="L213" s="63">
        <v>0</v>
      </c>
      <c r="M213" s="63">
        <v>0</v>
      </c>
      <c r="N213" s="63">
        <v>0</v>
      </c>
      <c r="O213" s="63">
        <v>0</v>
      </c>
      <c r="P213" s="63">
        <v>0</v>
      </c>
      <c r="Q213" s="63">
        <v>0</v>
      </c>
      <c r="R213" s="63">
        <v>0</v>
      </c>
      <c r="S213" s="63">
        <v>0</v>
      </c>
    </row>
    <row r="214" spans="2:19" s="33" customFormat="1" x14ac:dyDescent="0.35">
      <c r="B214" s="126" t="s">
        <v>731</v>
      </c>
      <c r="C214" s="126"/>
      <c r="D214" s="126"/>
      <c r="E214" s="63"/>
      <c r="F214" s="63"/>
      <c r="G214" s="63"/>
      <c r="H214" s="77">
        <v>1.4</v>
      </c>
      <c r="I214" s="77">
        <f>13965779/10^7</f>
        <v>1.3965779</v>
      </c>
      <c r="J214" s="63">
        <f t="shared" ref="J214:J225" si="123">I214</f>
        <v>1.3965779</v>
      </c>
      <c r="K214" s="63">
        <f t="shared" ref="K214:S214" si="124">J214</f>
        <v>1.3965779</v>
      </c>
      <c r="L214" s="63">
        <f t="shared" si="124"/>
        <v>1.3965779</v>
      </c>
      <c r="M214" s="63">
        <f t="shared" si="124"/>
        <v>1.3965779</v>
      </c>
      <c r="N214" s="63">
        <f t="shared" si="124"/>
        <v>1.3965779</v>
      </c>
      <c r="O214" s="63">
        <f t="shared" si="124"/>
        <v>1.3965779</v>
      </c>
      <c r="P214" s="63">
        <f t="shared" si="124"/>
        <v>1.3965779</v>
      </c>
      <c r="Q214" s="63">
        <f t="shared" si="124"/>
        <v>1.3965779</v>
      </c>
      <c r="R214" s="63">
        <f t="shared" si="124"/>
        <v>1.3965779</v>
      </c>
      <c r="S214" s="63">
        <f t="shared" si="124"/>
        <v>1.3965779</v>
      </c>
    </row>
    <row r="215" spans="2:19" s="33" customFormat="1" x14ac:dyDescent="0.35">
      <c r="B215" s="126" t="s">
        <v>732</v>
      </c>
      <c r="C215" s="126"/>
      <c r="D215" s="126"/>
      <c r="E215" s="63"/>
      <c r="F215" s="63"/>
      <c r="G215" s="63"/>
      <c r="H215" s="77">
        <v>0.17</v>
      </c>
      <c r="I215" s="77">
        <f>1718758/10^7</f>
        <v>0.1718758</v>
      </c>
      <c r="J215" s="63">
        <f t="shared" si="123"/>
        <v>0.1718758</v>
      </c>
      <c r="K215" s="63">
        <f t="shared" ref="K215:S215" si="125">J215</f>
        <v>0.1718758</v>
      </c>
      <c r="L215" s="63">
        <f t="shared" si="125"/>
        <v>0.1718758</v>
      </c>
      <c r="M215" s="63">
        <f t="shared" si="125"/>
        <v>0.1718758</v>
      </c>
      <c r="N215" s="63">
        <f t="shared" si="125"/>
        <v>0.1718758</v>
      </c>
      <c r="O215" s="63">
        <f t="shared" si="125"/>
        <v>0.1718758</v>
      </c>
      <c r="P215" s="63">
        <f t="shared" si="125"/>
        <v>0.1718758</v>
      </c>
      <c r="Q215" s="63">
        <f t="shared" si="125"/>
        <v>0.1718758</v>
      </c>
      <c r="R215" s="63">
        <f t="shared" si="125"/>
        <v>0.1718758</v>
      </c>
      <c r="S215" s="63">
        <f t="shared" si="125"/>
        <v>0.1718758</v>
      </c>
    </row>
    <row r="216" spans="2:19" s="33" customFormat="1" x14ac:dyDescent="0.35">
      <c r="B216" s="126" t="s">
        <v>733</v>
      </c>
      <c r="C216" s="126"/>
      <c r="D216" s="126"/>
      <c r="E216" s="63"/>
      <c r="F216" s="63"/>
      <c r="G216" s="63"/>
      <c r="H216" s="77">
        <v>1.21</v>
      </c>
      <c r="I216" s="77">
        <f>12125142/10^7</f>
        <v>1.2125142</v>
      </c>
      <c r="J216" s="63">
        <f t="shared" si="123"/>
        <v>1.2125142</v>
      </c>
      <c r="K216" s="63">
        <f t="shared" ref="K216:S216" si="126">J216</f>
        <v>1.2125142</v>
      </c>
      <c r="L216" s="63">
        <f t="shared" si="126"/>
        <v>1.2125142</v>
      </c>
      <c r="M216" s="63">
        <f t="shared" si="126"/>
        <v>1.2125142</v>
      </c>
      <c r="N216" s="63">
        <f t="shared" si="126"/>
        <v>1.2125142</v>
      </c>
      <c r="O216" s="63">
        <f t="shared" si="126"/>
        <v>1.2125142</v>
      </c>
      <c r="P216" s="63">
        <f t="shared" si="126"/>
        <v>1.2125142</v>
      </c>
      <c r="Q216" s="63">
        <f t="shared" si="126"/>
        <v>1.2125142</v>
      </c>
      <c r="R216" s="63">
        <f t="shared" si="126"/>
        <v>1.2125142</v>
      </c>
      <c r="S216" s="63">
        <f t="shared" si="126"/>
        <v>1.2125142</v>
      </c>
    </row>
    <row r="217" spans="2:19" s="33" customFormat="1" x14ac:dyDescent="0.35">
      <c r="B217" s="126" t="s">
        <v>734</v>
      </c>
      <c r="C217" s="126"/>
      <c r="D217" s="126"/>
      <c r="E217" s="63"/>
      <c r="F217" s="63"/>
      <c r="G217" s="63"/>
      <c r="H217" s="77">
        <v>0.47</v>
      </c>
      <c r="I217" s="77">
        <f>4550591/10^7</f>
        <v>0.45505909999999999</v>
      </c>
      <c r="J217" s="63">
        <f t="shared" si="123"/>
        <v>0.45505909999999999</v>
      </c>
      <c r="K217" s="63">
        <f t="shared" ref="K217:S217" si="127">J217</f>
        <v>0.45505909999999999</v>
      </c>
      <c r="L217" s="63">
        <f t="shared" si="127"/>
        <v>0.45505909999999999</v>
      </c>
      <c r="M217" s="63">
        <f t="shared" si="127"/>
        <v>0.45505909999999999</v>
      </c>
      <c r="N217" s="63">
        <f t="shared" si="127"/>
        <v>0.45505909999999999</v>
      </c>
      <c r="O217" s="63">
        <f t="shared" si="127"/>
        <v>0.45505909999999999</v>
      </c>
      <c r="P217" s="63">
        <f t="shared" si="127"/>
        <v>0.45505909999999999</v>
      </c>
      <c r="Q217" s="63">
        <f t="shared" si="127"/>
        <v>0.45505909999999999</v>
      </c>
      <c r="R217" s="63">
        <f t="shared" si="127"/>
        <v>0.45505909999999999</v>
      </c>
      <c r="S217" s="63">
        <f t="shared" si="127"/>
        <v>0.45505909999999999</v>
      </c>
    </row>
    <row r="218" spans="2:19" s="33" customFormat="1" x14ac:dyDescent="0.35">
      <c r="B218" s="126" t="s">
        <v>735</v>
      </c>
      <c r="C218" s="126"/>
      <c r="D218" s="126"/>
      <c r="E218" s="63"/>
      <c r="F218" s="63"/>
      <c r="G218" s="63"/>
      <c r="H218" s="77">
        <v>17.41</v>
      </c>
      <c r="I218" s="77">
        <v>15.331923738</v>
      </c>
      <c r="J218" s="63">
        <f t="shared" si="123"/>
        <v>15.331923738</v>
      </c>
      <c r="K218" s="63">
        <f t="shared" ref="K218:S218" si="128">J218</f>
        <v>15.331923738</v>
      </c>
      <c r="L218" s="63">
        <f t="shared" si="128"/>
        <v>15.331923738</v>
      </c>
      <c r="M218" s="63">
        <f t="shared" si="128"/>
        <v>15.331923738</v>
      </c>
      <c r="N218" s="63">
        <f t="shared" si="128"/>
        <v>15.331923738</v>
      </c>
      <c r="O218" s="63">
        <f t="shared" si="128"/>
        <v>15.331923738</v>
      </c>
      <c r="P218" s="63">
        <f t="shared" si="128"/>
        <v>15.331923738</v>
      </c>
      <c r="Q218" s="63">
        <f t="shared" si="128"/>
        <v>15.331923738</v>
      </c>
      <c r="R218" s="63">
        <f t="shared" si="128"/>
        <v>15.331923738</v>
      </c>
      <c r="S218" s="63">
        <f t="shared" si="128"/>
        <v>15.331923738</v>
      </c>
    </row>
    <row r="219" spans="2:19" s="33" customFormat="1" x14ac:dyDescent="0.35">
      <c r="B219" s="126" t="s">
        <v>736</v>
      </c>
      <c r="C219" s="126"/>
      <c r="D219" s="126"/>
      <c r="E219" s="63"/>
      <c r="F219" s="63"/>
      <c r="G219" s="63"/>
      <c r="H219" s="77">
        <v>1.27</v>
      </c>
      <c r="I219" s="77">
        <f>12668006/10^7</f>
        <v>1.2668006000000001</v>
      </c>
      <c r="J219" s="63">
        <f t="shared" si="123"/>
        <v>1.2668006000000001</v>
      </c>
      <c r="K219" s="63">
        <f t="shared" ref="K219:S219" si="129">J219</f>
        <v>1.2668006000000001</v>
      </c>
      <c r="L219" s="63">
        <f t="shared" si="129"/>
        <v>1.2668006000000001</v>
      </c>
      <c r="M219" s="63">
        <f t="shared" si="129"/>
        <v>1.2668006000000001</v>
      </c>
      <c r="N219" s="63">
        <f t="shared" si="129"/>
        <v>1.2668006000000001</v>
      </c>
      <c r="O219" s="63">
        <f t="shared" si="129"/>
        <v>1.2668006000000001</v>
      </c>
      <c r="P219" s="63">
        <f t="shared" si="129"/>
        <v>1.2668006000000001</v>
      </c>
      <c r="Q219" s="63">
        <f t="shared" si="129"/>
        <v>1.2668006000000001</v>
      </c>
      <c r="R219" s="63">
        <f t="shared" si="129"/>
        <v>1.2668006000000001</v>
      </c>
      <c r="S219" s="63">
        <f t="shared" si="129"/>
        <v>1.2668006000000001</v>
      </c>
    </row>
    <row r="220" spans="2:19" s="33" customFormat="1" x14ac:dyDescent="0.35">
      <c r="B220" s="126" t="s">
        <v>737</v>
      </c>
      <c r="C220" s="126"/>
      <c r="D220" s="126"/>
      <c r="E220" s="63"/>
      <c r="F220" s="63"/>
      <c r="G220" s="63"/>
      <c r="H220" s="77">
        <v>7.37</v>
      </c>
      <c r="I220" s="77">
        <f>70689129.12/10^7</f>
        <v>7.068912912</v>
      </c>
      <c r="J220" s="63">
        <f t="shared" si="123"/>
        <v>7.068912912</v>
      </c>
      <c r="K220" s="63">
        <f t="shared" ref="K220:S220" si="130">J220</f>
        <v>7.068912912</v>
      </c>
      <c r="L220" s="63">
        <f t="shared" si="130"/>
        <v>7.068912912</v>
      </c>
      <c r="M220" s="63">
        <f t="shared" si="130"/>
        <v>7.068912912</v>
      </c>
      <c r="N220" s="63">
        <f t="shared" si="130"/>
        <v>7.068912912</v>
      </c>
      <c r="O220" s="63">
        <f t="shared" si="130"/>
        <v>7.068912912</v>
      </c>
      <c r="P220" s="63">
        <f t="shared" si="130"/>
        <v>7.068912912</v>
      </c>
      <c r="Q220" s="63">
        <f t="shared" si="130"/>
        <v>7.068912912</v>
      </c>
      <c r="R220" s="63">
        <f t="shared" si="130"/>
        <v>7.068912912</v>
      </c>
      <c r="S220" s="63">
        <f t="shared" si="130"/>
        <v>7.068912912</v>
      </c>
    </row>
    <row r="221" spans="2:19" s="33" customFormat="1" x14ac:dyDescent="0.35">
      <c r="B221" s="126" t="s">
        <v>738</v>
      </c>
      <c r="C221" s="126"/>
      <c r="D221" s="126"/>
      <c r="E221" s="63"/>
      <c r="F221" s="63"/>
      <c r="G221" s="63"/>
      <c r="H221" s="77">
        <v>1.63</v>
      </c>
      <c r="I221" s="77">
        <f>45471564/10^7</f>
        <v>4.5471564000000004</v>
      </c>
      <c r="J221" s="63">
        <f t="shared" si="123"/>
        <v>4.5471564000000004</v>
      </c>
      <c r="K221" s="63">
        <f t="shared" ref="K221:S221" si="131">J221</f>
        <v>4.5471564000000004</v>
      </c>
      <c r="L221" s="63">
        <f t="shared" si="131"/>
        <v>4.5471564000000004</v>
      </c>
      <c r="M221" s="63">
        <f t="shared" si="131"/>
        <v>4.5471564000000004</v>
      </c>
      <c r="N221" s="63">
        <f t="shared" si="131"/>
        <v>4.5471564000000004</v>
      </c>
      <c r="O221" s="63">
        <f t="shared" si="131"/>
        <v>4.5471564000000004</v>
      </c>
      <c r="P221" s="63">
        <f t="shared" si="131"/>
        <v>4.5471564000000004</v>
      </c>
      <c r="Q221" s="63">
        <f t="shared" si="131"/>
        <v>4.5471564000000004</v>
      </c>
      <c r="R221" s="63">
        <f t="shared" si="131"/>
        <v>4.5471564000000004</v>
      </c>
      <c r="S221" s="63">
        <f t="shared" si="131"/>
        <v>4.5471564000000004</v>
      </c>
    </row>
    <row r="222" spans="2:19" s="33" customFormat="1" x14ac:dyDescent="0.35">
      <c r="B222" s="126" t="s">
        <v>739</v>
      </c>
      <c r="C222" s="126"/>
      <c r="D222" s="126"/>
      <c r="E222" s="63"/>
      <c r="F222" s="63"/>
      <c r="G222" s="63"/>
      <c r="H222" s="77">
        <v>2.0099999999999998</v>
      </c>
      <c r="I222" s="77">
        <f>15820325/10^7</f>
        <v>1.5820325</v>
      </c>
      <c r="J222" s="63">
        <f t="shared" si="123"/>
        <v>1.5820325</v>
      </c>
      <c r="K222" s="63">
        <f t="shared" ref="K222:S222" si="132">J222</f>
        <v>1.5820325</v>
      </c>
      <c r="L222" s="63">
        <f t="shared" si="132"/>
        <v>1.5820325</v>
      </c>
      <c r="M222" s="63">
        <f t="shared" si="132"/>
        <v>1.5820325</v>
      </c>
      <c r="N222" s="63">
        <f t="shared" si="132"/>
        <v>1.5820325</v>
      </c>
      <c r="O222" s="63">
        <f t="shared" si="132"/>
        <v>1.5820325</v>
      </c>
      <c r="P222" s="63">
        <f t="shared" si="132"/>
        <v>1.5820325</v>
      </c>
      <c r="Q222" s="63">
        <f t="shared" si="132"/>
        <v>1.5820325</v>
      </c>
      <c r="R222" s="63">
        <f t="shared" si="132"/>
        <v>1.5820325</v>
      </c>
      <c r="S222" s="63">
        <f t="shared" si="132"/>
        <v>1.5820325</v>
      </c>
    </row>
    <row r="223" spans="2:19" s="33" customFormat="1" x14ac:dyDescent="0.35">
      <c r="B223" s="126" t="s">
        <v>740</v>
      </c>
      <c r="C223" s="126"/>
      <c r="D223" s="126"/>
      <c r="E223" s="63"/>
      <c r="F223" s="63"/>
      <c r="G223" s="63"/>
      <c r="H223" s="77">
        <v>30.82</v>
      </c>
      <c r="I223" s="77">
        <f>216061620/10^7</f>
        <v>21.606162000000001</v>
      </c>
      <c r="J223" s="63">
        <f t="shared" si="123"/>
        <v>21.606162000000001</v>
      </c>
      <c r="K223" s="63">
        <f t="shared" ref="K223:S223" si="133">J223</f>
        <v>21.606162000000001</v>
      </c>
      <c r="L223" s="63">
        <f t="shared" si="133"/>
        <v>21.606162000000001</v>
      </c>
      <c r="M223" s="63">
        <f t="shared" si="133"/>
        <v>21.606162000000001</v>
      </c>
      <c r="N223" s="63">
        <f t="shared" si="133"/>
        <v>21.606162000000001</v>
      </c>
      <c r="O223" s="63">
        <f t="shared" si="133"/>
        <v>21.606162000000001</v>
      </c>
      <c r="P223" s="63">
        <f t="shared" si="133"/>
        <v>21.606162000000001</v>
      </c>
      <c r="Q223" s="63">
        <f t="shared" si="133"/>
        <v>21.606162000000001</v>
      </c>
      <c r="R223" s="63">
        <f t="shared" si="133"/>
        <v>21.606162000000001</v>
      </c>
      <c r="S223" s="63">
        <f t="shared" si="133"/>
        <v>21.606162000000001</v>
      </c>
    </row>
    <row r="224" spans="2:19" s="33" customFormat="1" x14ac:dyDescent="0.35">
      <c r="B224" s="126" t="s">
        <v>741</v>
      </c>
      <c r="C224" s="126"/>
      <c r="D224" s="126"/>
      <c r="E224" s="63"/>
      <c r="F224" s="63"/>
      <c r="G224" s="63"/>
      <c r="H224" s="77">
        <v>12.41</v>
      </c>
      <c r="I224" s="77">
        <v>17.826682146</v>
      </c>
      <c r="J224" s="63">
        <f t="shared" si="123"/>
        <v>17.826682146</v>
      </c>
      <c r="K224" s="63">
        <f t="shared" ref="K224:S224" si="134">J224</f>
        <v>17.826682146</v>
      </c>
      <c r="L224" s="63">
        <f t="shared" si="134"/>
        <v>17.826682146</v>
      </c>
      <c r="M224" s="63">
        <f t="shared" si="134"/>
        <v>17.826682146</v>
      </c>
      <c r="N224" s="63">
        <f t="shared" si="134"/>
        <v>17.826682146</v>
      </c>
      <c r="O224" s="63">
        <f t="shared" si="134"/>
        <v>17.826682146</v>
      </c>
      <c r="P224" s="63">
        <f t="shared" si="134"/>
        <v>17.826682146</v>
      </c>
      <c r="Q224" s="63">
        <f t="shared" si="134"/>
        <v>17.826682146</v>
      </c>
      <c r="R224" s="63">
        <f t="shared" si="134"/>
        <v>17.826682146</v>
      </c>
      <c r="S224" s="63">
        <f t="shared" si="134"/>
        <v>17.826682146</v>
      </c>
    </row>
    <row r="225" spans="2:19" s="33" customFormat="1" x14ac:dyDescent="0.35">
      <c r="B225" s="126" t="s">
        <v>742</v>
      </c>
      <c r="C225" s="126"/>
      <c r="D225" s="126"/>
      <c r="E225" s="63"/>
      <c r="F225" s="63"/>
      <c r="G225" s="63"/>
      <c r="H225" s="77">
        <v>21.61</v>
      </c>
      <c r="I225" s="77">
        <v>26.429914488000001</v>
      </c>
      <c r="J225" s="63">
        <f t="shared" si="123"/>
        <v>26.429914488000001</v>
      </c>
      <c r="K225" s="63">
        <f t="shared" ref="K225:S225" si="135">J225</f>
        <v>26.429914488000001</v>
      </c>
      <c r="L225" s="63">
        <f t="shared" si="135"/>
        <v>26.429914488000001</v>
      </c>
      <c r="M225" s="63">
        <f t="shared" si="135"/>
        <v>26.429914488000001</v>
      </c>
      <c r="N225" s="63">
        <f t="shared" si="135"/>
        <v>26.429914488000001</v>
      </c>
      <c r="O225" s="63">
        <f t="shared" si="135"/>
        <v>26.429914488000001</v>
      </c>
      <c r="P225" s="63">
        <f t="shared" si="135"/>
        <v>26.429914488000001</v>
      </c>
      <c r="Q225" s="63">
        <f t="shared" si="135"/>
        <v>26.429914488000001</v>
      </c>
      <c r="R225" s="63">
        <f t="shared" si="135"/>
        <v>26.429914488000001</v>
      </c>
      <c r="S225" s="63">
        <f t="shared" si="135"/>
        <v>26.429914488000001</v>
      </c>
    </row>
    <row r="226" spans="2:19" s="33" customFormat="1" x14ac:dyDescent="0.35">
      <c r="B226" s="126" t="s">
        <v>743</v>
      </c>
      <c r="C226" s="126"/>
      <c r="D226" s="126"/>
      <c r="E226" s="63"/>
      <c r="F226" s="63"/>
      <c r="G226" s="63"/>
      <c r="H226" s="77">
        <v>7.64</v>
      </c>
      <c r="I226" s="77">
        <v>11.853894062</v>
      </c>
      <c r="J226" s="63">
        <f>I226-YTM!K60</f>
        <v>3.1457782233838429</v>
      </c>
      <c r="K226" s="63">
        <f t="shared" ref="K226:S226" si="136">J226</f>
        <v>3.1457782233838429</v>
      </c>
      <c r="L226" s="63">
        <f t="shared" si="136"/>
        <v>3.1457782233838429</v>
      </c>
      <c r="M226" s="63">
        <f t="shared" si="136"/>
        <v>3.1457782233838429</v>
      </c>
      <c r="N226" s="63">
        <f t="shared" si="136"/>
        <v>3.1457782233838429</v>
      </c>
      <c r="O226" s="63">
        <f t="shared" si="136"/>
        <v>3.1457782233838429</v>
      </c>
      <c r="P226" s="63">
        <f t="shared" si="136"/>
        <v>3.1457782233838429</v>
      </c>
      <c r="Q226" s="63">
        <f t="shared" si="136"/>
        <v>3.1457782233838429</v>
      </c>
      <c r="R226" s="63">
        <f t="shared" si="136"/>
        <v>3.1457782233838429</v>
      </c>
      <c r="S226" s="63">
        <f t="shared" si="136"/>
        <v>3.1457782233838429</v>
      </c>
    </row>
    <row r="227" spans="2:19" s="33" customFormat="1" x14ac:dyDescent="0.35">
      <c r="B227" s="126" t="s">
        <v>744</v>
      </c>
      <c r="C227" s="126"/>
      <c r="D227" s="126"/>
      <c r="E227" s="63"/>
      <c r="F227" s="63"/>
      <c r="G227" s="63"/>
      <c r="H227" s="77">
        <v>48.59</v>
      </c>
      <c r="I227" s="77">
        <v>20.726140158</v>
      </c>
      <c r="J227" s="63">
        <f>I227</f>
        <v>20.726140158</v>
      </c>
      <c r="K227" s="63">
        <f t="shared" ref="K227:S227" si="137">J227</f>
        <v>20.726140158</v>
      </c>
      <c r="L227" s="63">
        <f t="shared" si="137"/>
        <v>20.726140158</v>
      </c>
      <c r="M227" s="63">
        <f t="shared" si="137"/>
        <v>20.726140158</v>
      </c>
      <c r="N227" s="63">
        <f t="shared" si="137"/>
        <v>20.726140158</v>
      </c>
      <c r="O227" s="63">
        <f t="shared" si="137"/>
        <v>20.726140158</v>
      </c>
      <c r="P227" s="63">
        <f t="shared" si="137"/>
        <v>20.726140158</v>
      </c>
      <c r="Q227" s="63">
        <f t="shared" si="137"/>
        <v>20.726140158</v>
      </c>
      <c r="R227" s="63">
        <f t="shared" si="137"/>
        <v>20.726140158</v>
      </c>
      <c r="S227" s="63">
        <f t="shared" si="137"/>
        <v>20.726140158</v>
      </c>
    </row>
    <row r="228" spans="2:19" s="33" customFormat="1" x14ac:dyDescent="0.35">
      <c r="B228" s="126" t="s">
        <v>745</v>
      </c>
      <c r="C228" s="126"/>
      <c r="D228" s="126"/>
      <c r="E228" s="63"/>
      <c r="F228" s="63"/>
      <c r="G228" s="63"/>
      <c r="H228" s="77">
        <v>0.76</v>
      </c>
      <c r="I228" s="77">
        <v>0.26435399600018172</v>
      </c>
      <c r="J228" s="63">
        <f>I228</f>
        <v>0.26435399600018172</v>
      </c>
      <c r="K228" s="63">
        <f t="shared" ref="K228:S228" si="138">J228</f>
        <v>0.26435399600018172</v>
      </c>
      <c r="L228" s="63">
        <f t="shared" si="138"/>
        <v>0.26435399600018172</v>
      </c>
      <c r="M228" s="63">
        <f t="shared" si="138"/>
        <v>0.26435399600018172</v>
      </c>
      <c r="N228" s="63">
        <f t="shared" si="138"/>
        <v>0.26435399600018172</v>
      </c>
      <c r="O228" s="63">
        <f t="shared" si="138"/>
        <v>0.26435399600018172</v>
      </c>
      <c r="P228" s="63">
        <f t="shared" si="138"/>
        <v>0.26435399600018172</v>
      </c>
      <c r="Q228" s="63">
        <f t="shared" si="138"/>
        <v>0.26435399600018172</v>
      </c>
      <c r="R228" s="63">
        <f t="shared" si="138"/>
        <v>0.26435399600018172</v>
      </c>
      <c r="S228" s="63">
        <f t="shared" si="138"/>
        <v>0.26435399600018172</v>
      </c>
    </row>
    <row r="229" spans="2:19" s="33" customFormat="1" x14ac:dyDescent="0.35">
      <c r="B229" s="106" t="s">
        <v>36</v>
      </c>
      <c r="C229" s="126"/>
      <c r="D229" s="126"/>
      <c r="E229" s="355">
        <v>190.6</v>
      </c>
      <c r="F229" s="355">
        <v>76.2</v>
      </c>
      <c r="G229" s="355">
        <v>139.71</v>
      </c>
      <c r="H229" s="107">
        <f>SUM(H213:H228)</f>
        <v>154.76999999999998</v>
      </c>
      <c r="I229" s="107">
        <f>SUM(I213:I228)</f>
        <v>1131.74</v>
      </c>
      <c r="J229" s="107">
        <f t="shared" ref="J229:S229" si="139">SUM(J213:J228)</f>
        <v>123.031884161384</v>
      </c>
      <c r="K229" s="107">
        <f t="shared" si="139"/>
        <v>123.031884161384</v>
      </c>
      <c r="L229" s="107">
        <f t="shared" si="139"/>
        <v>123.031884161384</v>
      </c>
      <c r="M229" s="107">
        <f t="shared" si="139"/>
        <v>123.031884161384</v>
      </c>
      <c r="N229" s="107">
        <f t="shared" si="139"/>
        <v>123.031884161384</v>
      </c>
      <c r="O229" s="107">
        <f t="shared" si="139"/>
        <v>123.031884161384</v>
      </c>
      <c r="P229" s="107">
        <f t="shared" si="139"/>
        <v>123.031884161384</v>
      </c>
      <c r="Q229" s="107">
        <f t="shared" si="139"/>
        <v>123.031884161384</v>
      </c>
      <c r="R229" s="107">
        <f t="shared" si="139"/>
        <v>123.031884161384</v>
      </c>
      <c r="S229" s="107">
        <f t="shared" si="139"/>
        <v>123.031884161384</v>
      </c>
    </row>
    <row r="230" spans="2:19" x14ac:dyDescent="0.35">
      <c r="I230" s="172"/>
    </row>
    <row r="231" spans="2:19" x14ac:dyDescent="0.35">
      <c r="B231" s="106" t="s">
        <v>1573</v>
      </c>
      <c r="C231" s="581"/>
      <c r="D231" s="581"/>
      <c r="E231" s="355"/>
      <c r="F231" s="355"/>
      <c r="G231" s="355"/>
      <c r="H231" s="173">
        <f>H115/('P&amp;L'!H20+'P&amp;L'!H22)*365</f>
        <v>168.94069484433598</v>
      </c>
      <c r="I231" s="173">
        <f>I115/('P&amp;L'!I20+'P&amp;L'!I22)*365</f>
        <v>227.74248427073201</v>
      </c>
      <c r="J231" s="173">
        <f>J115/('P&amp;L'!J20+'P&amp;L'!J22)*365</f>
        <v>193.84577827482372</v>
      </c>
      <c r="K231" s="173">
        <f>K115/('P&amp;L'!K20+'P&amp;L'!K22)*365</f>
        <v>195.14053183153905</v>
      </c>
      <c r="L231" s="173">
        <f>L115/('P&amp;L'!L20+'P&amp;L'!L22)*365</f>
        <v>190.59560833817835</v>
      </c>
      <c r="M231" s="173">
        <f>M115/('P&amp;L'!M20+'P&amp;L'!M22)*365</f>
        <v>188.70897745576937</v>
      </c>
      <c r="N231" s="173">
        <f>N115/('P&amp;L'!N20+'P&amp;L'!N22)*365</f>
        <v>188.92017462617054</v>
      </c>
      <c r="O231" s="173">
        <f>O115/('P&amp;L'!O20+'P&amp;L'!O22)*365</f>
        <v>189.31600960727752</v>
      </c>
      <c r="P231" s="173">
        <f>P115/('P&amp;L'!P20+'P&amp;L'!P22)*365</f>
        <v>189.76620243197152</v>
      </c>
      <c r="Q231" s="173">
        <f>Q115/('P&amp;L'!Q20+'P&amp;L'!Q22)*365</f>
        <v>190.25535471553994</v>
      </c>
      <c r="R231" s="173">
        <f>R115/('P&amp;L'!R20+'P&amp;L'!R22)*365</f>
        <v>190.26631719594596</v>
      </c>
      <c r="S231" s="173">
        <f>S115/('P&amp;L'!S20+'P&amp;L'!S22)*365</f>
        <v>191.87701944655305</v>
      </c>
    </row>
    <row r="233" spans="2:19" x14ac:dyDescent="0.35">
      <c r="J233" s="172"/>
    </row>
  </sheetData>
  <pageMargins left="0.70866141732283472" right="0.70866141732283472" top="0.74803149606299213" bottom="0.74803149606299213" header="0.31496062992125984" footer="0.31496062992125984"/>
  <pageSetup paperSize="9" scale="21" orientation="portrait"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9"/>
  <dimension ref="B1:T35"/>
  <sheetViews>
    <sheetView showGridLines="0" zoomScale="87" zoomScaleNormal="80" workbookViewId="0">
      <selection activeCell="E11" sqref="E11"/>
    </sheetView>
  </sheetViews>
  <sheetFormatPr defaultRowHeight="14.5" x14ac:dyDescent="0.35"/>
  <cols>
    <col min="2" max="2" width="42.26953125" bestFit="1" customWidth="1"/>
    <col min="3" max="15" width="10" bestFit="1" customWidth="1"/>
    <col min="16" max="20" width="8.7265625" bestFit="1" customWidth="1"/>
  </cols>
  <sheetData>
    <row r="1" spans="2:20" s="658" customFormat="1" x14ac:dyDescent="0.35"/>
    <row r="2" spans="2:20" s="658" customFormat="1" x14ac:dyDescent="0.35"/>
    <row r="3" spans="2:20" x14ac:dyDescent="0.35">
      <c r="B3" s="1396" t="s">
        <v>1532</v>
      </c>
      <c r="C3" s="1394">
        <f>'Working - Corporate'!G5</f>
        <v>43921</v>
      </c>
      <c r="D3" s="1394">
        <f>'Working - Corporate'!H5</f>
        <v>44286</v>
      </c>
      <c r="E3" s="1394" t="e">
        <f>'Working - Corporate'!#REF!</f>
        <v>#REF!</v>
      </c>
      <c r="F3" s="1394">
        <f>'Working - Corporate'!J5</f>
        <v>45016</v>
      </c>
      <c r="G3" s="1394">
        <f>'Working - Corporate'!K5</f>
        <v>45382</v>
      </c>
      <c r="H3" s="1394">
        <f>'Working - Corporate'!L5</f>
        <v>45747</v>
      </c>
      <c r="I3" s="1394">
        <f>'Working - Corporate'!M5</f>
        <v>46112</v>
      </c>
      <c r="J3" s="1394">
        <f>'Working - Corporate'!N5</f>
        <v>46477</v>
      </c>
      <c r="K3" s="1394">
        <f>'Working - Corporate'!O5</f>
        <v>46843</v>
      </c>
      <c r="L3" s="1394">
        <f>'Working - Corporate'!P5</f>
        <v>47208</v>
      </c>
      <c r="M3" s="1394">
        <f>'Working - Corporate'!Q5</f>
        <v>47573</v>
      </c>
      <c r="N3" s="1394">
        <f>'Working - Corporate'!R5</f>
        <v>47938</v>
      </c>
      <c r="O3" s="1394">
        <f>'Working - Corporate'!S5</f>
        <v>48304</v>
      </c>
      <c r="P3" s="1387"/>
      <c r="Q3" s="1387"/>
      <c r="R3" s="1387"/>
      <c r="S3" s="1387"/>
      <c r="T3" s="1387"/>
    </row>
    <row r="4" spans="2:20" x14ac:dyDescent="0.35">
      <c r="B4" s="1395" t="s">
        <v>1516</v>
      </c>
      <c r="C4" s="1391">
        <f>'Working - Corporate'!F183</f>
        <v>3959.8109543629998</v>
      </c>
      <c r="D4" s="1391">
        <f>C8</f>
        <v>4156.2659595810001</v>
      </c>
      <c r="E4" s="1391">
        <f t="shared" ref="E4:O4" si="0">D8</f>
        <v>4083.722286661</v>
      </c>
      <c r="F4" s="1391" t="e">
        <f t="shared" si="0"/>
        <v>#REF!</v>
      </c>
      <c r="G4" s="1391">
        <f t="shared" si="0"/>
        <v>2663.369454869488</v>
      </c>
      <c r="H4" s="1391">
        <f t="shared" si="0"/>
        <v>2805.3045041885516</v>
      </c>
      <c r="I4" s="1391">
        <f t="shared" si="0"/>
        <v>1871.6691083606281</v>
      </c>
      <c r="J4" s="1391">
        <f t="shared" si="0"/>
        <v>1651.1156674835381</v>
      </c>
      <c r="K4" s="1391">
        <f t="shared" si="0"/>
        <v>1526.2500451300953</v>
      </c>
      <c r="L4" s="1391">
        <f t="shared" si="0"/>
        <v>1431.5172837082278</v>
      </c>
      <c r="M4" s="1391">
        <f t="shared" si="0"/>
        <v>1295.8810210768729</v>
      </c>
      <c r="N4" s="1391">
        <f t="shared" si="0"/>
        <v>1117.0129364775298</v>
      </c>
      <c r="O4" s="1391">
        <f t="shared" si="0"/>
        <v>747.70229854956426</v>
      </c>
    </row>
    <row r="5" spans="2:20" x14ac:dyDescent="0.35">
      <c r="B5" s="1395" t="s">
        <v>1517</v>
      </c>
      <c r="C5" s="1391">
        <f>'Working - Sugar + Cogen'!G29</f>
        <v>5081.5118900310008</v>
      </c>
      <c r="D5" s="1391">
        <f>'Working - Sugar + Cogen'!H29</f>
        <v>5011.9267109990005</v>
      </c>
      <c r="E5" s="1391" t="e">
        <f>'Working - Sugar + Cogen'!#REF!</f>
        <v>#REF!</v>
      </c>
      <c r="F5" s="1391">
        <f>'Working - Sugar + Cogen'!J29</f>
        <v>5117.34</v>
      </c>
      <c r="G5" s="1391">
        <f>'Working - Sugar + Cogen'!K29</f>
        <v>5759.6544000000004</v>
      </c>
      <c r="H5" s="1391">
        <f>'Working - Sugar + Cogen'!L29</f>
        <v>6058.4364720000003</v>
      </c>
      <c r="I5" s="1391">
        <f>'Working - Sugar + Cogen'!M29</f>
        <v>6179.6052014400011</v>
      </c>
      <c r="J5" s="1391">
        <f>'Working - Sugar + Cogen'!N29</f>
        <v>6303.1973054688006</v>
      </c>
      <c r="K5" s="1391">
        <f>'Working - Sugar + Cogen'!O29</f>
        <v>6429.2612515781775</v>
      </c>
      <c r="L5" s="1391">
        <f>'Working - Sugar + Cogen'!P29</f>
        <v>6557.8464766097404</v>
      </c>
      <c r="M5" s="1391">
        <f>'Working - Sugar + Cogen'!Q29</f>
        <v>6689.0034061419356</v>
      </c>
      <c r="N5" s="1391">
        <f>'Working - Sugar + Cogen'!R29</f>
        <v>6822.7834742647747</v>
      </c>
      <c r="O5" s="1391">
        <f>'Working - Sugar + Cogen'!S29</f>
        <v>6959.2391437500701</v>
      </c>
    </row>
    <row r="6" spans="2:20" x14ac:dyDescent="0.35">
      <c r="B6" s="1395" t="s">
        <v>1520</v>
      </c>
      <c r="C6" s="1391">
        <v>0</v>
      </c>
      <c r="D6" s="1391">
        <v>0</v>
      </c>
      <c r="E6" s="1391">
        <f>-'Promoter Loan &amp; Equity workings'!F36</f>
        <v>0</v>
      </c>
      <c r="F6" s="1391">
        <v>0</v>
      </c>
      <c r="G6" s="1391">
        <v>0</v>
      </c>
      <c r="H6" s="1391">
        <v>0</v>
      </c>
      <c r="I6" s="1391">
        <v>0</v>
      </c>
      <c r="J6" s="1391">
        <v>0</v>
      </c>
      <c r="K6" s="1391">
        <v>0</v>
      </c>
      <c r="L6" s="1391">
        <v>0</v>
      </c>
      <c r="M6" s="1391">
        <v>0</v>
      </c>
      <c r="N6" s="1391">
        <v>0</v>
      </c>
      <c r="O6" s="1391">
        <v>0</v>
      </c>
    </row>
    <row r="7" spans="2:20" x14ac:dyDescent="0.35">
      <c r="B7" s="1395" t="s">
        <v>1519</v>
      </c>
      <c r="C7" s="1391">
        <f t="shared" ref="C7:D7" si="1">C8-(C4+C5+C6)</f>
        <v>-4885.0568848130006</v>
      </c>
      <c r="D7" s="1391">
        <f t="shared" si="1"/>
        <v>-5084.4703839189997</v>
      </c>
      <c r="E7" s="1391" t="e">
        <f>E8-(E4+E5+E6)</f>
        <v>#REF!</v>
      </c>
      <c r="F7" s="1391" t="e">
        <f t="shared" ref="F7:O7" si="2">F8-(F4+F5+F6)</f>
        <v>#REF!</v>
      </c>
      <c r="G7" s="1391">
        <f t="shared" si="2"/>
        <v>-5617.7193506809372</v>
      </c>
      <c r="H7" s="1391">
        <f t="shared" si="2"/>
        <v>-6992.0718678279236</v>
      </c>
      <c r="I7" s="1391">
        <f t="shared" si="2"/>
        <v>-6400.1586423170911</v>
      </c>
      <c r="J7" s="1391">
        <f t="shared" si="2"/>
        <v>-6428.0629278222441</v>
      </c>
      <c r="K7" s="1391">
        <f t="shared" si="2"/>
        <v>-6523.994013000045</v>
      </c>
      <c r="L7" s="1391">
        <f t="shared" si="2"/>
        <v>-6693.4827392410953</v>
      </c>
      <c r="M7" s="1391">
        <f t="shared" si="2"/>
        <v>-6867.8714907412796</v>
      </c>
      <c r="N7" s="1391">
        <f t="shared" si="2"/>
        <v>-7192.0941121927408</v>
      </c>
      <c r="O7" s="1391">
        <f t="shared" si="2"/>
        <v>-7325.6132700393564</v>
      </c>
    </row>
    <row r="8" spans="2:20" x14ac:dyDescent="0.35">
      <c r="B8" s="1395" t="s">
        <v>1518</v>
      </c>
      <c r="C8" s="1391">
        <f>'Working - Corporate'!G183</f>
        <v>4156.2659595810001</v>
      </c>
      <c r="D8" s="1391">
        <f>'Working - Corporate'!H183</f>
        <v>4083.722286661</v>
      </c>
      <c r="E8" s="1391" t="e">
        <f>'Working - Corporate'!#REF!</f>
        <v>#REF!</v>
      </c>
      <c r="F8" s="1391">
        <f>'Working - Corporate'!J183</f>
        <v>2663.369454869488</v>
      </c>
      <c r="G8" s="1391">
        <f>'Working - Corporate'!K183</f>
        <v>2805.3045041885516</v>
      </c>
      <c r="H8" s="1391">
        <f>'Working - Corporate'!L183</f>
        <v>1871.6691083606281</v>
      </c>
      <c r="I8" s="1391">
        <f>'Working - Corporate'!M183</f>
        <v>1651.1156674835381</v>
      </c>
      <c r="J8" s="1391">
        <f>'Working - Corporate'!N183</f>
        <v>1526.2500451300953</v>
      </c>
      <c r="K8" s="1391">
        <f>'Working - Corporate'!O183</f>
        <v>1431.5172837082278</v>
      </c>
      <c r="L8" s="1391">
        <f>'Working - Corporate'!P183</f>
        <v>1295.8810210768729</v>
      </c>
      <c r="M8" s="1391">
        <f>'Working - Corporate'!Q183</f>
        <v>1117.0129364775298</v>
      </c>
      <c r="N8" s="1391">
        <f>'Working - Corporate'!R183</f>
        <v>747.70229854956426</v>
      </c>
      <c r="O8" s="1391">
        <f>'Working - Corporate'!S183</f>
        <v>381.32817226027782</v>
      </c>
    </row>
    <row r="9" spans="2:20" x14ac:dyDescent="0.35">
      <c r="E9" s="1388"/>
      <c r="F9" s="1388"/>
    </row>
    <row r="10" spans="2:20" s="658" customFormat="1" x14ac:dyDescent="0.35">
      <c r="B10" s="1395" t="s">
        <v>1521</v>
      </c>
      <c r="C10" s="1391">
        <f>+'Working - Corporate'!G112+'Working - Corporate'!G113+'Working - Corporate'!G114</f>
        <v>2614.1596694894092</v>
      </c>
      <c r="D10" s="1391">
        <f>+'Working - Corporate'!H112+'Working - Corporate'!H113+'Working - Corporate'!H114</f>
        <v>2420.8523543233</v>
      </c>
      <c r="E10" s="1391" t="e">
        <f>+'Working - Corporate'!#REF!+'Working - Corporate'!#REF!+'Working - Corporate'!#REF!</f>
        <v>#REF!</v>
      </c>
      <c r="F10" s="1391">
        <f>+'Working - Corporate'!J112+'Working - Corporate'!J113+'Working - Corporate'!J114</f>
        <v>2709.2831018543015</v>
      </c>
      <c r="G10" s="1391">
        <f>+'Working - Corporate'!K112+'Working - Corporate'!K113+'Working - Corporate'!K114</f>
        <v>2986.6833190208436</v>
      </c>
      <c r="H10" s="1391">
        <f>+'Working - Corporate'!L112+'Working - Corporate'!L113+'Working - Corporate'!L114</f>
        <v>3142.2945510905697</v>
      </c>
      <c r="I10" s="1391">
        <f>+'Working - Corporate'!M112+'Working - Corporate'!M113+'Working - Corporate'!M114</f>
        <v>3217.7559833703672</v>
      </c>
      <c r="J10" s="1391">
        <f>+'Working - Corporate'!N112+'Working - Corporate'!N113+'Working - Corporate'!N114</f>
        <v>3290.436827321063</v>
      </c>
      <c r="K10" s="1391">
        <f>+'Working - Corporate'!O112+'Working - Corporate'!O113+'Working - Corporate'!O114</f>
        <v>3365.3964206510777</v>
      </c>
      <c r="L10" s="1391">
        <f>+'Working - Corporate'!P112+'Working - Corporate'!P113+'Working - Corporate'!P114</f>
        <v>3442.9025975902141</v>
      </c>
      <c r="M10" s="1391">
        <f>+'Working - Corporate'!Q112+'Working - Corporate'!Q113+'Working - Corporate'!Q114</f>
        <v>3522.8427328340431</v>
      </c>
      <c r="N10" s="1391">
        <f>+'Working - Corporate'!R112+'Working - Corporate'!R113+'Working - Corporate'!R114</f>
        <v>3561.5722861645841</v>
      </c>
      <c r="O10" s="1391">
        <f>+'Working - Corporate'!S112+'Working - Corporate'!S113+'Working - Corporate'!S114</f>
        <v>3644.1136290941031</v>
      </c>
    </row>
    <row r="11" spans="2:20" s="658" customFormat="1" x14ac:dyDescent="0.35">
      <c r="B11" s="1395" t="s">
        <v>1522</v>
      </c>
      <c r="C11" s="1391">
        <f>C10-C8</f>
        <v>-1542.1062900915908</v>
      </c>
      <c r="D11" s="1391">
        <f t="shared" ref="D11:O11" si="3">D10-D8</f>
        <v>-1662.8699323377</v>
      </c>
      <c r="E11" s="1391" t="e">
        <f>E10-E8</f>
        <v>#REF!</v>
      </c>
      <c r="F11" s="1391">
        <f t="shared" si="3"/>
        <v>45.913646984813568</v>
      </c>
      <c r="G11" s="1391">
        <f t="shared" si="3"/>
        <v>181.37881483229194</v>
      </c>
      <c r="H11" s="1391">
        <f t="shared" si="3"/>
        <v>1270.6254427299416</v>
      </c>
      <c r="I11" s="1391">
        <f>I10-I8</f>
        <v>1566.6403158868291</v>
      </c>
      <c r="J11" s="1391">
        <f t="shared" si="3"/>
        <v>1764.1867821909677</v>
      </c>
      <c r="K11" s="1391">
        <f t="shared" si="3"/>
        <v>1933.87913694285</v>
      </c>
      <c r="L11" s="1391">
        <f t="shared" si="3"/>
        <v>2147.0215765133412</v>
      </c>
      <c r="M11" s="1391">
        <f t="shared" si="3"/>
        <v>2405.8297963565133</v>
      </c>
      <c r="N11" s="1391">
        <f t="shared" si="3"/>
        <v>2813.8699876150199</v>
      </c>
      <c r="O11" s="1391">
        <f t="shared" si="3"/>
        <v>3262.7854568338253</v>
      </c>
      <c r="P11" s="8"/>
    </row>
    <row r="12" spans="2:20" s="658" customFormat="1" x14ac:dyDescent="0.35">
      <c r="B12" s="1395"/>
      <c r="C12" s="1391"/>
      <c r="D12" s="1391"/>
      <c r="E12" s="1391"/>
      <c r="F12" s="1391"/>
      <c r="G12" s="1391"/>
      <c r="H12" s="1391"/>
      <c r="I12" s="1391"/>
      <c r="J12" s="1391"/>
      <c r="K12" s="1391"/>
      <c r="L12" s="1391"/>
      <c r="M12" s="1391"/>
      <c r="N12" s="1391"/>
      <c r="O12" s="1391"/>
    </row>
    <row r="13" spans="2:20" x14ac:dyDescent="0.35">
      <c r="B13" s="1395" t="s">
        <v>1533</v>
      </c>
      <c r="C13" s="1392">
        <f>'Working - Corporate'!G186</f>
        <v>293.5213938919693</v>
      </c>
      <c r="D13" s="1392">
        <f>'Working - Corporate'!H186</f>
        <v>292.40054682167153</v>
      </c>
      <c r="E13" s="1392" t="e">
        <f>'Working - Corporate'!#REF!</f>
        <v>#REF!</v>
      </c>
      <c r="F13" s="1392">
        <f>'Working - Corporate'!J186</f>
        <v>187</v>
      </c>
      <c r="G13" s="1392">
        <f>'Working - Corporate'!K186</f>
        <v>175</v>
      </c>
      <c r="H13" s="1392">
        <f>'Working - Corporate'!L186</f>
        <v>111</v>
      </c>
      <c r="I13" s="1392">
        <f>'Working - Corporate'!M186</f>
        <v>96</v>
      </c>
      <c r="J13" s="1392">
        <f>'Working - Corporate'!N186</f>
        <v>87</v>
      </c>
      <c r="K13" s="1392">
        <f>'Working - Corporate'!O186</f>
        <v>80</v>
      </c>
      <c r="L13" s="1392">
        <f>'Working - Corporate'!P186</f>
        <v>71</v>
      </c>
      <c r="M13" s="1392">
        <f>'Working - Corporate'!Q186</f>
        <v>60</v>
      </c>
      <c r="N13" s="1392">
        <f>'Working - Corporate'!R186</f>
        <v>40</v>
      </c>
      <c r="O13" s="1392">
        <f>'Working - Corporate'!S186</f>
        <v>20</v>
      </c>
    </row>
    <row r="14" spans="2:20" s="658" customFormat="1" x14ac:dyDescent="0.35">
      <c r="B14" s="1395" t="s">
        <v>1534</v>
      </c>
      <c r="C14" s="713"/>
      <c r="D14" s="1392">
        <v>297.40232062055833</v>
      </c>
      <c r="E14" s="1392">
        <v>238</v>
      </c>
      <c r="F14" s="1392">
        <v>225</v>
      </c>
      <c r="G14" s="1392">
        <v>220</v>
      </c>
      <c r="H14" s="1392">
        <v>215</v>
      </c>
      <c r="I14" s="1392">
        <v>210</v>
      </c>
      <c r="J14" s="1392">
        <v>205</v>
      </c>
      <c r="K14" s="1392">
        <v>160</v>
      </c>
      <c r="L14" s="1392">
        <v>150</v>
      </c>
      <c r="M14" s="1392">
        <v>150</v>
      </c>
      <c r="N14" s="1392">
        <v>150</v>
      </c>
      <c r="O14" s="1392">
        <v>150</v>
      </c>
    </row>
    <row r="15" spans="2:20" s="658" customFormat="1" x14ac:dyDescent="0.35">
      <c r="B15" s="114"/>
      <c r="C15" s="16"/>
      <c r="D15" s="1393"/>
      <c r="E15" s="1393"/>
      <c r="F15" s="1393"/>
      <c r="G15" s="1393"/>
      <c r="H15" s="1393"/>
      <c r="I15" s="1393"/>
      <c r="J15" s="1393"/>
      <c r="K15" s="1393"/>
      <c r="L15" s="1393"/>
      <c r="M15" s="1393"/>
      <c r="N15" s="1393"/>
      <c r="O15" s="1393"/>
    </row>
    <row r="16" spans="2:20" s="658" customFormat="1" x14ac:dyDescent="0.35">
      <c r="B16" s="1395" t="s">
        <v>1531</v>
      </c>
      <c r="C16" s="713"/>
      <c r="D16" s="1392"/>
      <c r="E16" s="1392">
        <f>Cashflow!C42</f>
        <v>47.33</v>
      </c>
      <c r="F16" s="1392">
        <f>Cashflow!D42</f>
        <v>94.26792633111161</v>
      </c>
      <c r="G16" s="1392">
        <f>Cashflow!E42</f>
        <v>101.93703468313653</v>
      </c>
      <c r="H16" s="1392">
        <f>Cashflow!F42</f>
        <v>174.09302659134187</v>
      </c>
      <c r="I16" s="1392">
        <f>Cashflow!G42</f>
        <v>252.66168734501946</v>
      </c>
      <c r="J16" s="1392">
        <f>Cashflow!H42</f>
        <v>322.09782090093131</v>
      </c>
      <c r="K16" s="1392">
        <f>Cashflow!I42</f>
        <v>406.75244005752171</v>
      </c>
      <c r="L16" s="1392">
        <f>Cashflow!J42</f>
        <v>479.72841518068168</v>
      </c>
      <c r="M16" s="1392">
        <f>Cashflow!K42</f>
        <v>540.70959348576787</v>
      </c>
      <c r="N16" s="1392">
        <f>Cashflow!L42</f>
        <v>735.81539033800163</v>
      </c>
      <c r="O16" s="1392">
        <f>Cashflow!M42</f>
        <v>863.10282672060316</v>
      </c>
    </row>
    <row r="17" spans="2:15" s="658" customFormat="1" x14ac:dyDescent="0.35">
      <c r="B17" s="1395" t="s">
        <v>1063</v>
      </c>
      <c r="C17" s="713"/>
      <c r="D17" s="1392"/>
      <c r="E17" s="1399">
        <f>Cashflow!C71</f>
        <v>0</v>
      </c>
      <c r="F17" s="1399">
        <f>Cashflow!D71</f>
        <v>1.3557607893114045</v>
      </c>
      <c r="G17" s="1399">
        <f>Cashflow!E71</f>
        <v>1.3124752817068084</v>
      </c>
      <c r="H17" s="1399">
        <f>Cashflow!F71</f>
        <v>1.3207552423540305</v>
      </c>
      <c r="I17" s="1399">
        <f>Cashflow!G71</f>
        <v>1.3495667963872719</v>
      </c>
      <c r="J17" s="1399">
        <f>Cashflow!H71</f>
        <v>1.3293696753310436</v>
      </c>
      <c r="K17" s="1399">
        <f>Cashflow!I71</f>
        <v>1.3263536409312846</v>
      </c>
      <c r="L17" s="1399">
        <f>Cashflow!J71</f>
        <v>1.3053511589605142</v>
      </c>
      <c r="M17" s="1399">
        <f>Cashflow!K71</f>
        <v>1.2957004763554489</v>
      </c>
      <c r="N17" s="1399" t="str">
        <f>Cashflow!L71</f>
        <v>n/a</v>
      </c>
      <c r="O17" s="1399" t="str">
        <f>Cashflow!M71</f>
        <v>n/a</v>
      </c>
    </row>
    <row r="18" spans="2:15" s="658" customFormat="1" x14ac:dyDescent="0.35">
      <c r="E18" s="1390"/>
      <c r="F18" s="8"/>
    </row>
    <row r="19" spans="2:15" x14ac:dyDescent="0.35">
      <c r="B19" t="s">
        <v>1523</v>
      </c>
      <c r="D19">
        <v>188.21600000000001</v>
      </c>
    </row>
    <row r="20" spans="2:15" x14ac:dyDescent="0.35">
      <c r="B20" t="s">
        <v>1524</v>
      </c>
      <c r="D20">
        <v>229.43940000000001</v>
      </c>
    </row>
    <row r="22" spans="2:15" s="658" customFormat="1" x14ac:dyDescent="0.35">
      <c r="B22" s="713"/>
      <c r="C22" s="713" t="s">
        <v>1525</v>
      </c>
      <c r="D22" s="713" t="s">
        <v>1526</v>
      </c>
      <c r="E22" s="713"/>
    </row>
    <row r="23" spans="2:15" s="658" customFormat="1" x14ac:dyDescent="0.35">
      <c r="B23" s="713" t="s">
        <v>1527</v>
      </c>
      <c r="C23" s="1392">
        <v>3032.1953775342463</v>
      </c>
      <c r="D23" s="1392" t="e">
        <f>E8</f>
        <v>#REF!</v>
      </c>
      <c r="E23" s="1392" t="e">
        <f>D23-C23</f>
        <v>#REF!</v>
      </c>
    </row>
    <row r="24" spans="2:15" x14ac:dyDescent="0.35">
      <c r="B24" s="713" t="s">
        <v>1528</v>
      </c>
      <c r="C24" s="1392">
        <f>2000</f>
        <v>2000</v>
      </c>
      <c r="D24" s="1392">
        <f>2400</f>
        <v>2400</v>
      </c>
      <c r="E24" s="1392">
        <f>D24-C24</f>
        <v>400</v>
      </c>
      <c r="G24" s="658"/>
    </row>
    <row r="25" spans="2:15" x14ac:dyDescent="0.35">
      <c r="B25" s="713" t="s">
        <v>1529</v>
      </c>
      <c r="C25" s="1392">
        <v>1766</v>
      </c>
      <c r="D25" s="1392">
        <v>2400</v>
      </c>
      <c r="E25" s="1392">
        <f>D25-C25</f>
        <v>634</v>
      </c>
    </row>
    <row r="26" spans="2:15" x14ac:dyDescent="0.35">
      <c r="B26" s="713" t="s">
        <v>1530</v>
      </c>
      <c r="C26" s="1392">
        <v>3936</v>
      </c>
      <c r="D26" s="1392" t="e">
        <f>-E7</f>
        <v>#REF!</v>
      </c>
      <c r="E26" s="1392" t="e">
        <f>D26-C26</f>
        <v>#REF!</v>
      </c>
    </row>
    <row r="27" spans="2:15" s="658" customFormat="1" x14ac:dyDescent="0.35">
      <c r="B27" s="16"/>
      <c r="C27" s="1393"/>
      <c r="D27" s="1393"/>
      <c r="E27" s="1393"/>
    </row>
    <row r="28" spans="2:15" s="658" customFormat="1" x14ac:dyDescent="0.35">
      <c r="B28" s="16"/>
      <c r="C28" s="1393"/>
      <c r="D28" s="1393"/>
      <c r="E28" s="1393"/>
    </row>
    <row r="30" spans="2:15" x14ac:dyDescent="0.35">
      <c r="B30" s="1289" t="s">
        <v>251</v>
      </c>
      <c r="C30" s="1289">
        <v>45016</v>
      </c>
      <c r="D30" s="1289">
        <v>45382</v>
      </c>
      <c r="E30" s="1289">
        <v>45747</v>
      </c>
      <c r="F30" s="1289">
        <v>46112</v>
      </c>
      <c r="G30" s="1289">
        <v>46477</v>
      </c>
      <c r="H30" s="1289">
        <v>46843</v>
      </c>
      <c r="I30" s="1289">
        <v>47208</v>
      </c>
      <c r="J30" s="1289">
        <v>47573</v>
      </c>
      <c r="K30" s="1289">
        <v>47938</v>
      </c>
    </row>
    <row r="31" spans="2:15" x14ac:dyDescent="0.35">
      <c r="B31" s="713" t="s">
        <v>1535</v>
      </c>
      <c r="C31" s="1401">
        <v>0.13</v>
      </c>
      <c r="D31" s="1401">
        <v>0.12</v>
      </c>
      <c r="E31" s="1401">
        <v>0.12</v>
      </c>
      <c r="F31" s="1401">
        <v>0.12</v>
      </c>
      <c r="G31" s="1401">
        <v>0.12</v>
      </c>
      <c r="H31" s="1401">
        <v>0.13</v>
      </c>
      <c r="I31" s="1402">
        <v>0.13</v>
      </c>
      <c r="J31" s="1402">
        <v>0.13</v>
      </c>
      <c r="K31" s="1402"/>
    </row>
    <row r="32" spans="2:15" x14ac:dyDescent="0.35">
      <c r="B32" s="713" t="s">
        <v>1063</v>
      </c>
      <c r="C32" s="1400">
        <v>1.6413232693950472</v>
      </c>
      <c r="D32" s="1400">
        <v>1.695990978867681</v>
      </c>
      <c r="E32" s="1400">
        <v>1.692687780642272</v>
      </c>
      <c r="F32" s="1400">
        <v>1.4879548464966648</v>
      </c>
      <c r="G32" s="1400">
        <v>1.6735409558944545</v>
      </c>
      <c r="H32" s="1400">
        <v>1.8726944483302721</v>
      </c>
      <c r="I32" s="1400">
        <v>1.7482000838689749</v>
      </c>
      <c r="J32" s="1400">
        <v>1.7735645543183478</v>
      </c>
      <c r="K32" s="713"/>
    </row>
    <row r="33" spans="2:11" x14ac:dyDescent="0.35">
      <c r="B33" s="713" t="s">
        <v>1536</v>
      </c>
      <c r="C33" s="1400">
        <v>1.512557813035782</v>
      </c>
      <c r="D33" s="713"/>
      <c r="E33" s="713"/>
      <c r="F33" s="713"/>
      <c r="G33" s="713"/>
      <c r="H33" s="713"/>
      <c r="I33" s="713"/>
      <c r="J33" s="713"/>
      <c r="K33" s="713"/>
    </row>
    <row r="35" spans="2:11" x14ac:dyDescent="0.35">
      <c r="B35" t="s">
        <v>1537</v>
      </c>
      <c r="C35">
        <v>210</v>
      </c>
      <c r="D35">
        <v>210</v>
      </c>
      <c r="E35">
        <v>210</v>
      </c>
      <c r="F35">
        <v>205</v>
      </c>
      <c r="G35">
        <v>200</v>
      </c>
      <c r="H35">
        <v>170</v>
      </c>
      <c r="I35">
        <v>135</v>
      </c>
      <c r="J35">
        <v>130</v>
      </c>
      <c r="K35">
        <v>130</v>
      </c>
    </row>
  </sheetData>
  <pageMargins left="0.7" right="0.7" top="0.75" bottom="0.75" header="0.3" footer="0.3"/>
  <pageSetup paperSize="9" orientation="portrait" horizont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tabColor theme="4" tint="0.79998168889431442"/>
  </sheetPr>
  <dimension ref="A1:T134"/>
  <sheetViews>
    <sheetView showGridLines="0" zoomScale="80" zoomScaleNormal="80" workbookViewId="0">
      <pane xSplit="4" ySplit="4" topLeftCell="E5" activePane="bottomRight" state="frozen"/>
      <selection pane="topRight" activeCell="E1" sqref="E1"/>
      <selection pane="bottomLeft" activeCell="A5" sqref="A5"/>
      <selection pane="bottomRight" activeCell="I130" sqref="I130"/>
    </sheetView>
  </sheetViews>
  <sheetFormatPr defaultColWidth="8.54296875" defaultRowHeight="14.5" outlineLevelCol="1" x14ac:dyDescent="0.35"/>
  <cols>
    <col min="1" max="1" width="7.453125" style="133" bestFit="1" customWidth="1"/>
    <col min="2" max="2" width="51.81640625" style="133" customWidth="1"/>
    <col min="3" max="3" width="14.453125" style="295" customWidth="1"/>
    <col min="4" max="4" width="12.1796875" style="133" hidden="1" customWidth="1"/>
    <col min="5" max="6" width="13.26953125" style="133" customWidth="1" outlineLevel="1"/>
    <col min="7" max="7" width="13.54296875" style="133" customWidth="1" outlineLevel="1"/>
    <col min="8" max="8" width="13.26953125" style="133" customWidth="1" outlineLevel="1"/>
    <col min="9" max="9" width="13.26953125" style="582" customWidth="1" outlineLevel="1"/>
    <col min="10" max="17" width="14.453125" style="133" bestFit="1" customWidth="1"/>
    <col min="18" max="18" width="14" style="133" hidden="1" customWidth="1"/>
    <col min="19" max="19" width="14.453125" style="582" hidden="1" customWidth="1"/>
    <col min="20" max="20" width="14.7265625" style="133" bestFit="1" customWidth="1"/>
    <col min="21" max="16384" width="8.54296875" style="133"/>
  </cols>
  <sheetData>
    <row r="1" spans="1:20" x14ac:dyDescent="0.35">
      <c r="B1" s="134"/>
    </row>
    <row r="2" spans="1:20" x14ac:dyDescent="0.35">
      <c r="B2" s="112" t="str">
        <f>'P&amp;L'!B2</f>
        <v>All figures in INR Crores</v>
      </c>
      <c r="E2" s="241"/>
      <c r="F2" s="241"/>
      <c r="G2" s="241"/>
      <c r="H2" s="241"/>
      <c r="I2" s="241"/>
      <c r="J2" s="172"/>
      <c r="K2" s="172"/>
    </row>
    <row r="3" spans="1:20" x14ac:dyDescent="0.35">
      <c r="F3" s="582"/>
      <c r="G3" s="582"/>
      <c r="H3" s="582"/>
      <c r="K3" s="172"/>
    </row>
    <row r="4" spans="1:20" s="135" customFormat="1" x14ac:dyDescent="0.35">
      <c r="B4" s="118" t="s">
        <v>366</v>
      </c>
      <c r="C4" s="366" t="s">
        <v>1</v>
      </c>
      <c r="D4" s="118"/>
      <c r="E4" s="136">
        <f>EOMONTH(F4,-12)</f>
        <v>43190</v>
      </c>
      <c r="F4" s="136">
        <f>EOMONTH(G4,-12)</f>
        <v>43555</v>
      </c>
      <c r="G4" s="136">
        <f>'P&amp;L'!G5</f>
        <v>43921</v>
      </c>
      <c r="H4" s="136">
        <f>'P&amp;L'!H5</f>
        <v>44286</v>
      </c>
      <c r="I4" s="136">
        <f>'P&amp;L'!I5</f>
        <v>44651</v>
      </c>
      <c r="J4" s="136">
        <f>'P&amp;L'!J5</f>
        <v>45016</v>
      </c>
      <c r="K4" s="136">
        <f>'P&amp;L'!K5</f>
        <v>45382</v>
      </c>
      <c r="L4" s="136">
        <f>'P&amp;L'!L5</f>
        <v>45747</v>
      </c>
      <c r="M4" s="136">
        <f>'P&amp;L'!M5</f>
        <v>46112</v>
      </c>
      <c r="N4" s="136">
        <f>'P&amp;L'!N5</f>
        <v>46477</v>
      </c>
      <c r="O4" s="136">
        <f>'P&amp;L'!O5</f>
        <v>46843</v>
      </c>
      <c r="P4" s="136">
        <f>'P&amp;L'!P5</f>
        <v>47208</v>
      </c>
      <c r="Q4" s="136">
        <f>'P&amp;L'!Q5</f>
        <v>47573</v>
      </c>
      <c r="R4" s="136">
        <f>'P&amp;L'!R5</f>
        <v>47938</v>
      </c>
      <c r="S4" s="136">
        <f>'P&amp;L'!S5</f>
        <v>48304</v>
      </c>
    </row>
    <row r="5" spans="1:20" s="583" customFormat="1" x14ac:dyDescent="0.35">
      <c r="B5" s="118"/>
      <c r="C5" s="366"/>
      <c r="D5" s="118"/>
      <c r="E5" s="56" t="s">
        <v>367</v>
      </c>
      <c r="F5" s="56" t="s">
        <v>367</v>
      </c>
      <c r="G5" s="56" t="s">
        <v>367</v>
      </c>
      <c r="H5" s="56" t="s">
        <v>367</v>
      </c>
      <c r="I5" s="56" t="s">
        <v>367</v>
      </c>
      <c r="J5" s="56" t="s">
        <v>368</v>
      </c>
      <c r="K5" s="56" t="s">
        <v>368</v>
      </c>
      <c r="L5" s="56" t="s">
        <v>368</v>
      </c>
      <c r="M5" s="56" t="s">
        <v>368</v>
      </c>
      <c r="N5" s="56" t="s">
        <v>368</v>
      </c>
      <c r="O5" s="56" t="s">
        <v>368</v>
      </c>
      <c r="P5" s="56" t="s">
        <v>368</v>
      </c>
      <c r="Q5" s="56" t="s">
        <v>368</v>
      </c>
      <c r="R5" s="56" t="s">
        <v>368</v>
      </c>
      <c r="S5" s="56" t="s">
        <v>368</v>
      </c>
    </row>
    <row r="6" spans="1:20" s="1786" customFormat="1" x14ac:dyDescent="0.35">
      <c r="A6" s="1784" t="s">
        <v>836</v>
      </c>
      <c r="B6" s="85" t="s">
        <v>12</v>
      </c>
      <c r="C6" s="83"/>
      <c r="D6" s="1785"/>
      <c r="E6" s="1785"/>
      <c r="F6" s="1785"/>
      <c r="G6" s="1785"/>
      <c r="H6" s="1785"/>
      <c r="I6" s="1785"/>
      <c r="J6" s="1785"/>
      <c r="K6" s="1785"/>
      <c r="L6" s="1785"/>
      <c r="M6" s="1785"/>
      <c r="N6" s="1785"/>
      <c r="O6" s="1785"/>
      <c r="P6" s="1785"/>
      <c r="Q6" s="1785"/>
      <c r="R6" s="1785"/>
      <c r="S6" s="1785"/>
    </row>
    <row r="7" spans="1:20" s="135" customFormat="1" x14ac:dyDescent="0.35">
      <c r="A7" s="137"/>
      <c r="B7" s="138" t="s">
        <v>1636</v>
      </c>
      <c r="C7" s="298"/>
      <c r="D7" s="139"/>
      <c r="E7" s="139"/>
      <c r="F7" s="139"/>
      <c r="G7" s="139"/>
      <c r="H7" s="139"/>
      <c r="I7" s="139"/>
      <c r="J7" s="139"/>
      <c r="K7" s="139"/>
      <c r="L7" s="139"/>
      <c r="M7" s="139"/>
      <c r="N7" s="139"/>
      <c r="O7" s="139"/>
      <c r="P7" s="139"/>
      <c r="Q7" s="139"/>
      <c r="R7" s="139"/>
      <c r="S7" s="139"/>
    </row>
    <row r="8" spans="1:20" s="135" customFormat="1" x14ac:dyDescent="0.35">
      <c r="A8" s="137"/>
      <c r="B8" s="126" t="s">
        <v>15</v>
      </c>
      <c r="C8" s="78" t="s">
        <v>5</v>
      </c>
      <c r="D8" s="126"/>
      <c r="E8" s="63">
        <f>'Plant-wise details'!F148/10^5</f>
        <v>75.273605000000003</v>
      </c>
      <c r="F8" s="63">
        <f>+E12</f>
        <v>85.002160000000003</v>
      </c>
      <c r="G8" s="63">
        <f>+F12</f>
        <v>80.626499999999993</v>
      </c>
      <c r="H8" s="63">
        <f t="shared" ref="H8:S8" si="0">+G12</f>
        <v>77.875529999999998</v>
      </c>
      <c r="I8" s="1709">
        <f t="shared" si="0"/>
        <v>66.372320000000002</v>
      </c>
      <c r="J8" s="63">
        <f>+I12</f>
        <v>64.262100000000004</v>
      </c>
      <c r="K8" s="63">
        <f t="shared" si="0"/>
        <v>59.272463414634139</v>
      </c>
      <c r="L8" s="63">
        <f t="shared" si="0"/>
        <v>65.404097560975615</v>
      </c>
      <c r="M8" s="63">
        <f t="shared" si="0"/>
        <v>67.447975609756085</v>
      </c>
      <c r="N8" s="63">
        <f t="shared" si="0"/>
        <v>67.447975609756085</v>
      </c>
      <c r="O8" s="63">
        <f t="shared" si="0"/>
        <v>67.447975609756085</v>
      </c>
      <c r="P8" s="63">
        <f t="shared" si="0"/>
        <v>67.447975609756085</v>
      </c>
      <c r="Q8" s="63">
        <f t="shared" si="0"/>
        <v>67.447975609756085</v>
      </c>
      <c r="R8" s="63">
        <f t="shared" si="0"/>
        <v>67.447975609756085</v>
      </c>
      <c r="S8" s="63">
        <f t="shared" si="0"/>
        <v>67.447975609756085</v>
      </c>
    </row>
    <row r="9" spans="1:20" s="135" customFormat="1" x14ac:dyDescent="0.35">
      <c r="A9" s="137"/>
      <c r="B9" s="126" t="s">
        <v>398</v>
      </c>
      <c r="C9" s="78" t="s">
        <v>5</v>
      </c>
      <c r="D9" s="126"/>
      <c r="E9" s="63">
        <f>'Plant-wise details'!F170/10^5</f>
        <v>156.00915000000001</v>
      </c>
      <c r="F9" s="63">
        <f>'Plant-wise details'!G170/10^5</f>
        <v>191.01123000000001</v>
      </c>
      <c r="G9" s="63">
        <f>'Plant-wise details'!H170/10^5</f>
        <v>184.3535109</v>
      </c>
      <c r="H9" s="63">
        <f>'Plant-wise details'!I170/10^5</f>
        <v>173.7769558</v>
      </c>
      <c r="I9" s="63">
        <f>'Plant-wise details'!J170/10^5</f>
        <v>128.48965999999999</v>
      </c>
      <c r="J9" s="63">
        <f>(Assumptions!J17-Assumptions!J16)*Assumptions!J25</f>
        <v>148.18115853658534</v>
      </c>
      <c r="K9" s="63">
        <f>(Assumptions!K17-Assumptions!K16)*Assumptions!K25</f>
        <v>163.51024390243902</v>
      </c>
      <c r="L9" s="63">
        <f>(Assumptions!L17-Assumptions!L16)*Assumptions!L25</f>
        <v>168.61993902439022</v>
      </c>
      <c r="M9" s="63">
        <f>(Assumptions!M17-Assumptions!M16)*Assumptions!M25</f>
        <v>168.61993902439022</v>
      </c>
      <c r="N9" s="63">
        <f>(Assumptions!N17-Assumptions!N16)*Assumptions!N25</f>
        <v>168.61993902439022</v>
      </c>
      <c r="O9" s="63">
        <f>(Assumptions!O17-Assumptions!O16)*Assumptions!O25</f>
        <v>168.61993902439022</v>
      </c>
      <c r="P9" s="63">
        <f>(Assumptions!P17-Assumptions!P16)*Assumptions!P25</f>
        <v>168.61993902439022</v>
      </c>
      <c r="Q9" s="63">
        <f>(Assumptions!Q17-Assumptions!Q16)*Assumptions!Q25</f>
        <v>168.61993902439022</v>
      </c>
      <c r="R9" s="63">
        <f>(Assumptions!R17-Assumptions!R16)*Assumptions!R25</f>
        <v>168.61993902439022</v>
      </c>
      <c r="S9" s="63">
        <f>(Assumptions!S17-Assumptions!S16)*Assumptions!S25</f>
        <v>168.61993902439022</v>
      </c>
    </row>
    <row r="10" spans="1:20" s="135" customFormat="1" x14ac:dyDescent="0.35">
      <c r="A10" s="137"/>
      <c r="B10" s="126" t="s">
        <v>399</v>
      </c>
      <c r="C10" s="78" t="s">
        <v>5</v>
      </c>
      <c r="D10" s="126"/>
      <c r="E10" s="63">
        <f>'Plant-wise details'!F214/10^5</f>
        <v>146.21983499999999</v>
      </c>
      <c r="F10" s="63">
        <f>'Plant-wise details'!G214/10^5</f>
        <v>195.31599</v>
      </c>
      <c r="G10" s="63">
        <f>'Plant-wise details'!H214/10^5</f>
        <v>187.03617</v>
      </c>
      <c r="H10" s="63">
        <f>'Plant-wise details'!I214/10^5</f>
        <v>185.26598000000001</v>
      </c>
      <c r="I10" s="63">
        <f>'Plant-wise details'!J214/10^5</f>
        <v>130.52538000000001</v>
      </c>
      <c r="J10" s="63">
        <f t="shared" ref="J10:R10" si="1">+J8+J9-J12</f>
        <v>153.17079512195122</v>
      </c>
      <c r="K10" s="63">
        <f t="shared" si="1"/>
        <v>157.37860975609755</v>
      </c>
      <c r="L10" s="63">
        <f t="shared" si="1"/>
        <v>166.57606097560972</v>
      </c>
      <c r="M10" s="63">
        <f t="shared" si="1"/>
        <v>168.61993902439019</v>
      </c>
      <c r="N10" s="63">
        <f t="shared" si="1"/>
        <v>168.61993902439019</v>
      </c>
      <c r="O10" s="63">
        <f t="shared" si="1"/>
        <v>168.61993902439019</v>
      </c>
      <c r="P10" s="63">
        <f t="shared" si="1"/>
        <v>168.61993902439019</v>
      </c>
      <c r="Q10" s="63">
        <f t="shared" si="1"/>
        <v>168.61993902439019</v>
      </c>
      <c r="R10" s="63">
        <f t="shared" si="1"/>
        <v>168.61993902439019</v>
      </c>
      <c r="S10" s="63">
        <f>+S8+S9-S12</f>
        <v>168.61993902439019</v>
      </c>
      <c r="T10" s="153"/>
    </row>
    <row r="11" spans="1:20" s="135" customFormat="1" x14ac:dyDescent="0.35">
      <c r="A11" s="137"/>
      <c r="B11" s="126" t="s">
        <v>855</v>
      </c>
      <c r="C11" s="78" t="s">
        <v>5</v>
      </c>
      <c r="D11" s="126"/>
      <c r="E11" s="63">
        <f>-'Plant-wise details'!F192/10^5</f>
        <v>-6.0760000000000002E-2</v>
      </c>
      <c r="F11" s="63">
        <f>-'Plant-wise details'!G192/10^5</f>
        <v>-6.9570000000000007E-2</v>
      </c>
      <c r="G11" s="63">
        <f>-'Plant-wise details'!H192/10^5</f>
        <v>-6.7880899999999994E-2</v>
      </c>
      <c r="H11" s="63">
        <f>-'Plant-wise details'!I192/10^5</f>
        <v>-1.4185799999999998E-2</v>
      </c>
      <c r="I11" s="63">
        <f>-('Plant-wise details'!J192-'Plant-wise details'!J236)/10^5</f>
        <v>-7.4499999999999997E-2</v>
      </c>
      <c r="J11" s="63"/>
      <c r="K11" s="63"/>
      <c r="L11" s="63"/>
      <c r="M11" s="63"/>
      <c r="N11" s="63"/>
      <c r="O11" s="63"/>
      <c r="P11" s="63"/>
      <c r="Q11" s="63"/>
      <c r="R11" s="63"/>
      <c r="S11" s="63"/>
    </row>
    <row r="12" spans="1:20" s="135" customFormat="1" x14ac:dyDescent="0.35">
      <c r="A12" s="137"/>
      <c r="B12" s="126" t="s">
        <v>14</v>
      </c>
      <c r="C12" s="78" t="s">
        <v>5</v>
      </c>
      <c r="D12" s="126"/>
      <c r="E12" s="63">
        <f>'Plant-wise details'!F258/10^5</f>
        <v>85.002160000000003</v>
      </c>
      <c r="F12" s="63">
        <f>'Plant-wise details'!G258/10^5</f>
        <v>80.626499999999993</v>
      </c>
      <c r="G12" s="63">
        <f>'Plant-wise details'!H258/10^5</f>
        <v>77.875529999999998</v>
      </c>
      <c r="H12" s="63">
        <f>'Plant-wise details'!I258/10^5</f>
        <v>66.372320000000002</v>
      </c>
      <c r="I12" s="63">
        <f>'Plant-wise details'!J258/10^5</f>
        <v>64.262100000000004</v>
      </c>
      <c r="J12" s="63">
        <f t="shared" ref="J12:S12" si="2">+J9*J13</f>
        <v>59.272463414634139</v>
      </c>
      <c r="K12" s="63">
        <f t="shared" si="2"/>
        <v>65.404097560975615</v>
      </c>
      <c r="L12" s="63">
        <f t="shared" si="2"/>
        <v>67.447975609756085</v>
      </c>
      <c r="M12" s="63">
        <f t="shared" si="2"/>
        <v>67.447975609756085</v>
      </c>
      <c r="N12" s="63">
        <f t="shared" si="2"/>
        <v>67.447975609756085</v>
      </c>
      <c r="O12" s="63">
        <f t="shared" si="2"/>
        <v>67.447975609756085</v>
      </c>
      <c r="P12" s="63">
        <f t="shared" si="2"/>
        <v>67.447975609756085</v>
      </c>
      <c r="Q12" s="63">
        <f t="shared" si="2"/>
        <v>67.447975609756085</v>
      </c>
      <c r="R12" s="63">
        <f t="shared" si="2"/>
        <v>67.447975609756085</v>
      </c>
      <c r="S12" s="63">
        <f t="shared" si="2"/>
        <v>67.447975609756085</v>
      </c>
    </row>
    <row r="13" spans="1:20" s="135" customFormat="1" x14ac:dyDescent="0.35">
      <c r="A13" s="137"/>
      <c r="B13" s="126" t="s">
        <v>17</v>
      </c>
      <c r="C13" s="78" t="s">
        <v>871</v>
      </c>
      <c r="D13" s="126"/>
      <c r="E13" s="536">
        <f>+E12/E9</f>
        <v>0.54485368326152661</v>
      </c>
      <c r="F13" s="536">
        <f>+F12/F9</f>
        <v>0.42210345433616647</v>
      </c>
      <c r="G13" s="536">
        <f>+G12/G9</f>
        <v>0.4224249900086931</v>
      </c>
      <c r="H13" s="536">
        <f>+H12/H9</f>
        <v>0.38193970940766131</v>
      </c>
      <c r="I13" s="536">
        <f>+I12/I9</f>
        <v>0.50013440770253426</v>
      </c>
      <c r="J13" s="1710">
        <v>0.4</v>
      </c>
      <c r="K13" s="537">
        <f>J13</f>
        <v>0.4</v>
      </c>
      <c r="L13" s="537">
        <f t="shared" ref="L13:O13" si="3">+K13</f>
        <v>0.4</v>
      </c>
      <c r="M13" s="537">
        <f t="shared" si="3"/>
        <v>0.4</v>
      </c>
      <c r="N13" s="537">
        <f t="shared" si="3"/>
        <v>0.4</v>
      </c>
      <c r="O13" s="537">
        <f t="shared" si="3"/>
        <v>0.4</v>
      </c>
      <c r="P13" s="537">
        <f>+O13</f>
        <v>0.4</v>
      </c>
      <c r="Q13" s="537">
        <f>+P13</f>
        <v>0.4</v>
      </c>
      <c r="R13" s="537">
        <f>+Q13</f>
        <v>0.4</v>
      </c>
      <c r="S13" s="537">
        <f>+R13</f>
        <v>0.4</v>
      </c>
    </row>
    <row r="14" spans="1:20" s="135" customFormat="1" x14ac:dyDescent="0.35">
      <c r="A14" s="137"/>
      <c r="B14" s="126" t="s">
        <v>309</v>
      </c>
      <c r="C14" s="78" t="s">
        <v>302</v>
      </c>
      <c r="D14" s="126"/>
      <c r="E14" s="102">
        <f t="shared" ref="E14:S14" si="4">+E12/(E10/12)</f>
        <v>6.9759750446989637</v>
      </c>
      <c r="F14" s="102">
        <f t="shared" si="4"/>
        <v>4.9536036450471874</v>
      </c>
      <c r="G14" s="102">
        <f t="shared" si="4"/>
        <v>4.9963937991245224</v>
      </c>
      <c r="H14" s="102">
        <f t="shared" si="4"/>
        <v>4.2990506945743627</v>
      </c>
      <c r="I14" s="102">
        <f t="shared" si="4"/>
        <v>5.9080096146818342</v>
      </c>
      <c r="J14" s="102">
        <f t="shared" si="4"/>
        <v>4.6436369309783405</v>
      </c>
      <c r="K14" s="102">
        <f t="shared" si="4"/>
        <v>4.9870129870129878</v>
      </c>
      <c r="L14" s="102">
        <f t="shared" si="4"/>
        <v>4.8588957055214728</v>
      </c>
      <c r="M14" s="102">
        <f t="shared" si="4"/>
        <v>4.8000000000000007</v>
      </c>
      <c r="N14" s="102">
        <f t="shared" si="4"/>
        <v>4.8000000000000007</v>
      </c>
      <c r="O14" s="102">
        <f t="shared" si="4"/>
        <v>4.8000000000000007</v>
      </c>
      <c r="P14" s="102">
        <f t="shared" si="4"/>
        <v>4.8000000000000007</v>
      </c>
      <c r="Q14" s="102">
        <f t="shared" si="4"/>
        <v>4.8000000000000007</v>
      </c>
      <c r="R14" s="102">
        <f t="shared" si="4"/>
        <v>4.8000000000000007</v>
      </c>
      <c r="S14" s="102">
        <f t="shared" si="4"/>
        <v>4.8000000000000007</v>
      </c>
    </row>
    <row r="15" spans="1:20" s="135" customFormat="1" x14ac:dyDescent="0.35">
      <c r="B15" s="144" t="s">
        <v>16</v>
      </c>
      <c r="C15" s="298"/>
      <c r="D15" s="139"/>
      <c r="E15" s="139"/>
      <c r="F15" s="139"/>
      <c r="G15" s="139"/>
      <c r="H15" s="139"/>
      <c r="I15" s="139"/>
      <c r="J15" s="148"/>
      <c r="K15" s="139"/>
      <c r="L15" s="139"/>
      <c r="M15" s="139"/>
      <c r="N15" s="139"/>
      <c r="O15" s="139"/>
      <c r="P15" s="139"/>
      <c r="Q15" s="139"/>
      <c r="R15" s="139"/>
      <c r="S15" s="139"/>
    </row>
    <row r="16" spans="1:20" s="135" customFormat="1" x14ac:dyDescent="0.35">
      <c r="B16" s="145" t="s">
        <v>15</v>
      </c>
      <c r="C16" s="78" t="s">
        <v>5</v>
      </c>
      <c r="D16" s="126"/>
      <c r="E16" s="121">
        <f>21286/10^7</f>
        <v>2.1286E-3</v>
      </c>
      <c r="F16" s="63">
        <f>+E17</f>
        <v>6.0760000000000002E-2</v>
      </c>
      <c r="G16" s="63">
        <f>+F17</f>
        <v>5.1819999999999998E-2</v>
      </c>
      <c r="H16" s="63">
        <f>+G17</f>
        <v>0.10580000000000001</v>
      </c>
      <c r="I16" s="63">
        <f>+H17</f>
        <v>0.17101999999999998</v>
      </c>
      <c r="J16" s="63">
        <f>+I17</f>
        <v>9.332E-2</v>
      </c>
      <c r="K16" s="63">
        <f t="shared" ref="K16:S16" si="5">+J17</f>
        <v>9.332E-2</v>
      </c>
      <c r="L16" s="63">
        <f t="shared" si="5"/>
        <v>9.332E-2</v>
      </c>
      <c r="M16" s="63">
        <f t="shared" si="5"/>
        <v>9.332E-2</v>
      </c>
      <c r="N16" s="63">
        <f t="shared" si="5"/>
        <v>9.332E-2</v>
      </c>
      <c r="O16" s="63">
        <f t="shared" si="5"/>
        <v>9.332E-2</v>
      </c>
      <c r="P16" s="63">
        <f t="shared" si="5"/>
        <v>9.332E-2</v>
      </c>
      <c r="Q16" s="63">
        <f t="shared" si="5"/>
        <v>9.332E-2</v>
      </c>
      <c r="R16" s="63">
        <f t="shared" si="5"/>
        <v>9.332E-2</v>
      </c>
      <c r="S16" s="63">
        <f t="shared" si="5"/>
        <v>9.332E-2</v>
      </c>
    </row>
    <row r="17" spans="1:19" s="135" customFormat="1" x14ac:dyDescent="0.35">
      <c r="B17" s="145" t="s">
        <v>14</v>
      </c>
      <c r="C17" s="78" t="s">
        <v>5</v>
      </c>
      <c r="D17" s="126"/>
      <c r="E17" s="121">
        <f>6076/10^5</f>
        <v>6.0760000000000002E-2</v>
      </c>
      <c r="F17" s="100">
        <v>5.1819999999999998E-2</v>
      </c>
      <c r="G17" s="100">
        <v>0.10580000000000001</v>
      </c>
      <c r="H17" s="100">
        <v>0.17101999999999998</v>
      </c>
      <c r="I17" s="100">
        <f>9332/10^5</f>
        <v>9.332E-2</v>
      </c>
      <c r="J17" s="63">
        <f t="shared" ref="J17:R17" si="6">+J16</f>
        <v>9.332E-2</v>
      </c>
      <c r="K17" s="63">
        <f t="shared" si="6"/>
        <v>9.332E-2</v>
      </c>
      <c r="L17" s="63">
        <f t="shared" si="6"/>
        <v>9.332E-2</v>
      </c>
      <c r="M17" s="63">
        <f t="shared" si="6"/>
        <v>9.332E-2</v>
      </c>
      <c r="N17" s="63">
        <f t="shared" si="6"/>
        <v>9.332E-2</v>
      </c>
      <c r="O17" s="63">
        <f t="shared" si="6"/>
        <v>9.332E-2</v>
      </c>
      <c r="P17" s="63">
        <f t="shared" si="6"/>
        <v>9.332E-2</v>
      </c>
      <c r="Q17" s="63">
        <f t="shared" si="6"/>
        <v>9.332E-2</v>
      </c>
      <c r="R17" s="63">
        <f t="shared" si="6"/>
        <v>9.332E-2</v>
      </c>
      <c r="S17" s="63">
        <f>+S16</f>
        <v>9.332E-2</v>
      </c>
    </row>
    <row r="18" spans="1:19" s="135" customFormat="1" x14ac:dyDescent="0.35">
      <c r="B18" s="144" t="s">
        <v>857</v>
      </c>
      <c r="C18" s="298"/>
      <c r="D18" s="139"/>
      <c r="E18" s="139"/>
      <c r="F18" s="139"/>
      <c r="G18" s="139"/>
      <c r="H18" s="139"/>
      <c r="I18" s="139"/>
      <c r="J18" s="139"/>
      <c r="K18" s="139"/>
      <c r="L18" s="139"/>
      <c r="M18" s="139"/>
      <c r="N18" s="139"/>
      <c r="O18" s="139"/>
      <c r="P18" s="139"/>
      <c r="Q18" s="139"/>
      <c r="R18" s="139"/>
      <c r="S18" s="139"/>
    </row>
    <row r="19" spans="1:19" s="135" customFormat="1" x14ac:dyDescent="0.35">
      <c r="B19" s="145" t="s">
        <v>15</v>
      </c>
      <c r="C19" s="78" t="s">
        <v>5</v>
      </c>
      <c r="D19" s="126"/>
      <c r="E19" s="63">
        <f>'Plant-wise details'!F280/10^5</f>
        <v>1.00023</v>
      </c>
      <c r="F19" s="63">
        <f>'Plant-wise details'!G280/10^5</f>
        <v>1.80623</v>
      </c>
      <c r="G19" s="63">
        <f>'Plant-wise details'!H280/10^5</f>
        <v>1.78081</v>
      </c>
      <c r="H19" s="63">
        <f>'Plant-wise details'!I280/10^5</f>
        <v>1.9542900000000001</v>
      </c>
      <c r="I19" s="63">
        <f>'Plant-wise details'!J280/10^5</f>
        <v>0.77544520000000006</v>
      </c>
      <c r="J19" s="63">
        <f>+I20</f>
        <v>0.87849290000000013</v>
      </c>
      <c r="K19" s="63">
        <f t="shared" ref="K19:S19" si="7">+J20</f>
        <v>0.87849290000000013</v>
      </c>
      <c r="L19" s="63">
        <f t="shared" si="7"/>
        <v>0.87849290000000013</v>
      </c>
      <c r="M19" s="63">
        <f t="shared" si="7"/>
        <v>0.87849290000000013</v>
      </c>
      <c r="N19" s="63">
        <f t="shared" si="7"/>
        <v>0.87849290000000013</v>
      </c>
      <c r="O19" s="63">
        <f t="shared" si="7"/>
        <v>0.87849290000000013</v>
      </c>
      <c r="P19" s="63">
        <f t="shared" si="7"/>
        <v>0.87849290000000013</v>
      </c>
      <c r="Q19" s="63">
        <f t="shared" si="7"/>
        <v>0.87849290000000013</v>
      </c>
      <c r="R19" s="63">
        <f t="shared" si="7"/>
        <v>0.87849290000000013</v>
      </c>
      <c r="S19" s="63">
        <f t="shared" si="7"/>
        <v>0.87849290000000013</v>
      </c>
    </row>
    <row r="20" spans="1:19" s="135" customFormat="1" x14ac:dyDescent="0.35">
      <c r="B20" s="145" t="s">
        <v>14</v>
      </c>
      <c r="C20" s="78" t="s">
        <v>5</v>
      </c>
      <c r="D20" s="126"/>
      <c r="E20" s="63">
        <f>'Plant-wise details'!F302/10^5</f>
        <v>1.80623</v>
      </c>
      <c r="F20" s="63">
        <f>'Plant-wise details'!G302/10^5</f>
        <v>1.78081</v>
      </c>
      <c r="G20" s="63">
        <f>'Plant-wise details'!H302/10^5</f>
        <v>1.9542900000000001</v>
      </c>
      <c r="H20" s="63">
        <f>'Plant-wise details'!I302/10^5</f>
        <v>0.77544520000000006</v>
      </c>
      <c r="I20" s="63">
        <f>'Plant-wise details'!J302/10^5</f>
        <v>0.87849290000000013</v>
      </c>
      <c r="J20" s="63">
        <f t="shared" ref="J20:R20" si="8">+J19</f>
        <v>0.87849290000000013</v>
      </c>
      <c r="K20" s="63">
        <f t="shared" si="8"/>
        <v>0.87849290000000013</v>
      </c>
      <c r="L20" s="63">
        <f t="shared" si="8"/>
        <v>0.87849290000000013</v>
      </c>
      <c r="M20" s="63">
        <f t="shared" si="8"/>
        <v>0.87849290000000013</v>
      </c>
      <c r="N20" s="63">
        <f t="shared" si="8"/>
        <v>0.87849290000000013</v>
      </c>
      <c r="O20" s="63">
        <f t="shared" si="8"/>
        <v>0.87849290000000013</v>
      </c>
      <c r="P20" s="63">
        <f t="shared" si="8"/>
        <v>0.87849290000000013</v>
      </c>
      <c r="Q20" s="63">
        <f t="shared" si="8"/>
        <v>0.87849290000000013</v>
      </c>
      <c r="R20" s="63">
        <f t="shared" si="8"/>
        <v>0.87849290000000013</v>
      </c>
      <c r="S20" s="63">
        <f>+S19</f>
        <v>0.87849290000000013</v>
      </c>
    </row>
    <row r="21" spans="1:19" s="135" customFormat="1" x14ac:dyDescent="0.35">
      <c r="B21" s="138" t="s">
        <v>18</v>
      </c>
      <c r="C21" s="298"/>
      <c r="D21" s="139"/>
      <c r="E21" s="139"/>
      <c r="F21" s="139"/>
      <c r="G21" s="146"/>
      <c r="H21" s="139"/>
      <c r="I21" s="139"/>
      <c r="J21" s="139"/>
      <c r="K21" s="139"/>
      <c r="L21" s="139"/>
      <c r="M21" s="139"/>
      <c r="N21" s="139"/>
      <c r="O21" s="139"/>
      <c r="P21" s="139"/>
      <c r="Q21" s="139"/>
      <c r="R21" s="139"/>
      <c r="S21" s="139"/>
    </row>
    <row r="22" spans="1:19" s="135" customFormat="1" x14ac:dyDescent="0.35">
      <c r="B22" s="126" t="s">
        <v>15</v>
      </c>
      <c r="C22" s="78" t="s">
        <v>5</v>
      </c>
      <c r="D22" s="126"/>
      <c r="E22" s="63">
        <f>'Plant-wise details'!F355/10^5</f>
        <v>31.126481999999996</v>
      </c>
      <c r="F22" s="63">
        <f>+E28</f>
        <v>36.444870800000004</v>
      </c>
      <c r="G22" s="63">
        <f>+F28</f>
        <v>34.214044600000001</v>
      </c>
      <c r="H22" s="63">
        <f t="shared" ref="H22:S22" si="9">+G28</f>
        <v>32.669792000000001</v>
      </c>
      <c r="I22" s="63">
        <f t="shared" si="9"/>
        <v>21.393773000000003</v>
      </c>
      <c r="J22" s="63">
        <f>+I28</f>
        <v>5.1685029999999959</v>
      </c>
      <c r="K22" s="63">
        <f t="shared" si="9"/>
        <v>0</v>
      </c>
      <c r="L22" s="63">
        <f t="shared" si="9"/>
        <v>0</v>
      </c>
      <c r="M22" s="63">
        <f t="shared" si="9"/>
        <v>0</v>
      </c>
      <c r="N22" s="63">
        <f t="shared" si="9"/>
        <v>0</v>
      </c>
      <c r="O22" s="63">
        <f t="shared" si="9"/>
        <v>0</v>
      </c>
      <c r="P22" s="63">
        <f t="shared" si="9"/>
        <v>0</v>
      </c>
      <c r="Q22" s="63">
        <f t="shared" si="9"/>
        <v>0</v>
      </c>
      <c r="R22" s="63">
        <f t="shared" si="9"/>
        <v>0</v>
      </c>
      <c r="S22" s="63">
        <f t="shared" si="9"/>
        <v>0</v>
      </c>
    </row>
    <row r="23" spans="1:19" s="135" customFormat="1" x14ac:dyDescent="0.35">
      <c r="B23" s="126" t="s">
        <v>398</v>
      </c>
      <c r="C23" s="78" t="s">
        <v>5</v>
      </c>
      <c r="D23" s="126"/>
      <c r="E23" s="63">
        <f>'Plant-wise details'!F327/10^5</f>
        <v>69.0184</v>
      </c>
      <c r="F23" s="63">
        <f>'Plant-wise details'!G327/10^5</f>
        <v>77.593400000000003</v>
      </c>
      <c r="G23" s="63">
        <f>'Plant-wise details'!H327/10^5</f>
        <v>71.171679999999995</v>
      </c>
      <c r="H23" s="63">
        <f>'Plant-wise details'!I327/10^5</f>
        <v>54.271979999999999</v>
      </c>
      <c r="I23" s="63">
        <f>'Plant-wise details'!J327/10^5</f>
        <v>21.53838</v>
      </c>
      <c r="J23" s="63">
        <f>+Assumptions!J14*Assumptions!J31</f>
        <v>12.6585</v>
      </c>
      <c r="K23" s="63">
        <f>+Assumptions!K14*Assumptions!K31</f>
        <v>13.968000000000002</v>
      </c>
      <c r="L23" s="63">
        <f>+Assumptions!L14*Assumptions!L31</f>
        <v>14.404500000000001</v>
      </c>
      <c r="M23" s="63">
        <f>+Assumptions!M14*Assumptions!M31</f>
        <v>14.404500000000001</v>
      </c>
      <c r="N23" s="63">
        <f>+Assumptions!N14*Assumptions!N31</f>
        <v>14.404500000000001</v>
      </c>
      <c r="O23" s="63">
        <f>+Assumptions!O14*Assumptions!O31</f>
        <v>14.404500000000001</v>
      </c>
      <c r="P23" s="63">
        <f>+Assumptions!P14*Assumptions!P31</f>
        <v>14.404500000000001</v>
      </c>
      <c r="Q23" s="63">
        <f>+Assumptions!Q14*Assumptions!Q31</f>
        <v>14.404500000000001</v>
      </c>
      <c r="R23" s="63">
        <f>+Assumptions!R14*Assumptions!R31</f>
        <v>14.404500000000001</v>
      </c>
      <c r="S23" s="63">
        <f>+Assumptions!S14*Assumptions!S31</f>
        <v>14.404500000000001</v>
      </c>
    </row>
    <row r="24" spans="1:19" s="135" customFormat="1" x14ac:dyDescent="0.35">
      <c r="B24" s="126" t="s">
        <v>400</v>
      </c>
      <c r="C24" s="78" t="s">
        <v>5</v>
      </c>
      <c r="D24" s="126"/>
      <c r="E24" s="63">
        <f>'Plant-wise details'!F425/10^5</f>
        <v>51.833328399999999</v>
      </c>
      <c r="F24" s="63">
        <f>'Plant-wise details'!G425/10^5</f>
        <v>47.125674199999999</v>
      </c>
      <c r="G24" s="63">
        <f>'Plant-wise details'!H425/10^5</f>
        <v>26.780627999999997</v>
      </c>
      <c r="H24" s="63">
        <f>'Plant-wise details'!I425/10^5</f>
        <v>23.555657000000004</v>
      </c>
      <c r="I24" s="63">
        <f>'Plant-wise details'!J425/10^5</f>
        <v>26.271347000000006</v>
      </c>
      <c r="J24" s="143">
        <f t="shared" ref="J24:S24" si="10">+J22+J23-J25-J26-J28</f>
        <v>5.1685029999999976</v>
      </c>
      <c r="K24" s="143">
        <f t="shared" si="10"/>
        <v>1.7763568394002505E-15</v>
      </c>
      <c r="L24" s="143">
        <f t="shared" si="10"/>
        <v>0</v>
      </c>
      <c r="M24" s="143">
        <f t="shared" si="10"/>
        <v>0</v>
      </c>
      <c r="N24" s="143">
        <f t="shared" si="10"/>
        <v>0</v>
      </c>
      <c r="O24" s="143">
        <f t="shared" si="10"/>
        <v>0</v>
      </c>
      <c r="P24" s="143">
        <f t="shared" si="10"/>
        <v>0</v>
      </c>
      <c r="Q24" s="143">
        <f t="shared" si="10"/>
        <v>0</v>
      </c>
      <c r="R24" s="143">
        <f t="shared" si="10"/>
        <v>0</v>
      </c>
      <c r="S24" s="143">
        <f t="shared" si="10"/>
        <v>0</v>
      </c>
    </row>
    <row r="25" spans="1:19" s="135" customFormat="1" x14ac:dyDescent="0.35">
      <c r="A25" s="147"/>
      <c r="B25" s="126" t="s">
        <v>1488</v>
      </c>
      <c r="C25" s="78" t="s">
        <v>5</v>
      </c>
      <c r="D25" s="126"/>
      <c r="E25" s="63">
        <f>'Plant-wise details'!F402/10^5</f>
        <v>12.113562000000002</v>
      </c>
      <c r="F25" s="63">
        <f>'Plant-wise details'!G402/10^5</f>
        <v>32.859949</v>
      </c>
      <c r="G25" s="63">
        <f>'Plant-wise details'!H402/10^5</f>
        <v>46.556762999999997</v>
      </c>
      <c r="H25" s="63">
        <f>'Plant-wise details'!I402/10^5</f>
        <v>42.339744000000003</v>
      </c>
      <c r="I25" s="63">
        <f>'Plant-wise details'!J402/10^5</f>
        <v>11.903416000000002</v>
      </c>
      <c r="J25" s="143">
        <f>+Assumptions!J17*Assumptions!J29*Assumptions!J30</f>
        <v>12.6585</v>
      </c>
      <c r="K25" s="143">
        <f>+Assumptions!K17*Assumptions!K29*Assumptions!K30</f>
        <v>13.968</v>
      </c>
      <c r="L25" s="143">
        <f>+Assumptions!L17*Assumptions!L29*Assumptions!L30</f>
        <v>14.404500000000001</v>
      </c>
      <c r="M25" s="143">
        <f>+Assumptions!M17*Assumptions!M29*Assumptions!M30</f>
        <v>14.404500000000001</v>
      </c>
      <c r="N25" s="143">
        <f>+Assumptions!N17*Assumptions!N29*Assumptions!N30</f>
        <v>14.404500000000001</v>
      </c>
      <c r="O25" s="143">
        <f>+Assumptions!O17*Assumptions!O29*Assumptions!O30</f>
        <v>14.404500000000001</v>
      </c>
      <c r="P25" s="143">
        <f>+Assumptions!P17*Assumptions!P29*Assumptions!P30</f>
        <v>14.404500000000001</v>
      </c>
      <c r="Q25" s="143">
        <f>+Assumptions!Q17*Assumptions!Q29*Assumptions!Q30</f>
        <v>14.404500000000001</v>
      </c>
      <c r="R25" s="143">
        <f>+Assumptions!R17*Assumptions!R29*Assumptions!R30</f>
        <v>14.404500000000001</v>
      </c>
      <c r="S25" s="143">
        <f>+Assumptions!S17*Assumptions!S29*Assumptions!S30</f>
        <v>14.404500000000001</v>
      </c>
    </row>
    <row r="26" spans="1:19" s="583" customFormat="1" x14ac:dyDescent="0.35">
      <c r="A26" s="147"/>
      <c r="B26" s="581" t="s">
        <v>1487</v>
      </c>
      <c r="C26" s="579" t="s">
        <v>5</v>
      </c>
      <c r="D26" s="581"/>
      <c r="E26" s="63">
        <v>0</v>
      </c>
      <c r="F26" s="63">
        <v>0</v>
      </c>
      <c r="G26" s="63">
        <v>0</v>
      </c>
      <c r="H26" s="63">
        <v>0</v>
      </c>
      <c r="I26" s="63">
        <v>0</v>
      </c>
      <c r="J26" s="143">
        <v>0</v>
      </c>
      <c r="K26" s="143">
        <v>0</v>
      </c>
      <c r="L26" s="143">
        <v>0</v>
      </c>
      <c r="M26" s="143">
        <v>0</v>
      </c>
      <c r="N26" s="143">
        <v>0</v>
      </c>
      <c r="O26" s="143">
        <v>0</v>
      </c>
      <c r="P26" s="143">
        <v>0</v>
      </c>
      <c r="Q26" s="143">
        <v>0</v>
      </c>
      <c r="R26" s="143">
        <v>0</v>
      </c>
      <c r="S26" s="143">
        <v>0</v>
      </c>
    </row>
    <row r="27" spans="1:19" s="135" customFormat="1" x14ac:dyDescent="0.35">
      <c r="A27" s="147"/>
      <c r="B27" s="126" t="s">
        <v>877</v>
      </c>
      <c r="C27" s="78" t="s">
        <v>5</v>
      </c>
      <c r="D27" s="126"/>
      <c r="E27" s="63">
        <f>+'Plant-wise details'!F449/10^5</f>
        <v>0.24687919999999999</v>
      </c>
      <c r="F27" s="63">
        <f>+'Plant-wise details'!G449/10^5</f>
        <v>0.16139700000000001</v>
      </c>
      <c r="G27" s="63">
        <f>+'Plant-wise details'!H449/10^5</f>
        <v>0.62145840000000008</v>
      </c>
      <c r="H27" s="63">
        <f>+'Plant-wise details'!I449/10^5</f>
        <v>0.34740199999999999</v>
      </c>
      <c r="I27" s="63">
        <f>+'Plant-wise details'!J449/10^5</f>
        <v>0.41111300000000001</v>
      </c>
      <c r="J27" s="143"/>
      <c r="K27" s="143"/>
      <c r="L27" s="143"/>
      <c r="M27" s="143"/>
      <c r="N27" s="143"/>
      <c r="O27" s="143"/>
      <c r="P27" s="143"/>
      <c r="Q27" s="143"/>
      <c r="R27" s="143"/>
      <c r="S27" s="143"/>
    </row>
    <row r="28" spans="1:19" s="135" customFormat="1" x14ac:dyDescent="0.35">
      <c r="B28" s="126" t="s">
        <v>14</v>
      </c>
      <c r="C28" s="78" t="s">
        <v>5</v>
      </c>
      <c r="D28" s="126"/>
      <c r="E28" s="63">
        <f>'Plant-wise details'!F379/10^5</f>
        <v>36.444870800000004</v>
      </c>
      <c r="F28" s="63">
        <f>'Plant-wise details'!G379/10^5</f>
        <v>34.214044600000001</v>
      </c>
      <c r="G28" s="63">
        <f>'Plant-wise details'!H379/10^5</f>
        <v>32.669792000000001</v>
      </c>
      <c r="H28" s="63">
        <f>'Plant-wise details'!I379/10^5</f>
        <v>21.393773000000003</v>
      </c>
      <c r="I28" s="63">
        <f>'Plant-wise details'!J379/10^5</f>
        <v>5.1685029999999959</v>
      </c>
      <c r="J28" s="143">
        <v>0</v>
      </c>
      <c r="K28" s="143">
        <v>0</v>
      </c>
      <c r="L28" s="143">
        <v>0</v>
      </c>
      <c r="M28" s="143">
        <v>0</v>
      </c>
      <c r="N28" s="143">
        <v>0</v>
      </c>
      <c r="O28" s="143">
        <v>0</v>
      </c>
      <c r="P28" s="143">
        <v>0</v>
      </c>
      <c r="Q28" s="143">
        <v>0</v>
      </c>
      <c r="R28" s="143">
        <v>0</v>
      </c>
      <c r="S28" s="143">
        <v>0</v>
      </c>
    </row>
    <row r="29" spans="1:19" s="135" customFormat="1" x14ac:dyDescent="0.35">
      <c r="B29" s="126"/>
      <c r="C29" s="78"/>
      <c r="D29" s="126"/>
      <c r="E29" s="143">
        <f t="shared" ref="E29:S29" si="11">+E23+E22-E24-E25+E27-E28</f>
        <v>0</v>
      </c>
      <c r="F29" s="143">
        <f t="shared" si="11"/>
        <v>0</v>
      </c>
      <c r="G29" s="143">
        <f t="shared" si="11"/>
        <v>0</v>
      </c>
      <c r="H29" s="143">
        <f t="shared" si="11"/>
        <v>0</v>
      </c>
      <c r="I29" s="143">
        <f t="shared" si="11"/>
        <v>0</v>
      </c>
      <c r="J29" s="143">
        <f t="shared" si="11"/>
        <v>0</v>
      </c>
      <c r="K29" s="143">
        <f t="shared" si="11"/>
        <v>0</v>
      </c>
      <c r="L29" s="143">
        <f t="shared" si="11"/>
        <v>0</v>
      </c>
      <c r="M29" s="143">
        <f t="shared" si="11"/>
        <v>0</v>
      </c>
      <c r="N29" s="143">
        <f t="shared" si="11"/>
        <v>0</v>
      </c>
      <c r="O29" s="143">
        <f t="shared" si="11"/>
        <v>0</v>
      </c>
      <c r="P29" s="143">
        <f t="shared" si="11"/>
        <v>0</v>
      </c>
      <c r="Q29" s="143">
        <f t="shared" si="11"/>
        <v>0</v>
      </c>
      <c r="R29" s="143">
        <f t="shared" si="11"/>
        <v>0</v>
      </c>
      <c r="S29" s="143">
        <f t="shared" si="11"/>
        <v>0</v>
      </c>
    </row>
    <row r="30" spans="1:19" s="135" customFormat="1" x14ac:dyDescent="0.35">
      <c r="B30" s="144" t="s">
        <v>858</v>
      </c>
      <c r="C30" s="298"/>
      <c r="D30" s="139"/>
      <c r="E30" s="139"/>
      <c r="F30" s="139"/>
      <c r="G30" s="139"/>
      <c r="H30" s="139"/>
      <c r="I30" s="139"/>
      <c r="J30" s="139"/>
      <c r="K30" s="139"/>
      <c r="L30" s="139"/>
      <c r="M30" s="139"/>
      <c r="N30" s="139"/>
      <c r="O30" s="139"/>
      <c r="P30" s="139"/>
      <c r="Q30" s="139"/>
      <c r="R30" s="139"/>
      <c r="S30" s="139"/>
    </row>
    <row r="31" spans="1:19" s="135" customFormat="1" x14ac:dyDescent="0.35">
      <c r="B31" s="145" t="s">
        <v>15</v>
      </c>
      <c r="C31" s="78" t="s">
        <v>5</v>
      </c>
      <c r="D31" s="126"/>
      <c r="E31" s="63">
        <f>'Plant-wise details'!F473/10^5</f>
        <v>0.91949000000000003</v>
      </c>
      <c r="F31" s="63">
        <f>'Plant-wise details'!G473/10^5</f>
        <v>1.61639</v>
      </c>
      <c r="G31" s="63">
        <f>'Plant-wise details'!H473/10^5</f>
        <v>1.53688</v>
      </c>
      <c r="H31" s="63">
        <f>'Plant-wise details'!I473/10^5</f>
        <v>1.5662933000000001</v>
      </c>
      <c r="I31" s="63">
        <f>'Plant-wise details'!J473/10^5</f>
        <v>0.53457369999999993</v>
      </c>
      <c r="J31" s="63">
        <f>+I32</f>
        <v>0</v>
      </c>
      <c r="K31" s="63">
        <f t="shared" ref="K31:S31" si="12">+J32</f>
        <v>0</v>
      </c>
      <c r="L31" s="63">
        <f t="shared" si="12"/>
        <v>0</v>
      </c>
      <c r="M31" s="63">
        <f t="shared" si="12"/>
        <v>0</v>
      </c>
      <c r="N31" s="63">
        <f t="shared" si="12"/>
        <v>0</v>
      </c>
      <c r="O31" s="63">
        <f t="shared" si="12"/>
        <v>0</v>
      </c>
      <c r="P31" s="63">
        <f t="shared" si="12"/>
        <v>0</v>
      </c>
      <c r="Q31" s="63">
        <f t="shared" si="12"/>
        <v>0</v>
      </c>
      <c r="R31" s="63">
        <f t="shared" si="12"/>
        <v>0</v>
      </c>
      <c r="S31" s="63">
        <f t="shared" si="12"/>
        <v>0</v>
      </c>
    </row>
    <row r="32" spans="1:19" s="135" customFormat="1" x14ac:dyDescent="0.35">
      <c r="B32" s="145" t="s">
        <v>14</v>
      </c>
      <c r="C32" s="78" t="s">
        <v>5</v>
      </c>
      <c r="D32" s="126"/>
      <c r="E32" s="63">
        <f>'Plant-wise details'!F497/10^5</f>
        <v>1.61639</v>
      </c>
      <c r="F32" s="63">
        <f>'Plant-wise details'!G497/10^5</f>
        <v>1.53688</v>
      </c>
      <c r="G32" s="63">
        <f>'Plant-wise details'!H497/10^5</f>
        <v>1.5662933000000001</v>
      </c>
      <c r="H32" s="63">
        <f>'Plant-wise details'!I497/10^5</f>
        <v>0.53457369999999993</v>
      </c>
      <c r="I32" s="63">
        <f>'Plant-wise details'!J497/10^5</f>
        <v>0</v>
      </c>
      <c r="J32" s="63">
        <f t="shared" ref="J32:R32" si="13">+J31</f>
        <v>0</v>
      </c>
      <c r="K32" s="63">
        <f t="shared" si="13"/>
        <v>0</v>
      </c>
      <c r="L32" s="63">
        <f t="shared" si="13"/>
        <v>0</v>
      </c>
      <c r="M32" s="63">
        <f t="shared" si="13"/>
        <v>0</v>
      </c>
      <c r="N32" s="63">
        <f t="shared" si="13"/>
        <v>0</v>
      </c>
      <c r="O32" s="63">
        <f t="shared" si="13"/>
        <v>0</v>
      </c>
      <c r="P32" s="63">
        <f t="shared" si="13"/>
        <v>0</v>
      </c>
      <c r="Q32" s="63">
        <f t="shared" si="13"/>
        <v>0</v>
      </c>
      <c r="R32" s="63">
        <f t="shared" si="13"/>
        <v>0</v>
      </c>
      <c r="S32" s="63">
        <f>+S31</f>
        <v>0</v>
      </c>
    </row>
    <row r="33" spans="1:19" s="135" customFormat="1" x14ac:dyDescent="0.35">
      <c r="B33" s="138" t="s">
        <v>19</v>
      </c>
      <c r="C33" s="298"/>
      <c r="D33" s="139"/>
      <c r="E33" s="139"/>
      <c r="F33" s="139"/>
      <c r="G33" s="146"/>
      <c r="H33" s="139"/>
      <c r="I33" s="139"/>
      <c r="J33" s="148"/>
      <c r="K33" s="148"/>
      <c r="L33" s="148"/>
      <c r="M33" s="148"/>
      <c r="N33" s="148"/>
      <c r="O33" s="139"/>
      <c r="P33" s="139"/>
      <c r="Q33" s="139"/>
      <c r="R33" s="139"/>
      <c r="S33" s="139"/>
    </row>
    <row r="34" spans="1:19" s="135" customFormat="1" x14ac:dyDescent="0.35">
      <c r="B34" s="126" t="s">
        <v>15</v>
      </c>
      <c r="C34" s="78" t="s">
        <v>5</v>
      </c>
      <c r="D34" s="126"/>
      <c r="E34" s="126"/>
      <c r="F34" s="126"/>
      <c r="G34" s="63"/>
      <c r="H34" s="63">
        <v>0</v>
      </c>
      <c r="I34" s="63">
        <f>H39</f>
        <v>12.073831</v>
      </c>
      <c r="J34" s="63">
        <f>+I39</f>
        <v>25.019192999999998</v>
      </c>
      <c r="K34" s="63">
        <f t="shared" ref="K34:S34" si="14">+J39</f>
        <v>38.003021064301549</v>
      </c>
      <c r="L34" s="63">
        <f t="shared" si="14"/>
        <v>37.740931263858094</v>
      </c>
      <c r="M34" s="63">
        <f t="shared" si="14"/>
        <v>38.92033536585366</v>
      </c>
      <c r="N34" s="63">
        <f t="shared" si="14"/>
        <v>38.92033536585366</v>
      </c>
      <c r="O34" s="63">
        <f t="shared" si="14"/>
        <v>38.92033536585366</v>
      </c>
      <c r="P34" s="63">
        <f t="shared" si="14"/>
        <v>38.92033536585366</v>
      </c>
      <c r="Q34" s="63">
        <f t="shared" si="14"/>
        <v>38.92033536585366</v>
      </c>
      <c r="R34" s="63">
        <f t="shared" si="14"/>
        <v>38.92033536585366</v>
      </c>
      <c r="S34" s="63">
        <f t="shared" si="14"/>
        <v>38.92033536585366</v>
      </c>
    </row>
    <row r="35" spans="1:19" s="135" customFormat="1" x14ac:dyDescent="0.35">
      <c r="B35" s="126" t="s">
        <v>398</v>
      </c>
      <c r="C35" s="78" t="s">
        <v>5</v>
      </c>
      <c r="D35" s="126"/>
      <c r="E35" s="126"/>
      <c r="F35" s="126"/>
      <c r="G35" s="77"/>
      <c r="H35" s="63">
        <f>'Plant-wise details'!I521/10^5</f>
        <v>25.078109999999999</v>
      </c>
      <c r="I35" s="63">
        <f>'Plant-wise details'!J521/10^5</f>
        <v>47.150829999999999</v>
      </c>
      <c r="J35" s="63">
        <f>+Assumptions!J15*Assumptions!J32</f>
        <v>76.006042128603099</v>
      </c>
      <c r="K35" s="63">
        <f>+Assumptions!K15*Assumptions!K32</f>
        <v>83.868736141906879</v>
      </c>
      <c r="L35" s="63">
        <f>+Assumptions!L15*Assumptions!L32</f>
        <v>86.489634146341459</v>
      </c>
      <c r="M35" s="63">
        <f>+Assumptions!M15*Assumptions!M32</f>
        <v>86.489634146341459</v>
      </c>
      <c r="N35" s="63">
        <f>+Assumptions!N15*Assumptions!N32</f>
        <v>86.489634146341459</v>
      </c>
      <c r="O35" s="63">
        <f>+Assumptions!O15*Assumptions!O32</f>
        <v>86.489634146341459</v>
      </c>
      <c r="P35" s="63">
        <f>+Assumptions!P15*Assumptions!P32</f>
        <v>86.489634146341459</v>
      </c>
      <c r="Q35" s="63">
        <f>+Assumptions!Q15*Assumptions!Q32</f>
        <v>86.489634146341459</v>
      </c>
      <c r="R35" s="63">
        <f>+Assumptions!R15*Assumptions!R32</f>
        <v>86.489634146341459</v>
      </c>
      <c r="S35" s="63">
        <f>+Assumptions!S15*Assumptions!S32</f>
        <v>86.489634146341459</v>
      </c>
    </row>
    <row r="36" spans="1:19" s="135" customFormat="1" x14ac:dyDescent="0.35">
      <c r="B36" s="126" t="s">
        <v>400</v>
      </c>
      <c r="C36" s="78" t="s">
        <v>5</v>
      </c>
      <c r="D36" s="126"/>
      <c r="E36" s="126"/>
      <c r="F36" s="126"/>
      <c r="G36" s="77"/>
      <c r="H36" s="63">
        <f>'Plant-wise details'!I545/10^5</f>
        <v>13.004278999999999</v>
      </c>
      <c r="I36" s="63">
        <f>'Plant-wise details'!J545/10^5</f>
        <v>34.141117000000008</v>
      </c>
      <c r="J36" s="63">
        <f t="shared" ref="J36:R36" si="15">+J34+J35-J37-J39</f>
        <v>63.022214064301551</v>
      </c>
      <c r="K36" s="63">
        <f t="shared" si="15"/>
        <v>84.130825942350327</v>
      </c>
      <c r="L36" s="63">
        <f t="shared" si="15"/>
        <v>85.310230044345886</v>
      </c>
      <c r="M36" s="63">
        <f t="shared" si="15"/>
        <v>86.489634146341459</v>
      </c>
      <c r="N36" s="63">
        <f t="shared" si="15"/>
        <v>86.489634146341459</v>
      </c>
      <c r="O36" s="63">
        <f t="shared" si="15"/>
        <v>86.489634146341459</v>
      </c>
      <c r="P36" s="63">
        <f t="shared" si="15"/>
        <v>86.489634146341459</v>
      </c>
      <c r="Q36" s="63">
        <f t="shared" si="15"/>
        <v>86.489634146341459</v>
      </c>
      <c r="R36" s="63">
        <f t="shared" si="15"/>
        <v>86.489634146341459</v>
      </c>
      <c r="S36" s="63">
        <f>+S34+S35-S37-S39</f>
        <v>86.489634146341459</v>
      </c>
    </row>
    <row r="37" spans="1:19" s="135" customFormat="1" x14ac:dyDescent="0.35">
      <c r="A37" s="149">
        <v>0</v>
      </c>
      <c r="B37" s="126" t="s">
        <v>399</v>
      </c>
      <c r="C37" s="78" t="s">
        <v>5</v>
      </c>
      <c r="D37" s="126"/>
      <c r="E37" s="126"/>
      <c r="F37" s="126"/>
      <c r="G37" s="77"/>
      <c r="H37" s="77"/>
      <c r="I37" s="77"/>
      <c r="J37" s="63">
        <f t="shared" ref="J37:R37" si="16">+J35*$A37</f>
        <v>0</v>
      </c>
      <c r="K37" s="63">
        <f t="shared" si="16"/>
        <v>0</v>
      </c>
      <c r="L37" s="63">
        <f t="shared" si="16"/>
        <v>0</v>
      </c>
      <c r="M37" s="63">
        <f t="shared" si="16"/>
        <v>0</v>
      </c>
      <c r="N37" s="63">
        <f t="shared" si="16"/>
        <v>0</v>
      </c>
      <c r="O37" s="63">
        <f t="shared" si="16"/>
        <v>0</v>
      </c>
      <c r="P37" s="63">
        <f t="shared" si="16"/>
        <v>0</v>
      </c>
      <c r="Q37" s="63">
        <f t="shared" si="16"/>
        <v>0</v>
      </c>
      <c r="R37" s="63">
        <f t="shared" si="16"/>
        <v>0</v>
      </c>
      <c r="S37" s="63">
        <f>+S35*$A37</f>
        <v>0</v>
      </c>
    </row>
    <row r="38" spans="1:19" s="583" customFormat="1" x14ac:dyDescent="0.35">
      <c r="A38" s="149"/>
      <c r="B38" s="581" t="s">
        <v>877</v>
      </c>
      <c r="C38" s="579" t="s">
        <v>5</v>
      </c>
      <c r="D38" s="581"/>
      <c r="E38" s="581"/>
      <c r="F38" s="581"/>
      <c r="G38" s="77"/>
      <c r="H38" s="63">
        <f>'Plant-wise details'!I617/10^5</f>
        <v>0</v>
      </c>
      <c r="I38" s="63">
        <f>'Plant-wise details'!J617/10^5</f>
        <v>-6.4351000000000005E-2</v>
      </c>
      <c r="J38" s="63"/>
      <c r="K38" s="63"/>
      <c r="L38" s="63"/>
      <c r="M38" s="63"/>
      <c r="N38" s="63"/>
      <c r="O38" s="63"/>
      <c r="P38" s="63"/>
      <c r="Q38" s="63"/>
      <c r="R38" s="63"/>
      <c r="S38" s="63"/>
    </row>
    <row r="39" spans="1:19" s="135" customFormat="1" x14ac:dyDescent="0.35">
      <c r="B39" s="126" t="s">
        <v>14</v>
      </c>
      <c r="C39" s="78" t="s">
        <v>5</v>
      </c>
      <c r="D39" s="126"/>
      <c r="E39" s="126"/>
      <c r="F39" s="126"/>
      <c r="G39" s="63"/>
      <c r="H39" s="63">
        <f>'Plant-wise details'!I593/10^5</f>
        <v>12.073831</v>
      </c>
      <c r="I39" s="63">
        <f>'Plant-wise details'!J593/10^5</f>
        <v>25.019192999999998</v>
      </c>
      <c r="J39" s="63">
        <f t="shared" ref="J39:R39" si="17">J40*J35</f>
        <v>38.003021064301549</v>
      </c>
      <c r="K39" s="63">
        <f t="shared" si="17"/>
        <v>37.740931263858094</v>
      </c>
      <c r="L39" s="63">
        <f t="shared" si="17"/>
        <v>38.92033536585366</v>
      </c>
      <c r="M39" s="63">
        <f t="shared" si="17"/>
        <v>38.92033536585366</v>
      </c>
      <c r="N39" s="63">
        <f t="shared" si="17"/>
        <v>38.92033536585366</v>
      </c>
      <c r="O39" s="63">
        <f t="shared" si="17"/>
        <v>38.92033536585366</v>
      </c>
      <c r="P39" s="63">
        <f t="shared" si="17"/>
        <v>38.92033536585366</v>
      </c>
      <c r="Q39" s="63">
        <f t="shared" si="17"/>
        <v>38.92033536585366</v>
      </c>
      <c r="R39" s="63">
        <f t="shared" si="17"/>
        <v>38.92033536585366</v>
      </c>
      <c r="S39" s="63">
        <f>S40*S35</f>
        <v>38.92033536585366</v>
      </c>
    </row>
    <row r="40" spans="1:19" s="135" customFormat="1" x14ac:dyDescent="0.35">
      <c r="B40" s="126" t="s">
        <v>903</v>
      </c>
      <c r="C40" s="78" t="s">
        <v>871</v>
      </c>
      <c r="D40" s="126"/>
      <c r="E40" s="126"/>
      <c r="F40" s="126"/>
      <c r="G40" s="63"/>
      <c r="H40" s="140">
        <f>H39/H35</f>
        <v>0.48144900074208147</v>
      </c>
      <c r="I40" s="140">
        <f>I39/I35</f>
        <v>0.53062041537762961</v>
      </c>
      <c r="J40" s="92">
        <v>0.5</v>
      </c>
      <c r="K40" s="92">
        <v>0.45</v>
      </c>
      <c r="L40" s="66">
        <f t="shared" ref="L40:S40" si="18">K40</f>
        <v>0.45</v>
      </c>
      <c r="M40" s="66">
        <f t="shared" si="18"/>
        <v>0.45</v>
      </c>
      <c r="N40" s="66">
        <f t="shared" si="18"/>
        <v>0.45</v>
      </c>
      <c r="O40" s="66">
        <f t="shared" si="18"/>
        <v>0.45</v>
      </c>
      <c r="P40" s="66">
        <f t="shared" si="18"/>
        <v>0.45</v>
      </c>
      <c r="Q40" s="66">
        <f t="shared" si="18"/>
        <v>0.45</v>
      </c>
      <c r="R40" s="66">
        <f t="shared" si="18"/>
        <v>0.45</v>
      </c>
      <c r="S40" s="66">
        <f t="shared" si="18"/>
        <v>0.45</v>
      </c>
    </row>
    <row r="41" spans="1:19" s="135" customFormat="1" x14ac:dyDescent="0.35">
      <c r="B41" s="126" t="s">
        <v>309</v>
      </c>
      <c r="C41" s="78" t="s">
        <v>302</v>
      </c>
      <c r="D41" s="126"/>
      <c r="E41" s="126"/>
      <c r="F41" s="126"/>
      <c r="G41" s="63"/>
      <c r="H41" s="126"/>
      <c r="I41" s="143"/>
      <c r="J41" s="126"/>
      <c r="K41" s="126"/>
      <c r="L41" s="126"/>
      <c r="M41" s="126"/>
      <c r="N41" s="126"/>
      <c r="O41" s="126"/>
      <c r="P41" s="126"/>
      <c r="Q41" s="126"/>
      <c r="R41" s="126"/>
      <c r="S41" s="581"/>
    </row>
    <row r="42" spans="1:19" s="135" customFormat="1" x14ac:dyDescent="0.35">
      <c r="B42" s="144" t="s">
        <v>863</v>
      </c>
      <c r="C42" s="298"/>
      <c r="D42" s="139"/>
      <c r="E42" s="139"/>
      <c r="F42" s="139"/>
      <c r="G42" s="139"/>
      <c r="H42" s="139"/>
      <c r="I42" s="139"/>
      <c r="J42" s="139"/>
      <c r="K42" s="139"/>
      <c r="L42" s="139"/>
      <c r="M42" s="139"/>
      <c r="N42" s="139"/>
      <c r="O42" s="139"/>
      <c r="P42" s="139"/>
      <c r="Q42" s="139"/>
      <c r="R42" s="139"/>
      <c r="S42" s="139"/>
    </row>
    <row r="43" spans="1:19" s="135" customFormat="1" x14ac:dyDescent="0.35">
      <c r="B43" s="145" t="s">
        <v>15</v>
      </c>
      <c r="C43" s="78" t="s">
        <v>5</v>
      </c>
      <c r="D43" s="126"/>
      <c r="E43" s="63">
        <f>+D44</f>
        <v>0</v>
      </c>
      <c r="F43" s="63">
        <f>+E44</f>
        <v>0</v>
      </c>
      <c r="G43" s="63">
        <f>+F44</f>
        <v>0</v>
      </c>
      <c r="H43" s="63">
        <f t="shared" ref="H43:S43" si="19">+G44</f>
        <v>0</v>
      </c>
      <c r="I43" s="63">
        <f t="shared" si="19"/>
        <v>7.7929999999999999E-2</v>
      </c>
      <c r="J43" s="63">
        <f>+I44</f>
        <v>0.64539270000000004</v>
      </c>
      <c r="K43" s="63">
        <f t="shared" si="19"/>
        <v>0.64539270000000004</v>
      </c>
      <c r="L43" s="63">
        <f t="shared" si="19"/>
        <v>0.64539270000000004</v>
      </c>
      <c r="M43" s="63">
        <f t="shared" si="19"/>
        <v>0.64539270000000004</v>
      </c>
      <c r="N43" s="63">
        <f t="shared" si="19"/>
        <v>0.64539270000000004</v>
      </c>
      <c r="O43" s="63">
        <f t="shared" si="19"/>
        <v>0.64539270000000004</v>
      </c>
      <c r="P43" s="63">
        <f t="shared" si="19"/>
        <v>0.64539270000000004</v>
      </c>
      <c r="Q43" s="63">
        <f t="shared" si="19"/>
        <v>0.64539270000000004</v>
      </c>
      <c r="R43" s="63">
        <f t="shared" si="19"/>
        <v>0.64539270000000004</v>
      </c>
      <c r="S43" s="63">
        <f t="shared" si="19"/>
        <v>0.64539270000000004</v>
      </c>
    </row>
    <row r="44" spans="1:19" s="135" customFormat="1" x14ac:dyDescent="0.35">
      <c r="B44" s="145" t="s">
        <v>14</v>
      </c>
      <c r="C44" s="78" t="s">
        <v>5</v>
      </c>
      <c r="D44" s="126"/>
      <c r="E44" s="63">
        <v>0</v>
      </c>
      <c r="F44" s="63">
        <v>0</v>
      </c>
      <c r="G44" s="63">
        <v>0</v>
      </c>
      <c r="H44" s="63">
        <f>'Plant-wise details'!I665/10^5</f>
        <v>7.7929999999999999E-2</v>
      </c>
      <c r="I44" s="63">
        <f>'Plant-wise details'!J665/10^5</f>
        <v>0.64539270000000004</v>
      </c>
      <c r="J44" s="63">
        <f t="shared" ref="J44:R44" si="20">+J43</f>
        <v>0.64539270000000004</v>
      </c>
      <c r="K44" s="63">
        <f t="shared" si="20"/>
        <v>0.64539270000000004</v>
      </c>
      <c r="L44" s="63">
        <f t="shared" si="20"/>
        <v>0.64539270000000004</v>
      </c>
      <c r="M44" s="63">
        <f t="shared" si="20"/>
        <v>0.64539270000000004</v>
      </c>
      <c r="N44" s="63">
        <f t="shared" si="20"/>
        <v>0.64539270000000004</v>
      </c>
      <c r="O44" s="63">
        <f t="shared" si="20"/>
        <v>0.64539270000000004</v>
      </c>
      <c r="P44" s="63">
        <f t="shared" si="20"/>
        <v>0.64539270000000004</v>
      </c>
      <c r="Q44" s="63">
        <f t="shared" si="20"/>
        <v>0.64539270000000004</v>
      </c>
      <c r="R44" s="63">
        <f t="shared" si="20"/>
        <v>0.64539270000000004</v>
      </c>
      <c r="S44" s="63">
        <f>+S43</f>
        <v>0.64539270000000004</v>
      </c>
    </row>
    <row r="45" spans="1:19" s="583" customFormat="1" x14ac:dyDescent="0.35">
      <c r="B45" s="145"/>
      <c r="C45" s="579"/>
      <c r="D45" s="581"/>
      <c r="E45" s="63"/>
      <c r="F45" s="63"/>
      <c r="G45" s="63"/>
      <c r="H45" s="63"/>
      <c r="I45" s="63"/>
      <c r="J45" s="63"/>
      <c r="K45" s="63"/>
      <c r="L45" s="63"/>
      <c r="M45" s="63"/>
      <c r="N45" s="63"/>
      <c r="O45" s="63"/>
      <c r="P45" s="63"/>
      <c r="Q45" s="63"/>
      <c r="R45" s="63"/>
      <c r="S45" s="63"/>
    </row>
    <row r="46" spans="1:19" s="583" customFormat="1" x14ac:dyDescent="0.35">
      <c r="B46" s="138" t="s">
        <v>1586</v>
      </c>
      <c r="C46" s="298"/>
      <c r="D46" s="139"/>
      <c r="E46" s="139"/>
      <c r="F46" s="139"/>
      <c r="G46" s="146"/>
      <c r="H46" s="139"/>
      <c r="I46" s="139"/>
      <c r="J46" s="148"/>
      <c r="K46" s="148"/>
      <c r="L46" s="148"/>
      <c r="M46" s="148"/>
      <c r="N46" s="148"/>
      <c r="O46" s="139"/>
      <c r="P46" s="139"/>
      <c r="Q46" s="139"/>
      <c r="R46" s="139"/>
      <c r="S46" s="139"/>
    </row>
    <row r="47" spans="1:19" s="583" customFormat="1" x14ac:dyDescent="0.35">
      <c r="B47" s="581" t="s">
        <v>15</v>
      </c>
      <c r="C47" s="579" t="s">
        <v>5</v>
      </c>
      <c r="D47" s="581"/>
      <c r="E47" s="581"/>
      <c r="F47" s="581"/>
      <c r="G47" s="63"/>
      <c r="H47" s="63">
        <f>'Plant-wise details'!I680</f>
        <v>0</v>
      </c>
      <c r="I47" s="63">
        <f>H51</f>
        <v>0</v>
      </c>
      <c r="J47" s="63">
        <f>+I51</f>
        <v>0</v>
      </c>
      <c r="K47" s="63">
        <f t="shared" ref="K47" si="21">+J51</f>
        <v>0</v>
      </c>
      <c r="L47" s="63">
        <f t="shared" ref="L47" si="22">+K51</f>
        <v>0</v>
      </c>
      <c r="M47" s="63">
        <f t="shared" ref="M47" si="23">+L51</f>
        <v>0</v>
      </c>
      <c r="N47" s="63">
        <f t="shared" ref="N47" si="24">+M51</f>
        <v>0</v>
      </c>
      <c r="O47" s="63">
        <f t="shared" ref="O47" si="25">+N51</f>
        <v>0</v>
      </c>
      <c r="P47" s="63">
        <f t="shared" ref="P47" si="26">+O51</f>
        <v>0</v>
      </c>
      <c r="Q47" s="63">
        <f t="shared" ref="Q47" si="27">+P51</f>
        <v>0</v>
      </c>
      <c r="R47" s="63">
        <f t="shared" ref="R47" si="28">+Q51</f>
        <v>0</v>
      </c>
      <c r="S47" s="63">
        <f t="shared" ref="S47" si="29">+R51</f>
        <v>0</v>
      </c>
    </row>
    <row r="48" spans="1:19" s="583" customFormat="1" x14ac:dyDescent="0.35">
      <c r="B48" s="581" t="s">
        <v>398</v>
      </c>
      <c r="C48" s="579" t="s">
        <v>5</v>
      </c>
      <c r="D48" s="581"/>
      <c r="E48" s="581"/>
      <c r="F48" s="581"/>
      <c r="G48" s="63"/>
      <c r="H48" s="63">
        <f>'Plant-wise details'!I695/10^5</f>
        <v>0</v>
      </c>
      <c r="I48" s="63">
        <f>'Plant-wise details'!J695/10^5</f>
        <v>4.0720000000000001</v>
      </c>
      <c r="J48" s="63">
        <f>+Assumptions!J27*Assumptions!J45</f>
        <v>0</v>
      </c>
      <c r="K48" s="63">
        <f>+Assumptions!K27*Assumptions!K45</f>
        <v>0</v>
      </c>
      <c r="L48" s="63">
        <f>+Assumptions!L27*Assumptions!L45</f>
        <v>0</v>
      </c>
      <c r="M48" s="63">
        <f>+Assumptions!M27*Assumptions!M45</f>
        <v>0</v>
      </c>
      <c r="N48" s="63">
        <f>+Assumptions!N27*Assumptions!N45</f>
        <v>0</v>
      </c>
      <c r="O48" s="63">
        <f>+Assumptions!O27*Assumptions!O45</f>
        <v>0</v>
      </c>
      <c r="P48" s="63">
        <f>+Assumptions!P27*Assumptions!P45</f>
        <v>0</v>
      </c>
      <c r="Q48" s="63">
        <f>+Assumptions!Q27*Assumptions!Q45</f>
        <v>0</v>
      </c>
      <c r="R48" s="63">
        <f>+Assumptions!R27*Assumptions!R45</f>
        <v>0</v>
      </c>
      <c r="S48" s="63">
        <f>+Assumptions!S27*Assumptions!S45</f>
        <v>0</v>
      </c>
    </row>
    <row r="49" spans="2:19" s="583" customFormat="1" x14ac:dyDescent="0.35">
      <c r="B49" s="581" t="s">
        <v>400</v>
      </c>
      <c r="C49" s="579" t="s">
        <v>5</v>
      </c>
      <c r="D49" s="581"/>
      <c r="E49" s="581"/>
      <c r="F49" s="581"/>
      <c r="G49" s="63"/>
      <c r="H49" s="63">
        <f>'Plant-wise details'!I710/10^5</f>
        <v>0</v>
      </c>
      <c r="I49" s="63">
        <f>'Plant-wise details'!J710/10^5</f>
        <v>4.0720000000000001</v>
      </c>
      <c r="J49" s="63">
        <f t="shared" ref="J49:R49" si="30">+J47+J48-J50-J51</f>
        <v>0</v>
      </c>
      <c r="K49" s="63">
        <f t="shared" si="30"/>
        <v>0</v>
      </c>
      <c r="L49" s="63">
        <f t="shared" si="30"/>
        <v>0</v>
      </c>
      <c r="M49" s="63">
        <f t="shared" si="30"/>
        <v>0</v>
      </c>
      <c r="N49" s="63">
        <f t="shared" si="30"/>
        <v>0</v>
      </c>
      <c r="O49" s="63">
        <f t="shared" si="30"/>
        <v>0</v>
      </c>
      <c r="P49" s="63">
        <f t="shared" si="30"/>
        <v>0</v>
      </c>
      <c r="Q49" s="63">
        <f t="shared" si="30"/>
        <v>0</v>
      </c>
      <c r="R49" s="63">
        <f t="shared" si="30"/>
        <v>0</v>
      </c>
      <c r="S49" s="63">
        <f>+S47+S48-S50-S51</f>
        <v>0</v>
      </c>
    </row>
    <row r="50" spans="2:19" s="583" customFormat="1" x14ac:dyDescent="0.35">
      <c r="B50" s="581" t="s">
        <v>399</v>
      </c>
      <c r="C50" s="579" t="s">
        <v>5</v>
      </c>
      <c r="D50" s="581"/>
      <c r="E50" s="581"/>
      <c r="F50" s="581"/>
      <c r="G50" s="63"/>
      <c r="H50" s="63"/>
      <c r="I50" s="63"/>
      <c r="J50" s="63">
        <f t="shared" ref="J50:R50" si="31">+J48*$A50</f>
        <v>0</v>
      </c>
      <c r="K50" s="63">
        <f t="shared" si="31"/>
        <v>0</v>
      </c>
      <c r="L50" s="63">
        <f t="shared" si="31"/>
        <v>0</v>
      </c>
      <c r="M50" s="63">
        <f t="shared" si="31"/>
        <v>0</v>
      </c>
      <c r="N50" s="63">
        <f t="shared" si="31"/>
        <v>0</v>
      </c>
      <c r="O50" s="63">
        <f t="shared" si="31"/>
        <v>0</v>
      </c>
      <c r="P50" s="63">
        <f t="shared" si="31"/>
        <v>0</v>
      </c>
      <c r="Q50" s="63">
        <f t="shared" si="31"/>
        <v>0</v>
      </c>
      <c r="R50" s="63">
        <f t="shared" si="31"/>
        <v>0</v>
      </c>
      <c r="S50" s="63">
        <f>+S48*$A50</f>
        <v>0</v>
      </c>
    </row>
    <row r="51" spans="2:19" s="583" customFormat="1" x14ac:dyDescent="0.35">
      <c r="B51" s="581" t="s">
        <v>14</v>
      </c>
      <c r="C51" s="579" t="s">
        <v>5</v>
      </c>
      <c r="D51" s="581"/>
      <c r="E51" s="581"/>
      <c r="F51" s="581"/>
      <c r="G51" s="63"/>
      <c r="H51" s="63">
        <f>'Plant-wise details'!I725/10^5</f>
        <v>0</v>
      </c>
      <c r="I51" s="63">
        <f>'Plant-wise details'!J725/10^5</f>
        <v>0</v>
      </c>
      <c r="J51" s="63">
        <f t="shared" ref="J51:R51" si="32">J52*J48</f>
        <v>0</v>
      </c>
      <c r="K51" s="63">
        <f t="shared" si="32"/>
        <v>0</v>
      </c>
      <c r="L51" s="63">
        <f t="shared" si="32"/>
        <v>0</v>
      </c>
      <c r="M51" s="63">
        <f t="shared" si="32"/>
        <v>0</v>
      </c>
      <c r="N51" s="63">
        <f t="shared" si="32"/>
        <v>0</v>
      </c>
      <c r="O51" s="63">
        <f t="shared" si="32"/>
        <v>0</v>
      </c>
      <c r="P51" s="63">
        <f t="shared" si="32"/>
        <v>0</v>
      </c>
      <c r="Q51" s="63">
        <f t="shared" si="32"/>
        <v>0</v>
      </c>
      <c r="R51" s="63">
        <f t="shared" si="32"/>
        <v>0</v>
      </c>
      <c r="S51" s="63">
        <f>S52*S48</f>
        <v>0</v>
      </c>
    </row>
    <row r="52" spans="2:19" s="583" customFormat="1" x14ac:dyDescent="0.35">
      <c r="B52" s="581" t="s">
        <v>903</v>
      </c>
      <c r="C52" s="579" t="s">
        <v>871</v>
      </c>
      <c r="D52" s="581"/>
      <c r="E52" s="581"/>
      <c r="F52" s="581"/>
      <c r="G52" s="63"/>
      <c r="H52" s="140">
        <f>IFERROR(H51/H48,0)</f>
        <v>0</v>
      </c>
      <c r="I52" s="140">
        <f>I51/I48</f>
        <v>0</v>
      </c>
      <c r="J52" s="66">
        <v>0</v>
      </c>
      <c r="K52" s="66">
        <f t="shared" ref="K52" si="33">J52</f>
        <v>0</v>
      </c>
      <c r="L52" s="66">
        <f t="shared" ref="L52" si="34">K52</f>
        <v>0</v>
      </c>
      <c r="M52" s="66">
        <f t="shared" ref="M52" si="35">L52</f>
        <v>0</v>
      </c>
      <c r="N52" s="66">
        <f t="shared" ref="N52" si="36">M52</f>
        <v>0</v>
      </c>
      <c r="O52" s="66">
        <f t="shared" ref="O52" si="37">N52</f>
        <v>0</v>
      </c>
      <c r="P52" s="66">
        <f t="shared" ref="P52" si="38">O52</f>
        <v>0</v>
      </c>
      <c r="Q52" s="66">
        <f t="shared" ref="Q52" si="39">P52</f>
        <v>0</v>
      </c>
      <c r="R52" s="66">
        <f t="shared" ref="R52" si="40">Q52</f>
        <v>0</v>
      </c>
      <c r="S52" s="66">
        <f t="shared" ref="S52" si="41">R52</f>
        <v>0</v>
      </c>
    </row>
    <row r="53" spans="2:19" s="583" customFormat="1" x14ac:dyDescent="0.35">
      <c r="B53" s="145"/>
      <c r="C53" s="579"/>
      <c r="D53" s="581"/>
      <c r="E53" s="63"/>
      <c r="F53" s="63"/>
      <c r="G53" s="63"/>
      <c r="H53" s="63"/>
      <c r="I53" s="63"/>
      <c r="J53" s="63"/>
      <c r="K53" s="63"/>
      <c r="L53" s="63"/>
      <c r="M53" s="63"/>
      <c r="N53" s="63"/>
      <c r="O53" s="63"/>
      <c r="P53" s="63"/>
      <c r="Q53" s="63"/>
      <c r="R53" s="63"/>
      <c r="S53" s="63"/>
    </row>
    <row r="54" spans="2:19" s="135" customFormat="1" x14ac:dyDescent="0.35">
      <c r="B54" s="138" t="s">
        <v>880</v>
      </c>
      <c r="C54" s="298"/>
      <c r="D54" s="139"/>
      <c r="E54" s="139"/>
      <c r="F54" s="139"/>
      <c r="G54" s="146"/>
      <c r="H54" s="139"/>
      <c r="I54" s="139"/>
      <c r="J54" s="148"/>
      <c r="K54" s="148"/>
      <c r="L54" s="148"/>
      <c r="M54" s="148"/>
      <c r="N54" s="148"/>
      <c r="O54" s="139"/>
      <c r="P54" s="139"/>
      <c r="Q54" s="139"/>
      <c r="R54" s="139"/>
      <c r="S54" s="139"/>
    </row>
    <row r="55" spans="2:19" s="135" customFormat="1" x14ac:dyDescent="0.35">
      <c r="B55" s="126" t="s">
        <v>15</v>
      </c>
      <c r="C55" s="78" t="s">
        <v>5</v>
      </c>
      <c r="D55" s="126"/>
      <c r="E55" s="63">
        <f>'Plant-wise details'!F1243/10^5</f>
        <v>18.960406940691691</v>
      </c>
      <c r="F55" s="63">
        <f>'Plant-wise details'!G1243/10^5</f>
        <v>14.107330800188739</v>
      </c>
      <c r="G55" s="63">
        <f>'Plant-wise details'!H1243/10^5</f>
        <v>11.483016100188733</v>
      </c>
      <c r="H55" s="63">
        <f>'Plant-wise details'!I1243/10^5</f>
        <v>18.711192900188731</v>
      </c>
      <c r="I55" s="63">
        <f>'Plant-wise details'!J1243/10^5</f>
        <v>22.808452200188736</v>
      </c>
      <c r="J55" s="63">
        <f>I60</f>
        <v>28.110286050188709</v>
      </c>
      <c r="K55" s="63">
        <f t="shared" ref="K55:S55" si="42">J60</f>
        <v>29</v>
      </c>
      <c r="L55" s="63">
        <f t="shared" si="42"/>
        <v>32</v>
      </c>
      <c r="M55" s="63">
        <f t="shared" si="42"/>
        <v>33</v>
      </c>
      <c r="N55" s="63">
        <f t="shared" si="42"/>
        <v>33</v>
      </c>
      <c r="O55" s="63">
        <f t="shared" si="42"/>
        <v>33</v>
      </c>
      <c r="P55" s="63">
        <f t="shared" si="42"/>
        <v>33</v>
      </c>
      <c r="Q55" s="63">
        <f t="shared" si="42"/>
        <v>33</v>
      </c>
      <c r="R55" s="63">
        <f t="shared" si="42"/>
        <v>33</v>
      </c>
      <c r="S55" s="63">
        <f t="shared" si="42"/>
        <v>33</v>
      </c>
    </row>
    <row r="56" spans="2:19" s="135" customFormat="1" x14ac:dyDescent="0.35">
      <c r="B56" s="126" t="s">
        <v>398</v>
      </c>
      <c r="C56" s="78" t="s">
        <v>5</v>
      </c>
      <c r="D56" s="126"/>
      <c r="E56" s="63">
        <f>'Plant-wise details'!F1220/10^5</f>
        <v>430.20351700000003</v>
      </c>
      <c r="F56" s="63">
        <f>'Plant-wise details'!G1220/10^5</f>
        <v>486.51070459999994</v>
      </c>
      <c r="G56" s="63">
        <f>'Plant-wise details'!H1220/10^5</f>
        <v>446.19880099999995</v>
      </c>
      <c r="H56" s="63">
        <f>'Plant-wise details'!I1220/10^5</f>
        <v>432.452966</v>
      </c>
      <c r="I56" s="63">
        <f>'Plant-wise details'!J1220/10^5</f>
        <v>345.08481269999999</v>
      </c>
      <c r="J56" s="63">
        <f>Assumptions!J17*Assumptions!J36</f>
        <v>397.45425947853244</v>
      </c>
      <c r="K56" s="63">
        <f>Assumptions!K17*Assumptions!K36</f>
        <v>438.57021735562205</v>
      </c>
      <c r="L56" s="63">
        <f>Assumptions!L17*Assumptions!L36</f>
        <v>452.27553664798523</v>
      </c>
      <c r="M56" s="63">
        <f>Assumptions!M17*Assumptions!M36</f>
        <v>452.27553664798523</v>
      </c>
      <c r="N56" s="63">
        <f>Assumptions!N17*Assumptions!N36</f>
        <v>452.27553664798523</v>
      </c>
      <c r="O56" s="63">
        <f>Assumptions!O17*Assumptions!O36</f>
        <v>452.27553664798523</v>
      </c>
      <c r="P56" s="63">
        <f>Assumptions!P17*Assumptions!P36</f>
        <v>452.27553664798523</v>
      </c>
      <c r="Q56" s="63">
        <f>Assumptions!Q17*Assumptions!Q36</f>
        <v>452.27553664798523</v>
      </c>
      <c r="R56" s="63">
        <f>Assumptions!R17*Assumptions!R36</f>
        <v>452.27553664798523</v>
      </c>
      <c r="S56" s="63">
        <f>Assumptions!S17*Assumptions!S36</f>
        <v>452.27553664798523</v>
      </c>
    </row>
    <row r="57" spans="2:19" s="135" customFormat="1" x14ac:dyDescent="0.35">
      <c r="B57" s="126" t="s">
        <v>958</v>
      </c>
      <c r="C57" s="78" t="s">
        <v>5</v>
      </c>
      <c r="D57" s="126"/>
      <c r="E57" s="63">
        <f>'Plant-wise details'!F1267/10^5</f>
        <v>425.1592435</v>
      </c>
      <c r="F57" s="63">
        <f>'Plant-wise details'!G1267/10^5</f>
        <v>488.76389629999994</v>
      </c>
      <c r="G57" s="63">
        <f>'Plant-wise details'!H1267/10^5</f>
        <v>438.07664920000002</v>
      </c>
      <c r="H57" s="63">
        <f>'Plant-wise details'!I1267/10^5</f>
        <v>429.75570670000002</v>
      </c>
      <c r="I57" s="63">
        <f>'Plant-wise details'!J1267/10^5</f>
        <v>340.01591385</v>
      </c>
      <c r="J57" s="63">
        <f t="shared" ref="J57:R57" si="43">J55+J56-J59-J60</f>
        <v>396.56454552872117</v>
      </c>
      <c r="K57" s="63">
        <f t="shared" si="43"/>
        <v>435.57021735562205</v>
      </c>
      <c r="L57" s="63">
        <f t="shared" si="43"/>
        <v>451.27553664798523</v>
      </c>
      <c r="M57" s="63">
        <f t="shared" si="43"/>
        <v>452.27553664798523</v>
      </c>
      <c r="N57" s="63">
        <f t="shared" si="43"/>
        <v>452.27553664798523</v>
      </c>
      <c r="O57" s="63">
        <f t="shared" si="43"/>
        <v>452.27553664798523</v>
      </c>
      <c r="P57" s="63">
        <f t="shared" si="43"/>
        <v>452.27553664798523</v>
      </c>
      <c r="Q57" s="63">
        <f t="shared" si="43"/>
        <v>452.27553664798523</v>
      </c>
      <c r="R57" s="63">
        <f t="shared" si="43"/>
        <v>452.27553664798523</v>
      </c>
      <c r="S57" s="63">
        <f>S55+S56-S59-S60</f>
        <v>452.27553664798523</v>
      </c>
    </row>
    <row r="58" spans="2:19" s="135" customFormat="1" x14ac:dyDescent="0.35">
      <c r="B58" s="126" t="s">
        <v>405</v>
      </c>
      <c r="C58" s="78" t="s">
        <v>5</v>
      </c>
      <c r="D58" s="126"/>
      <c r="E58" s="63">
        <f>'Plant-wise details'!F1291/10^5</f>
        <v>7.8528699999999985</v>
      </c>
      <c r="F58" s="63">
        <f>'Plant-wise details'!G1291/10^5</f>
        <v>0.37112300000000004</v>
      </c>
      <c r="G58" s="63">
        <f>'Plant-wise details'!H1291/10^5</f>
        <v>0.89397499999999996</v>
      </c>
      <c r="H58" s="63">
        <f>'Plant-wise details'!I1291/10^5</f>
        <v>0</v>
      </c>
      <c r="I58" s="63">
        <f>'Plant-wise details'!J1291/10^5</f>
        <v>1.9970650000000001</v>
      </c>
      <c r="J58" s="63">
        <v>0</v>
      </c>
      <c r="K58" s="63">
        <v>0</v>
      </c>
      <c r="L58" s="63">
        <v>0</v>
      </c>
      <c r="M58" s="63">
        <v>0</v>
      </c>
      <c r="N58" s="63">
        <v>0</v>
      </c>
      <c r="O58" s="63">
        <v>0</v>
      </c>
      <c r="P58" s="63">
        <v>0</v>
      </c>
      <c r="Q58" s="63">
        <v>0</v>
      </c>
      <c r="R58" s="63">
        <v>0</v>
      </c>
      <c r="S58" s="63">
        <v>0</v>
      </c>
    </row>
    <row r="59" spans="2:19" s="135" customFormat="1" x14ac:dyDescent="0.35">
      <c r="B59" s="126" t="s">
        <v>878</v>
      </c>
      <c r="C59" s="78" t="s">
        <v>5</v>
      </c>
      <c r="D59" s="126"/>
      <c r="E59" s="63">
        <f>+'Plant-wise details'!F1315/10^5</f>
        <v>-2.0444796405029728</v>
      </c>
      <c r="F59" s="63">
        <f>+'Plant-wise details'!G1315/10^5</f>
        <v>0</v>
      </c>
      <c r="G59" s="63">
        <f>+'Plant-wise details'!H1315/10^5</f>
        <v>0</v>
      </c>
      <c r="H59" s="63">
        <f>+'Plant-wise details'!I1315/10^5</f>
        <v>1.4</v>
      </c>
      <c r="I59" s="63">
        <f>+'Plant-wise details'!J1315/10^5</f>
        <v>2.23</v>
      </c>
      <c r="J59" s="63">
        <v>0</v>
      </c>
      <c r="K59" s="63">
        <v>0</v>
      </c>
      <c r="L59" s="63">
        <v>0</v>
      </c>
      <c r="M59" s="63">
        <v>0</v>
      </c>
      <c r="N59" s="63">
        <v>0</v>
      </c>
      <c r="O59" s="63">
        <v>0</v>
      </c>
      <c r="P59" s="63">
        <v>0</v>
      </c>
      <c r="Q59" s="63">
        <v>0</v>
      </c>
      <c r="R59" s="63">
        <v>0</v>
      </c>
      <c r="S59" s="63">
        <v>0</v>
      </c>
    </row>
    <row r="60" spans="2:19" s="135" customFormat="1" x14ac:dyDescent="0.35">
      <c r="B60" s="126" t="s">
        <v>14</v>
      </c>
      <c r="C60" s="78" t="s">
        <v>5</v>
      </c>
      <c r="D60" s="126"/>
      <c r="E60" s="63">
        <f>'Plant-wise details'!F1339/10^5</f>
        <v>14.107330800188739</v>
      </c>
      <c r="F60" s="63">
        <f>'Plant-wise details'!G1339/10^5</f>
        <v>11.483016100188733</v>
      </c>
      <c r="G60" s="63">
        <f>'Plant-wise details'!H1339/10^5</f>
        <v>18.711192900188731</v>
      </c>
      <c r="H60" s="63">
        <f>'Plant-wise details'!I1339/10^5</f>
        <v>22.808452200188736</v>
      </c>
      <c r="I60" s="63">
        <f>'Plant-wise details'!J1339/10^5</f>
        <v>28.110286050188709</v>
      </c>
      <c r="J60" s="63">
        <f>Assumptions!J17*J61</f>
        <v>29</v>
      </c>
      <c r="K60" s="63">
        <f>Assumptions!K17*K61</f>
        <v>32</v>
      </c>
      <c r="L60" s="63">
        <f>Assumptions!L17*L61</f>
        <v>33</v>
      </c>
      <c r="M60" s="63">
        <f>Assumptions!M17*M61</f>
        <v>33</v>
      </c>
      <c r="N60" s="63">
        <f>Assumptions!N17*N61</f>
        <v>33</v>
      </c>
      <c r="O60" s="63">
        <f>Assumptions!O17*O61</f>
        <v>33</v>
      </c>
      <c r="P60" s="63">
        <f>Assumptions!P17*P61</f>
        <v>33</v>
      </c>
      <c r="Q60" s="63">
        <f>Assumptions!Q17*Q61</f>
        <v>33</v>
      </c>
      <c r="R60" s="63">
        <f>Assumptions!R17*R61</f>
        <v>33</v>
      </c>
      <c r="S60" s="63">
        <f>Assumptions!S17*S61</f>
        <v>33</v>
      </c>
    </row>
    <row r="61" spans="2:19" s="583" customFormat="1" x14ac:dyDescent="0.35">
      <c r="B61" s="581" t="s">
        <v>1051</v>
      </c>
      <c r="C61" s="579" t="s">
        <v>871</v>
      </c>
      <c r="D61" s="581"/>
      <c r="E61" s="63"/>
      <c r="F61" s="63"/>
      <c r="G61" s="63"/>
      <c r="H61" s="63"/>
      <c r="I61" s="63"/>
      <c r="J61" s="95">
        <v>0.02</v>
      </c>
      <c r="K61" s="712">
        <f t="shared" ref="K61:S61" si="44">J61</f>
        <v>0.02</v>
      </c>
      <c r="L61" s="712">
        <f t="shared" si="44"/>
        <v>0.02</v>
      </c>
      <c r="M61" s="712">
        <f t="shared" si="44"/>
        <v>0.02</v>
      </c>
      <c r="N61" s="712">
        <f t="shared" si="44"/>
        <v>0.02</v>
      </c>
      <c r="O61" s="712">
        <f t="shared" si="44"/>
        <v>0.02</v>
      </c>
      <c r="P61" s="712">
        <f t="shared" si="44"/>
        <v>0.02</v>
      </c>
      <c r="Q61" s="712">
        <f t="shared" si="44"/>
        <v>0.02</v>
      </c>
      <c r="R61" s="712">
        <f t="shared" si="44"/>
        <v>0.02</v>
      </c>
      <c r="S61" s="712">
        <f t="shared" si="44"/>
        <v>0.02</v>
      </c>
    </row>
    <row r="62" spans="2:19" s="135" customFormat="1" x14ac:dyDescent="0.35">
      <c r="B62" s="138" t="s">
        <v>881</v>
      </c>
      <c r="C62" s="298"/>
      <c r="D62" s="139"/>
      <c r="E62" s="139"/>
      <c r="F62" s="139"/>
      <c r="G62" s="146"/>
      <c r="H62" s="139"/>
      <c r="I62" s="139"/>
      <c r="J62" s="148"/>
      <c r="K62" s="148"/>
      <c r="L62" s="148"/>
      <c r="M62" s="148"/>
      <c r="N62" s="148"/>
      <c r="O62" s="139"/>
      <c r="P62" s="139"/>
      <c r="Q62" s="139"/>
      <c r="R62" s="139"/>
      <c r="S62" s="139"/>
    </row>
    <row r="63" spans="2:19" s="135" customFormat="1" x14ac:dyDescent="0.35">
      <c r="B63" s="126" t="s">
        <v>15</v>
      </c>
      <c r="C63" s="78" t="s">
        <v>5</v>
      </c>
      <c r="D63" s="126"/>
      <c r="E63" s="63">
        <f>'Plant-wise details'!F1364/10^5</f>
        <v>0</v>
      </c>
      <c r="F63" s="63">
        <f>'Plant-wise details'!G1364/10^5</f>
        <v>0</v>
      </c>
      <c r="G63" s="63">
        <f>'Plant-wise details'!H1364/10^5</f>
        <v>2.0444796000000003</v>
      </c>
      <c r="H63" s="63">
        <f>'Plant-wise details'!I1364/10^5</f>
        <v>2.1191539000000001</v>
      </c>
      <c r="I63" s="63">
        <f>'Plant-wise details'!J1364/10^5</f>
        <v>4.5310948999999914</v>
      </c>
      <c r="J63" s="63">
        <f>I67</f>
        <v>2.2942509500000159</v>
      </c>
      <c r="K63" s="63">
        <f t="shared" ref="K63:S63" si="45">J67</f>
        <v>0</v>
      </c>
      <c r="L63" s="63">
        <f t="shared" si="45"/>
        <v>0</v>
      </c>
      <c r="M63" s="63">
        <f t="shared" si="45"/>
        <v>0</v>
      </c>
      <c r="N63" s="63">
        <f t="shared" si="45"/>
        <v>0</v>
      </c>
      <c r="O63" s="63">
        <f t="shared" si="45"/>
        <v>0</v>
      </c>
      <c r="P63" s="63">
        <f t="shared" si="45"/>
        <v>0</v>
      </c>
      <c r="Q63" s="63">
        <f t="shared" si="45"/>
        <v>0</v>
      </c>
      <c r="R63" s="63">
        <f t="shared" si="45"/>
        <v>0</v>
      </c>
      <c r="S63" s="63">
        <f t="shared" si="45"/>
        <v>0</v>
      </c>
    </row>
    <row r="64" spans="2:19" s="135" customFormat="1" x14ac:dyDescent="0.35">
      <c r="B64" s="126" t="s">
        <v>882</v>
      </c>
      <c r="C64" s="78" t="s">
        <v>5</v>
      </c>
      <c r="D64" s="126"/>
      <c r="E64" s="63">
        <f>'Plant-wise details'!F1388/10^5</f>
        <v>0</v>
      </c>
      <c r="F64" s="63">
        <f>'Plant-wise details'!G1388/10^5</f>
        <v>0</v>
      </c>
      <c r="G64" s="63">
        <f>'Plant-wise details'!H1388/10^5</f>
        <v>438.07664920000002</v>
      </c>
      <c r="H64" s="63">
        <f>'Plant-wise details'!I1388/10^5</f>
        <v>429.75570909999999</v>
      </c>
      <c r="I64" s="63">
        <f>'Plant-wise details'!J1388/10^5</f>
        <v>340.01591385000006</v>
      </c>
      <c r="J64" s="63">
        <v>0</v>
      </c>
      <c r="K64" s="63">
        <v>0</v>
      </c>
      <c r="L64" s="63">
        <v>0</v>
      </c>
      <c r="M64" s="63">
        <v>0</v>
      </c>
      <c r="N64" s="63">
        <v>0</v>
      </c>
      <c r="O64" s="63">
        <v>0</v>
      </c>
      <c r="P64" s="63">
        <v>0</v>
      </c>
      <c r="Q64" s="63">
        <v>0</v>
      </c>
      <c r="R64" s="63">
        <v>0</v>
      </c>
      <c r="S64" s="63">
        <v>0</v>
      </c>
    </row>
    <row r="65" spans="1:19" s="135" customFormat="1" x14ac:dyDescent="0.35">
      <c r="B65" s="126" t="s">
        <v>864</v>
      </c>
      <c r="C65" s="78" t="s">
        <v>5</v>
      </c>
      <c r="D65" s="126"/>
      <c r="E65" s="63">
        <f>'Plant-wise details'!F1412/10^5</f>
        <v>0</v>
      </c>
      <c r="F65" s="63">
        <f>'Plant-wise details'!G1412/10^5</f>
        <v>0</v>
      </c>
      <c r="G65" s="63">
        <f>'Plant-wise details'!H1412/10^5</f>
        <v>4.0992163000000001</v>
      </c>
      <c r="H65" s="63">
        <f>'Plant-wise details'!I1412/10^5</f>
        <v>6.3892170000000004</v>
      </c>
      <c r="I65" s="63">
        <f>'Plant-wise details'!J1412/10^5</f>
        <v>6.8371208499999971</v>
      </c>
      <c r="J65" s="63">
        <v>0</v>
      </c>
      <c r="K65" s="63">
        <v>0</v>
      </c>
      <c r="L65" s="63">
        <v>0</v>
      </c>
      <c r="M65" s="63">
        <v>0</v>
      </c>
      <c r="N65" s="63">
        <v>0</v>
      </c>
      <c r="O65" s="63">
        <v>0</v>
      </c>
      <c r="P65" s="63">
        <v>0</v>
      </c>
      <c r="Q65" s="63">
        <v>0</v>
      </c>
      <c r="R65" s="63">
        <v>0</v>
      </c>
      <c r="S65" s="63">
        <v>0</v>
      </c>
    </row>
    <row r="66" spans="1:19" s="135" customFormat="1" x14ac:dyDescent="0.35">
      <c r="B66" s="126" t="s">
        <v>883</v>
      </c>
      <c r="C66" s="78" t="s">
        <v>5</v>
      </c>
      <c r="D66" s="126"/>
      <c r="E66" s="63">
        <f>'Plant-wise details'!F1436/10^5</f>
        <v>0</v>
      </c>
      <c r="F66" s="63">
        <f>'Plant-wise details'!G1436/10^5</f>
        <v>0</v>
      </c>
      <c r="G66" s="63">
        <f>'Plant-wise details'!H1436/10^5</f>
        <v>442.10119120000007</v>
      </c>
      <c r="H66" s="63">
        <f>'Plant-wise details'!I1436/10^5</f>
        <v>433.73298509999995</v>
      </c>
      <c r="I66" s="63">
        <f>'Plant-wise details'!J1436/10^5</f>
        <v>349.08987864999995</v>
      </c>
      <c r="J66" s="63">
        <f t="shared" ref="J66:R66" si="46">J63+J64+J65-J67</f>
        <v>2.2942509500000159</v>
      </c>
      <c r="K66" s="63">
        <f t="shared" si="46"/>
        <v>0</v>
      </c>
      <c r="L66" s="63">
        <f t="shared" si="46"/>
        <v>0</v>
      </c>
      <c r="M66" s="63">
        <f t="shared" si="46"/>
        <v>0</v>
      </c>
      <c r="N66" s="63">
        <f t="shared" si="46"/>
        <v>0</v>
      </c>
      <c r="O66" s="63">
        <f t="shared" si="46"/>
        <v>0</v>
      </c>
      <c r="P66" s="63">
        <f t="shared" si="46"/>
        <v>0</v>
      </c>
      <c r="Q66" s="63">
        <f t="shared" si="46"/>
        <v>0</v>
      </c>
      <c r="R66" s="63">
        <f t="shared" si="46"/>
        <v>0</v>
      </c>
      <c r="S66" s="63">
        <f>S63+S64+S65-S67</f>
        <v>0</v>
      </c>
    </row>
    <row r="67" spans="1:19" s="583" customFormat="1" x14ac:dyDescent="0.35">
      <c r="B67" s="581" t="s">
        <v>14</v>
      </c>
      <c r="C67" s="579" t="s">
        <v>5</v>
      </c>
      <c r="D67" s="581"/>
      <c r="E67" s="63">
        <f>'Plant-wise details'!F1460/10^5</f>
        <v>0</v>
      </c>
      <c r="F67" s="63">
        <f>'Plant-wise details'!G1460/10^5</f>
        <v>0</v>
      </c>
      <c r="G67" s="63">
        <f>'Plant-wise details'!H1460/10^5</f>
        <v>2.1191539000000001</v>
      </c>
      <c r="H67" s="63">
        <f>'Plant-wise details'!I1460/10^5</f>
        <v>4.5310948999999914</v>
      </c>
      <c r="I67" s="63">
        <f>'Plant-wise details'!J1460/10^5</f>
        <v>2.2942509500000159</v>
      </c>
      <c r="J67" s="125">
        <v>0</v>
      </c>
      <c r="K67" s="125">
        <v>0</v>
      </c>
      <c r="L67" s="125">
        <v>0</v>
      </c>
      <c r="M67" s="125">
        <v>0</v>
      </c>
      <c r="N67" s="125">
        <v>0</v>
      </c>
      <c r="O67" s="125">
        <v>0</v>
      </c>
      <c r="P67" s="125">
        <v>0</v>
      </c>
      <c r="Q67" s="125">
        <v>0</v>
      </c>
      <c r="R67" s="125">
        <v>0</v>
      </c>
      <c r="S67" s="125">
        <v>0</v>
      </c>
    </row>
    <row r="68" spans="1:19" s="583" customFormat="1" x14ac:dyDescent="0.35">
      <c r="B68" s="581" t="s">
        <v>1637</v>
      </c>
      <c r="C68" s="579" t="s">
        <v>5</v>
      </c>
      <c r="D68" s="581"/>
      <c r="E68" s="63"/>
      <c r="F68" s="63"/>
      <c r="G68" s="63"/>
      <c r="H68" s="63"/>
      <c r="I68" s="63">
        <f>(56431.88+45619.95)/10^5</f>
        <v>1.0205182999999998</v>
      </c>
      <c r="J68" s="125"/>
      <c r="K68" s="125"/>
      <c r="L68" s="125"/>
      <c r="M68" s="125"/>
      <c r="N68" s="125"/>
      <c r="O68" s="125"/>
      <c r="P68" s="125"/>
      <c r="Q68" s="125"/>
      <c r="R68" s="125"/>
      <c r="S68" s="125"/>
    </row>
    <row r="69" spans="1:19" s="583" customFormat="1" x14ac:dyDescent="0.35">
      <c r="B69" s="581" t="s">
        <v>1627</v>
      </c>
      <c r="C69" s="579" t="s">
        <v>5</v>
      </c>
      <c r="D69" s="581"/>
      <c r="E69" s="125">
        <f>+E63+E64+E65-E66-E67</f>
        <v>0</v>
      </c>
      <c r="F69" s="125">
        <f>+F63+F64+F65-F66-F67</f>
        <v>0</v>
      </c>
      <c r="G69" s="125"/>
      <c r="H69" s="125"/>
      <c r="I69" s="63">
        <f>I67-I68</f>
        <v>1.2737326500000161</v>
      </c>
      <c r="J69" s="63"/>
      <c r="K69" s="63"/>
      <c r="L69" s="63"/>
      <c r="M69" s="63"/>
      <c r="N69" s="63"/>
      <c r="O69" s="63"/>
      <c r="P69" s="63"/>
      <c r="Q69" s="63"/>
      <c r="R69" s="63"/>
      <c r="S69" s="63"/>
    </row>
    <row r="70" spans="1:19" s="1786" customFormat="1" x14ac:dyDescent="0.35">
      <c r="A70" s="1784" t="s">
        <v>837</v>
      </c>
      <c r="B70" s="85" t="s">
        <v>22</v>
      </c>
      <c r="C70" s="83"/>
      <c r="D70" s="1785"/>
      <c r="E70" s="1785"/>
      <c r="F70" s="1785"/>
      <c r="G70" s="1787"/>
      <c r="H70" s="1787"/>
      <c r="I70" s="1787"/>
      <c r="J70" s="1787"/>
      <c r="K70" s="1787"/>
      <c r="L70" s="1787"/>
      <c r="M70" s="1787"/>
      <c r="N70" s="1787"/>
      <c r="O70" s="1787"/>
      <c r="P70" s="1787"/>
      <c r="Q70" s="1787"/>
      <c r="R70" s="1787"/>
      <c r="S70" s="1787"/>
    </row>
    <row r="71" spans="1:19" s="135" customFormat="1" x14ac:dyDescent="0.35">
      <c r="B71" s="138" t="s">
        <v>18</v>
      </c>
      <c r="C71" s="298"/>
      <c r="D71" s="139"/>
      <c r="E71" s="139"/>
      <c r="F71" s="139"/>
      <c r="G71" s="146"/>
      <c r="H71" s="146"/>
      <c r="I71" s="146"/>
      <c r="J71" s="146"/>
      <c r="K71" s="146"/>
      <c r="L71" s="146"/>
      <c r="M71" s="146"/>
      <c r="N71" s="146"/>
      <c r="O71" s="146"/>
      <c r="P71" s="146"/>
      <c r="Q71" s="146"/>
      <c r="R71" s="146"/>
      <c r="S71" s="146"/>
    </row>
    <row r="72" spans="1:19" s="135" customFormat="1" x14ac:dyDescent="0.35">
      <c r="B72" s="126" t="s">
        <v>15</v>
      </c>
      <c r="C72" s="78" t="s">
        <v>5</v>
      </c>
      <c r="D72" s="126"/>
      <c r="E72" s="63">
        <f>'Plant-wise details'!F756/10^5</f>
        <v>2.4346504000000011</v>
      </c>
      <c r="F72" s="63">
        <f>'Plant-wise details'!G756/10^5</f>
        <v>5.1282059000000029</v>
      </c>
      <c r="G72" s="63">
        <f>'Plant-wise details'!H756/10^5</f>
        <v>4.2722080000000018</v>
      </c>
      <c r="H72" s="63">
        <f>'Plant-wise details'!I756/10^5</f>
        <v>6.1663942</v>
      </c>
      <c r="I72" s="63">
        <f>'Plant-wise details'!J756/10^5</f>
        <v>1.7694217999999997</v>
      </c>
      <c r="J72" s="63">
        <f>+I76</f>
        <v>0.26170570000000798</v>
      </c>
      <c r="K72" s="63">
        <f t="shared" ref="K72:O72" si="47">+J76</f>
        <v>0</v>
      </c>
      <c r="L72" s="63">
        <f t="shared" si="47"/>
        <v>0</v>
      </c>
      <c r="M72" s="63">
        <f t="shared" si="47"/>
        <v>0</v>
      </c>
      <c r="N72" s="63">
        <f t="shared" si="47"/>
        <v>0</v>
      </c>
      <c r="O72" s="63">
        <f t="shared" si="47"/>
        <v>0</v>
      </c>
      <c r="P72" s="63">
        <f>+O76</f>
        <v>0</v>
      </c>
      <c r="Q72" s="63">
        <f>+P76</f>
        <v>0</v>
      </c>
      <c r="R72" s="63">
        <f>+Q76</f>
        <v>0</v>
      </c>
      <c r="S72" s="63">
        <f>+R76</f>
        <v>0</v>
      </c>
    </row>
    <row r="73" spans="1:19" s="135" customFormat="1" x14ac:dyDescent="0.35">
      <c r="B73" s="126" t="s">
        <v>401</v>
      </c>
      <c r="C73" s="78" t="s">
        <v>5</v>
      </c>
      <c r="D73" s="126"/>
      <c r="E73" s="63">
        <f t="shared" ref="E73:S73" si="48">+E24</f>
        <v>51.833328399999999</v>
      </c>
      <c r="F73" s="63">
        <f t="shared" si="48"/>
        <v>47.125674199999999</v>
      </c>
      <c r="G73" s="63">
        <f t="shared" si="48"/>
        <v>26.780627999999997</v>
      </c>
      <c r="H73" s="63">
        <f t="shared" si="48"/>
        <v>23.555657000000004</v>
      </c>
      <c r="I73" s="63">
        <f t="shared" si="48"/>
        <v>26.271347000000006</v>
      </c>
      <c r="J73" s="63">
        <f t="shared" si="48"/>
        <v>5.1685029999999976</v>
      </c>
      <c r="K73" s="63">
        <f t="shared" si="48"/>
        <v>1.7763568394002505E-15</v>
      </c>
      <c r="L73" s="63">
        <f t="shared" si="48"/>
        <v>0</v>
      </c>
      <c r="M73" s="63">
        <f t="shared" si="48"/>
        <v>0</v>
      </c>
      <c r="N73" s="63">
        <f t="shared" si="48"/>
        <v>0</v>
      </c>
      <c r="O73" s="63">
        <f t="shared" si="48"/>
        <v>0</v>
      </c>
      <c r="P73" s="63">
        <f t="shared" si="48"/>
        <v>0</v>
      </c>
      <c r="Q73" s="63">
        <f t="shared" si="48"/>
        <v>0</v>
      </c>
      <c r="R73" s="63">
        <f t="shared" si="48"/>
        <v>0</v>
      </c>
      <c r="S73" s="63">
        <f t="shared" si="48"/>
        <v>0</v>
      </c>
    </row>
    <row r="74" spans="1:19" s="135" customFormat="1" x14ac:dyDescent="0.35">
      <c r="B74" s="126" t="s">
        <v>403</v>
      </c>
      <c r="C74" s="78" t="s">
        <v>5</v>
      </c>
      <c r="D74" s="126"/>
      <c r="E74" s="63">
        <f>'Plant-wise details'!F803/10^5</f>
        <v>48.901504000000003</v>
      </c>
      <c r="F74" s="63">
        <f>'Plant-wise details'!G803/10^5</f>
        <v>47.882314000000001</v>
      </c>
      <c r="G74" s="63">
        <f>'Plant-wise details'!H803/10^5</f>
        <v>24.758612000000003</v>
      </c>
      <c r="H74" s="63">
        <f>'Plant-wise details'!I803/10^5</f>
        <v>27.830287999999999</v>
      </c>
      <c r="I74" s="63">
        <f>'Plant-wise details'!J803/10^5</f>
        <v>27.620799999999999</v>
      </c>
      <c r="J74" s="143">
        <f t="shared" ref="J74:R74" si="49">+J72+J73-J76</f>
        <v>5.4302087000000059</v>
      </c>
      <c r="K74" s="143">
        <f t="shared" si="49"/>
        <v>1.7763568394002505E-15</v>
      </c>
      <c r="L74" s="143">
        <f t="shared" si="49"/>
        <v>0</v>
      </c>
      <c r="M74" s="143">
        <f t="shared" si="49"/>
        <v>0</v>
      </c>
      <c r="N74" s="143">
        <f t="shared" si="49"/>
        <v>0</v>
      </c>
      <c r="O74" s="143">
        <f t="shared" si="49"/>
        <v>0</v>
      </c>
      <c r="P74" s="143">
        <f t="shared" si="49"/>
        <v>0</v>
      </c>
      <c r="Q74" s="143">
        <f t="shared" si="49"/>
        <v>0</v>
      </c>
      <c r="R74" s="143">
        <f t="shared" si="49"/>
        <v>0</v>
      </c>
      <c r="S74" s="143">
        <f>+S72+S73-S76</f>
        <v>0</v>
      </c>
    </row>
    <row r="75" spans="1:19" s="135" customFormat="1" x14ac:dyDescent="0.35">
      <c r="B75" s="126" t="s">
        <v>878</v>
      </c>
      <c r="C75" s="78" t="s">
        <v>5</v>
      </c>
      <c r="D75" s="126"/>
      <c r="E75" s="63">
        <f>'Plant-wise details'!F818/10^5</f>
        <v>-0.30536319999999995</v>
      </c>
      <c r="F75" s="63">
        <f>'Plant-wise details'!G818/10^5</f>
        <v>-0.3152025</v>
      </c>
      <c r="G75" s="63">
        <f>'Plant-wise details'!H818/10^5</f>
        <v>-0.12782980000000002</v>
      </c>
      <c r="H75" s="63">
        <f>'Plant-wise details'!I818/10^5</f>
        <v>-0.12232440000000003</v>
      </c>
      <c r="I75" s="63">
        <f>'Plant-wise details'!J818/10^5</f>
        <v>-0.15826310000000002</v>
      </c>
      <c r="J75" s="143"/>
      <c r="K75" s="143"/>
      <c r="L75" s="143"/>
      <c r="M75" s="143"/>
      <c r="N75" s="143"/>
      <c r="O75" s="143"/>
      <c r="P75" s="143"/>
      <c r="Q75" s="143"/>
      <c r="R75" s="143"/>
      <c r="S75" s="143"/>
    </row>
    <row r="76" spans="1:19" s="583" customFormat="1" x14ac:dyDescent="0.35">
      <c r="B76" s="581" t="s">
        <v>14</v>
      </c>
      <c r="C76" s="579" t="s">
        <v>5</v>
      </c>
      <c r="D76" s="581"/>
      <c r="E76" s="63">
        <f>'Plant-wise details'!F833/10^5</f>
        <v>5.1282059000000029</v>
      </c>
      <c r="F76" s="63">
        <f>'Plant-wise details'!G833/10^5</f>
        <v>4.2722080000000018</v>
      </c>
      <c r="G76" s="63">
        <f>'Plant-wise details'!H833/10^5</f>
        <v>6.1663942</v>
      </c>
      <c r="H76" s="63">
        <f>'Plant-wise details'!I833/10^5</f>
        <v>1.7694217999999997</v>
      </c>
      <c r="I76" s="63">
        <f>'Plant-wise details'!J833/10^5</f>
        <v>0.26170570000000798</v>
      </c>
      <c r="J76" s="63">
        <v>0</v>
      </c>
      <c r="K76" s="63">
        <f t="shared" ref="K76:S76" si="50">+J76</f>
        <v>0</v>
      </c>
      <c r="L76" s="63">
        <f t="shared" si="50"/>
        <v>0</v>
      </c>
      <c r="M76" s="63">
        <f t="shared" si="50"/>
        <v>0</v>
      </c>
      <c r="N76" s="63">
        <f t="shared" si="50"/>
        <v>0</v>
      </c>
      <c r="O76" s="63">
        <f t="shared" si="50"/>
        <v>0</v>
      </c>
      <c r="P76" s="63">
        <f t="shared" si="50"/>
        <v>0</v>
      </c>
      <c r="Q76" s="63">
        <f t="shared" si="50"/>
        <v>0</v>
      </c>
      <c r="R76" s="63">
        <f t="shared" si="50"/>
        <v>0</v>
      </c>
      <c r="S76" s="63">
        <f t="shared" si="50"/>
        <v>0</v>
      </c>
    </row>
    <row r="77" spans="1:19" s="135" customFormat="1" x14ac:dyDescent="0.35">
      <c r="B77" s="126"/>
      <c r="C77" s="78"/>
      <c r="D77" s="126"/>
      <c r="E77" s="142"/>
      <c r="F77" s="142"/>
      <c r="G77" s="142"/>
      <c r="H77" s="142"/>
      <c r="I77" s="143">
        <f>I72+I73-I74+I75-I76</f>
        <v>-1.3877787807814457E-15</v>
      </c>
      <c r="J77" s="142"/>
      <c r="K77" s="142"/>
      <c r="L77" s="142"/>
      <c r="M77" s="142"/>
      <c r="N77" s="142"/>
      <c r="O77" s="142"/>
      <c r="P77" s="142"/>
      <c r="Q77" s="142"/>
      <c r="R77" s="142"/>
      <c r="S77" s="142"/>
    </row>
    <row r="78" spans="1:19" s="135" customFormat="1" x14ac:dyDescent="0.35">
      <c r="B78" s="126"/>
      <c r="C78" s="78"/>
      <c r="D78" s="126"/>
      <c r="E78" s="142"/>
      <c r="F78" s="142"/>
      <c r="G78" s="142"/>
      <c r="H78" s="142"/>
      <c r="I78" s="142"/>
      <c r="J78" s="142"/>
      <c r="K78" s="142"/>
      <c r="L78" s="142"/>
      <c r="M78" s="142"/>
      <c r="N78" s="142"/>
      <c r="O78" s="142"/>
      <c r="P78" s="142"/>
      <c r="Q78" s="142"/>
      <c r="R78" s="142"/>
      <c r="S78" s="142"/>
    </row>
    <row r="79" spans="1:19" s="135" customFormat="1" x14ac:dyDescent="0.35">
      <c r="B79" s="138" t="s">
        <v>19</v>
      </c>
      <c r="C79" s="298"/>
      <c r="D79" s="139"/>
      <c r="E79" s="139"/>
      <c r="F79" s="139"/>
      <c r="G79" s="139"/>
      <c r="H79" s="146"/>
      <c r="I79" s="146"/>
      <c r="J79" s="139"/>
      <c r="K79" s="139"/>
      <c r="L79" s="139"/>
      <c r="M79" s="139"/>
      <c r="N79" s="139"/>
      <c r="O79" s="139"/>
      <c r="P79" s="139"/>
      <c r="Q79" s="139"/>
      <c r="R79" s="139"/>
      <c r="S79" s="139"/>
    </row>
    <row r="80" spans="1:19" s="135" customFormat="1" x14ac:dyDescent="0.35">
      <c r="B80" s="126" t="s">
        <v>15</v>
      </c>
      <c r="C80" s="78" t="s">
        <v>5</v>
      </c>
      <c r="D80" s="126"/>
      <c r="E80" s="126"/>
      <c r="F80" s="126"/>
      <c r="G80" s="63">
        <v>0</v>
      </c>
      <c r="H80" s="63">
        <f t="shared" ref="H80:O80" si="51">+G85</f>
        <v>0</v>
      </c>
      <c r="I80" s="63">
        <f t="shared" si="51"/>
        <v>2.8633743000000007</v>
      </c>
      <c r="J80" s="143">
        <f>+I85</f>
        <v>2.6534000999999972</v>
      </c>
      <c r="K80" s="143">
        <f t="shared" si="51"/>
        <v>3.1511107032150778</v>
      </c>
      <c r="L80" s="143">
        <f t="shared" si="51"/>
        <v>4.2065412971175169</v>
      </c>
      <c r="M80" s="143">
        <f t="shared" si="51"/>
        <v>4.2655115022172945</v>
      </c>
      <c r="N80" s="143">
        <f t="shared" si="51"/>
        <v>4.3244817073170729</v>
      </c>
      <c r="O80" s="143">
        <f t="shared" si="51"/>
        <v>4.3244817073170729</v>
      </c>
      <c r="P80" s="143">
        <f>+O85</f>
        <v>4.3244817073170729</v>
      </c>
      <c r="Q80" s="143">
        <f>+P85</f>
        <v>4.3244817073170729</v>
      </c>
      <c r="R80" s="143">
        <f>+Q85</f>
        <v>4.3244817073170729</v>
      </c>
      <c r="S80" s="143">
        <f>+R85</f>
        <v>4.3244817073170729</v>
      </c>
    </row>
    <row r="81" spans="2:19" s="135" customFormat="1" x14ac:dyDescent="0.35">
      <c r="B81" s="126" t="s">
        <v>401</v>
      </c>
      <c r="C81" s="78" t="s">
        <v>5</v>
      </c>
      <c r="D81" s="126"/>
      <c r="E81" s="126"/>
      <c r="F81" s="126"/>
      <c r="G81" s="63">
        <v>0</v>
      </c>
      <c r="H81" s="143">
        <f t="shared" ref="H81:S81" si="52">+H36</f>
        <v>13.004278999999999</v>
      </c>
      <c r="I81" s="143">
        <f t="shared" si="52"/>
        <v>34.141117000000008</v>
      </c>
      <c r="J81" s="143">
        <f t="shared" si="52"/>
        <v>63.022214064301551</v>
      </c>
      <c r="K81" s="143">
        <f t="shared" si="52"/>
        <v>84.130825942350327</v>
      </c>
      <c r="L81" s="143">
        <f t="shared" si="52"/>
        <v>85.310230044345886</v>
      </c>
      <c r="M81" s="143">
        <f t="shared" si="52"/>
        <v>86.489634146341459</v>
      </c>
      <c r="N81" s="143">
        <f t="shared" si="52"/>
        <v>86.489634146341459</v>
      </c>
      <c r="O81" s="143">
        <f t="shared" si="52"/>
        <v>86.489634146341459</v>
      </c>
      <c r="P81" s="143">
        <f t="shared" si="52"/>
        <v>86.489634146341459</v>
      </c>
      <c r="Q81" s="143">
        <f t="shared" si="52"/>
        <v>86.489634146341459</v>
      </c>
      <c r="R81" s="143">
        <f t="shared" si="52"/>
        <v>86.489634146341459</v>
      </c>
      <c r="S81" s="143">
        <f t="shared" si="52"/>
        <v>86.489634146341459</v>
      </c>
    </row>
    <row r="82" spans="2:19" s="135" customFormat="1" x14ac:dyDescent="0.35">
      <c r="B82" s="126" t="s">
        <v>402</v>
      </c>
      <c r="C82" s="78" t="s">
        <v>5</v>
      </c>
      <c r="D82" s="126"/>
      <c r="E82" s="126"/>
      <c r="F82" s="126"/>
      <c r="G82" s="63">
        <v>0</v>
      </c>
      <c r="H82" s="63">
        <v>0</v>
      </c>
      <c r="I82" s="63"/>
      <c r="J82" s="63"/>
      <c r="K82" s="63"/>
      <c r="L82" s="63"/>
      <c r="M82" s="63"/>
      <c r="N82" s="63"/>
      <c r="O82" s="63"/>
      <c r="P82" s="63"/>
      <c r="Q82" s="63"/>
      <c r="R82" s="63"/>
      <c r="S82" s="63"/>
    </row>
    <row r="83" spans="2:19" s="135" customFormat="1" x14ac:dyDescent="0.35">
      <c r="B83" s="126" t="s">
        <v>403</v>
      </c>
      <c r="C83" s="78" t="s">
        <v>5</v>
      </c>
      <c r="D83" s="126"/>
      <c r="E83" s="126"/>
      <c r="F83" s="126"/>
      <c r="G83" s="63">
        <v>0</v>
      </c>
      <c r="H83" s="63">
        <f>'Plant-wise details'!I863/10^5</f>
        <v>10.080399999999999</v>
      </c>
      <c r="I83" s="63">
        <f>'Plant-wise details'!J863/10^5</f>
        <v>34.050699999999999</v>
      </c>
      <c r="J83" s="143">
        <f t="shared" ref="J83:O83" si="53">+J80+J81+J82-J85</f>
        <v>62.524503461086475</v>
      </c>
      <c r="K83" s="143">
        <f t="shared" si="53"/>
        <v>83.075395348447898</v>
      </c>
      <c r="L83" s="143">
        <f t="shared" si="53"/>
        <v>85.251259839246103</v>
      </c>
      <c r="M83" s="143">
        <f t="shared" si="53"/>
        <v>86.430663941241676</v>
      </c>
      <c r="N83" s="143">
        <f t="shared" si="53"/>
        <v>86.489634146341459</v>
      </c>
      <c r="O83" s="143">
        <f t="shared" si="53"/>
        <v>86.489634146341459</v>
      </c>
      <c r="P83" s="143">
        <f>+P80+P81+P82-P85</f>
        <v>86.489634146341459</v>
      </c>
      <c r="Q83" s="143">
        <f>+Q80+Q81+Q82-Q85</f>
        <v>86.489634146341459</v>
      </c>
      <c r="R83" s="143">
        <f>+R80+R81+R82-R85</f>
        <v>86.489634146341459</v>
      </c>
      <c r="S83" s="143">
        <f>+S80+S81+S82-S85</f>
        <v>86.489634146341459</v>
      </c>
    </row>
    <row r="84" spans="2:19" s="135" customFormat="1" x14ac:dyDescent="0.35">
      <c r="B84" s="126" t="s">
        <v>865</v>
      </c>
      <c r="C84" s="78" t="s">
        <v>5</v>
      </c>
      <c r="D84" s="126"/>
      <c r="E84" s="126"/>
      <c r="F84" s="126"/>
      <c r="G84" s="63"/>
      <c r="H84" s="63">
        <f>'Plant-wise details'!I878/10^5</f>
        <v>-6.0504700000000002E-2</v>
      </c>
      <c r="I84" s="63">
        <f>'Plant-wise details'!J878/10^5</f>
        <v>-0.30039120000000002</v>
      </c>
      <c r="J84" s="143"/>
      <c r="K84" s="143"/>
      <c r="L84" s="143"/>
      <c r="M84" s="143"/>
      <c r="N84" s="143"/>
      <c r="O84" s="143"/>
      <c r="P84" s="143"/>
      <c r="Q84" s="143"/>
      <c r="R84" s="143"/>
      <c r="S84" s="143"/>
    </row>
    <row r="85" spans="2:19" s="135" customFormat="1" x14ac:dyDescent="0.35">
      <c r="B85" s="126" t="s">
        <v>14</v>
      </c>
      <c r="C85" s="78" t="s">
        <v>5</v>
      </c>
      <c r="D85" s="126"/>
      <c r="E85" s="126"/>
      <c r="F85" s="126"/>
      <c r="G85" s="63">
        <v>0</v>
      </c>
      <c r="H85" s="63">
        <f>'Plant-wise details'!I908/10^5</f>
        <v>2.8633743000000007</v>
      </c>
      <c r="I85" s="63">
        <f>'Plant-wise details'!J908/10^5</f>
        <v>2.6534000999999972</v>
      </c>
      <c r="J85" s="63">
        <f>+J81*J86</f>
        <v>3.1511107032150778</v>
      </c>
      <c r="K85" s="63">
        <f t="shared" ref="K85:R85" si="54">+K81*K86</f>
        <v>4.2065412971175169</v>
      </c>
      <c r="L85" s="63">
        <f t="shared" si="54"/>
        <v>4.2655115022172945</v>
      </c>
      <c r="M85" s="63">
        <f t="shared" si="54"/>
        <v>4.3244817073170729</v>
      </c>
      <c r="N85" s="63">
        <f t="shared" si="54"/>
        <v>4.3244817073170729</v>
      </c>
      <c r="O85" s="63">
        <f t="shared" si="54"/>
        <v>4.3244817073170729</v>
      </c>
      <c r="P85" s="63">
        <f t="shared" si="54"/>
        <v>4.3244817073170729</v>
      </c>
      <c r="Q85" s="63">
        <f t="shared" si="54"/>
        <v>4.3244817073170729</v>
      </c>
      <c r="R85" s="63">
        <f t="shared" si="54"/>
        <v>4.3244817073170729</v>
      </c>
      <c r="S85" s="63">
        <f>+S81*S86</f>
        <v>4.3244817073170729</v>
      </c>
    </row>
    <row r="86" spans="2:19" s="135" customFormat="1" x14ac:dyDescent="0.35">
      <c r="B86" s="126" t="s">
        <v>404</v>
      </c>
      <c r="C86" s="78" t="s">
        <v>871</v>
      </c>
      <c r="D86" s="126"/>
      <c r="E86" s="126"/>
      <c r="F86" s="126"/>
      <c r="G86" s="63"/>
      <c r="H86" s="140">
        <f>H85/H81</f>
        <v>0.22018708611219437</v>
      </c>
      <c r="I86" s="140">
        <f>I85/I81</f>
        <v>7.771860832789966E-2</v>
      </c>
      <c r="J86" s="589">
        <v>0.05</v>
      </c>
      <c r="K86" s="140">
        <f>J86</f>
        <v>0.05</v>
      </c>
      <c r="L86" s="140">
        <f>K86</f>
        <v>0.05</v>
      </c>
      <c r="M86" s="140">
        <f>L86</f>
        <v>0.05</v>
      </c>
      <c r="N86" s="140">
        <f t="shared" ref="N86:S86" si="55">M86</f>
        <v>0.05</v>
      </c>
      <c r="O86" s="140">
        <f t="shared" si="55"/>
        <v>0.05</v>
      </c>
      <c r="P86" s="140">
        <f t="shared" si="55"/>
        <v>0.05</v>
      </c>
      <c r="Q86" s="140">
        <f t="shared" si="55"/>
        <v>0.05</v>
      </c>
      <c r="R86" s="140">
        <f t="shared" si="55"/>
        <v>0.05</v>
      </c>
      <c r="S86" s="140">
        <f t="shared" si="55"/>
        <v>0.05</v>
      </c>
    </row>
    <row r="87" spans="2:19" s="135" customFormat="1" x14ac:dyDescent="0.35">
      <c r="B87" s="126" t="s">
        <v>309</v>
      </c>
      <c r="C87" s="78" t="s">
        <v>302</v>
      </c>
      <c r="D87" s="126"/>
      <c r="E87" s="126"/>
      <c r="F87" s="126"/>
      <c r="G87" s="126"/>
      <c r="H87" s="63">
        <f t="shared" ref="H87:R87" si="56">+H85/(H83/12)</f>
        <v>3.408643664933932</v>
      </c>
      <c r="I87" s="63">
        <f t="shared" si="56"/>
        <v>0.93509975419007441</v>
      </c>
      <c r="J87" s="63">
        <f t="shared" si="56"/>
        <v>0.60477614927585799</v>
      </c>
      <c r="K87" s="63">
        <f t="shared" si="56"/>
        <v>0.60762269446549544</v>
      </c>
      <c r="L87" s="63">
        <f t="shared" si="56"/>
        <v>0.60041503343324887</v>
      </c>
      <c r="M87" s="63">
        <f t="shared" si="56"/>
        <v>0.60040937002501715</v>
      </c>
      <c r="N87" s="63">
        <f t="shared" si="56"/>
        <v>0.6</v>
      </c>
      <c r="O87" s="63">
        <f t="shared" si="56"/>
        <v>0.6</v>
      </c>
      <c r="P87" s="63">
        <f t="shared" si="56"/>
        <v>0.6</v>
      </c>
      <c r="Q87" s="63">
        <f t="shared" si="56"/>
        <v>0.6</v>
      </c>
      <c r="R87" s="63">
        <f t="shared" si="56"/>
        <v>0.6</v>
      </c>
      <c r="S87" s="63">
        <f>+S85/(S83/12)</f>
        <v>0.6</v>
      </c>
    </row>
    <row r="88" spans="2:19" s="583" customFormat="1" x14ac:dyDescent="0.35">
      <c r="B88" s="581"/>
      <c r="C88" s="579"/>
      <c r="D88" s="581"/>
      <c r="E88" s="581"/>
      <c r="F88" s="581"/>
      <c r="G88" s="581"/>
      <c r="H88" s="63">
        <f>H80+H81+H82-H83+H84-H85</f>
        <v>0</v>
      </c>
      <c r="I88" s="63">
        <f>I80+I81+I82-I83+I84-I85</f>
        <v>1.5987211554602254E-14</v>
      </c>
      <c r="J88" s="63"/>
      <c r="K88" s="63"/>
      <c r="L88" s="63"/>
      <c r="M88" s="63"/>
      <c r="N88" s="63"/>
      <c r="O88" s="63"/>
      <c r="P88" s="63"/>
      <c r="Q88" s="63"/>
      <c r="R88" s="63"/>
      <c r="S88" s="63"/>
    </row>
    <row r="89" spans="2:19" s="583" customFormat="1" x14ac:dyDescent="0.35">
      <c r="B89" s="138" t="s">
        <v>1616</v>
      </c>
      <c r="C89" s="298"/>
      <c r="D89" s="139"/>
      <c r="E89" s="139"/>
      <c r="F89" s="139"/>
      <c r="G89" s="139"/>
      <c r="H89" s="148"/>
      <c r="I89" s="148"/>
      <c r="J89" s="139"/>
      <c r="K89" s="139"/>
      <c r="L89" s="139"/>
      <c r="M89" s="139"/>
      <c r="N89" s="139"/>
      <c r="O89" s="139"/>
      <c r="P89" s="139"/>
      <c r="Q89" s="139"/>
      <c r="R89" s="139"/>
      <c r="S89" s="139"/>
    </row>
    <row r="90" spans="2:19" s="583" customFormat="1" x14ac:dyDescent="0.35">
      <c r="B90" s="581" t="s">
        <v>15</v>
      </c>
      <c r="C90" s="579" t="s">
        <v>5</v>
      </c>
      <c r="D90" s="581"/>
      <c r="E90" s="581"/>
      <c r="F90" s="581"/>
      <c r="G90" s="581"/>
      <c r="H90" s="63">
        <f>G93</f>
        <v>0</v>
      </c>
      <c r="I90" s="63">
        <f>H93</f>
        <v>0</v>
      </c>
      <c r="J90" s="63"/>
      <c r="K90" s="63"/>
      <c r="L90" s="63"/>
      <c r="M90" s="63"/>
      <c r="N90" s="63"/>
      <c r="O90" s="63"/>
      <c r="P90" s="63"/>
      <c r="Q90" s="63"/>
      <c r="R90" s="63"/>
      <c r="S90" s="63"/>
    </row>
    <row r="91" spans="2:19" s="583" customFormat="1" x14ac:dyDescent="0.35">
      <c r="B91" s="581" t="s">
        <v>1617</v>
      </c>
      <c r="C91" s="579" t="s">
        <v>5</v>
      </c>
      <c r="D91" s="581"/>
      <c r="E91" s="581"/>
      <c r="F91" s="581"/>
      <c r="G91" s="581"/>
      <c r="H91" s="63">
        <f>'Plant-wise details'!I1165/10^5</f>
        <v>0</v>
      </c>
      <c r="I91" s="63">
        <f>'Plant-wise details'!J1165/10^5</f>
        <v>4.0720000000000001</v>
      </c>
      <c r="J91" s="63">
        <f>I93</f>
        <v>0</v>
      </c>
      <c r="K91" s="63"/>
      <c r="L91" s="63"/>
      <c r="M91" s="63"/>
      <c r="N91" s="63"/>
      <c r="O91" s="63"/>
      <c r="P91" s="63"/>
      <c r="Q91" s="63"/>
      <c r="R91" s="63"/>
      <c r="S91" s="63"/>
    </row>
    <row r="92" spans="2:19" s="583" customFormat="1" x14ac:dyDescent="0.35">
      <c r="B92" s="581" t="s">
        <v>1618</v>
      </c>
      <c r="C92" s="579" t="s">
        <v>5</v>
      </c>
      <c r="D92" s="581"/>
      <c r="E92" s="581"/>
      <c r="F92" s="581"/>
      <c r="G92" s="581"/>
      <c r="H92" s="63">
        <f>'Plant-wise details'!I1180/10^5</f>
        <v>0</v>
      </c>
      <c r="I92" s="63">
        <f>'Plant-wise details'!J1180/10^5</f>
        <v>4.0720000000000001</v>
      </c>
      <c r="J92" s="63"/>
      <c r="K92" s="63"/>
      <c r="L92" s="63"/>
      <c r="M92" s="63"/>
      <c r="N92" s="63"/>
      <c r="O92" s="63"/>
      <c r="P92" s="63"/>
      <c r="Q92" s="63"/>
      <c r="R92" s="63"/>
      <c r="S92" s="63"/>
    </row>
    <row r="93" spans="2:19" s="583" customFormat="1" x14ac:dyDescent="0.35">
      <c r="B93" s="581" t="s">
        <v>14</v>
      </c>
      <c r="C93" s="579" t="s">
        <v>5</v>
      </c>
      <c r="D93" s="581"/>
      <c r="E93" s="581"/>
      <c r="F93" s="581"/>
      <c r="G93" s="581"/>
      <c r="H93" s="63">
        <f>'Plant-wise details'!I1195/10^5</f>
        <v>0</v>
      </c>
      <c r="I93" s="63">
        <f>'Plant-wise details'!J1195/10^5</f>
        <v>0</v>
      </c>
      <c r="J93" s="63"/>
      <c r="K93" s="63"/>
      <c r="L93" s="63"/>
      <c r="M93" s="63"/>
      <c r="N93" s="63"/>
      <c r="O93" s="63"/>
      <c r="P93" s="63"/>
      <c r="Q93" s="63"/>
      <c r="R93" s="63"/>
      <c r="S93" s="63"/>
    </row>
    <row r="94" spans="2:19" s="583" customFormat="1" x14ac:dyDescent="0.35">
      <c r="B94" s="581" t="s">
        <v>1619</v>
      </c>
      <c r="C94" s="579" t="s">
        <v>871</v>
      </c>
      <c r="D94" s="581"/>
      <c r="E94" s="581"/>
      <c r="F94" s="581"/>
      <c r="G94" s="581"/>
      <c r="H94" s="63"/>
      <c r="I94" s="63"/>
      <c r="J94" s="63"/>
      <c r="K94" s="63"/>
      <c r="L94" s="63"/>
      <c r="M94" s="63"/>
      <c r="N94" s="63"/>
      <c r="O94" s="63"/>
      <c r="P94" s="63"/>
      <c r="Q94" s="63"/>
      <c r="R94" s="63"/>
      <c r="S94" s="63"/>
    </row>
    <row r="95" spans="2:19" s="583" customFormat="1" x14ac:dyDescent="0.35">
      <c r="B95" s="581"/>
      <c r="C95" s="579"/>
      <c r="D95" s="581"/>
      <c r="E95" s="581"/>
      <c r="F95" s="581"/>
      <c r="G95" s="581"/>
      <c r="H95" s="63"/>
      <c r="I95" s="63"/>
      <c r="J95" s="63"/>
      <c r="K95" s="63"/>
      <c r="L95" s="63"/>
      <c r="M95" s="63"/>
      <c r="N95" s="63"/>
      <c r="O95" s="63"/>
      <c r="P95" s="63"/>
      <c r="Q95" s="63"/>
      <c r="R95" s="63"/>
      <c r="S95" s="63"/>
    </row>
    <row r="96" spans="2:19" s="135" customFormat="1" x14ac:dyDescent="0.35">
      <c r="B96" s="138" t="s">
        <v>29</v>
      </c>
      <c r="C96" s="298"/>
      <c r="D96" s="139"/>
      <c r="E96" s="139"/>
      <c r="F96" s="139"/>
      <c r="G96" s="139"/>
      <c r="H96" s="148"/>
      <c r="I96" s="148"/>
      <c r="J96" s="139"/>
      <c r="K96" s="139"/>
      <c r="L96" s="139"/>
      <c r="M96" s="139"/>
      <c r="N96" s="139"/>
      <c r="O96" s="139"/>
      <c r="P96" s="139"/>
      <c r="Q96" s="139"/>
      <c r="R96" s="139"/>
      <c r="S96" s="139"/>
    </row>
    <row r="97" spans="2:19" s="135" customFormat="1" x14ac:dyDescent="0.35">
      <c r="B97" s="126" t="s">
        <v>15</v>
      </c>
      <c r="C97" s="78" t="s">
        <v>30</v>
      </c>
      <c r="D97" s="126"/>
      <c r="E97" s="63">
        <f>'Plant-wise details'!F923/10^5</f>
        <v>342.89155399999999</v>
      </c>
      <c r="F97" s="63">
        <f>'Plant-wise details'!G923/10^5</f>
        <v>294.07437399999998</v>
      </c>
      <c r="G97" s="63">
        <f>'Plant-wise details'!H923/10^5</f>
        <v>100.89678599999993</v>
      </c>
      <c r="H97" s="63">
        <f>'Plant-wise details'!I923/10^5</f>
        <v>47.644580999999938</v>
      </c>
      <c r="I97" s="63">
        <f>'Plant-wise details'!J923/10^5</f>
        <v>66.108048999999951</v>
      </c>
      <c r="J97" s="63">
        <f>+I101</f>
        <v>49.319337399999903</v>
      </c>
      <c r="K97" s="63">
        <f t="shared" ref="K97:O97" si="57">+J101</f>
        <v>0</v>
      </c>
      <c r="L97" s="63">
        <f t="shared" si="57"/>
        <v>0</v>
      </c>
      <c r="M97" s="63">
        <f t="shared" si="57"/>
        <v>0</v>
      </c>
      <c r="N97" s="63">
        <f t="shared" si="57"/>
        <v>0</v>
      </c>
      <c r="O97" s="63">
        <f t="shared" si="57"/>
        <v>0</v>
      </c>
      <c r="P97" s="63">
        <f>+O101</f>
        <v>0</v>
      </c>
      <c r="Q97" s="63">
        <f>+P101</f>
        <v>0</v>
      </c>
      <c r="R97" s="63">
        <f>+Q101</f>
        <v>0</v>
      </c>
      <c r="S97" s="63">
        <f>+R101</f>
        <v>0</v>
      </c>
    </row>
    <row r="98" spans="2:19" s="135" customFormat="1" x14ac:dyDescent="0.35">
      <c r="B98" s="126" t="s">
        <v>398</v>
      </c>
      <c r="C98" s="78" t="s">
        <v>30</v>
      </c>
      <c r="D98" s="126"/>
      <c r="E98" s="63">
        <f>'Plant-wise details'!F938/10^5</f>
        <v>1131.6385399999999</v>
      </c>
      <c r="F98" s="63">
        <f>'Plant-wise details'!G938/10^5</f>
        <v>1077.2393400000001</v>
      </c>
      <c r="G98" s="63">
        <f>'Plant-wise details'!H938/10^5</f>
        <v>572.21398599999998</v>
      </c>
      <c r="H98" s="63">
        <f>'Plant-wise details'!I938/10^5</f>
        <v>615.68439000000001</v>
      </c>
      <c r="I98" s="63">
        <f>'Plant-wise details'!J938/10^5</f>
        <v>591.41549799999996</v>
      </c>
      <c r="J98" s="63">
        <f>+J74*Assumptions!J109</f>
        <v>124.89480010000014</v>
      </c>
      <c r="K98" s="63">
        <f>+K74*Assumptions!K109</f>
        <v>4.0856207306205761E-14</v>
      </c>
      <c r="L98" s="63">
        <f>+L74*Assumptions!L109</f>
        <v>0</v>
      </c>
      <c r="M98" s="63">
        <f>+M74*Assumptions!M109</f>
        <v>0</v>
      </c>
      <c r="N98" s="63">
        <f>+N74*Assumptions!N109</f>
        <v>0</v>
      </c>
      <c r="O98" s="63">
        <f>+O74*Assumptions!O109</f>
        <v>0</v>
      </c>
      <c r="P98" s="63">
        <f>+P74*Assumptions!P109</f>
        <v>0</v>
      </c>
      <c r="Q98" s="63">
        <f>+Q74*Assumptions!Q109</f>
        <v>0</v>
      </c>
      <c r="R98" s="63">
        <f>+R74*Assumptions!R109</f>
        <v>0</v>
      </c>
      <c r="S98" s="63">
        <f>+S74*Assumptions!S109</f>
        <v>0</v>
      </c>
    </row>
    <row r="99" spans="2:19" s="135" customFormat="1" x14ac:dyDescent="0.35">
      <c r="B99" s="126" t="s">
        <v>399</v>
      </c>
      <c r="C99" s="78" t="s">
        <v>30</v>
      </c>
      <c r="D99" s="126"/>
      <c r="E99" s="63">
        <f>'Plant-wise details'!F953/10^5</f>
        <v>1173.22623</v>
      </c>
      <c r="F99" s="63">
        <f>'Plant-wise details'!G953/10^5</f>
        <v>1248.40506</v>
      </c>
      <c r="G99" s="63">
        <f>'Plant-wise details'!H953/10^5</f>
        <v>621.74360000000001</v>
      </c>
      <c r="H99" s="63">
        <f>'Plant-wise details'!I953/10^5</f>
        <v>593.31467999999995</v>
      </c>
      <c r="I99" s="63">
        <f>'Plant-wise details'!J953/10^5</f>
        <v>605.36487460000001</v>
      </c>
      <c r="J99" s="63">
        <f t="shared" ref="J99:O99" si="58">+J97+J98-J101</f>
        <v>174.21413750000005</v>
      </c>
      <c r="K99" s="63">
        <f t="shared" si="58"/>
        <v>4.0856207306205761E-14</v>
      </c>
      <c r="L99" s="63">
        <f t="shared" si="58"/>
        <v>0</v>
      </c>
      <c r="M99" s="63">
        <f t="shared" si="58"/>
        <v>0</v>
      </c>
      <c r="N99" s="63">
        <f t="shared" si="58"/>
        <v>0</v>
      </c>
      <c r="O99" s="63">
        <f t="shared" si="58"/>
        <v>0</v>
      </c>
      <c r="P99" s="63">
        <f>+P97+P98-P101</f>
        <v>0</v>
      </c>
      <c r="Q99" s="63">
        <f>+Q97+Q98-Q101</f>
        <v>0</v>
      </c>
      <c r="R99" s="63">
        <f>+R97+R98-R101</f>
        <v>0</v>
      </c>
      <c r="S99" s="63">
        <f>+S97+S98-S101</f>
        <v>0</v>
      </c>
    </row>
    <row r="100" spans="2:19" s="135" customFormat="1" x14ac:dyDescent="0.35">
      <c r="B100" s="126" t="s">
        <v>865</v>
      </c>
      <c r="C100" s="78" t="s">
        <v>30</v>
      </c>
      <c r="D100" s="126"/>
      <c r="E100" s="63">
        <f>'Plant-wise details'!F968/10^5</f>
        <v>-7.2294900000000002</v>
      </c>
      <c r="F100" s="63">
        <f>'Plant-wise details'!G968/10^5</f>
        <v>-22.011868</v>
      </c>
      <c r="G100" s="63">
        <f>'Plant-wise details'!H968/10^5</f>
        <v>-3.7225910000000004</v>
      </c>
      <c r="H100" s="63">
        <f>'Plant-wise details'!I968/10^5</f>
        <v>-3.9062419999999993</v>
      </c>
      <c r="I100" s="63">
        <f>'Plant-wise details'!J968/10^5</f>
        <v>-2.8393350000000002</v>
      </c>
      <c r="J100" s="63"/>
      <c r="K100" s="63"/>
      <c r="L100" s="63"/>
      <c r="M100" s="63"/>
      <c r="N100" s="63"/>
      <c r="O100" s="63"/>
      <c r="P100" s="63"/>
      <c r="Q100" s="63"/>
      <c r="R100" s="63"/>
      <c r="S100" s="63"/>
    </row>
    <row r="101" spans="2:19" s="135" customFormat="1" x14ac:dyDescent="0.35">
      <c r="B101" s="126" t="s">
        <v>14</v>
      </c>
      <c r="C101" s="78" t="s">
        <v>30</v>
      </c>
      <c r="D101" s="126"/>
      <c r="E101" s="63">
        <f>'Plant-wise details'!F983/10^5</f>
        <v>294.07437399999998</v>
      </c>
      <c r="F101" s="63">
        <f>'Plant-wise details'!G983/10^5</f>
        <v>100.89678599999993</v>
      </c>
      <c r="G101" s="63">
        <f>'Plant-wise details'!H983/10^5</f>
        <v>47.644580999999938</v>
      </c>
      <c r="H101" s="63">
        <f>'Plant-wise details'!I983/10^5</f>
        <v>66.108048999999951</v>
      </c>
      <c r="I101" s="63">
        <f>'Plant-wise details'!J983/10^5</f>
        <v>49.319337399999903</v>
      </c>
      <c r="J101" s="63">
        <f t="shared" ref="J101:S101" si="59">+J98*J102</f>
        <v>0</v>
      </c>
      <c r="K101" s="63">
        <f t="shared" si="59"/>
        <v>0</v>
      </c>
      <c r="L101" s="63">
        <f t="shared" si="59"/>
        <v>0</v>
      </c>
      <c r="M101" s="63">
        <f t="shared" si="59"/>
        <v>0</v>
      </c>
      <c r="N101" s="63">
        <f t="shared" si="59"/>
        <v>0</v>
      </c>
      <c r="O101" s="63">
        <f t="shared" si="59"/>
        <v>0</v>
      </c>
      <c r="P101" s="63">
        <f t="shared" si="59"/>
        <v>0</v>
      </c>
      <c r="Q101" s="63">
        <f t="shared" si="59"/>
        <v>0</v>
      </c>
      <c r="R101" s="63">
        <f t="shared" si="59"/>
        <v>0</v>
      </c>
      <c r="S101" s="63">
        <f t="shared" si="59"/>
        <v>0</v>
      </c>
    </row>
    <row r="102" spans="2:19" s="135" customFormat="1" x14ac:dyDescent="0.35">
      <c r="B102" s="78" t="s">
        <v>404</v>
      </c>
      <c r="C102" s="78" t="s">
        <v>871</v>
      </c>
      <c r="D102" s="126"/>
      <c r="E102" s="140">
        <f>+E101/E98</f>
        <v>0.25986599395951998</v>
      </c>
      <c r="F102" s="140">
        <f>+F101/F98</f>
        <v>9.3662366619473747E-2</v>
      </c>
      <c r="G102" s="140">
        <f>+G101/G98</f>
        <v>8.3263573008856756E-2</v>
      </c>
      <c r="H102" s="140">
        <f>+H101/H98</f>
        <v>0.10737327447915311</v>
      </c>
      <c r="I102" s="140">
        <f>+I101/I98</f>
        <v>8.3392027376326727E-2</v>
      </c>
      <c r="J102" s="141">
        <v>0</v>
      </c>
      <c r="K102" s="141">
        <f t="shared" ref="K102:S102" si="60">+J102</f>
        <v>0</v>
      </c>
      <c r="L102" s="141">
        <f t="shared" si="60"/>
        <v>0</v>
      </c>
      <c r="M102" s="141">
        <f t="shared" si="60"/>
        <v>0</v>
      </c>
      <c r="N102" s="141">
        <f t="shared" si="60"/>
        <v>0</v>
      </c>
      <c r="O102" s="141">
        <f t="shared" si="60"/>
        <v>0</v>
      </c>
      <c r="P102" s="141">
        <f t="shared" si="60"/>
        <v>0</v>
      </c>
      <c r="Q102" s="141">
        <f t="shared" si="60"/>
        <v>0</v>
      </c>
      <c r="R102" s="141">
        <f t="shared" si="60"/>
        <v>0</v>
      </c>
      <c r="S102" s="141">
        <f t="shared" si="60"/>
        <v>0</v>
      </c>
    </row>
    <row r="103" spans="2:19" s="135" customFormat="1" x14ac:dyDescent="0.35">
      <c r="B103" s="138" t="s">
        <v>31</v>
      </c>
      <c r="C103" s="298"/>
      <c r="D103" s="139"/>
      <c r="E103" s="139"/>
      <c r="F103" s="139"/>
      <c r="G103" s="139"/>
      <c r="H103" s="139"/>
      <c r="I103" s="139"/>
      <c r="J103" s="139"/>
      <c r="K103" s="139"/>
      <c r="L103" s="139"/>
      <c r="M103" s="139"/>
      <c r="N103" s="139"/>
      <c r="O103" s="139"/>
      <c r="P103" s="139"/>
      <c r="Q103" s="139"/>
      <c r="R103" s="139"/>
      <c r="S103" s="139"/>
    </row>
    <row r="104" spans="2:19" s="135" customFormat="1" x14ac:dyDescent="0.35">
      <c r="B104" s="126" t="s">
        <v>15</v>
      </c>
      <c r="C104" s="78" t="s">
        <v>30</v>
      </c>
      <c r="D104" s="126"/>
      <c r="E104" s="126"/>
      <c r="F104" s="126"/>
      <c r="G104" s="63"/>
      <c r="H104" s="69">
        <f t="shared" ref="H104:O104" si="61">+G108</f>
        <v>0</v>
      </c>
      <c r="I104" s="69">
        <f t="shared" si="61"/>
        <v>42.523699999999998</v>
      </c>
      <c r="J104" s="69">
        <f>+I108</f>
        <v>29.405923999999999</v>
      </c>
      <c r="K104" s="69">
        <f t="shared" si="61"/>
        <v>150.05880830660755</v>
      </c>
      <c r="L104" s="69">
        <f t="shared" si="61"/>
        <v>199.38094883627494</v>
      </c>
      <c r="M104" s="69">
        <f t="shared" si="61"/>
        <v>204.60302361419065</v>
      </c>
      <c r="N104" s="69">
        <f t="shared" si="61"/>
        <v>207.43359345898003</v>
      </c>
      <c r="O104" s="69">
        <f t="shared" si="61"/>
        <v>207.57512195121953</v>
      </c>
      <c r="P104" s="69">
        <f>+O108</f>
        <v>207.57512195121953</v>
      </c>
      <c r="Q104" s="69">
        <f>+P108</f>
        <v>207.57512195121953</v>
      </c>
      <c r="R104" s="69">
        <f>+Q108</f>
        <v>207.57512195121953</v>
      </c>
      <c r="S104" s="69">
        <f>+R108</f>
        <v>207.57512195121953</v>
      </c>
    </row>
    <row r="105" spans="2:19" s="135" customFormat="1" x14ac:dyDescent="0.35">
      <c r="B105" s="126" t="s">
        <v>398</v>
      </c>
      <c r="C105" s="78" t="s">
        <v>30</v>
      </c>
      <c r="D105" s="126"/>
      <c r="E105" s="126"/>
      <c r="F105" s="126"/>
      <c r="G105" s="63"/>
      <c r="H105" s="69">
        <f>'Plant-wise details'!I998/10^5</f>
        <v>293.35401000000002</v>
      </c>
      <c r="I105" s="69">
        <f>'Plant-wise details'!J998/10^5</f>
        <v>1014.3892420000001</v>
      </c>
      <c r="J105" s="69">
        <f>+J83*Assumptions!J110</f>
        <v>1875.7351038325942</v>
      </c>
      <c r="K105" s="69">
        <f>+K83*Assumptions!K110</f>
        <v>2492.2618604534368</v>
      </c>
      <c r="L105" s="69">
        <f>+L83*Assumptions!L110</f>
        <v>2557.537795177383</v>
      </c>
      <c r="M105" s="69">
        <f>+M83*Assumptions!M110</f>
        <v>2592.9199182372504</v>
      </c>
      <c r="N105" s="69">
        <f>+N83*Assumptions!N110</f>
        <v>2594.689024390244</v>
      </c>
      <c r="O105" s="69">
        <f>+O83*Assumptions!O110</f>
        <v>2594.689024390244</v>
      </c>
      <c r="P105" s="69">
        <f>+P83*Assumptions!P110</f>
        <v>2594.689024390244</v>
      </c>
      <c r="Q105" s="69">
        <f>+Q83*Assumptions!Q110</f>
        <v>2594.689024390244</v>
      </c>
      <c r="R105" s="69">
        <f>+R83*Assumptions!R110</f>
        <v>2594.689024390244</v>
      </c>
      <c r="S105" s="69">
        <f>+S83*Assumptions!S110</f>
        <v>2594.689024390244</v>
      </c>
    </row>
    <row r="106" spans="2:19" s="135" customFormat="1" x14ac:dyDescent="0.35">
      <c r="B106" s="126" t="s">
        <v>399</v>
      </c>
      <c r="C106" s="78" t="s">
        <v>30</v>
      </c>
      <c r="D106" s="126"/>
      <c r="E106" s="126"/>
      <c r="F106" s="126"/>
      <c r="G106" s="63"/>
      <c r="H106" s="69">
        <f>'Plant-wise details'!I1013/10^5</f>
        <v>249.7</v>
      </c>
      <c r="I106" s="69">
        <f>'Plant-wise details'!J1013/10^5</f>
        <v>1023.11</v>
      </c>
      <c r="J106" s="69">
        <f t="shared" ref="J106:O106" si="62">+J104+J105-J108</f>
        <v>1755.0822195259866</v>
      </c>
      <c r="K106" s="69">
        <f t="shared" si="62"/>
        <v>2442.9397199237696</v>
      </c>
      <c r="L106" s="69">
        <f t="shared" si="62"/>
        <v>2552.3157203994674</v>
      </c>
      <c r="M106" s="69">
        <f t="shared" si="62"/>
        <v>2590.089348392461</v>
      </c>
      <c r="N106" s="69">
        <f t="shared" si="62"/>
        <v>2594.5474958980044</v>
      </c>
      <c r="O106" s="69">
        <f t="shared" si="62"/>
        <v>2594.689024390244</v>
      </c>
      <c r="P106" s="69">
        <f>+P104+P105-P108</f>
        <v>2594.689024390244</v>
      </c>
      <c r="Q106" s="69">
        <f>+Q104+Q105-Q108</f>
        <v>2594.689024390244</v>
      </c>
      <c r="R106" s="69">
        <f>+R104+R105-R108</f>
        <v>2594.689024390244</v>
      </c>
      <c r="S106" s="69">
        <f>+S104+S105-S108</f>
        <v>2594.689024390244</v>
      </c>
    </row>
    <row r="107" spans="2:19" s="135" customFormat="1" x14ac:dyDescent="0.35">
      <c r="B107" s="126" t="s">
        <v>865</v>
      </c>
      <c r="C107" s="78" t="s">
        <v>30</v>
      </c>
      <c r="D107" s="126"/>
      <c r="E107" s="126"/>
      <c r="F107" s="126"/>
      <c r="G107" s="63"/>
      <c r="H107" s="69">
        <f>'Plant-wise details'!I1028/10^5</f>
        <v>-1.1303099999999999</v>
      </c>
      <c r="I107" s="69">
        <f>'Plant-wise details'!J1028/10^5</f>
        <v>-4.3970180000000001</v>
      </c>
      <c r="J107" s="69"/>
      <c r="K107" s="69"/>
      <c r="L107" s="69"/>
      <c r="M107" s="69"/>
      <c r="N107" s="69"/>
      <c r="O107" s="69"/>
      <c r="P107" s="69"/>
      <c r="Q107" s="69"/>
      <c r="R107" s="69"/>
      <c r="S107" s="69"/>
    </row>
    <row r="108" spans="2:19" s="135" customFormat="1" x14ac:dyDescent="0.35">
      <c r="B108" s="126" t="s">
        <v>14</v>
      </c>
      <c r="C108" s="78" t="s">
        <v>30</v>
      </c>
      <c r="D108" s="126"/>
      <c r="E108" s="126"/>
      <c r="F108" s="126"/>
      <c r="G108" s="63"/>
      <c r="H108" s="69">
        <f>'Plant-wise details'!I1059/10^5</f>
        <v>42.523699999999998</v>
      </c>
      <c r="I108" s="69">
        <f>'Plant-wise details'!J1059/10^5</f>
        <v>29.405923999999999</v>
      </c>
      <c r="J108" s="69">
        <f t="shared" ref="J108:R108" si="63">+J105*J109</f>
        <v>150.05880830660755</v>
      </c>
      <c r="K108" s="69">
        <f t="shared" si="63"/>
        <v>199.38094883627494</v>
      </c>
      <c r="L108" s="69">
        <f t="shared" si="63"/>
        <v>204.60302361419065</v>
      </c>
      <c r="M108" s="69">
        <f t="shared" si="63"/>
        <v>207.43359345898003</v>
      </c>
      <c r="N108" s="69">
        <f t="shared" si="63"/>
        <v>207.57512195121953</v>
      </c>
      <c r="O108" s="69">
        <f t="shared" si="63"/>
        <v>207.57512195121953</v>
      </c>
      <c r="P108" s="69">
        <f t="shared" si="63"/>
        <v>207.57512195121953</v>
      </c>
      <c r="Q108" s="69">
        <f t="shared" si="63"/>
        <v>207.57512195121953</v>
      </c>
      <c r="R108" s="69">
        <f t="shared" si="63"/>
        <v>207.57512195121953</v>
      </c>
      <c r="S108" s="69">
        <f>+S105*S109</f>
        <v>207.57512195121953</v>
      </c>
    </row>
    <row r="109" spans="2:19" s="135" customFormat="1" x14ac:dyDescent="0.35">
      <c r="B109" s="126" t="s">
        <v>404</v>
      </c>
      <c r="C109" s="78" t="s">
        <v>30</v>
      </c>
      <c r="D109" s="126"/>
      <c r="E109" s="126"/>
      <c r="F109" s="126"/>
      <c r="G109" s="140"/>
      <c r="H109" s="140">
        <f>+H108/H105</f>
        <v>0.14495694127378725</v>
      </c>
      <c r="I109" s="140">
        <f>+I108/I105</f>
        <v>2.8988797182058438E-2</v>
      </c>
      <c r="J109" s="150">
        <v>0.08</v>
      </c>
      <c r="K109" s="141">
        <f>J109</f>
        <v>0.08</v>
      </c>
      <c r="L109" s="141">
        <f t="shared" ref="L109:S109" si="64">K109</f>
        <v>0.08</v>
      </c>
      <c r="M109" s="141">
        <f t="shared" si="64"/>
        <v>0.08</v>
      </c>
      <c r="N109" s="141">
        <f t="shared" si="64"/>
        <v>0.08</v>
      </c>
      <c r="O109" s="141">
        <f t="shared" si="64"/>
        <v>0.08</v>
      </c>
      <c r="P109" s="141">
        <f t="shared" si="64"/>
        <v>0.08</v>
      </c>
      <c r="Q109" s="141">
        <f t="shared" si="64"/>
        <v>0.08</v>
      </c>
      <c r="R109" s="141">
        <f t="shared" si="64"/>
        <v>0.08</v>
      </c>
      <c r="S109" s="141">
        <f t="shared" si="64"/>
        <v>0.08</v>
      </c>
    </row>
    <row r="110" spans="2:19" s="135" customFormat="1" x14ac:dyDescent="0.35">
      <c r="B110" s="126" t="s">
        <v>309</v>
      </c>
      <c r="C110" s="78" t="s">
        <v>303</v>
      </c>
      <c r="D110" s="126"/>
      <c r="E110" s="126"/>
      <c r="F110" s="126"/>
      <c r="G110" s="126"/>
      <c r="H110" s="126"/>
      <c r="I110" s="581"/>
      <c r="J110" s="143">
        <f t="shared" ref="J110:R110" si="65">+J108/(J106/12)</f>
        <v>1.0259950671516835</v>
      </c>
      <c r="K110" s="143">
        <f t="shared" si="65"/>
        <v>0.97938208074571642</v>
      </c>
      <c r="L110" s="143">
        <f t="shared" si="65"/>
        <v>0.96196417384680555</v>
      </c>
      <c r="M110" s="143">
        <f t="shared" si="65"/>
        <v>0.96104913255316238</v>
      </c>
      <c r="N110" s="143">
        <f t="shared" si="65"/>
        <v>0.96005236649271786</v>
      </c>
      <c r="O110" s="143">
        <f t="shared" si="65"/>
        <v>0.96000000000000008</v>
      </c>
      <c r="P110" s="143">
        <f t="shared" si="65"/>
        <v>0.96000000000000008</v>
      </c>
      <c r="Q110" s="143">
        <f t="shared" si="65"/>
        <v>0.96000000000000008</v>
      </c>
      <c r="R110" s="143">
        <f t="shared" si="65"/>
        <v>0.96000000000000008</v>
      </c>
      <c r="S110" s="143">
        <f>+S108/(S106/12)</f>
        <v>0.96000000000000008</v>
      </c>
    </row>
    <row r="111" spans="2:19" s="135" customFormat="1" x14ac:dyDescent="0.35">
      <c r="B111" s="126"/>
      <c r="C111" s="78"/>
      <c r="D111" s="126"/>
      <c r="E111" s="126"/>
      <c r="F111" s="126"/>
      <c r="G111" s="126"/>
      <c r="H111" s="126"/>
      <c r="I111" s="581"/>
      <c r="J111" s="126"/>
      <c r="K111" s="126"/>
      <c r="L111" s="126"/>
      <c r="M111" s="126"/>
      <c r="N111" s="126"/>
      <c r="O111" s="126"/>
      <c r="P111" s="126"/>
      <c r="Q111" s="126"/>
      <c r="R111" s="126"/>
      <c r="S111" s="581"/>
    </row>
    <row r="112" spans="2:19" s="583" customFormat="1" x14ac:dyDescent="0.35">
      <c r="B112" s="138" t="s">
        <v>1588</v>
      </c>
      <c r="C112" s="298"/>
      <c r="D112" s="139"/>
      <c r="E112" s="139"/>
      <c r="F112" s="139"/>
      <c r="G112" s="139"/>
      <c r="H112" s="139"/>
      <c r="I112" s="139"/>
      <c r="J112" s="139"/>
      <c r="K112" s="139"/>
      <c r="L112" s="139"/>
      <c r="M112" s="139"/>
      <c r="N112" s="139"/>
      <c r="O112" s="139"/>
      <c r="P112" s="139"/>
      <c r="Q112" s="139"/>
      <c r="R112" s="139"/>
      <c r="S112" s="139"/>
    </row>
    <row r="113" spans="1:19" s="583" customFormat="1" x14ac:dyDescent="0.35">
      <c r="B113" s="581" t="s">
        <v>15</v>
      </c>
      <c r="C113" s="579" t="s">
        <v>30</v>
      </c>
      <c r="D113" s="581"/>
      <c r="E113" s="581"/>
      <c r="F113" s="581"/>
      <c r="G113" s="63"/>
      <c r="H113" s="69">
        <f t="shared" ref="H113:I113" si="66">+G117</f>
        <v>0</v>
      </c>
      <c r="I113" s="69">
        <f t="shared" si="66"/>
        <v>0</v>
      </c>
      <c r="J113" s="63">
        <f>+I117</f>
        <v>0</v>
      </c>
      <c r="K113" s="63">
        <f t="shared" ref="K113:S113" si="67">+J117</f>
        <v>0</v>
      </c>
      <c r="L113" s="63">
        <f t="shared" si="67"/>
        <v>0</v>
      </c>
      <c r="M113" s="63">
        <f t="shared" si="67"/>
        <v>0</v>
      </c>
      <c r="N113" s="63">
        <f t="shared" si="67"/>
        <v>0</v>
      </c>
      <c r="O113" s="63">
        <f t="shared" si="67"/>
        <v>0</v>
      </c>
      <c r="P113" s="63">
        <f t="shared" si="67"/>
        <v>0</v>
      </c>
      <c r="Q113" s="63">
        <f t="shared" si="67"/>
        <v>0</v>
      </c>
      <c r="R113" s="63">
        <f t="shared" si="67"/>
        <v>0</v>
      </c>
      <c r="S113" s="63">
        <f t="shared" si="67"/>
        <v>0</v>
      </c>
    </row>
    <row r="114" spans="1:19" s="583" customFormat="1" x14ac:dyDescent="0.35">
      <c r="B114" s="581" t="s">
        <v>398</v>
      </c>
      <c r="C114" s="579" t="s">
        <v>30</v>
      </c>
      <c r="D114" s="581"/>
      <c r="E114" s="581"/>
      <c r="F114" s="581"/>
      <c r="G114" s="63"/>
      <c r="H114" s="69">
        <f>'Plant-wise details'!I1074/10^5</f>
        <v>0</v>
      </c>
      <c r="I114" s="69">
        <f>'Plant-wise details'!J1074/10^5</f>
        <v>126.79989</v>
      </c>
      <c r="J114" s="63">
        <f>+J49*Assumptions!J111</f>
        <v>0</v>
      </c>
      <c r="K114" s="63">
        <f>+K49*Assumptions!K111</f>
        <v>0</v>
      </c>
      <c r="L114" s="63">
        <f>+L49*Assumptions!L111</f>
        <v>0</v>
      </c>
      <c r="M114" s="63">
        <f>+M49*Assumptions!M111</f>
        <v>0</v>
      </c>
      <c r="N114" s="63">
        <f>+N49*Assumptions!N111</f>
        <v>0</v>
      </c>
      <c r="O114" s="63">
        <f>+O49*Assumptions!O111</f>
        <v>0</v>
      </c>
      <c r="P114" s="63">
        <f>+P49*Assumptions!P111</f>
        <v>0</v>
      </c>
      <c r="Q114" s="63">
        <f>+Q49*Assumptions!Q111</f>
        <v>0</v>
      </c>
      <c r="R114" s="63">
        <f>+R49*Assumptions!R111</f>
        <v>0</v>
      </c>
      <c r="S114" s="63">
        <f>+S49*Assumptions!S111</f>
        <v>0</v>
      </c>
    </row>
    <row r="115" spans="1:19" s="583" customFormat="1" x14ac:dyDescent="0.35">
      <c r="B115" s="581" t="s">
        <v>399</v>
      </c>
      <c r="C115" s="579" t="s">
        <v>30</v>
      </c>
      <c r="D115" s="581"/>
      <c r="E115" s="581"/>
      <c r="F115" s="581"/>
      <c r="G115" s="63"/>
      <c r="H115" s="69">
        <f>'Plant-wise details'!I1089/10^5</f>
        <v>0</v>
      </c>
      <c r="I115" s="69">
        <f>'Plant-wise details'!J1089/10^5</f>
        <v>126.33</v>
      </c>
      <c r="J115" s="63">
        <f t="shared" ref="J115:S115" si="68">J114</f>
        <v>0</v>
      </c>
      <c r="K115" s="63">
        <f t="shared" si="68"/>
        <v>0</v>
      </c>
      <c r="L115" s="63">
        <f t="shared" si="68"/>
        <v>0</v>
      </c>
      <c r="M115" s="63">
        <f t="shared" si="68"/>
        <v>0</v>
      </c>
      <c r="N115" s="63">
        <f t="shared" si="68"/>
        <v>0</v>
      </c>
      <c r="O115" s="63">
        <f t="shared" si="68"/>
        <v>0</v>
      </c>
      <c r="P115" s="63">
        <f t="shared" si="68"/>
        <v>0</v>
      </c>
      <c r="Q115" s="63">
        <f t="shared" si="68"/>
        <v>0</v>
      </c>
      <c r="R115" s="63">
        <f t="shared" si="68"/>
        <v>0</v>
      </c>
      <c r="S115" s="63">
        <f t="shared" si="68"/>
        <v>0</v>
      </c>
    </row>
    <row r="116" spans="1:19" s="583" customFormat="1" x14ac:dyDescent="0.35">
      <c r="B116" s="581" t="s">
        <v>865</v>
      </c>
      <c r="C116" s="579" t="s">
        <v>30</v>
      </c>
      <c r="D116" s="581"/>
      <c r="E116" s="581"/>
      <c r="F116" s="581"/>
      <c r="G116" s="63"/>
      <c r="H116" s="69">
        <f>'Plant-wise details'!I1104/10^5</f>
        <v>0</v>
      </c>
      <c r="I116" s="69">
        <f>'Plant-wise details'!J1104/10^5</f>
        <v>-0.46988999999999997</v>
      </c>
      <c r="J116" s="63">
        <v>0</v>
      </c>
      <c r="K116" s="63">
        <v>0</v>
      </c>
      <c r="L116" s="63">
        <v>0</v>
      </c>
      <c r="M116" s="63">
        <v>0</v>
      </c>
      <c r="N116" s="63">
        <v>0</v>
      </c>
      <c r="O116" s="63">
        <v>0</v>
      </c>
      <c r="P116" s="63">
        <v>0</v>
      </c>
      <c r="Q116" s="63">
        <v>0</v>
      </c>
      <c r="R116" s="63">
        <v>0</v>
      </c>
      <c r="S116" s="63">
        <v>0</v>
      </c>
    </row>
    <row r="117" spans="1:19" s="583" customFormat="1" x14ac:dyDescent="0.35">
      <c r="B117" s="581" t="s">
        <v>14</v>
      </c>
      <c r="C117" s="579" t="s">
        <v>30</v>
      </c>
      <c r="D117" s="581"/>
      <c r="E117" s="581"/>
      <c r="F117" s="581"/>
      <c r="G117" s="63"/>
      <c r="H117" s="69">
        <f>'Plant-wise details'!I1134/10^5</f>
        <v>0</v>
      </c>
      <c r="I117" s="69">
        <f>'Plant-wise details'!J1134/10^5</f>
        <v>0</v>
      </c>
      <c r="J117" s="63">
        <f t="shared" ref="J117:S117" si="69">+J113+J114-J115+J116</f>
        <v>0</v>
      </c>
      <c r="K117" s="63">
        <f t="shared" si="69"/>
        <v>0</v>
      </c>
      <c r="L117" s="63">
        <f t="shared" si="69"/>
        <v>0</v>
      </c>
      <c r="M117" s="63">
        <f t="shared" si="69"/>
        <v>0</v>
      </c>
      <c r="N117" s="63">
        <f t="shared" si="69"/>
        <v>0</v>
      </c>
      <c r="O117" s="63">
        <f t="shared" si="69"/>
        <v>0</v>
      </c>
      <c r="P117" s="63">
        <f t="shared" si="69"/>
        <v>0</v>
      </c>
      <c r="Q117" s="63">
        <f t="shared" si="69"/>
        <v>0</v>
      </c>
      <c r="R117" s="63">
        <f t="shared" si="69"/>
        <v>0</v>
      </c>
      <c r="S117" s="63">
        <f t="shared" si="69"/>
        <v>0</v>
      </c>
    </row>
    <row r="118" spans="1:19" s="583" customFormat="1" x14ac:dyDescent="0.35">
      <c r="B118" s="581" t="s">
        <v>404</v>
      </c>
      <c r="C118" s="579" t="s">
        <v>30</v>
      </c>
      <c r="D118" s="581"/>
      <c r="E118" s="581"/>
      <c r="F118" s="581"/>
      <c r="G118" s="140"/>
      <c r="H118" s="140">
        <f>IFERROR(+H117/H114,0)</f>
        <v>0</v>
      </c>
      <c r="I118" s="140">
        <f>IFERROR(+I117/I114,0)</f>
        <v>0</v>
      </c>
      <c r="J118" s="141">
        <v>0</v>
      </c>
      <c r="K118" s="141">
        <f t="shared" ref="K118:S118" si="70">J118</f>
        <v>0</v>
      </c>
      <c r="L118" s="141">
        <f t="shared" si="70"/>
        <v>0</v>
      </c>
      <c r="M118" s="141">
        <f t="shared" si="70"/>
        <v>0</v>
      </c>
      <c r="N118" s="141">
        <f t="shared" si="70"/>
        <v>0</v>
      </c>
      <c r="O118" s="141">
        <f t="shared" si="70"/>
        <v>0</v>
      </c>
      <c r="P118" s="141">
        <f t="shared" si="70"/>
        <v>0</v>
      </c>
      <c r="Q118" s="141">
        <f t="shared" si="70"/>
        <v>0</v>
      </c>
      <c r="R118" s="141">
        <f t="shared" si="70"/>
        <v>0</v>
      </c>
      <c r="S118" s="141">
        <f t="shared" si="70"/>
        <v>0</v>
      </c>
    </row>
    <row r="119" spans="1:19" s="583" customFormat="1" x14ac:dyDescent="0.35">
      <c r="B119" s="581" t="s">
        <v>309</v>
      </c>
      <c r="C119" s="579" t="s">
        <v>303</v>
      </c>
      <c r="D119" s="581"/>
      <c r="E119" s="581"/>
      <c r="F119" s="581"/>
      <c r="G119" s="581"/>
      <c r="H119" s="581"/>
      <c r="I119" s="581"/>
      <c r="J119" s="143"/>
      <c r="K119" s="143"/>
      <c r="L119" s="143"/>
      <c r="M119" s="143"/>
      <c r="N119" s="143"/>
      <c r="O119" s="143"/>
      <c r="P119" s="143"/>
      <c r="Q119" s="143"/>
      <c r="R119" s="143"/>
      <c r="S119" s="143"/>
    </row>
    <row r="120" spans="1:19" s="583" customFormat="1" x14ac:dyDescent="0.35">
      <c r="B120" s="581"/>
      <c r="C120" s="579"/>
      <c r="D120" s="581"/>
      <c r="E120" s="581"/>
      <c r="F120" s="581"/>
      <c r="G120" s="581"/>
      <c r="H120" s="581"/>
      <c r="I120" s="581"/>
      <c r="J120" s="581"/>
      <c r="K120" s="581"/>
      <c r="L120" s="581"/>
      <c r="M120" s="581"/>
      <c r="N120" s="581"/>
      <c r="O120" s="581"/>
      <c r="P120" s="581"/>
      <c r="Q120" s="581"/>
      <c r="R120" s="581"/>
      <c r="S120" s="581"/>
    </row>
    <row r="121" spans="1:19" s="583" customFormat="1" x14ac:dyDescent="0.35">
      <c r="B121" s="581" t="s">
        <v>544</v>
      </c>
      <c r="C121" s="579"/>
      <c r="D121" s="581"/>
      <c r="E121" s="581"/>
      <c r="F121" s="581"/>
      <c r="G121" s="581">
        <v>0</v>
      </c>
      <c r="H121" s="581">
        <v>0</v>
      </c>
      <c r="I121" s="581">
        <v>0</v>
      </c>
      <c r="J121" s="143">
        <f>I126</f>
        <v>14.343090800000001</v>
      </c>
      <c r="K121" s="143">
        <f>J126</f>
        <v>14.343090800000006</v>
      </c>
      <c r="L121" s="143">
        <f t="shared" ref="L121:S121" si="71">K126</f>
        <v>14.343090799999999</v>
      </c>
      <c r="M121" s="143">
        <f t="shared" si="71"/>
        <v>14.343090799999999</v>
      </c>
      <c r="N121" s="143">
        <f t="shared" si="71"/>
        <v>14.343090799999999</v>
      </c>
      <c r="O121" s="143">
        <f t="shared" si="71"/>
        <v>14.343090799999999</v>
      </c>
      <c r="P121" s="143">
        <f t="shared" si="71"/>
        <v>14.343090799999999</v>
      </c>
      <c r="Q121" s="143">
        <f t="shared" si="71"/>
        <v>14.343090799999999</v>
      </c>
      <c r="R121" s="143">
        <f t="shared" si="71"/>
        <v>14.343090799999999</v>
      </c>
      <c r="S121" s="143">
        <f t="shared" si="71"/>
        <v>14.343090799999999</v>
      </c>
    </row>
    <row r="122" spans="1:19" s="135" customFormat="1" x14ac:dyDescent="0.35">
      <c r="B122" s="126" t="s">
        <v>1639</v>
      </c>
      <c r="C122" s="78" t="s">
        <v>5</v>
      </c>
      <c r="D122" s="126"/>
      <c r="E122" s="126"/>
      <c r="F122" s="126"/>
      <c r="G122" s="63">
        <f>+Assumptions!G17*Assumptions!G35</f>
        <v>65.919304767679989</v>
      </c>
      <c r="H122" s="63">
        <f>H125</f>
        <v>17.936337299999998</v>
      </c>
      <c r="I122" s="63">
        <f>Assumptions!I17*Assumptions!I35</f>
        <v>52.372104224959998</v>
      </c>
      <c r="J122" s="63">
        <f>+Assumptions!J17*Assumptions!J35</f>
        <v>60.32</v>
      </c>
      <c r="K122" s="63">
        <f>+Assumptions!K17*Assumptions!K35</f>
        <v>66.56</v>
      </c>
      <c r="L122" s="63">
        <f>+Assumptions!L17*Assumptions!L35</f>
        <v>68.64</v>
      </c>
      <c r="M122" s="63">
        <f>+Assumptions!M17*Assumptions!M35</f>
        <v>68.64</v>
      </c>
      <c r="N122" s="63">
        <f>+Assumptions!N17*Assumptions!N35</f>
        <v>68.64</v>
      </c>
      <c r="O122" s="63">
        <f>+Assumptions!O17*Assumptions!O35</f>
        <v>68.64</v>
      </c>
      <c r="P122" s="63">
        <f>+Assumptions!P17*Assumptions!P35</f>
        <v>68.64</v>
      </c>
      <c r="Q122" s="63">
        <f>+Assumptions!Q17*Assumptions!Q35</f>
        <v>68.64</v>
      </c>
      <c r="R122" s="63">
        <f>+Assumptions!R17*Assumptions!R35</f>
        <v>68.64</v>
      </c>
      <c r="S122" s="63">
        <f>+Assumptions!S17*Assumptions!S35</f>
        <v>68.64</v>
      </c>
    </row>
    <row r="123" spans="1:19" s="583" customFormat="1" x14ac:dyDescent="0.35">
      <c r="B123" s="581" t="s">
        <v>1638</v>
      </c>
      <c r="C123" s="579"/>
      <c r="D123" s="581"/>
      <c r="E123" s="581"/>
      <c r="F123" s="581"/>
      <c r="G123" s="63"/>
      <c r="H123" s="63"/>
      <c r="I123" s="63">
        <f>I122-I124-I125+I126</f>
        <v>11.481252824960002</v>
      </c>
      <c r="J123" s="63">
        <v>0</v>
      </c>
      <c r="K123" s="63">
        <v>0</v>
      </c>
      <c r="L123" s="63">
        <v>0</v>
      </c>
      <c r="M123" s="63">
        <v>0</v>
      </c>
      <c r="N123" s="63">
        <v>0</v>
      </c>
      <c r="O123" s="63">
        <v>0</v>
      </c>
      <c r="P123" s="63">
        <v>0</v>
      </c>
      <c r="Q123" s="63">
        <v>0</v>
      </c>
      <c r="R123" s="63">
        <v>0</v>
      </c>
      <c r="S123" s="63">
        <v>0</v>
      </c>
    </row>
    <row r="124" spans="1:19" s="135" customFormat="1" x14ac:dyDescent="0.35">
      <c r="A124" s="149">
        <v>0.75</v>
      </c>
      <c r="B124" s="126" t="s">
        <v>405</v>
      </c>
      <c r="C124" s="78" t="s">
        <v>5</v>
      </c>
      <c r="D124" s="126"/>
      <c r="E124" s="126"/>
      <c r="F124" s="126"/>
      <c r="G124" s="77">
        <v>39.840000000000003</v>
      </c>
      <c r="H124" s="77">
        <f>3440070.86/10^5</f>
        <v>34.400708600000002</v>
      </c>
      <c r="I124" s="77">
        <f>4887527.52/10^5</f>
        <v>48.875275199999997</v>
      </c>
      <c r="J124" s="63">
        <f>J122*$A$124</f>
        <v>45.24</v>
      </c>
      <c r="K124" s="63">
        <f t="shared" ref="K124:S124" si="72">K122*$A$124</f>
        <v>49.92</v>
      </c>
      <c r="L124" s="63">
        <f t="shared" si="72"/>
        <v>51.480000000000004</v>
      </c>
      <c r="M124" s="63">
        <f t="shared" si="72"/>
        <v>51.480000000000004</v>
      </c>
      <c r="N124" s="63">
        <f t="shared" si="72"/>
        <v>51.480000000000004</v>
      </c>
      <c r="O124" s="63">
        <f t="shared" si="72"/>
        <v>51.480000000000004</v>
      </c>
      <c r="P124" s="63">
        <f t="shared" si="72"/>
        <v>51.480000000000004</v>
      </c>
      <c r="Q124" s="63">
        <f t="shared" si="72"/>
        <v>51.480000000000004</v>
      </c>
      <c r="R124" s="63">
        <f t="shared" si="72"/>
        <v>51.480000000000004</v>
      </c>
      <c r="S124" s="63">
        <f t="shared" si="72"/>
        <v>51.480000000000004</v>
      </c>
    </row>
    <row r="125" spans="1:19" s="135" customFormat="1" ht="16.5" customHeight="1" x14ac:dyDescent="0.35">
      <c r="B125" s="152" t="s">
        <v>406</v>
      </c>
      <c r="C125" s="78" t="s">
        <v>5</v>
      </c>
      <c r="D125" s="126"/>
      <c r="E125" s="126"/>
      <c r="F125" s="126"/>
      <c r="G125" s="77">
        <f>1793633.73/10^5</f>
        <v>17.936337299999998</v>
      </c>
      <c r="H125" s="77">
        <f>1793633.73/10^5</f>
        <v>17.936337299999998</v>
      </c>
      <c r="I125" s="77">
        <f>635866.7/10^5</f>
        <v>6.3586669999999996</v>
      </c>
      <c r="J125" s="143">
        <f>J122-J124</f>
        <v>15.079999999999998</v>
      </c>
      <c r="K125" s="143">
        <f t="shared" ref="K125:S125" si="73">K122-K124</f>
        <v>16.64</v>
      </c>
      <c r="L125" s="143">
        <f t="shared" si="73"/>
        <v>17.159999999999997</v>
      </c>
      <c r="M125" s="143">
        <f t="shared" si="73"/>
        <v>17.159999999999997</v>
      </c>
      <c r="N125" s="143">
        <f t="shared" si="73"/>
        <v>17.159999999999997</v>
      </c>
      <c r="O125" s="143">
        <f t="shared" si="73"/>
        <v>17.159999999999997</v>
      </c>
      <c r="P125" s="143">
        <f t="shared" si="73"/>
        <v>17.159999999999997</v>
      </c>
      <c r="Q125" s="143">
        <f t="shared" si="73"/>
        <v>17.159999999999997</v>
      </c>
      <c r="R125" s="143">
        <f t="shared" si="73"/>
        <v>17.159999999999997</v>
      </c>
      <c r="S125" s="143">
        <f t="shared" si="73"/>
        <v>17.159999999999997</v>
      </c>
    </row>
    <row r="126" spans="1:19" s="135" customFormat="1" x14ac:dyDescent="0.35">
      <c r="B126" s="152" t="s">
        <v>315</v>
      </c>
      <c r="C126" s="579"/>
      <c r="D126" s="581"/>
      <c r="E126" s="581"/>
      <c r="F126" s="581"/>
      <c r="G126" s="77"/>
      <c r="H126" s="77"/>
      <c r="I126" s="77">
        <f>1434309.08/10^5</f>
        <v>14.343090800000001</v>
      </c>
      <c r="J126" s="143">
        <f>J121+J122-J124-J125</f>
        <v>14.343090800000006</v>
      </c>
      <c r="K126" s="143">
        <f t="shared" ref="K126:S126" si="74">K121+K122-K124-K125</f>
        <v>14.343090799999999</v>
      </c>
      <c r="L126" s="143">
        <f t="shared" si="74"/>
        <v>14.343090799999999</v>
      </c>
      <c r="M126" s="143">
        <f t="shared" si="74"/>
        <v>14.343090799999999</v>
      </c>
      <c r="N126" s="143">
        <f t="shared" si="74"/>
        <v>14.343090799999999</v>
      </c>
      <c r="O126" s="143">
        <f t="shared" si="74"/>
        <v>14.343090799999999</v>
      </c>
      <c r="P126" s="143">
        <f t="shared" si="74"/>
        <v>14.343090799999999</v>
      </c>
      <c r="Q126" s="143">
        <f t="shared" si="74"/>
        <v>14.343090799999999</v>
      </c>
      <c r="R126" s="143">
        <f t="shared" si="74"/>
        <v>14.343090799999999</v>
      </c>
      <c r="S126" s="143">
        <f t="shared" si="74"/>
        <v>14.343090799999999</v>
      </c>
    </row>
    <row r="127" spans="1:19" s="583" customFormat="1" x14ac:dyDescent="0.35">
      <c r="C127" s="300"/>
      <c r="G127" s="154"/>
      <c r="H127" s="154"/>
      <c r="I127" s="154"/>
      <c r="J127" s="154"/>
      <c r="K127" s="154"/>
      <c r="L127" s="154"/>
      <c r="M127" s="154"/>
      <c r="N127" s="154"/>
      <c r="O127" s="154"/>
      <c r="P127" s="154"/>
      <c r="Q127" s="154"/>
      <c r="R127" s="154"/>
      <c r="S127" s="154"/>
    </row>
    <row r="128" spans="1:19" x14ac:dyDescent="0.35">
      <c r="I128" s="172"/>
    </row>
    <row r="129" spans="2:19" x14ac:dyDescent="0.35">
      <c r="B129" s="133" t="s">
        <v>1589</v>
      </c>
      <c r="I129" s="1606">
        <f>+I114+I105+I98</f>
        <v>1732.6046299999998</v>
      </c>
      <c r="J129" s="1606">
        <f t="shared" ref="J129:S129" si="75">+J114+J105+J98</f>
        <v>2000.6299039325943</v>
      </c>
      <c r="K129" s="1606">
        <f t="shared" si="75"/>
        <v>2492.2618604534368</v>
      </c>
      <c r="L129" s="1606">
        <f t="shared" si="75"/>
        <v>2557.537795177383</v>
      </c>
      <c r="M129" s="1606">
        <f t="shared" si="75"/>
        <v>2592.9199182372504</v>
      </c>
      <c r="N129" s="1606">
        <f t="shared" si="75"/>
        <v>2594.689024390244</v>
      </c>
      <c r="O129" s="1606">
        <f t="shared" si="75"/>
        <v>2594.689024390244</v>
      </c>
      <c r="P129" s="1606">
        <f t="shared" si="75"/>
        <v>2594.689024390244</v>
      </c>
      <c r="Q129" s="1606">
        <f t="shared" si="75"/>
        <v>2594.689024390244</v>
      </c>
      <c r="R129" s="1606">
        <f t="shared" si="75"/>
        <v>2594.689024390244</v>
      </c>
      <c r="S129" s="1606">
        <f t="shared" si="75"/>
        <v>2594.689024390244</v>
      </c>
    </row>
    <row r="130" spans="2:19" x14ac:dyDescent="0.35">
      <c r="B130" s="133" t="s">
        <v>1590</v>
      </c>
      <c r="I130" s="1606">
        <f>+I115+I106+I99</f>
        <v>1754.8048745999999</v>
      </c>
      <c r="J130" s="1606">
        <f t="shared" ref="J130:S130" si="76">+J115+J106+J99</f>
        <v>1929.2963570259867</v>
      </c>
      <c r="K130" s="1606">
        <f t="shared" si="76"/>
        <v>2442.9397199237696</v>
      </c>
      <c r="L130" s="1606">
        <f t="shared" si="76"/>
        <v>2552.3157203994674</v>
      </c>
      <c r="M130" s="1606">
        <f t="shared" si="76"/>
        <v>2590.089348392461</v>
      </c>
      <c r="N130" s="1606">
        <f t="shared" si="76"/>
        <v>2594.5474958980044</v>
      </c>
      <c r="O130" s="1606">
        <f t="shared" si="76"/>
        <v>2594.689024390244</v>
      </c>
      <c r="P130" s="1606">
        <f t="shared" si="76"/>
        <v>2594.689024390244</v>
      </c>
      <c r="Q130" s="1606">
        <f t="shared" si="76"/>
        <v>2594.689024390244</v>
      </c>
      <c r="R130" s="1606">
        <f t="shared" si="76"/>
        <v>2594.689024390244</v>
      </c>
      <c r="S130" s="1606">
        <f t="shared" si="76"/>
        <v>2594.689024390244</v>
      </c>
    </row>
    <row r="132" spans="2:19" s="261" customFormat="1" x14ac:dyDescent="0.35">
      <c r="C132" s="1635"/>
    </row>
    <row r="133" spans="2:19" s="261" customFormat="1" x14ac:dyDescent="0.35">
      <c r="C133" s="1635"/>
    </row>
    <row r="134" spans="2:19" s="261" customFormat="1" x14ac:dyDescent="0.35">
      <c r="C134" s="1635"/>
    </row>
  </sheetData>
  <pageMargins left="0.70866141732283472" right="0.70866141732283472" top="0.74803149606299213" bottom="0.74803149606299213" header="0.31496062992125984" footer="0.31496062992125984"/>
  <pageSetup paperSize="9" scale="44"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7">
    <tabColor theme="4" tint="0.79998168889431442"/>
  </sheetPr>
  <dimension ref="B1:Q57"/>
  <sheetViews>
    <sheetView showGridLines="0" topLeftCell="A30" zoomScale="80" zoomScaleNormal="80" workbookViewId="0">
      <selection activeCell="I11" sqref="I11"/>
    </sheetView>
  </sheetViews>
  <sheetFormatPr defaultColWidth="8.54296875" defaultRowHeight="14.5" x14ac:dyDescent="0.35"/>
  <cols>
    <col min="1" max="1" width="8.54296875" style="213"/>
    <col min="2" max="2" width="41.453125" style="133" bestFit="1" customWidth="1"/>
    <col min="3" max="7" width="11.453125" style="213" customWidth="1"/>
    <col min="8" max="8" width="13.453125" style="213" customWidth="1"/>
    <col min="9" max="13" width="11.453125" style="213" customWidth="1"/>
    <col min="14" max="16" width="11.453125" style="213" hidden="1" customWidth="1"/>
    <col min="17" max="17" width="11.453125" style="213" customWidth="1"/>
    <col min="18" max="18" width="12" style="213" bestFit="1" customWidth="1"/>
    <col min="19" max="19" width="12" style="213" customWidth="1"/>
    <col min="20" max="20" width="8.54296875" style="213"/>
    <col min="21" max="21" width="9.54296875" style="213" bestFit="1" customWidth="1"/>
    <col min="22" max="16384" width="8.54296875" style="213"/>
  </cols>
  <sheetData>
    <row r="1" spans="2:17" x14ac:dyDescent="0.35">
      <c r="B1" s="134"/>
    </row>
    <row r="2" spans="2:17" x14ac:dyDescent="0.35">
      <c r="B2" s="134"/>
      <c r="D2" s="215"/>
      <c r="E2" s="215"/>
      <c r="F2" s="215"/>
      <c r="G2" s="215"/>
      <c r="H2" s="215"/>
      <c r="I2" s="215"/>
      <c r="J2" s="215"/>
      <c r="K2" s="215"/>
      <c r="L2" s="215"/>
      <c r="M2" s="215"/>
      <c r="N2" s="215"/>
      <c r="O2" s="215"/>
      <c r="P2" s="215"/>
    </row>
    <row r="3" spans="2:17" x14ac:dyDescent="0.35">
      <c r="B3" s="112" t="str">
        <f>'Tax calc'!B2</f>
        <v>All figures in INR Crores</v>
      </c>
      <c r="D3" s="215"/>
      <c r="E3" s="215"/>
      <c r="F3" s="215"/>
      <c r="G3" s="215"/>
      <c r="H3" s="215"/>
      <c r="I3" s="215"/>
      <c r="J3" s="215"/>
      <c r="K3" s="215"/>
      <c r="L3" s="215"/>
      <c r="M3" s="215"/>
      <c r="N3" s="215"/>
      <c r="O3" s="215"/>
      <c r="P3" s="215"/>
    </row>
    <row r="5" spans="2:17" s="217" customFormat="1" x14ac:dyDescent="0.35">
      <c r="B5" s="218" t="s">
        <v>1668</v>
      </c>
      <c r="C5" s="220"/>
      <c r="D5" s="220"/>
      <c r="E5" s="220"/>
      <c r="F5" s="220"/>
      <c r="G5" s="220"/>
      <c r="H5" s="220"/>
      <c r="I5" s="220"/>
      <c r="J5" s="220"/>
      <c r="K5" s="220"/>
      <c r="L5" s="220"/>
      <c r="M5" s="220"/>
      <c r="N5" s="220"/>
      <c r="O5" s="220"/>
      <c r="P5" s="220"/>
      <c r="Q5" s="220"/>
    </row>
    <row r="6" spans="2:17" x14ac:dyDescent="0.35">
      <c r="C6" s="215"/>
      <c r="D6" s="215"/>
      <c r="E6" s="215"/>
      <c r="F6" s="215"/>
      <c r="G6" s="215"/>
      <c r="H6" s="215"/>
      <c r="I6" s="215"/>
      <c r="J6" s="215"/>
      <c r="K6" s="215"/>
      <c r="L6" s="215"/>
      <c r="M6" s="215"/>
      <c r="N6" s="215"/>
      <c r="O6" s="215"/>
      <c r="P6" s="215"/>
      <c r="Q6" s="215"/>
    </row>
    <row r="7" spans="2:17" ht="29" x14ac:dyDescent="0.35">
      <c r="B7" s="209" t="s">
        <v>621</v>
      </c>
      <c r="C7" s="680" t="s">
        <v>258</v>
      </c>
      <c r="D7" s="680" t="s">
        <v>622</v>
      </c>
      <c r="E7" s="680" t="s">
        <v>36</v>
      </c>
      <c r="F7" s="680" t="s">
        <v>1514</v>
      </c>
      <c r="G7" s="680" t="s">
        <v>1515</v>
      </c>
      <c r="H7" s="1397" t="s">
        <v>1572</v>
      </c>
      <c r="I7" s="1372"/>
      <c r="J7" s="1372"/>
      <c r="K7" s="1373"/>
      <c r="L7" s="215"/>
      <c r="M7" s="215"/>
      <c r="N7" s="215"/>
      <c r="O7" s="215"/>
      <c r="P7" s="215"/>
      <c r="Q7" s="215"/>
    </row>
    <row r="8" spans="2:17" x14ac:dyDescent="0.35">
      <c r="B8" s="236" t="s">
        <v>505</v>
      </c>
      <c r="C8" s="404">
        <v>726.27900448199978</v>
      </c>
      <c r="D8" s="404">
        <v>6.23</v>
      </c>
      <c r="E8" s="405">
        <f t="shared" ref="E8:E14" si="0">SUM(C8:D8)</f>
        <v>732.5090044819998</v>
      </c>
      <c r="F8" s="405">
        <f>Assumptions!D174</f>
        <v>542.72373709199996</v>
      </c>
      <c r="G8" s="405">
        <f>C8-F8</f>
        <v>183.55526738999981</v>
      </c>
      <c r="H8" s="1398">
        <f>63.022179252</f>
        <v>63.022179252000001</v>
      </c>
      <c r="I8" s="1374"/>
      <c r="J8" s="1374"/>
      <c r="K8" s="1374"/>
      <c r="L8" s="215"/>
      <c r="M8" s="215"/>
      <c r="N8" s="215"/>
      <c r="O8" s="215"/>
      <c r="P8" s="215"/>
      <c r="Q8" s="215"/>
    </row>
    <row r="9" spans="2:17" x14ac:dyDescent="0.35">
      <c r="B9" s="236" t="s">
        <v>506</v>
      </c>
      <c r="C9" s="404">
        <v>39.907236451999992</v>
      </c>
      <c r="D9" s="404">
        <v>0.34</v>
      </c>
      <c r="E9" s="405">
        <f t="shared" si="0"/>
        <v>40.247236451999996</v>
      </c>
      <c r="F9" s="405">
        <f>Assumptions!D175</f>
        <v>29.646679218999999</v>
      </c>
      <c r="G9" s="405">
        <f t="shared" ref="G9:G13" si="1">C9-F9</f>
        <v>10.260557232999993</v>
      </c>
      <c r="H9" s="1398">
        <f>3.460291136</f>
        <v>3.4602911359999999</v>
      </c>
      <c r="I9" s="1374"/>
      <c r="J9" s="1374"/>
      <c r="K9" s="1374"/>
      <c r="L9" s="215"/>
      <c r="M9" s="215"/>
      <c r="N9" s="215"/>
      <c r="O9" s="215"/>
      <c r="P9" s="215"/>
      <c r="Q9" s="215"/>
    </row>
    <row r="10" spans="2:17" x14ac:dyDescent="0.35">
      <c r="B10" s="236" t="s">
        <v>503</v>
      </c>
      <c r="C10" s="404">
        <v>889.06941760599989</v>
      </c>
      <c r="D10" s="404">
        <v>7.66</v>
      </c>
      <c r="E10" s="405">
        <f t="shared" si="0"/>
        <v>896.72941760599986</v>
      </c>
      <c r="F10" s="405">
        <f>Assumptions!D176</f>
        <v>666.757681746</v>
      </c>
      <c r="G10" s="405">
        <f t="shared" si="1"/>
        <v>222.31173585999989</v>
      </c>
      <c r="H10" s="1398">
        <f>77.636074684</f>
        <v>77.636074683999993</v>
      </c>
      <c r="I10" s="1374"/>
      <c r="J10" s="1374"/>
      <c r="K10" s="1374"/>
      <c r="L10" s="215"/>
      <c r="M10" s="215"/>
      <c r="N10" s="215"/>
      <c r="O10" s="215"/>
      <c r="P10" s="215"/>
      <c r="Q10" s="215"/>
    </row>
    <row r="11" spans="2:17" x14ac:dyDescent="0.35">
      <c r="B11" s="236" t="s">
        <v>504</v>
      </c>
      <c r="C11" s="404">
        <v>74.924089205999806</v>
      </c>
      <c r="D11" s="404">
        <v>0.66</v>
      </c>
      <c r="E11" s="405">
        <f t="shared" si="0"/>
        <v>75.584089205999803</v>
      </c>
      <c r="F11" s="405">
        <f>Assumptions!D177</f>
        <v>56.350552448000002</v>
      </c>
      <c r="G11" s="405">
        <f t="shared" si="1"/>
        <v>18.573536757999804</v>
      </c>
      <c r="H11" s="1398">
        <f>6.5463979</f>
        <v>6.5463978999999997</v>
      </c>
      <c r="I11" s="1374"/>
      <c r="J11" s="1374"/>
      <c r="K11" s="1374"/>
      <c r="L11" s="215"/>
      <c r="M11" s="215"/>
      <c r="N11" s="215"/>
      <c r="O11" s="215"/>
      <c r="P11" s="215"/>
      <c r="Q11" s="215"/>
    </row>
    <row r="12" spans="2:17" x14ac:dyDescent="0.35">
      <c r="B12" s="236" t="s">
        <v>359</v>
      </c>
      <c r="C12" s="404">
        <v>36.085128114999996</v>
      </c>
      <c r="D12" s="404">
        <v>0.35</v>
      </c>
      <c r="E12" s="405">
        <f t="shared" si="0"/>
        <v>36.435128114999998</v>
      </c>
      <c r="F12" s="405">
        <f>Assumptions!D178</f>
        <v>0</v>
      </c>
      <c r="G12" s="405">
        <f t="shared" si="1"/>
        <v>36.085128114999996</v>
      </c>
      <c r="H12" s="1398">
        <v>0.73371547299999995</v>
      </c>
      <c r="I12" s="1374"/>
      <c r="J12" s="1374"/>
      <c r="K12" s="1374"/>
      <c r="L12" s="215"/>
      <c r="M12" s="215"/>
      <c r="N12" s="215"/>
      <c r="O12" s="215"/>
      <c r="P12" s="215"/>
      <c r="Q12" s="215"/>
    </row>
    <row r="13" spans="2:17" x14ac:dyDescent="0.35">
      <c r="B13" s="243" t="s">
        <v>290</v>
      </c>
      <c r="C13" s="403"/>
      <c r="D13" s="403"/>
      <c r="E13" s="405">
        <f t="shared" si="0"/>
        <v>0</v>
      </c>
      <c r="F13" s="405"/>
      <c r="G13" s="405">
        <f t="shared" si="1"/>
        <v>0</v>
      </c>
      <c r="H13" s="1398">
        <f>YTM!J60</f>
        <v>87.081158386161576</v>
      </c>
      <c r="I13" s="1374"/>
      <c r="J13" s="1374"/>
      <c r="K13" s="1374"/>
      <c r="L13" s="215"/>
      <c r="M13" s="215"/>
      <c r="N13" s="215"/>
      <c r="O13" s="215"/>
      <c r="P13" s="215"/>
      <c r="Q13" s="215"/>
    </row>
    <row r="14" spans="2:17" x14ac:dyDescent="0.35">
      <c r="B14" s="248" t="s">
        <v>36</v>
      </c>
      <c r="C14" s="249">
        <f>SUM(C8:C13)</f>
        <v>1766.2648758609996</v>
      </c>
      <c r="D14" s="249">
        <f>SUM(D8:D13)</f>
        <v>15.24</v>
      </c>
      <c r="E14" s="406">
        <f t="shared" si="0"/>
        <v>1781.5048758609996</v>
      </c>
      <c r="F14" s="406">
        <f t="shared" ref="F14:H14" si="2">SUM(F8:F13)</f>
        <v>1295.4786505049999</v>
      </c>
      <c r="G14" s="406">
        <f t="shared" si="2"/>
        <v>470.78622535599948</v>
      </c>
      <c r="H14" s="406">
        <f t="shared" si="2"/>
        <v>238.47981683116154</v>
      </c>
      <c r="I14" s="1375"/>
      <c r="J14" s="1376"/>
      <c r="K14" s="1376"/>
      <c r="L14" s="215"/>
      <c r="M14" s="215"/>
      <c r="N14" s="215"/>
      <c r="O14" s="215"/>
      <c r="P14" s="215"/>
      <c r="Q14" s="215"/>
    </row>
    <row r="15" spans="2:17" x14ac:dyDescent="0.35">
      <c r="D15" s="215"/>
      <c r="E15" s="111"/>
      <c r="F15" s="215"/>
      <c r="G15" s="215"/>
      <c r="H15" s="215"/>
      <c r="I15" s="215"/>
      <c r="J15" s="215"/>
      <c r="K15" s="215"/>
      <c r="L15" s="215"/>
      <c r="M15" s="215"/>
      <c r="N15" s="215"/>
      <c r="O15" s="215"/>
      <c r="P15" s="215"/>
      <c r="Q15" s="215"/>
    </row>
    <row r="16" spans="2:17" x14ac:dyDescent="0.35">
      <c r="C16" s="215"/>
      <c r="D16" s="215"/>
      <c r="E16" s="215"/>
      <c r="F16" s="215"/>
      <c r="G16" s="215"/>
      <c r="H16" s="215"/>
      <c r="I16" s="215"/>
      <c r="J16" s="215"/>
      <c r="K16" s="215"/>
      <c r="L16" s="215"/>
      <c r="M16" s="215"/>
      <c r="N16" s="215"/>
      <c r="O16" s="215"/>
      <c r="P16" s="215"/>
      <c r="Q16" s="215"/>
    </row>
    <row r="17" spans="2:17" x14ac:dyDescent="0.35">
      <c r="B17" s="209" t="s">
        <v>366</v>
      </c>
      <c r="C17" s="1737">
        <f>'Fixed Asset schedule'!H4</f>
        <v>44286</v>
      </c>
      <c r="D17" s="1737">
        <f>Assumptions!I182</f>
        <v>44651</v>
      </c>
      <c r="E17" s="1737">
        <f>Assumptions!J182</f>
        <v>45016</v>
      </c>
      <c r="F17" s="1737">
        <f>Assumptions!K182</f>
        <v>45382</v>
      </c>
      <c r="G17" s="1737">
        <f>Assumptions!L182</f>
        <v>45747</v>
      </c>
      <c r="H17" s="1737">
        <f>Assumptions!M182</f>
        <v>46112</v>
      </c>
      <c r="I17" s="1737">
        <f>Assumptions!N182</f>
        <v>46477</v>
      </c>
      <c r="J17" s="1737">
        <f>Assumptions!O182</f>
        <v>46843</v>
      </c>
      <c r="K17" s="1737">
        <f>Assumptions!P182</f>
        <v>47208</v>
      </c>
      <c r="L17" s="1737">
        <f>Assumptions!Q182</f>
        <v>47573</v>
      </c>
      <c r="M17" s="1737">
        <f>Assumptions!R182</f>
        <v>47938</v>
      </c>
      <c r="N17" s="1737">
        <f>Assumptions!S182</f>
        <v>48304</v>
      </c>
      <c r="O17" s="1737">
        <f>Assumptions!T182</f>
        <v>48669</v>
      </c>
      <c r="P17" s="1737">
        <f>Assumptions!U182</f>
        <v>49034</v>
      </c>
      <c r="Q17" s="346" t="s">
        <v>36</v>
      </c>
    </row>
    <row r="18" spans="2:17" x14ac:dyDescent="0.35">
      <c r="B18" s="209"/>
      <c r="C18" s="1737" t="str">
        <f>'Stock movement'!H5</f>
        <v>Audited</v>
      </c>
      <c r="D18" s="1737" t="str">
        <f>'Stock movement'!I5</f>
        <v>Audited</v>
      </c>
      <c r="E18" s="1737" t="str">
        <f>'Stock movement'!J5</f>
        <v>Projected</v>
      </c>
      <c r="F18" s="1737" t="str">
        <f>'Stock movement'!K5</f>
        <v>Projected</v>
      </c>
      <c r="G18" s="1737" t="str">
        <f>'Stock movement'!L5</f>
        <v>Projected</v>
      </c>
      <c r="H18" s="1737" t="str">
        <f>'Stock movement'!M5</f>
        <v>Projected</v>
      </c>
      <c r="I18" s="1737" t="str">
        <f>'Stock movement'!N5</f>
        <v>Projected</v>
      </c>
      <c r="J18" s="1737" t="str">
        <f>'Stock movement'!O5</f>
        <v>Projected</v>
      </c>
      <c r="K18" s="1737" t="str">
        <f>'Stock movement'!P5</f>
        <v>Projected</v>
      </c>
      <c r="L18" s="1737" t="str">
        <f>'Stock movement'!Q5</f>
        <v>Projected</v>
      </c>
      <c r="M18" s="1737" t="str">
        <f>'Stock movement'!R5</f>
        <v>Projected</v>
      </c>
      <c r="N18" s="1737" t="str">
        <f>'Stock movement'!S5</f>
        <v>Projected</v>
      </c>
      <c r="O18" s="1737" t="str">
        <f>N18</f>
        <v>Projected</v>
      </c>
      <c r="P18" s="1737" t="str">
        <f>O18</f>
        <v>Projected</v>
      </c>
      <c r="Q18" s="346"/>
    </row>
    <row r="19" spans="2:17" x14ac:dyDescent="0.35">
      <c r="B19" s="283" t="s">
        <v>357</v>
      </c>
      <c r="C19" s="1738"/>
      <c r="D19" s="1738"/>
      <c r="E19" s="1738"/>
      <c r="F19" s="1738"/>
      <c r="G19" s="1738"/>
      <c r="H19" s="1738"/>
      <c r="I19" s="1738"/>
      <c r="J19" s="1738"/>
      <c r="K19" s="1738"/>
      <c r="L19" s="1738"/>
      <c r="M19" s="1738"/>
      <c r="N19" s="1738"/>
      <c r="O19" s="1738"/>
      <c r="P19" s="1738"/>
      <c r="Q19" s="1738"/>
    </row>
    <row r="20" spans="2:17" x14ac:dyDescent="0.35">
      <c r="B20" s="236" t="s">
        <v>544</v>
      </c>
      <c r="C20" s="240"/>
      <c r="D20" s="240">
        <f>C23</f>
        <v>726.27900448199978</v>
      </c>
      <c r="E20" s="240">
        <f t="shared" ref="E20:P20" si="3">D23</f>
        <v>542.72373709199996</v>
      </c>
      <c r="F20" s="240">
        <f t="shared" si="3"/>
        <v>483.02412601187996</v>
      </c>
      <c r="G20" s="240">
        <f t="shared" si="3"/>
        <v>428.75175230267996</v>
      </c>
      <c r="H20" s="240">
        <f t="shared" si="3"/>
        <v>374.47937859347996</v>
      </c>
      <c r="I20" s="240">
        <f t="shared" si="3"/>
        <v>314.77976751335996</v>
      </c>
      <c r="J20" s="240">
        <f t="shared" si="3"/>
        <v>255.08015643323995</v>
      </c>
      <c r="K20" s="240">
        <f t="shared" si="3"/>
        <v>168.24435849851994</v>
      </c>
      <c r="L20" s="240">
        <f t="shared" si="3"/>
        <v>81.408560563799952</v>
      </c>
      <c r="M20" s="240">
        <f t="shared" si="3"/>
        <v>0</v>
      </c>
      <c r="N20" s="240">
        <f t="shared" si="3"/>
        <v>0</v>
      </c>
      <c r="O20" s="240">
        <f t="shared" si="3"/>
        <v>0</v>
      </c>
      <c r="P20" s="240">
        <f t="shared" si="3"/>
        <v>0</v>
      </c>
      <c r="Q20" s="240"/>
    </row>
    <row r="21" spans="2:17" x14ac:dyDescent="0.35">
      <c r="B21" s="236" t="s">
        <v>383</v>
      </c>
      <c r="C21" s="240"/>
      <c r="D21" s="240"/>
      <c r="E21" s="240"/>
      <c r="F21" s="240"/>
      <c r="G21" s="240"/>
      <c r="H21" s="240"/>
      <c r="I21" s="240"/>
      <c r="J21" s="240"/>
      <c r="K21" s="240"/>
      <c r="L21" s="240"/>
      <c r="M21" s="240"/>
      <c r="N21" s="240"/>
      <c r="O21" s="240"/>
      <c r="P21" s="240"/>
      <c r="Q21" s="240"/>
    </row>
    <row r="22" spans="2:17" x14ac:dyDescent="0.35">
      <c r="B22" s="236" t="s">
        <v>545</v>
      </c>
      <c r="C22" s="240">
        <f>SUMIF('Debt repayment Schedule'!$C$11:$C$74,C$17,'Debt repayment Schedule'!$E$11:$E$74)</f>
        <v>0</v>
      </c>
      <c r="D22" s="240">
        <f>SUMIF('Debt repayment Schedule'!$C$11:$C$136,D$17,'Debt repayment Schedule'!$E$11:$E$136)+G8</f>
        <v>183.55526738999981</v>
      </c>
      <c r="E22" s="240">
        <f>SUMIF('Debt repayment Schedule'!$C$11:$C$136,E$17,'Debt repayment Schedule'!$E$11:$E$136)</f>
        <v>59.699611080119993</v>
      </c>
      <c r="F22" s="240">
        <f>SUMIF('Debt repayment Schedule'!$C$11:$C$136,F$17,'Debt repayment Schedule'!$E$11:$E$136)</f>
        <v>54.272373709199996</v>
      </c>
      <c r="G22" s="240">
        <f>SUMIF('Debt repayment Schedule'!$C$11:$C$136,G$17,'Debt repayment Schedule'!$E$11:$E$136)</f>
        <v>54.272373709199996</v>
      </c>
      <c r="H22" s="240">
        <f>SUMIF('Debt repayment Schedule'!$C$11:$C$136,H$17,'Debt repayment Schedule'!$E$11:$E$136)</f>
        <v>59.699611080119993</v>
      </c>
      <c r="I22" s="240">
        <f>SUMIF('Debt repayment Schedule'!$C$11:$C$136,I$17,'Debt repayment Schedule'!$E$11:$E$136)</f>
        <v>59.699611080119993</v>
      </c>
      <c r="J22" s="240">
        <f>SUMIF('Debt repayment Schedule'!$C$11:$C$136,J$17,'Debt repayment Schedule'!$E$11:$E$136)</f>
        <v>86.835797934719992</v>
      </c>
      <c r="K22" s="240">
        <f>SUMIF('Debt repayment Schedule'!$C$11:$C$136,K$17,'Debt repayment Schedule'!$E$11:$E$136)</f>
        <v>86.835797934719992</v>
      </c>
      <c r="L22" s="240">
        <f>SUMIF('Debt repayment Schedule'!$C$11:$C$136,L$17,'Debt repayment Schedule'!$E$11:$E$136)</f>
        <v>81.408560563799952</v>
      </c>
      <c r="M22" s="240">
        <f>SUMIF('Debt repayment Schedule'!$C$11:$C$136,M$17,'Debt repayment Schedule'!$E$11:$E$136)</f>
        <v>0</v>
      </c>
      <c r="N22" s="240">
        <f>SUMIF('Debt repayment Schedule'!$C$11:$C$136,N$17,'Debt repayment Schedule'!$E$11:$E$136)</f>
        <v>0</v>
      </c>
      <c r="O22" s="240">
        <f>SUMIF('Debt repayment Schedule'!$C$11:$C$136,O$17,'Debt repayment Schedule'!$E$11:$E$136)</f>
        <v>0</v>
      </c>
      <c r="P22" s="240">
        <f>SUMIF('Debt repayment Schedule'!$C$11:$C$136,P$17,'Debt repayment Schedule'!$E$11:$E$136)</f>
        <v>0</v>
      </c>
      <c r="Q22" s="319">
        <f>SUM(C22:P22)</f>
        <v>726.27900448199966</v>
      </c>
    </row>
    <row r="23" spans="2:17" x14ac:dyDescent="0.35">
      <c r="B23" s="236" t="s">
        <v>546</v>
      </c>
      <c r="C23" s="240">
        <f>+C8</f>
        <v>726.27900448199978</v>
      </c>
      <c r="D23" s="240">
        <f t="shared" ref="D23:P23" si="4">D20+D21-D22</f>
        <v>542.72373709199996</v>
      </c>
      <c r="E23" s="240">
        <f t="shared" si="4"/>
        <v>483.02412601187996</v>
      </c>
      <c r="F23" s="240">
        <f t="shared" si="4"/>
        <v>428.75175230267996</v>
      </c>
      <c r="G23" s="240">
        <f t="shared" si="4"/>
        <v>374.47937859347996</v>
      </c>
      <c r="H23" s="240">
        <f t="shared" si="4"/>
        <v>314.77976751335996</v>
      </c>
      <c r="I23" s="240">
        <f t="shared" si="4"/>
        <v>255.08015643323995</v>
      </c>
      <c r="J23" s="240">
        <f t="shared" si="4"/>
        <v>168.24435849851994</v>
      </c>
      <c r="K23" s="240">
        <f t="shared" si="4"/>
        <v>81.408560563799952</v>
      </c>
      <c r="L23" s="240">
        <f t="shared" si="4"/>
        <v>0</v>
      </c>
      <c r="M23" s="240">
        <f t="shared" si="4"/>
        <v>0</v>
      </c>
      <c r="N23" s="240">
        <f t="shared" si="4"/>
        <v>0</v>
      </c>
      <c r="O23" s="240">
        <f t="shared" si="4"/>
        <v>0</v>
      </c>
      <c r="P23" s="240">
        <f t="shared" si="4"/>
        <v>0</v>
      </c>
      <c r="Q23" s="319"/>
    </row>
    <row r="24" spans="2:17" x14ac:dyDescent="0.35">
      <c r="B24" s="236" t="s">
        <v>276</v>
      </c>
      <c r="C24" s="240">
        <f>SUMIF('Debt repayment Schedule'!$C$11:$C$74,'Debt Assumptions &amp; working'!C17,'Debt repayment Schedule'!$G$11:$G$74)</f>
        <v>0</v>
      </c>
      <c r="D24" s="240">
        <f>SUMIF('Debt repayment Schedule'!$C$11:$C$136,'Debt Assumptions &amp; working'!D17,'Debt repayment Schedule'!$G$11:$G$136)+H8</f>
        <v>63.022179252000001</v>
      </c>
      <c r="E24" s="240">
        <f>SUMIF('Debt repayment Schedule'!$C$11:$C$136,'Debt Assumptions &amp; working'!E17,'Debt repayment Schedule'!$G$11:$G$136)</f>
        <v>52.820368392612536</v>
      </c>
      <c r="F24" s="240">
        <f>SUMIF('Debt repayment Schedule'!$C$11:$C$136,'Debt Assumptions &amp; working'!F17,'Debt repayment Schedule'!$G$11:$G$136)</f>
        <v>47.089867405805968</v>
      </c>
      <c r="G24" s="240">
        <f>SUMIF('Debt repayment Schedule'!$C$11:$C$136,'Debt Assumptions &amp; working'!G17,'Debt repayment Schedule'!$G$11:$G$136)</f>
        <v>41.458220202153406</v>
      </c>
      <c r="H24" s="240">
        <f>SUMIF('Debt repayment Schedule'!$C$11:$C$136,'Debt Assumptions &amp; working'!H17,'Debt repayment Schedule'!$G$11:$G$136)</f>
        <v>35.743566005012738</v>
      </c>
      <c r="I24" s="240">
        <f>SUMIF('Debt repayment Schedule'!$C$11:$C$136,'Debt Assumptions &amp; working'!I17,'Debt repayment Schedule'!$G$11:$G$136)</f>
        <v>29.684055480380575</v>
      </c>
      <c r="J24" s="240">
        <f>SUMIF('Debt repayment Schedule'!$C$11:$C$136,'Debt Assumptions &amp; working'!J17,'Debt repayment Schedule'!$G$11:$G$136)</f>
        <v>22.647326259683805</v>
      </c>
      <c r="K24" s="240">
        <f>SUMIF('Debt repayment Schedule'!$C$11:$C$136,'Debt Assumptions &amp; working'!K17,'Debt repayment Schedule'!$G$11:$G$136)</f>
        <v>13.78067013709002</v>
      </c>
      <c r="L24" s="240">
        <f>SUMIF('Debt repayment Schedule'!$C$11:$C$136,'Debt Assumptions &amp; working'!L17,'Debt repayment Schedule'!$G$11:$G$136)</f>
        <v>5.1728449123728009</v>
      </c>
      <c r="M24" s="240">
        <f>SUMIF('Debt repayment Schedule'!$C$11:$C$136,'Debt Assumptions &amp; working'!M17,'Debt repayment Schedule'!$G$11:$G$136)</f>
        <v>3.6060043839825081E-15</v>
      </c>
      <c r="N24" s="240">
        <f>SUMIF('Debt repayment Schedule'!$C$11:$C$136,'Debt Assumptions &amp; working'!N17,'Debt repayment Schedule'!$G$11:$G$136)</f>
        <v>3.6158838480482138E-15</v>
      </c>
      <c r="O24" s="240">
        <f>SUMIF('Debt repayment Schedule'!$C$11:$C$136,'Debt Assumptions &amp; working'!O17,'Debt repayment Schedule'!$G$11:$G$136)</f>
        <v>8.9903122997920061E-16</v>
      </c>
      <c r="P24" s="240">
        <f>SUMIF('Debt repayment Schedule'!$C$11:$C$136,'Debt Assumptions &amp; working'!P17,'Debt repayment Schedule'!$G$11:$G$136)</f>
        <v>0</v>
      </c>
      <c r="Q24" s="319">
        <f>SUM(C24:P24)</f>
        <v>311.41909804711179</v>
      </c>
    </row>
    <row r="25" spans="2:17" x14ac:dyDescent="0.35">
      <c r="B25" s="283" t="s">
        <v>358</v>
      </c>
      <c r="C25" s="1738"/>
      <c r="D25" s="1738"/>
      <c r="E25" s="1738"/>
      <c r="F25" s="1738"/>
      <c r="G25" s="1738"/>
      <c r="H25" s="1738"/>
      <c r="I25" s="1738"/>
      <c r="J25" s="1738"/>
      <c r="K25" s="1738"/>
      <c r="L25" s="1738"/>
      <c r="M25" s="1738"/>
      <c r="N25" s="1738"/>
      <c r="O25" s="1738"/>
      <c r="P25" s="1738"/>
      <c r="Q25" s="1738"/>
    </row>
    <row r="26" spans="2:17" x14ac:dyDescent="0.35">
      <c r="B26" s="236" t="s">
        <v>544</v>
      </c>
      <c r="C26" s="240"/>
      <c r="D26" s="240">
        <f>C29</f>
        <v>39.907236451999992</v>
      </c>
      <c r="E26" s="240">
        <f t="shared" ref="E26:P26" si="5">D29</f>
        <v>29.646679218999999</v>
      </c>
      <c r="F26" s="240">
        <f t="shared" si="5"/>
        <v>26.385544504910001</v>
      </c>
      <c r="G26" s="240">
        <f t="shared" si="5"/>
        <v>23.420876583009999</v>
      </c>
      <c r="H26" s="240">
        <f t="shared" si="5"/>
        <v>20.456208661109997</v>
      </c>
      <c r="I26" s="240">
        <f t="shared" si="5"/>
        <v>17.195073947019999</v>
      </c>
      <c r="J26" s="240">
        <f t="shared" si="5"/>
        <v>13.933939232929999</v>
      </c>
      <c r="K26" s="240">
        <f t="shared" si="5"/>
        <v>9.1904705578899986</v>
      </c>
      <c r="L26" s="240">
        <f t="shared" si="5"/>
        <v>4.4470018828499986</v>
      </c>
      <c r="M26" s="240">
        <f t="shared" si="5"/>
        <v>0</v>
      </c>
      <c r="N26" s="240">
        <f t="shared" si="5"/>
        <v>0</v>
      </c>
      <c r="O26" s="240">
        <f t="shared" si="5"/>
        <v>0</v>
      </c>
      <c r="P26" s="240">
        <f t="shared" si="5"/>
        <v>0</v>
      </c>
      <c r="Q26" s="240"/>
    </row>
    <row r="27" spans="2:17" x14ac:dyDescent="0.35">
      <c r="B27" s="236" t="s">
        <v>383</v>
      </c>
      <c r="C27" s="240"/>
      <c r="D27" s="240"/>
      <c r="E27" s="240"/>
      <c r="F27" s="240"/>
      <c r="G27" s="240"/>
      <c r="H27" s="240"/>
      <c r="I27" s="240"/>
      <c r="J27" s="240"/>
      <c r="K27" s="240"/>
      <c r="L27" s="240"/>
      <c r="M27" s="240"/>
      <c r="N27" s="240"/>
      <c r="O27" s="240"/>
      <c r="P27" s="240"/>
      <c r="Q27" s="240"/>
    </row>
    <row r="28" spans="2:17" x14ac:dyDescent="0.35">
      <c r="B28" s="236" t="s">
        <v>545</v>
      </c>
      <c r="C28" s="240">
        <f>SUMIF('Debt repayment Schedule'!$C$11:$C$74,'Debt Assumptions &amp; working'!C17,'Debt repayment Schedule'!$O$11:$O$74)</f>
        <v>0</v>
      </c>
      <c r="D28" s="240">
        <f>SUMIF('Debt repayment Schedule'!$C$11:$C$136,'Debt Assumptions &amp; working'!D17,'Debt repayment Schedule'!$O$11:$O$136)+G9</f>
        <v>10.260557232999993</v>
      </c>
      <c r="E28" s="240">
        <f>SUMIF('Debt repayment Schedule'!$C$11:$C$136,'Debt Assumptions &amp; working'!E17,'Debt repayment Schedule'!$O$11:$O$136)</f>
        <v>3.2611347140899998</v>
      </c>
      <c r="F28" s="240">
        <f>SUMIF('Debt repayment Schedule'!$C$11:$C$136,'Debt Assumptions &amp; working'!F17,'Debt repayment Schedule'!$O$11:$O$136)</f>
        <v>2.9646679219000003</v>
      </c>
      <c r="G28" s="240">
        <f>SUMIF('Debt repayment Schedule'!$C$11:$C$136,'Debt Assumptions &amp; working'!G17,'Debt repayment Schedule'!$O$11:$O$136)</f>
        <v>2.9646679219000003</v>
      </c>
      <c r="H28" s="240">
        <f>SUMIF('Debt repayment Schedule'!$C$11:$C$136,'Debt Assumptions &amp; working'!H17,'Debt repayment Schedule'!$O$11:$O$136)</f>
        <v>3.2611347140899998</v>
      </c>
      <c r="I28" s="240">
        <f>SUMIF('Debt repayment Schedule'!$C$11:$C$136,'Debt Assumptions &amp; working'!I17,'Debt repayment Schedule'!$O$11:$O$136)</f>
        <v>3.2611347140899998</v>
      </c>
      <c r="J28" s="240">
        <f>SUMIF('Debt repayment Schedule'!$C$11:$C$136,'Debt Assumptions &amp; working'!J17,'Debt repayment Schedule'!$O$11:$O$136)</f>
        <v>4.7434686750399999</v>
      </c>
      <c r="K28" s="240">
        <f>SUMIF('Debt repayment Schedule'!$C$11:$C$136,'Debt Assumptions &amp; working'!K17,'Debt repayment Schedule'!$O$11:$O$136)</f>
        <v>4.7434686750399999</v>
      </c>
      <c r="L28" s="240">
        <f>SUMIF('Debt repayment Schedule'!$C$11:$C$136,'Debt Assumptions &amp; working'!L17,'Debt repayment Schedule'!$O$11:$O$136)</f>
        <v>4.4470018828499969</v>
      </c>
      <c r="M28" s="240">
        <f>SUMIF('Debt repayment Schedule'!$C$11:$C$136,'Debt Assumptions &amp; working'!M17,'Debt repayment Schedule'!$O$11:$O$136)</f>
        <v>0</v>
      </c>
      <c r="N28" s="240">
        <f>SUMIF('Debt repayment Schedule'!$C$11:$C$136,'Debt Assumptions &amp; working'!N17,'Debt repayment Schedule'!$O$11:$O$136)</f>
        <v>0</v>
      </c>
      <c r="O28" s="240">
        <f>SUMIF('Debt repayment Schedule'!$C$11:$C$136,'Debt Assumptions &amp; working'!O17,'Debt repayment Schedule'!$O$11:$O$136)</f>
        <v>0</v>
      </c>
      <c r="P28" s="240">
        <f>SUMIF('Debt repayment Schedule'!$C$11:$C$136,'Debt Assumptions &amp; working'!P17,'Debt repayment Schedule'!$O$11:$O$136)</f>
        <v>0</v>
      </c>
      <c r="Q28" s="319">
        <f>SUM(C28:P28)</f>
        <v>39.907236451999985</v>
      </c>
    </row>
    <row r="29" spans="2:17" x14ac:dyDescent="0.35">
      <c r="B29" s="236" t="s">
        <v>546</v>
      </c>
      <c r="C29" s="240">
        <f>+C9</f>
        <v>39.907236451999992</v>
      </c>
      <c r="D29" s="240">
        <f t="shared" ref="D29:P29" si="6">D26+D27-D28</f>
        <v>29.646679218999999</v>
      </c>
      <c r="E29" s="240">
        <f t="shared" si="6"/>
        <v>26.385544504910001</v>
      </c>
      <c r="F29" s="240">
        <f t="shared" si="6"/>
        <v>23.420876583009999</v>
      </c>
      <c r="G29" s="240">
        <f t="shared" si="6"/>
        <v>20.456208661109997</v>
      </c>
      <c r="H29" s="240">
        <f t="shared" si="6"/>
        <v>17.195073947019999</v>
      </c>
      <c r="I29" s="240">
        <f t="shared" si="6"/>
        <v>13.933939232929999</v>
      </c>
      <c r="J29" s="240">
        <f t="shared" si="6"/>
        <v>9.1904705578899986</v>
      </c>
      <c r="K29" s="240">
        <f t="shared" si="6"/>
        <v>4.4470018828499986</v>
      </c>
      <c r="L29" s="240">
        <f t="shared" si="6"/>
        <v>0</v>
      </c>
      <c r="M29" s="240">
        <f t="shared" si="6"/>
        <v>0</v>
      </c>
      <c r="N29" s="240">
        <f t="shared" si="6"/>
        <v>0</v>
      </c>
      <c r="O29" s="240">
        <f t="shared" si="6"/>
        <v>0</v>
      </c>
      <c r="P29" s="240">
        <f t="shared" si="6"/>
        <v>0</v>
      </c>
      <c r="Q29" s="319"/>
    </row>
    <row r="30" spans="2:17" x14ac:dyDescent="0.35">
      <c r="B30" s="236" t="s">
        <v>276</v>
      </c>
      <c r="C30" s="240">
        <f>SUMIF('Debt repayment Schedule'!$C$11:$C$74,'Debt Assumptions &amp; working'!C17,'Debt repayment Schedule'!$Q$11:$Q$74)</f>
        <v>0</v>
      </c>
      <c r="D30" s="240">
        <f>SUMIF('Debt repayment Schedule'!$C$11:$C$136,'Debt Assumptions &amp; working'!D17,'Debt repayment Schedule'!$Q$11:$Q$136)+H9</f>
        <v>3.4602911359999999</v>
      </c>
      <c r="E30" s="240">
        <f>SUMIF('Debt repayment Schedule'!$C$11:$C$136,'Debt Assumptions &amp; working'!E17,'Debt repayment Schedule'!$Q$11:$Q$136)</f>
        <v>2.8853510744818194</v>
      </c>
      <c r="F30" s="240">
        <f>SUMIF('Debt repayment Schedule'!$C$11:$C$136,'Debt Assumptions &amp; working'!F17,'Debt repayment Schedule'!$Q$11:$Q$136)</f>
        <v>2.5723182865106926</v>
      </c>
      <c r="G30" s="240">
        <f>SUMIF('Debt repayment Schedule'!$C$11:$C$136,'Debt Assumptions &amp; working'!G17,'Debt repayment Schedule'!$Q$11:$Q$136)</f>
        <v>2.2646854584058045</v>
      </c>
      <c r="H30" s="240">
        <f>SUMIF('Debt repayment Schedule'!$C$11:$C$136,'Debt Assumptions &amp; working'!H17,'Debt repayment Schedule'!$Q$11:$Q$136)</f>
        <v>1.9525183128559835</v>
      </c>
      <c r="I30" s="240">
        <f>SUMIF('Debt repayment Schedule'!$C$11:$C$136,'Debt Assumptions &amp; working'!I17,'Debt repayment Schedule'!$Q$11:$Q$136)</f>
        <v>1.621513139375848</v>
      </c>
      <c r="J30" s="240">
        <f>SUMIF('Debt repayment Schedule'!$C$11:$C$136,'Debt Assumptions &amp; working'!J17,'Debt repayment Schedule'!$Q$11:$Q$136)</f>
        <v>1.237126683248543</v>
      </c>
      <c r="K30" s="240">
        <f>SUMIF('Debt repayment Schedule'!$C$11:$C$136,'Debt Assumptions &amp; working'!K17,'Debt repayment Schedule'!$Q$11:$Q$136)</f>
        <v>0.7527791379942983</v>
      </c>
      <c r="L30" s="240">
        <f>SUMIF('Debt repayment Schedule'!$C$11:$C$136,'Debt Assumptions &amp; working'!L17,'Debt repayment Schedule'!$Q$11:$Q$136)</f>
        <v>0.28257041895470936</v>
      </c>
      <c r="M30" s="240">
        <f>SUMIF('Debt repayment Schedule'!$C$11:$C$136,'Debt Assumptions &amp; working'!M17,'Debt repayment Schedule'!$Q$11:$Q$136)</f>
        <v>-9.4657615079540844E-16</v>
      </c>
      <c r="N30" s="240">
        <f>SUMIF('Debt repayment Schedule'!$C$11:$C$136,'Debt Assumptions &amp; working'!N17,'Debt repayment Schedule'!$Q$11:$Q$136)</f>
        <v>-9.4916951011265613E-16</v>
      </c>
      <c r="O30" s="240">
        <f>SUMIF('Debt repayment Schedule'!$C$11:$C$136,'Debt Assumptions &amp; working'!O17,'Debt repayment Schedule'!$Q$11:$Q$136)</f>
        <v>-2.3599569786954019E-16</v>
      </c>
      <c r="P30" s="240">
        <f>SUMIF('Debt repayment Schedule'!$C$11:$C$136,'Debt Assumptions &amp; working'!P17,'Debt repayment Schedule'!$Q$11:$Q$136)</f>
        <v>0</v>
      </c>
      <c r="Q30" s="319">
        <f>SUM(C30:P30)</f>
        <v>17.029153647827698</v>
      </c>
    </row>
    <row r="31" spans="2:17" x14ac:dyDescent="0.35">
      <c r="B31" s="283" t="s">
        <v>355</v>
      </c>
      <c r="C31" s="1738"/>
      <c r="D31" s="1738"/>
      <c r="E31" s="1738"/>
      <c r="F31" s="1738"/>
      <c r="G31" s="1738"/>
      <c r="H31" s="1738"/>
      <c r="I31" s="1738"/>
      <c r="J31" s="1738"/>
      <c r="K31" s="1738"/>
      <c r="L31" s="1738"/>
      <c r="M31" s="1738"/>
      <c r="N31" s="1738"/>
      <c r="O31" s="1738"/>
      <c r="P31" s="1738"/>
      <c r="Q31" s="1738"/>
    </row>
    <row r="32" spans="2:17" x14ac:dyDescent="0.35">
      <c r="B32" s="236" t="s">
        <v>544</v>
      </c>
      <c r="C32" s="240"/>
      <c r="D32" s="240">
        <f>C35</f>
        <v>889.06941760599989</v>
      </c>
      <c r="E32" s="240">
        <f t="shared" ref="E32:P32" si="7">D35</f>
        <v>666.757681746</v>
      </c>
      <c r="F32" s="240">
        <f t="shared" si="7"/>
        <v>593.41433675394001</v>
      </c>
      <c r="G32" s="240">
        <f t="shared" si="7"/>
        <v>526.73856857934004</v>
      </c>
      <c r="H32" s="240">
        <f t="shared" si="7"/>
        <v>460.06280040474002</v>
      </c>
      <c r="I32" s="240">
        <f t="shared" si="7"/>
        <v>386.71945541268002</v>
      </c>
      <c r="J32" s="240">
        <f t="shared" si="7"/>
        <v>313.37611042062002</v>
      </c>
      <c r="K32" s="240">
        <f t="shared" si="7"/>
        <v>206.69488134126001</v>
      </c>
      <c r="L32" s="240">
        <f t="shared" si="7"/>
        <v>100.01365226190001</v>
      </c>
      <c r="M32" s="240">
        <f t="shared" si="7"/>
        <v>0</v>
      </c>
      <c r="N32" s="240">
        <f t="shared" si="7"/>
        <v>0</v>
      </c>
      <c r="O32" s="240">
        <f t="shared" si="7"/>
        <v>0</v>
      </c>
      <c r="P32" s="240">
        <f t="shared" si="7"/>
        <v>0</v>
      </c>
      <c r="Q32" s="240"/>
    </row>
    <row r="33" spans="2:17" x14ac:dyDescent="0.35">
      <c r="B33" s="236" t="s">
        <v>383</v>
      </c>
      <c r="C33" s="240"/>
      <c r="D33" s="240"/>
      <c r="E33" s="240"/>
      <c r="F33" s="240"/>
      <c r="G33" s="240"/>
      <c r="H33" s="240"/>
      <c r="I33" s="240"/>
      <c r="J33" s="240"/>
      <c r="K33" s="240"/>
      <c r="L33" s="240"/>
      <c r="M33" s="240"/>
      <c r="N33" s="240"/>
      <c r="O33" s="240"/>
      <c r="P33" s="240"/>
      <c r="Q33" s="240"/>
    </row>
    <row r="34" spans="2:17" x14ac:dyDescent="0.35">
      <c r="B34" s="236" t="s">
        <v>545</v>
      </c>
      <c r="C34" s="240">
        <f>SUMIF('Debt repayment Schedule'!$C$11:$C$74,C$17,'Debt repayment Schedule'!$Y$11:$Y$74)</f>
        <v>0</v>
      </c>
      <c r="D34" s="240">
        <f>SUMIF('Debt repayment Schedule'!$C$11:$C$136,D$17,'Debt repayment Schedule'!$Y$11:$Y$136)+G10</f>
        <v>222.31173585999989</v>
      </c>
      <c r="E34" s="240">
        <f>SUMIF('Debt repayment Schedule'!$C$11:$C$136,E$17,'Debt repayment Schedule'!$Y$11:$Y$136)</f>
        <v>73.343344992059997</v>
      </c>
      <c r="F34" s="240">
        <f>SUMIF('Debt repayment Schedule'!$C$11:$C$136,F$17,'Debt repayment Schedule'!$Y$11:$Y$136)</f>
        <v>66.675768174600009</v>
      </c>
      <c r="G34" s="240">
        <f>SUMIF('Debt repayment Schedule'!$C$11:$C$136,G$17,'Debt repayment Schedule'!$Y$11:$Y$136)</f>
        <v>66.675768174600009</v>
      </c>
      <c r="H34" s="240">
        <f>SUMIF('Debt repayment Schedule'!$C$11:$C$136,H$17,'Debt repayment Schedule'!$Y$11:$Y$136)</f>
        <v>73.343344992059997</v>
      </c>
      <c r="I34" s="240">
        <f>SUMIF('Debt repayment Schedule'!$C$11:$C$136,I$17,'Debt repayment Schedule'!$Y$11:$Y$136)</f>
        <v>73.343344992059997</v>
      </c>
      <c r="J34" s="240">
        <f>SUMIF('Debt repayment Schedule'!$C$11:$C$136,J$17,'Debt repayment Schedule'!$Y$11:$Y$136)</f>
        <v>106.68122907936001</v>
      </c>
      <c r="K34" s="240">
        <f>SUMIF('Debt repayment Schedule'!$C$11:$C$136,K$17,'Debt repayment Schedule'!$Y$11:$Y$136)</f>
        <v>106.68122907936001</v>
      </c>
      <c r="L34" s="240">
        <f>SUMIF('Debt repayment Schedule'!$C$11:$C$136,L$17,'Debt repayment Schedule'!$Y$11:$Y$136)</f>
        <v>100.01365226189994</v>
      </c>
      <c r="M34" s="240">
        <f>SUMIF('Debt repayment Schedule'!$C$11:$C$136,M$17,'Debt repayment Schedule'!$Y$11:$Y$136)</f>
        <v>0</v>
      </c>
      <c r="N34" s="240">
        <f>SUMIF('Debt repayment Schedule'!$C$11:$C$136,N$17,'Debt repayment Schedule'!$Y$11:$Y$136)</f>
        <v>0</v>
      </c>
      <c r="O34" s="240">
        <f>SUMIF('Debt repayment Schedule'!$C$11:$C$136,O$17,'Debt repayment Schedule'!$Y$11:$Y$136)</f>
        <v>0</v>
      </c>
      <c r="P34" s="240">
        <f>SUMIF('Debt repayment Schedule'!$C$11:$C$136,P$17,'Debt repayment Schedule'!$Y$11:$Y$136)</f>
        <v>0</v>
      </c>
      <c r="Q34" s="319">
        <f>SUM(C34:P34)</f>
        <v>889.06941760599989</v>
      </c>
    </row>
    <row r="35" spans="2:17" x14ac:dyDescent="0.35">
      <c r="B35" s="236" t="s">
        <v>546</v>
      </c>
      <c r="C35" s="240">
        <f>+C10</f>
        <v>889.06941760599989</v>
      </c>
      <c r="D35" s="240">
        <f t="shared" ref="D35:P35" si="8">D32+D33-D34</f>
        <v>666.757681746</v>
      </c>
      <c r="E35" s="240">
        <f t="shared" si="8"/>
        <v>593.41433675394001</v>
      </c>
      <c r="F35" s="240">
        <f t="shared" si="8"/>
        <v>526.73856857934004</v>
      </c>
      <c r="G35" s="240">
        <f t="shared" si="8"/>
        <v>460.06280040474002</v>
      </c>
      <c r="H35" s="240">
        <f t="shared" si="8"/>
        <v>386.71945541268002</v>
      </c>
      <c r="I35" s="240">
        <f t="shared" si="8"/>
        <v>313.37611042062002</v>
      </c>
      <c r="J35" s="240">
        <f t="shared" si="8"/>
        <v>206.69488134126001</v>
      </c>
      <c r="K35" s="240">
        <f t="shared" si="8"/>
        <v>100.01365226190001</v>
      </c>
      <c r="L35" s="240">
        <f t="shared" si="8"/>
        <v>0</v>
      </c>
      <c r="M35" s="240">
        <f t="shared" si="8"/>
        <v>0</v>
      </c>
      <c r="N35" s="240">
        <f t="shared" si="8"/>
        <v>0</v>
      </c>
      <c r="O35" s="240">
        <f t="shared" si="8"/>
        <v>0</v>
      </c>
      <c r="P35" s="240">
        <f t="shared" si="8"/>
        <v>0</v>
      </c>
      <c r="Q35" s="319"/>
    </row>
    <row r="36" spans="2:17" x14ac:dyDescent="0.35">
      <c r="B36" s="236" t="s">
        <v>276</v>
      </c>
      <c r="C36" s="240">
        <f>SUMIF('Debt repayment Schedule'!$C$11:$C$74,C$17,'Debt repayment Schedule'!$AA$11:$AA$74)</f>
        <v>0</v>
      </c>
      <c r="D36" s="240">
        <f>SUMIF('Debt repayment Schedule'!$C$11:$C$136,D$17,'Debt repayment Schedule'!$AA$11:$AA$136)+H10</f>
        <v>77.636074683999993</v>
      </c>
      <c r="E36" s="240">
        <f>SUMIF('Debt repayment Schedule'!$C$11:$C$136,E$17,'Debt repayment Schedule'!$AA$11:$AA$136)</f>
        <v>65.850915852945221</v>
      </c>
      <c r="F36" s="240">
        <f>SUMIF('Debt repayment Schedule'!$C$11:$C$136,F$17,'Debt repayment Schedule'!$AA$11:$AA$136)</f>
        <v>58.706726030706193</v>
      </c>
      <c r="G36" s="240">
        <f>SUMIF('Debt repayment Schedule'!$C$11:$C$136,G$17,'Debt repayment Schedule'!$AA$11:$AA$136)</f>
        <v>51.685776775587691</v>
      </c>
      <c r="H36" s="240">
        <f>SUMIF('Debt repayment Schedule'!$C$11:$C$136,H$17,'Debt repayment Schedule'!$AA$11:$AA$136)</f>
        <v>44.561343074795445</v>
      </c>
      <c r="I36" s="240">
        <f>SUMIF('Debt repayment Schedule'!$C$11:$C$136,I$17,'Debt repayment Schedule'!$AA$11:$AA$136)</f>
        <v>37.006978540613282</v>
      </c>
      <c r="J36" s="240">
        <f>SUMIF('Debt repayment Schedule'!$C$11:$C$136,J$17,'Debt repayment Schedule'!$AA$11:$AA$136)</f>
        <v>28.234319850544946</v>
      </c>
      <c r="K36" s="240">
        <f>SUMIF('Debt repayment Schedule'!$C$11:$C$136,K$17,'Debt repayment Schedule'!$AA$11:$AA$136)</f>
        <v>17.180299517214852</v>
      </c>
      <c r="L36" s="240">
        <f>SUMIF('Debt repayment Schedule'!$C$11:$C$136,L$17,'Debt repayment Schedule'!$AA$11:$AA$136)</f>
        <v>6.4489625008492091</v>
      </c>
      <c r="M36" s="240">
        <f>SUMIF('Debt repayment Schedule'!$C$11:$C$136,M$17,'Debt repayment Schedule'!$AA$11:$AA$136)</f>
        <v>4.1715964016475472E-14</v>
      </c>
      <c r="N36" s="240">
        <f>SUMIF('Debt repayment Schedule'!$C$11:$C$136,N$17,'Debt repayment Schedule'!$AA$11:$AA$136)</f>
        <v>4.183025432884938E-14</v>
      </c>
      <c r="O36" s="240">
        <f>SUMIF('Debt repayment Schedule'!$C$11:$C$136,O$17,'Debt repayment Schedule'!$AA$11:$AA$136)</f>
        <v>1.0400418426025394E-14</v>
      </c>
      <c r="P36" s="240">
        <f>SUMIF('Debt repayment Schedule'!$C$11:$C$136,P$17,'Debt repayment Schedule'!$AA$11:$AA$136)</f>
        <v>0</v>
      </c>
      <c r="Q36" s="319">
        <f>SUM(C36:P36)</f>
        <v>387.31139682725694</v>
      </c>
    </row>
    <row r="37" spans="2:17" x14ac:dyDescent="0.35">
      <c r="B37" s="283" t="s">
        <v>356</v>
      </c>
      <c r="C37" s="1738"/>
      <c r="D37" s="1738"/>
      <c r="E37" s="1738"/>
      <c r="F37" s="1738"/>
      <c r="G37" s="1738"/>
      <c r="H37" s="1738"/>
      <c r="I37" s="1738"/>
      <c r="J37" s="1738"/>
      <c r="K37" s="1738"/>
      <c r="L37" s="1738"/>
      <c r="M37" s="1738"/>
      <c r="N37" s="1738"/>
      <c r="O37" s="1738"/>
      <c r="P37" s="1738"/>
      <c r="Q37" s="1738"/>
    </row>
    <row r="38" spans="2:17" x14ac:dyDescent="0.35">
      <c r="B38" s="236" t="s">
        <v>544</v>
      </c>
      <c r="C38" s="240"/>
      <c r="D38" s="240">
        <f>C41</f>
        <v>74.924089205999806</v>
      </c>
      <c r="E38" s="240">
        <f t="shared" ref="E38:P38" si="9">D41</f>
        <v>56.350552448000002</v>
      </c>
      <c r="F38" s="240">
        <f t="shared" si="9"/>
        <v>50.151991678720002</v>
      </c>
      <c r="G38" s="240">
        <f t="shared" si="9"/>
        <v>44.516936433920002</v>
      </c>
      <c r="H38" s="240">
        <f t="shared" si="9"/>
        <v>38.881881189120001</v>
      </c>
      <c r="I38" s="240">
        <f t="shared" si="9"/>
        <v>32.683320419840001</v>
      </c>
      <c r="J38" s="240">
        <f t="shared" si="9"/>
        <v>26.484759650560001</v>
      </c>
      <c r="K38" s="240">
        <f t="shared" si="9"/>
        <v>17.468671258880001</v>
      </c>
      <c r="L38" s="240">
        <f t="shared" si="9"/>
        <v>8.4525828672000003</v>
      </c>
      <c r="M38" s="240">
        <f t="shared" si="9"/>
        <v>0</v>
      </c>
      <c r="N38" s="240">
        <f t="shared" si="9"/>
        <v>0</v>
      </c>
      <c r="O38" s="240">
        <f t="shared" si="9"/>
        <v>0</v>
      </c>
      <c r="P38" s="240">
        <f t="shared" si="9"/>
        <v>0</v>
      </c>
      <c r="Q38" s="240"/>
    </row>
    <row r="39" spans="2:17" x14ac:dyDescent="0.35">
      <c r="B39" s="236" t="s">
        <v>383</v>
      </c>
      <c r="C39" s="240"/>
      <c r="D39" s="240"/>
      <c r="E39" s="240"/>
      <c r="F39" s="240"/>
      <c r="G39" s="240"/>
      <c r="H39" s="240"/>
      <c r="I39" s="240"/>
      <c r="J39" s="240"/>
      <c r="K39" s="240"/>
      <c r="L39" s="240"/>
      <c r="M39" s="240"/>
      <c r="N39" s="240"/>
      <c r="O39" s="240"/>
      <c r="P39" s="240"/>
      <c r="Q39" s="240"/>
    </row>
    <row r="40" spans="2:17" x14ac:dyDescent="0.35">
      <c r="B40" s="236" t="s">
        <v>545</v>
      </c>
      <c r="C40" s="240">
        <f>SUMIF('Debt repayment Schedule'!$C$11:$C$74,C$17,'Debt repayment Schedule'!$AI$11:$AI$74)</f>
        <v>0</v>
      </c>
      <c r="D40" s="240">
        <f>SUMIF('Debt repayment Schedule'!$C$11:$C$136,D$17,'Debt repayment Schedule'!$AI$11:$AI$136)+G11</f>
        <v>18.573536757999804</v>
      </c>
      <c r="E40" s="240">
        <f>SUMIF('Debt repayment Schedule'!$C$11:$C$136,E$17,'Debt repayment Schedule'!$AI$11:$AI$136)</f>
        <v>6.1985607692800002</v>
      </c>
      <c r="F40" s="240">
        <f>SUMIF('Debt repayment Schedule'!$C$11:$C$136,F$17,'Debt repayment Schedule'!$AI$11:$AI$136)</f>
        <v>5.6350552448000002</v>
      </c>
      <c r="G40" s="240">
        <f>SUMIF('Debt repayment Schedule'!$C$11:$C$136,G$17,'Debt repayment Schedule'!$AI$11:$AI$136)</f>
        <v>5.6350552448000002</v>
      </c>
      <c r="H40" s="240">
        <f>SUMIF('Debt repayment Schedule'!$C$11:$C$136,H$17,'Debt repayment Schedule'!$AI$11:$AI$136)</f>
        <v>6.1985607692800002</v>
      </c>
      <c r="I40" s="240">
        <f>SUMIF('Debt repayment Schedule'!$C$11:$C$136,I$17,'Debt repayment Schedule'!$AI$11:$AI$136)</f>
        <v>6.1985607692800002</v>
      </c>
      <c r="J40" s="240">
        <f>SUMIF('Debt repayment Schedule'!$C$11:$C$136,J$17,'Debt repayment Schedule'!$AI$11:$AI$136)</f>
        <v>9.0160883916800003</v>
      </c>
      <c r="K40" s="240">
        <f>SUMIF('Debt repayment Schedule'!$C$11:$C$136,K$17,'Debt repayment Schedule'!$AI$11:$AI$136)</f>
        <v>9.0160883916800003</v>
      </c>
      <c r="L40" s="240">
        <f>SUMIF('Debt repayment Schedule'!$C$11:$C$136,L$17,'Debt repayment Schedule'!$AI$11:$AI$136)</f>
        <v>8.452582867199995</v>
      </c>
      <c r="M40" s="240">
        <f>SUMIF('Debt repayment Schedule'!$C$11:$C$136,M$17,'Debt repayment Schedule'!$AI$11:$AI$136)</f>
        <v>0</v>
      </c>
      <c r="N40" s="240">
        <f>SUMIF('Debt repayment Schedule'!$C$11:$C$136,N$17,'Debt repayment Schedule'!$AI$11:$AI$136)</f>
        <v>0</v>
      </c>
      <c r="O40" s="240">
        <f>SUMIF('Debt repayment Schedule'!$C$11:$C$136,O$17,'Debt repayment Schedule'!$AI$11:$AI$136)</f>
        <v>0</v>
      </c>
      <c r="P40" s="240">
        <f>SUMIF('Debt repayment Schedule'!$C$11:$C$136,P$17,'Debt repayment Schedule'!$AI$11:$AI$136)</f>
        <v>0</v>
      </c>
      <c r="Q40" s="319">
        <f>SUM(C40:P40)</f>
        <v>74.924089205999792</v>
      </c>
    </row>
    <row r="41" spans="2:17" x14ac:dyDescent="0.35">
      <c r="B41" s="236" t="s">
        <v>546</v>
      </c>
      <c r="C41" s="240">
        <f>+C11</f>
        <v>74.924089205999806</v>
      </c>
      <c r="D41" s="240">
        <f t="shared" ref="D41:P41" si="10">D38+D39-D40</f>
        <v>56.350552448000002</v>
      </c>
      <c r="E41" s="240">
        <f t="shared" si="10"/>
        <v>50.151991678720002</v>
      </c>
      <c r="F41" s="240">
        <f t="shared" si="10"/>
        <v>44.516936433920002</v>
      </c>
      <c r="G41" s="240">
        <f t="shared" si="10"/>
        <v>38.881881189120001</v>
      </c>
      <c r="H41" s="240">
        <f t="shared" si="10"/>
        <v>32.683320419840001</v>
      </c>
      <c r="I41" s="240">
        <f t="shared" si="10"/>
        <v>26.484759650560001</v>
      </c>
      <c r="J41" s="240">
        <f t="shared" si="10"/>
        <v>17.468671258880001</v>
      </c>
      <c r="K41" s="240">
        <f t="shared" si="10"/>
        <v>8.4525828672000003</v>
      </c>
      <c r="L41" s="240">
        <f t="shared" si="10"/>
        <v>0</v>
      </c>
      <c r="M41" s="240">
        <f t="shared" si="10"/>
        <v>0</v>
      </c>
      <c r="N41" s="240">
        <f t="shared" si="10"/>
        <v>0</v>
      </c>
      <c r="O41" s="240">
        <f t="shared" si="10"/>
        <v>0</v>
      </c>
      <c r="P41" s="240">
        <f t="shared" si="10"/>
        <v>0</v>
      </c>
      <c r="Q41" s="319"/>
    </row>
    <row r="42" spans="2:17" x14ac:dyDescent="0.35">
      <c r="B42" s="236" t="s">
        <v>276</v>
      </c>
      <c r="C42" s="240">
        <f>SUMIF('Debt repayment Schedule'!$C$11:$C$74,C$17,'Debt repayment Schedule'!$AK$11:$AK$74)</f>
        <v>0</v>
      </c>
      <c r="D42" s="240">
        <f>SUMIF('Debt repayment Schedule'!$C$11:$C$136,D$17,'Debt repayment Schedule'!$AK$11:$AK$136)+H11</f>
        <v>6.5463978999999997</v>
      </c>
      <c r="E42" s="240">
        <f>SUMIF('Debt repayment Schedule'!$C$11:$C$136,E$17,'Debt repayment Schedule'!$AK$11:$AK$136)</f>
        <v>0</v>
      </c>
      <c r="F42" s="240">
        <f>SUMIF('Debt repayment Schedule'!$C$11:$C$136,F$17,'Debt repayment Schedule'!$AK$11:$AK$136)</f>
        <v>0</v>
      </c>
      <c r="G42" s="240">
        <f>SUMIF('Debt repayment Schedule'!$C$11:$C$136,G$17,'Debt repayment Schedule'!$AK$11:$AK$136)</f>
        <v>0</v>
      </c>
      <c r="H42" s="240">
        <f>SUMIF('Debt repayment Schedule'!$C$11:$C$136,H$17,'Debt repayment Schedule'!$AK$11:$AK$136)</f>
        <v>0</v>
      </c>
      <c r="I42" s="240">
        <f>SUMIF('Debt repayment Schedule'!$C$11:$C$136,I$17,'Debt repayment Schedule'!$AK$11:$AK$136)</f>
        <v>0</v>
      </c>
      <c r="J42" s="240">
        <f>SUMIF('Debt repayment Schedule'!$C$11:$C$136,J$17,'Debt repayment Schedule'!$AK$11:$AK$136)</f>
        <v>0</v>
      </c>
      <c r="K42" s="240">
        <f>SUMIF('Debt repayment Schedule'!$C$11:$C$136,K$17,'Debt repayment Schedule'!$AK$11:$AK$136)</f>
        <v>0</v>
      </c>
      <c r="L42" s="240">
        <f>SUMIF('Debt repayment Schedule'!$C$11:$C$136,L$17,'Debt repayment Schedule'!$AK$11:$AK$136)</f>
        <v>0</v>
      </c>
      <c r="M42" s="240">
        <f>SUMIF('Debt repayment Schedule'!$C$11:$C$136,M$17,'Debt repayment Schedule'!$AK$11:$AK$136)</f>
        <v>0</v>
      </c>
      <c r="N42" s="240">
        <f>SUMIF('Debt repayment Schedule'!$C$11:$C$136,N$17,'Debt repayment Schedule'!$AK$11:$AK$136)</f>
        <v>0</v>
      </c>
      <c r="O42" s="240">
        <f>SUMIF('Debt repayment Schedule'!$C$11:$C$136,O$17,'Debt repayment Schedule'!$AK$11:$AK$136)</f>
        <v>0</v>
      </c>
      <c r="P42" s="240">
        <f>SUMIF('Debt repayment Schedule'!$C$11:$C$136,P$17,'Debt repayment Schedule'!$AK$11:$AK$136)</f>
        <v>0</v>
      </c>
      <c r="Q42" s="319">
        <f>SUM(C42:P42)</f>
        <v>6.5463978999999997</v>
      </c>
    </row>
    <row r="43" spans="2:17" x14ac:dyDescent="0.35">
      <c r="B43" s="283" t="s">
        <v>359</v>
      </c>
      <c r="C43" s="1738"/>
      <c r="D43" s="1738"/>
      <c r="E43" s="1738"/>
      <c r="F43" s="1738"/>
      <c r="G43" s="1738"/>
      <c r="H43" s="1738"/>
      <c r="I43" s="1738"/>
      <c r="J43" s="1738"/>
      <c r="K43" s="1738"/>
      <c r="L43" s="1738"/>
      <c r="M43" s="1738"/>
      <c r="N43" s="1738"/>
      <c r="O43" s="1738"/>
      <c r="P43" s="1738"/>
      <c r="Q43" s="1738"/>
    </row>
    <row r="44" spans="2:17" x14ac:dyDescent="0.35">
      <c r="B44" s="236" t="s">
        <v>544</v>
      </c>
      <c r="C44" s="240"/>
      <c r="D44" s="240">
        <f>C47</f>
        <v>36.085128114999996</v>
      </c>
      <c r="E44" s="240">
        <f t="shared" ref="E44:P44" si="11">D47</f>
        <v>0</v>
      </c>
      <c r="F44" s="240">
        <f t="shared" si="11"/>
        <v>0</v>
      </c>
      <c r="G44" s="240">
        <f t="shared" si="11"/>
        <v>0</v>
      </c>
      <c r="H44" s="240">
        <f t="shared" si="11"/>
        <v>0</v>
      </c>
      <c r="I44" s="240">
        <f t="shared" si="11"/>
        <v>0</v>
      </c>
      <c r="J44" s="240">
        <f t="shared" si="11"/>
        <v>0</v>
      </c>
      <c r="K44" s="240">
        <f t="shared" si="11"/>
        <v>0</v>
      </c>
      <c r="L44" s="240">
        <f t="shared" si="11"/>
        <v>0</v>
      </c>
      <c r="M44" s="240">
        <f t="shared" si="11"/>
        <v>0</v>
      </c>
      <c r="N44" s="240">
        <f t="shared" si="11"/>
        <v>0</v>
      </c>
      <c r="O44" s="240">
        <f t="shared" si="11"/>
        <v>0</v>
      </c>
      <c r="P44" s="240">
        <f t="shared" si="11"/>
        <v>0</v>
      </c>
      <c r="Q44" s="240"/>
    </row>
    <row r="45" spans="2:17" x14ac:dyDescent="0.35">
      <c r="B45" s="236" t="s">
        <v>383</v>
      </c>
      <c r="C45" s="240"/>
      <c r="D45" s="240"/>
      <c r="E45" s="240"/>
      <c r="F45" s="240"/>
      <c r="G45" s="240"/>
      <c r="H45" s="240"/>
      <c r="I45" s="240"/>
      <c r="J45" s="240"/>
      <c r="K45" s="240"/>
      <c r="L45" s="240"/>
      <c r="M45" s="240"/>
      <c r="N45" s="240"/>
      <c r="O45" s="240"/>
      <c r="P45" s="240"/>
      <c r="Q45" s="240"/>
    </row>
    <row r="46" spans="2:17" x14ac:dyDescent="0.35">
      <c r="B46" s="236" t="s">
        <v>545</v>
      </c>
      <c r="C46" s="240">
        <f>SUMIF('Debt repayment Schedule'!$C$11:$C$74,C$17,'Debt repayment Schedule'!$AS$11:$AS$74)</f>
        <v>0</v>
      </c>
      <c r="D46" s="240">
        <f>SUMIF('Debt repayment Schedule'!$C$11:$C$136,D$17,'Debt repayment Schedule'!$AS$11:$AS$136)+G12</f>
        <v>36.085128114999996</v>
      </c>
      <c r="E46" s="240">
        <f>SUMIF('Debt repayment Schedule'!$C$11:$C$136,E$17,'Debt repayment Schedule'!$AS$11:$AS$136)</f>
        <v>0</v>
      </c>
      <c r="F46" s="240">
        <f>SUMIF('Debt repayment Schedule'!$C$11:$C$136,F$17,'Debt repayment Schedule'!$AS$11:$AS$136)</f>
        <v>0</v>
      </c>
      <c r="G46" s="240">
        <f>SUMIF('Debt repayment Schedule'!$C$11:$C$136,G$17,'Debt repayment Schedule'!$AS$11:$AS$136)</f>
        <v>0</v>
      </c>
      <c r="H46" s="240">
        <f>SUMIF('Debt repayment Schedule'!$C$11:$C$136,H$17,'Debt repayment Schedule'!$AS$11:$AS$136)</f>
        <v>0</v>
      </c>
      <c r="I46" s="240">
        <f>SUMIF('Debt repayment Schedule'!$C$11:$C$136,I$17,'Debt repayment Schedule'!$AS$11:$AS$136)</f>
        <v>0</v>
      </c>
      <c r="J46" s="240">
        <f>SUMIF('Debt repayment Schedule'!$C$11:$C$136,J$17,'Debt repayment Schedule'!$AS$11:$AS$136)</f>
        <v>0</v>
      </c>
      <c r="K46" s="240">
        <f>SUMIF('Debt repayment Schedule'!$C$11:$C$136,K$17,'Debt repayment Schedule'!$AS$11:$AS$136)</f>
        <v>0</v>
      </c>
      <c r="L46" s="240">
        <f>SUMIF('Debt repayment Schedule'!$C$11:$C$136,L$17,'Debt repayment Schedule'!$AS$11:$AS$136)</f>
        <v>0</v>
      </c>
      <c r="M46" s="240">
        <f>SUMIF('Debt repayment Schedule'!$C$11:$C$136,M$17,'Debt repayment Schedule'!$AS$11:$AS$136)</f>
        <v>0</v>
      </c>
      <c r="N46" s="240">
        <f>SUMIF('Debt repayment Schedule'!$C$11:$C$136,N$17,'Debt repayment Schedule'!$AS$11:$AS$136)</f>
        <v>0</v>
      </c>
      <c r="O46" s="240">
        <f>SUMIF('Debt repayment Schedule'!$C$11:$C$136,O$17,'Debt repayment Schedule'!$AS$11:$AS$136)</f>
        <v>0</v>
      </c>
      <c r="P46" s="240">
        <f>SUMIF('Debt repayment Schedule'!$C$11:$C$136,P$17,'Debt repayment Schedule'!$AS$11:$AS$136)</f>
        <v>0</v>
      </c>
      <c r="Q46" s="319">
        <f>SUM(C46:P46)</f>
        <v>36.085128114999996</v>
      </c>
    </row>
    <row r="47" spans="2:17" x14ac:dyDescent="0.35">
      <c r="B47" s="236" t="s">
        <v>546</v>
      </c>
      <c r="C47" s="240">
        <f>+C12</f>
        <v>36.085128114999996</v>
      </c>
      <c r="D47" s="240">
        <f t="shared" ref="D47:P47" si="12">D44+D45-D46</f>
        <v>0</v>
      </c>
      <c r="E47" s="240">
        <f t="shared" si="12"/>
        <v>0</v>
      </c>
      <c r="F47" s="240">
        <f t="shared" si="12"/>
        <v>0</v>
      </c>
      <c r="G47" s="240">
        <f t="shared" si="12"/>
        <v>0</v>
      </c>
      <c r="H47" s="240">
        <f t="shared" si="12"/>
        <v>0</v>
      </c>
      <c r="I47" s="240">
        <f t="shared" si="12"/>
        <v>0</v>
      </c>
      <c r="J47" s="240">
        <f t="shared" si="12"/>
        <v>0</v>
      </c>
      <c r="K47" s="240">
        <f t="shared" si="12"/>
        <v>0</v>
      </c>
      <c r="L47" s="240">
        <f t="shared" si="12"/>
        <v>0</v>
      </c>
      <c r="M47" s="240">
        <f t="shared" si="12"/>
        <v>0</v>
      </c>
      <c r="N47" s="240">
        <f t="shared" si="12"/>
        <v>0</v>
      </c>
      <c r="O47" s="240">
        <f t="shared" si="12"/>
        <v>0</v>
      </c>
      <c r="P47" s="240">
        <f t="shared" si="12"/>
        <v>0</v>
      </c>
      <c r="Q47" s="319"/>
    </row>
    <row r="48" spans="2:17" x14ac:dyDescent="0.35">
      <c r="B48" s="236" t="s">
        <v>276</v>
      </c>
      <c r="C48" s="240">
        <f>SUMIF('Debt repayment Schedule'!$C$11:$C$74,C$17,'Debt repayment Schedule'!$AU$11:$AU$74)</f>
        <v>0</v>
      </c>
      <c r="D48" s="240">
        <f>SUMIF('Debt repayment Schedule'!$C$11:$C$136,D$17,'Debt repayment Schedule'!$AU$11:$AU$136)+H12</f>
        <v>0.73371547299999995</v>
      </c>
      <c r="E48" s="240">
        <f>SUMIF('Debt repayment Schedule'!$C$11:$C$136,E$17,'Debt repayment Schedule'!$AU$11:$AU$136)</f>
        <v>0</v>
      </c>
      <c r="F48" s="240">
        <f>SUMIF('Debt repayment Schedule'!$C$11:$C$136,F$17,'Debt repayment Schedule'!$AU$11:$AU$136)</f>
        <v>0</v>
      </c>
      <c r="G48" s="240">
        <f>SUMIF('Debt repayment Schedule'!$C$11:$C$136,G$17,'Debt repayment Schedule'!$AU$11:$AU$136)</f>
        <v>0</v>
      </c>
      <c r="H48" s="240">
        <f>SUMIF('Debt repayment Schedule'!$C$11:$C$136,H$17,'Debt repayment Schedule'!$AU$11:$AU$136)</f>
        <v>0</v>
      </c>
      <c r="I48" s="240">
        <f>SUMIF('Debt repayment Schedule'!$C$11:$C$136,I$17,'Debt repayment Schedule'!$AU$11:$AU$136)</f>
        <v>0</v>
      </c>
      <c r="J48" s="240">
        <f>SUMIF('Debt repayment Schedule'!$C$11:$C$136,J$17,'Debt repayment Schedule'!$AU$11:$AU$136)</f>
        <v>0</v>
      </c>
      <c r="K48" s="240">
        <f>SUMIF('Debt repayment Schedule'!$C$11:$C$136,K$17,'Debt repayment Schedule'!$AU$11:$AU$136)</f>
        <v>0</v>
      </c>
      <c r="L48" s="240">
        <f>SUMIF('Debt repayment Schedule'!$C$11:$C$136,L$17,'Debt repayment Schedule'!$AU$11:$AU$136)</f>
        <v>0</v>
      </c>
      <c r="M48" s="240">
        <f>SUMIF('Debt repayment Schedule'!$C$11:$C$136,M$17,'Debt repayment Schedule'!$AU$11:$AU$136)</f>
        <v>0</v>
      </c>
      <c r="N48" s="240">
        <f>SUMIF('Debt repayment Schedule'!$C$11:$C$136,N$17,'Debt repayment Schedule'!$AU$11:$AU$136)</f>
        <v>0</v>
      </c>
      <c r="O48" s="240">
        <f>SUMIF('Debt repayment Schedule'!$C$11:$C$136,O$17,'Debt repayment Schedule'!$AU$11:$AU$136)</f>
        <v>0</v>
      </c>
      <c r="P48" s="240">
        <f>SUMIF('Debt repayment Schedule'!$C$11:$C$136,P$17,'Debt repayment Schedule'!$AU$11:$AU$136)</f>
        <v>0</v>
      </c>
      <c r="Q48" s="319">
        <f>SUM(C48:P48)</f>
        <v>0.73371547299999995</v>
      </c>
    </row>
    <row r="49" spans="2:17" x14ac:dyDescent="0.35">
      <c r="B49" s="248" t="s">
        <v>547</v>
      </c>
      <c r="C49" s="249"/>
      <c r="D49" s="249">
        <f t="shared" ref="D49:N49" si="13">D22+D28+D34+D40+D46</f>
        <v>470.78622535599948</v>
      </c>
      <c r="E49" s="249">
        <f t="shared" si="13"/>
        <v>142.50265155554999</v>
      </c>
      <c r="F49" s="249">
        <f t="shared" si="13"/>
        <v>129.54786505050001</v>
      </c>
      <c r="G49" s="249">
        <f t="shared" si="13"/>
        <v>129.54786505050001</v>
      </c>
      <c r="H49" s="249">
        <f t="shared" si="13"/>
        <v>142.50265155554999</v>
      </c>
      <c r="I49" s="249">
        <f t="shared" si="13"/>
        <v>142.50265155554999</v>
      </c>
      <c r="J49" s="249">
        <f t="shared" si="13"/>
        <v>207.27658408080001</v>
      </c>
      <c r="K49" s="249">
        <f t="shared" si="13"/>
        <v>207.27658408080001</v>
      </c>
      <c r="L49" s="249">
        <f t="shared" si="13"/>
        <v>194.32179757574988</v>
      </c>
      <c r="M49" s="249">
        <f t="shared" si="13"/>
        <v>0</v>
      </c>
      <c r="N49" s="249">
        <f t="shared" si="13"/>
        <v>0</v>
      </c>
      <c r="O49" s="249">
        <f>O22+O28+O34+O40+O46</f>
        <v>0</v>
      </c>
      <c r="P49" s="249">
        <f>P22+P28+P34+P40+P46</f>
        <v>0</v>
      </c>
      <c r="Q49" s="249">
        <f>Q22+Q28+Q34+Q40+Q46</f>
        <v>1766.2648758609994</v>
      </c>
    </row>
    <row r="50" spans="2:17" x14ac:dyDescent="0.35">
      <c r="B50" s="248" t="s">
        <v>391</v>
      </c>
      <c r="C50" s="249"/>
      <c r="D50" s="249">
        <f>D24+D30+D36+D42+D48</f>
        <v>151.39865844499997</v>
      </c>
      <c r="E50" s="249">
        <f t="shared" ref="E50:N50" si="14">E24+E30+E36+E42+E48</f>
        <v>121.55663532003958</v>
      </c>
      <c r="F50" s="249">
        <f t="shared" si="14"/>
        <v>108.36891172302285</v>
      </c>
      <c r="G50" s="249">
        <f t="shared" si="14"/>
        <v>95.408682436146904</v>
      </c>
      <c r="H50" s="249">
        <f t="shared" si="14"/>
        <v>82.257427392664169</v>
      </c>
      <c r="I50" s="249">
        <f t="shared" si="14"/>
        <v>68.312547160369704</v>
      </c>
      <c r="J50" s="249">
        <f t="shared" si="14"/>
        <v>52.118772793477291</v>
      </c>
      <c r="K50" s="249">
        <f t="shared" si="14"/>
        <v>31.713748792299171</v>
      </c>
      <c r="L50" s="249">
        <f t="shared" si="14"/>
        <v>11.904377832176719</v>
      </c>
      <c r="M50" s="249">
        <f t="shared" si="14"/>
        <v>4.4375392249662573E-14</v>
      </c>
      <c r="N50" s="249">
        <f t="shared" si="14"/>
        <v>4.4496968666784935E-14</v>
      </c>
      <c r="O50" s="249">
        <f>O24+O30+O36+O42+O48</f>
        <v>1.1063453958135054E-14</v>
      </c>
      <c r="P50" s="249">
        <f>P24+P30+P36+P42+P48</f>
        <v>0</v>
      </c>
      <c r="Q50" s="249">
        <f>Q24+Q30+Q36+Q42+Q48</f>
        <v>723.03976189519631</v>
      </c>
    </row>
    <row r="51" spans="2:17" x14ac:dyDescent="0.35">
      <c r="C51" s="215"/>
      <c r="O51" s="215"/>
      <c r="P51" s="215"/>
      <c r="Q51" s="215"/>
    </row>
    <row r="52" spans="2:17" s="254" customFormat="1" x14ac:dyDescent="0.35">
      <c r="B52" s="236" t="s">
        <v>1660</v>
      </c>
      <c r="C52" s="237">
        <f>+C47+C41+C35+C29+C23</f>
        <v>1766.2648758609994</v>
      </c>
      <c r="D52" s="237">
        <f t="shared" ref="D52:P52" si="15">+D47+D41+D35+D29+D23</f>
        <v>1295.4786505050001</v>
      </c>
      <c r="E52" s="237">
        <f t="shared" si="15"/>
        <v>1152.9759989494501</v>
      </c>
      <c r="F52" s="237">
        <f t="shared" si="15"/>
        <v>1023.42813389895</v>
      </c>
      <c r="G52" s="237">
        <f t="shared" si="15"/>
        <v>893.88026884844999</v>
      </c>
      <c r="H52" s="237">
        <f t="shared" si="15"/>
        <v>751.37761729289991</v>
      </c>
      <c r="I52" s="237">
        <f t="shared" si="15"/>
        <v>608.87496573735007</v>
      </c>
      <c r="J52" s="237">
        <f t="shared" si="15"/>
        <v>401.59838165654992</v>
      </c>
      <c r="K52" s="237">
        <f t="shared" si="15"/>
        <v>194.32179757574994</v>
      </c>
      <c r="L52" s="237">
        <f t="shared" si="15"/>
        <v>0</v>
      </c>
      <c r="M52" s="237">
        <f t="shared" si="15"/>
        <v>0</v>
      </c>
      <c r="N52" s="237">
        <f t="shared" si="15"/>
        <v>0</v>
      </c>
      <c r="O52" s="237">
        <f t="shared" si="15"/>
        <v>0</v>
      </c>
      <c r="P52" s="237">
        <f t="shared" si="15"/>
        <v>0</v>
      </c>
      <c r="Q52" s="492"/>
    </row>
    <row r="53" spans="2:17" s="254" customFormat="1" x14ac:dyDescent="0.35">
      <c r="B53" s="236" t="s">
        <v>545</v>
      </c>
      <c r="C53" s="237"/>
      <c r="D53" s="237">
        <f>SUMIF($B$19:$B$48,$B53,D$19:D$48)</f>
        <v>470.78622535599948</v>
      </c>
      <c r="E53" s="237">
        <f t="shared" ref="E53:P54" si="16">SUMIF($B$19:$B$48,$B53,E$19:E$48)</f>
        <v>142.50265155554999</v>
      </c>
      <c r="F53" s="237">
        <f t="shared" si="16"/>
        <v>129.54786505050001</v>
      </c>
      <c r="G53" s="237">
        <f t="shared" si="16"/>
        <v>129.54786505050001</v>
      </c>
      <c r="H53" s="237">
        <f t="shared" si="16"/>
        <v>142.50265155554999</v>
      </c>
      <c r="I53" s="237">
        <f t="shared" si="16"/>
        <v>142.50265155554999</v>
      </c>
      <c r="J53" s="237">
        <f t="shared" si="16"/>
        <v>207.27658408080001</v>
      </c>
      <c r="K53" s="237">
        <f t="shared" si="16"/>
        <v>207.27658408080001</v>
      </c>
      <c r="L53" s="237">
        <f t="shared" si="16"/>
        <v>194.32179757574988</v>
      </c>
      <c r="M53" s="237">
        <f t="shared" si="16"/>
        <v>0</v>
      </c>
      <c r="N53" s="237">
        <f t="shared" si="16"/>
        <v>0</v>
      </c>
      <c r="O53" s="237">
        <f t="shared" si="16"/>
        <v>0</v>
      </c>
      <c r="P53" s="237">
        <f t="shared" si="16"/>
        <v>0</v>
      </c>
      <c r="Q53" s="492">
        <f>SUM(D53:P53)-C52</f>
        <v>0</v>
      </c>
    </row>
    <row r="54" spans="2:17" s="254" customFormat="1" x14ac:dyDescent="0.35">
      <c r="B54" s="236" t="s">
        <v>276</v>
      </c>
      <c r="C54" s="237"/>
      <c r="D54" s="237">
        <f>SUMIF($B$19:$B$48,$B54,D$19:D$48)</f>
        <v>151.39865844499997</v>
      </c>
      <c r="E54" s="237">
        <f t="shared" si="16"/>
        <v>121.55663532003958</v>
      </c>
      <c r="F54" s="237">
        <f t="shared" si="16"/>
        <v>108.36891172302285</v>
      </c>
      <c r="G54" s="237">
        <f t="shared" si="16"/>
        <v>95.408682436146904</v>
      </c>
      <c r="H54" s="237">
        <f t="shared" si="16"/>
        <v>82.257427392664169</v>
      </c>
      <c r="I54" s="237">
        <f t="shared" si="16"/>
        <v>68.312547160369704</v>
      </c>
      <c r="J54" s="237">
        <f t="shared" si="16"/>
        <v>52.118772793477291</v>
      </c>
      <c r="K54" s="237">
        <f t="shared" si="16"/>
        <v>31.713748792299171</v>
      </c>
      <c r="L54" s="237">
        <f t="shared" si="16"/>
        <v>11.904377832176719</v>
      </c>
      <c r="M54" s="237">
        <f t="shared" si="16"/>
        <v>4.4375392249662573E-14</v>
      </c>
      <c r="N54" s="237">
        <f t="shared" si="16"/>
        <v>4.4496968666784935E-14</v>
      </c>
      <c r="O54" s="237">
        <f t="shared" si="16"/>
        <v>1.1063453958135054E-14</v>
      </c>
      <c r="P54" s="237">
        <f t="shared" si="16"/>
        <v>0</v>
      </c>
      <c r="Q54" s="679"/>
    </row>
    <row r="55" spans="2:17" x14ac:dyDescent="0.35">
      <c r="D55" s="215"/>
    </row>
    <row r="56" spans="2:17" x14ac:dyDescent="0.35">
      <c r="D56" s="215"/>
    </row>
    <row r="57" spans="2:17" x14ac:dyDescent="0.35">
      <c r="L57" s="215"/>
      <c r="M57" s="215"/>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theme="4" tint="0.79998168889431442"/>
  </sheetPr>
  <dimension ref="A2:BD137"/>
  <sheetViews>
    <sheetView showGridLines="0" topLeftCell="A4" zoomScale="70" zoomScaleNormal="70" workbookViewId="0">
      <pane xSplit="3" ySplit="6" topLeftCell="D10" activePane="bottomRight" state="frozen"/>
      <selection activeCell="H10" sqref="H10"/>
      <selection pane="topRight" activeCell="H10" sqref="H10"/>
      <selection pane="bottomLeft" activeCell="H10" sqref="H10"/>
      <selection pane="bottomRight" activeCell="B5" sqref="B5"/>
    </sheetView>
  </sheetViews>
  <sheetFormatPr defaultColWidth="8.54296875" defaultRowHeight="14.5" x14ac:dyDescent="0.35"/>
  <cols>
    <col min="1" max="1" width="3.453125" style="254" customWidth="1"/>
    <col min="2" max="2" width="22.453125" style="213" bestFit="1" customWidth="1"/>
    <col min="3" max="3" width="13.453125" style="213" customWidth="1"/>
    <col min="4" max="4" width="15" style="211" bestFit="1" customWidth="1"/>
    <col min="5" max="5" width="14.453125" style="211" bestFit="1" customWidth="1"/>
    <col min="6" max="6" width="14" style="211" bestFit="1" customWidth="1"/>
    <col min="7" max="7" width="11" style="211" bestFit="1" customWidth="1"/>
    <col min="8" max="8" width="16.453125" style="211" bestFit="1" customWidth="1"/>
    <col min="9" max="9" width="25.54296875" style="211" bestFit="1" customWidth="1"/>
    <col min="10" max="10" width="12" style="213" bestFit="1" customWidth="1"/>
    <col min="11" max="11" width="8" style="254" bestFit="1" customWidth="1"/>
    <col min="12" max="12" width="12.453125" style="213" bestFit="1" customWidth="1"/>
    <col min="13" max="13" width="11.453125" style="213" bestFit="1" customWidth="1"/>
    <col min="14" max="14" width="15" style="213" bestFit="1" customWidth="1"/>
    <col min="15" max="15" width="14.453125" style="213" bestFit="1" customWidth="1"/>
    <col min="16" max="16" width="14" style="213" bestFit="1" customWidth="1"/>
    <col min="17" max="17" width="10.453125" style="213" bestFit="1" customWidth="1"/>
    <col min="18" max="18" width="16.453125" style="213" bestFit="1" customWidth="1"/>
    <col min="19" max="19" width="25.54296875" style="213" bestFit="1" customWidth="1"/>
    <col min="20" max="20" width="11.54296875" style="213" bestFit="1" customWidth="1"/>
    <col min="21" max="21" width="5.54296875" style="254" bestFit="1" customWidth="1"/>
    <col min="22" max="22" width="12.453125" style="213" bestFit="1" customWidth="1"/>
    <col min="23" max="23" width="11.453125" style="213" bestFit="1" customWidth="1"/>
    <col min="24" max="24" width="15" style="213" bestFit="1" customWidth="1"/>
    <col min="25" max="25" width="14.453125" style="213" bestFit="1" customWidth="1"/>
    <col min="26" max="26" width="14" style="213" bestFit="1" customWidth="1"/>
    <col min="27" max="27" width="11" style="213" bestFit="1" customWidth="1"/>
    <col min="28" max="28" width="16.453125" style="213" bestFit="1" customWidth="1"/>
    <col min="29" max="29" width="25.54296875" style="213" bestFit="1" customWidth="1"/>
    <col min="30" max="30" width="12.453125" style="213" bestFit="1" customWidth="1"/>
    <col min="31" max="31" width="5.54296875" style="58" bestFit="1" customWidth="1"/>
    <col min="32" max="32" width="12.453125" style="213" bestFit="1" customWidth="1"/>
    <col min="33" max="33" width="11.453125" style="213" bestFit="1" customWidth="1"/>
    <col min="34" max="34" width="15" style="213" bestFit="1" customWidth="1"/>
    <col min="35" max="35" width="14.453125" style="213" bestFit="1" customWidth="1"/>
    <col min="36" max="36" width="14" style="213" bestFit="1" customWidth="1"/>
    <col min="37" max="37" width="10.453125" style="213" bestFit="1" customWidth="1"/>
    <col min="38" max="38" width="16.453125" style="213" bestFit="1" customWidth="1"/>
    <col min="39" max="39" width="25.54296875" style="213" bestFit="1" customWidth="1"/>
    <col min="40" max="40" width="11.54296875" style="213" bestFit="1" customWidth="1"/>
    <col min="41" max="41" width="6.453125" style="58" bestFit="1" customWidth="1"/>
    <col min="42" max="42" width="12.453125" style="58" bestFit="1" customWidth="1"/>
    <col min="43" max="43" width="11.453125" style="58" bestFit="1" customWidth="1"/>
    <col min="44" max="44" width="15" style="58" bestFit="1" customWidth="1"/>
    <col min="45" max="45" width="14.453125" style="58" bestFit="1" customWidth="1"/>
    <col min="46" max="46" width="14" style="58" bestFit="1" customWidth="1"/>
    <col min="47" max="47" width="10.453125" style="58" bestFit="1" customWidth="1"/>
    <col min="48" max="48" width="16.453125" style="58" bestFit="1" customWidth="1"/>
    <col min="49" max="49" width="25.54296875" style="58" bestFit="1" customWidth="1"/>
    <col min="50" max="50" width="11.54296875" style="58" bestFit="1" customWidth="1"/>
    <col min="51" max="51" width="5.54296875" style="58" bestFit="1" customWidth="1"/>
    <col min="52" max="52" width="20.453125" style="58" customWidth="1"/>
    <col min="53" max="53" width="8.54296875" style="213" hidden="1" customWidth="1"/>
    <col min="54" max="54" width="10.7265625" style="213" hidden="1" customWidth="1"/>
    <col min="55" max="55" width="19.54296875" style="213" hidden="1" customWidth="1"/>
    <col min="56" max="56" width="8.54296875" style="213" hidden="1" customWidth="1"/>
    <col min="57" max="16384" width="8.54296875" style="213"/>
  </cols>
  <sheetData>
    <row r="2" spans="1:55" x14ac:dyDescent="0.35">
      <c r="B2" s="112" t="str">
        <f>'Fixed Asset schedule'!B2</f>
        <v>All figures in INR Crores</v>
      </c>
    </row>
    <row r="3" spans="1:55" x14ac:dyDescent="0.35">
      <c r="B3" s="112"/>
    </row>
    <row r="4" spans="1:55" x14ac:dyDescent="0.35">
      <c r="B4" s="328">
        <v>2</v>
      </c>
    </row>
    <row r="5" spans="1:55" x14ac:dyDescent="0.35">
      <c r="B5" s="213">
        <v>1</v>
      </c>
      <c r="C5" s="213" t="s">
        <v>541</v>
      </c>
      <c r="I5" s="1281"/>
    </row>
    <row r="6" spans="1:55" x14ac:dyDescent="0.35">
      <c r="B6" s="213">
        <v>2</v>
      </c>
      <c r="C6" s="213" t="s">
        <v>542</v>
      </c>
      <c r="F6" s="215"/>
      <c r="P6" s="215"/>
      <c r="Z6" s="215"/>
      <c r="AJ6" s="215"/>
      <c r="AT6" s="215"/>
      <c r="BA6" s="215"/>
    </row>
    <row r="7" spans="1:55" x14ac:dyDescent="0.35">
      <c r="C7" s="619"/>
      <c r="F7" s="615"/>
      <c r="G7" s="212">
        <f>Assumptions!E174</f>
        <v>0.10150000000000001</v>
      </c>
      <c r="P7" s="215"/>
      <c r="R7" s="256">
        <f>Assumptions!E175</f>
        <v>0.10150000000000001</v>
      </c>
      <c r="S7" s="256"/>
      <c r="Z7" s="215"/>
      <c r="AB7" s="256">
        <f>Assumptions!E176</f>
        <v>0.10299999999999999</v>
      </c>
      <c r="AC7" s="256"/>
      <c r="AJ7" s="215"/>
      <c r="AL7" s="256">
        <f>Assumptions!E177</f>
        <v>0.10299999999999999</v>
      </c>
      <c r="AM7" s="256"/>
      <c r="AP7" s="213"/>
      <c r="AQ7" s="213"/>
      <c r="AR7" s="213"/>
      <c r="AS7" s="213"/>
      <c r="AT7" s="215"/>
      <c r="AU7" s="213"/>
      <c r="AV7" s="256">
        <f>Assumptions!E178</f>
        <v>0.10299999999999999</v>
      </c>
      <c r="AW7" s="256"/>
      <c r="AX7" s="213"/>
    </row>
    <row r="8" spans="1:55" x14ac:dyDescent="0.35">
      <c r="B8" s="331" t="s">
        <v>357</v>
      </c>
      <c r="C8" s="331"/>
      <c r="D8" s="331"/>
      <c r="E8" s="331"/>
      <c r="F8" s="331"/>
      <c r="G8" s="331"/>
      <c r="H8" s="331"/>
      <c r="I8" s="331"/>
      <c r="J8" s="331"/>
      <c r="K8" s="257"/>
      <c r="L8" s="331" t="s">
        <v>358</v>
      </c>
      <c r="M8" s="331"/>
      <c r="N8" s="331"/>
      <c r="O8" s="331"/>
      <c r="P8" s="331"/>
      <c r="Q8" s="331"/>
      <c r="R8" s="331"/>
      <c r="S8" s="331"/>
      <c r="T8" s="331"/>
      <c r="U8" s="257"/>
      <c r="V8" s="331" t="s">
        <v>355</v>
      </c>
      <c r="W8" s="331"/>
      <c r="X8" s="331"/>
      <c r="Y8" s="331"/>
      <c r="Z8" s="331"/>
      <c r="AA8" s="331"/>
      <c r="AB8" s="331"/>
      <c r="AC8" s="331"/>
      <c r="AD8" s="331"/>
      <c r="AE8" s="257"/>
      <c r="AF8" s="331" t="s">
        <v>356</v>
      </c>
      <c r="AG8" s="331"/>
      <c r="AH8" s="331"/>
      <c r="AI8" s="331"/>
      <c r="AJ8" s="331"/>
      <c r="AK8" s="331"/>
      <c r="AL8" s="331"/>
      <c r="AM8" s="331"/>
      <c r="AN8" s="331"/>
      <c r="AO8" s="257"/>
      <c r="AP8" s="331" t="s">
        <v>359</v>
      </c>
      <c r="AQ8" s="331"/>
      <c r="AR8" s="331"/>
      <c r="AS8" s="331"/>
      <c r="AT8" s="331"/>
      <c r="AU8" s="331"/>
      <c r="AV8" s="331"/>
      <c r="AW8" s="331"/>
      <c r="AX8" s="331"/>
      <c r="AY8" s="257"/>
      <c r="AZ8" s="257"/>
    </row>
    <row r="9" spans="1:55" ht="29.15" customHeight="1" x14ac:dyDescent="0.35">
      <c r="B9" s="332" t="s">
        <v>352</v>
      </c>
      <c r="C9" s="332" t="s">
        <v>507</v>
      </c>
      <c r="D9" s="332" t="s">
        <v>1670</v>
      </c>
      <c r="E9" s="332" t="s">
        <v>206</v>
      </c>
      <c r="F9" s="332" t="s">
        <v>1669</v>
      </c>
      <c r="G9" s="332" t="s">
        <v>276</v>
      </c>
      <c r="H9" s="332" t="s">
        <v>325</v>
      </c>
      <c r="I9" s="332" t="s">
        <v>518</v>
      </c>
      <c r="J9" s="1788" t="s">
        <v>510</v>
      </c>
      <c r="K9" s="258"/>
      <c r="L9" s="332" t="s">
        <v>352</v>
      </c>
      <c r="M9" s="332" t="s">
        <v>507</v>
      </c>
      <c r="N9" s="332" t="s">
        <v>1670</v>
      </c>
      <c r="O9" s="332" t="s">
        <v>206</v>
      </c>
      <c r="P9" s="332" t="s">
        <v>1669</v>
      </c>
      <c r="Q9" s="332" t="s">
        <v>276</v>
      </c>
      <c r="R9" s="332" t="s">
        <v>325</v>
      </c>
      <c r="S9" s="332" t="s">
        <v>518</v>
      </c>
      <c r="T9" s="1788" t="s">
        <v>510</v>
      </c>
      <c r="U9" s="258"/>
      <c r="V9" s="332" t="s">
        <v>352</v>
      </c>
      <c r="W9" s="332" t="s">
        <v>507</v>
      </c>
      <c r="X9" s="332" t="s">
        <v>508</v>
      </c>
      <c r="Y9" s="332" t="s">
        <v>206</v>
      </c>
      <c r="Z9" s="332" t="s">
        <v>509</v>
      </c>
      <c r="AA9" s="332" t="s">
        <v>276</v>
      </c>
      <c r="AB9" s="332" t="s">
        <v>325</v>
      </c>
      <c r="AC9" s="332" t="s">
        <v>518</v>
      </c>
      <c r="AD9" s="1788" t="s">
        <v>510</v>
      </c>
      <c r="AE9" s="258"/>
      <c r="AF9" s="332" t="s">
        <v>352</v>
      </c>
      <c r="AG9" s="332" t="s">
        <v>507</v>
      </c>
      <c r="AH9" s="332" t="s">
        <v>508</v>
      </c>
      <c r="AI9" s="332" t="s">
        <v>206</v>
      </c>
      <c r="AJ9" s="332" t="s">
        <v>509</v>
      </c>
      <c r="AK9" s="332" t="s">
        <v>276</v>
      </c>
      <c r="AL9" s="332" t="s">
        <v>325</v>
      </c>
      <c r="AM9" s="332" t="s">
        <v>518</v>
      </c>
      <c r="AN9" s="1788" t="s">
        <v>510</v>
      </c>
      <c r="AO9" s="258"/>
      <c r="AP9" s="332" t="s">
        <v>352</v>
      </c>
      <c r="AQ9" s="332" t="s">
        <v>507</v>
      </c>
      <c r="AR9" s="332" t="s">
        <v>508</v>
      </c>
      <c r="AS9" s="332" t="s">
        <v>206</v>
      </c>
      <c r="AT9" s="332" t="s">
        <v>509</v>
      </c>
      <c r="AU9" s="332" t="s">
        <v>276</v>
      </c>
      <c r="AV9" s="332" t="s">
        <v>325</v>
      </c>
      <c r="AW9" s="332" t="s">
        <v>518</v>
      </c>
      <c r="AX9" s="1788" t="s">
        <v>510</v>
      </c>
      <c r="AY9" s="258"/>
      <c r="AZ9" s="137" t="s">
        <v>1577</v>
      </c>
      <c r="BB9" s="134" t="s">
        <v>391</v>
      </c>
      <c r="BC9" s="134" t="s">
        <v>1585</v>
      </c>
    </row>
    <row r="10" spans="1:55" x14ac:dyDescent="0.35">
      <c r="B10" s="333">
        <v>44561</v>
      </c>
      <c r="C10" s="210">
        <f>DATE(IF(MONTH(B10)&gt;3,YEAR(B10)+1,YEAR(B10)),3,31)</f>
        <v>44651</v>
      </c>
      <c r="D10" s="617"/>
      <c r="E10" s="329"/>
      <c r="F10" s="630">
        <f>+Assumptions!D183</f>
        <v>542.72373709199996</v>
      </c>
      <c r="G10" s="329"/>
      <c r="H10" s="329"/>
      <c r="I10" s="329"/>
      <c r="J10" s="237">
        <f t="shared" ref="J10:J73" si="0">E10+G10</f>
        <v>0</v>
      </c>
      <c r="K10" s="259"/>
      <c r="L10" s="338">
        <f>B10</f>
        <v>44561</v>
      </c>
      <c r="M10" s="210">
        <f>DATE(IF(MONTH(L10)&gt;3,YEAR(L10)+1,YEAR(L10)),3,31)</f>
        <v>44651</v>
      </c>
      <c r="N10" s="329"/>
      <c r="O10" s="329"/>
      <c r="P10" s="630">
        <f>+Assumptions!D184</f>
        <v>29.646679218999999</v>
      </c>
      <c r="Q10" s="329"/>
      <c r="R10" s="329"/>
      <c r="S10" s="329"/>
      <c r="T10" s="237">
        <f t="shared" ref="T10:T74" si="1">O10+Q10</f>
        <v>0</v>
      </c>
      <c r="U10" s="259"/>
      <c r="V10" s="338">
        <f>L10</f>
        <v>44561</v>
      </c>
      <c r="W10" s="210">
        <f>DATE(IF(MONTH(V10)&gt;3,YEAR(V10)+1,YEAR(V10)),3,31)</f>
        <v>44651</v>
      </c>
      <c r="X10" s="329"/>
      <c r="Y10" s="329"/>
      <c r="Z10" s="334">
        <f>Assumptions!$D$185</f>
        <v>666.757681746</v>
      </c>
      <c r="AA10" s="329"/>
      <c r="AB10" s="329"/>
      <c r="AC10" s="329"/>
      <c r="AD10" s="237">
        <f t="shared" ref="AD10:AD73" si="2">Y10+AA10</f>
        <v>0</v>
      </c>
      <c r="AE10" s="259"/>
      <c r="AF10" s="338">
        <f>V10</f>
        <v>44561</v>
      </c>
      <c r="AG10" s="210">
        <f>DATE(IF(MONTH(AF10)&gt;3,YEAR(AF10)+1,YEAR(AF10)),3,31)</f>
        <v>44651</v>
      </c>
      <c r="AH10" s="329"/>
      <c r="AI10" s="329"/>
      <c r="AJ10" s="630">
        <f>Assumptions!$D$186</f>
        <v>56.350552448000002</v>
      </c>
      <c r="AK10" s="329"/>
      <c r="AL10" s="329"/>
      <c r="AM10" s="329"/>
      <c r="AN10" s="237">
        <f>AI10+AK10</f>
        <v>0</v>
      </c>
      <c r="AO10" s="259"/>
      <c r="AP10" s="338">
        <f>AF10</f>
        <v>44561</v>
      </c>
      <c r="AQ10" s="210">
        <f>DATE(IF(MONTH(AP10)&gt;3,YEAR(AP10)+1,YEAR(AP10)),3,31)</f>
        <v>44651</v>
      </c>
      <c r="AR10" s="329"/>
      <c r="AS10" s="329"/>
      <c r="AT10" s="618">
        <f>Assumptions!$D$187</f>
        <v>0</v>
      </c>
      <c r="AU10" s="329"/>
      <c r="AV10" s="329"/>
      <c r="AW10" s="329"/>
      <c r="AX10" s="237">
        <f t="shared" ref="AX10:AX73" si="3">AS10+AU10</f>
        <v>0</v>
      </c>
      <c r="AY10" s="259"/>
      <c r="AZ10" s="259"/>
    </row>
    <row r="11" spans="1:55" x14ac:dyDescent="0.35">
      <c r="B11" s="210">
        <f>EOMONTH(B10,1)</f>
        <v>44592</v>
      </c>
      <c r="C11" s="210">
        <f>DATE(IF(MONTH(B11)&gt;3,YEAR(B11)+1,YEAR(B11)),3,31)</f>
        <v>44651</v>
      </c>
      <c r="D11" s="335">
        <f>F10</f>
        <v>542.72373709199996</v>
      </c>
      <c r="E11" s="336">
        <f t="shared" ref="E11:E74" si="4">$F$10*I11</f>
        <v>0</v>
      </c>
      <c r="F11" s="335">
        <f>D11-E11</f>
        <v>542.72373709199996</v>
      </c>
      <c r="G11" s="335">
        <f>D11*H11*(B11-B10)/365</f>
        <v>0</v>
      </c>
      <c r="H11" s="337"/>
      <c r="I11" s="631">
        <f>IF(MOD(MONTH(B11),3)=0,(IF($B$4=1,SUMIF(Assumptions!$H$173:$U$173,'Debt repayment Schedule'!C11,Assumptions!$H$174:$U$174),SUMIF(Assumptions!$H$173:$U$173,'Debt repayment Schedule'!C11,Assumptions!$H$183:$U$183)/2)),0)</f>
        <v>0</v>
      </c>
      <c r="J11" s="336">
        <f t="shared" si="0"/>
        <v>0</v>
      </c>
      <c r="K11" s="260"/>
      <c r="L11" s="338">
        <f t="shared" ref="L11:L74" si="5">B11</f>
        <v>44592</v>
      </c>
      <c r="M11" s="210">
        <f>DATE(IF(MONTH(L11)&gt;3,YEAR(L11)+1,YEAR(L11)),3,31)</f>
        <v>44651</v>
      </c>
      <c r="N11" s="335">
        <f>P10</f>
        <v>29.646679218999999</v>
      </c>
      <c r="O11" s="335">
        <f t="shared" ref="O11:O73" si="6">$P$10*S11</f>
        <v>0</v>
      </c>
      <c r="P11" s="335">
        <f>N11-O11</f>
        <v>29.646679218999999</v>
      </c>
      <c r="Q11" s="1383">
        <f>N11*R11*(L11-L10)/365</f>
        <v>0</v>
      </c>
      <c r="R11" s="337"/>
      <c r="S11" s="631">
        <f>IF(MOD(MONTH(L11),3)=0,IF($B$4=1,SUMIF(Assumptions!$H$173:$U$173,'Debt repayment Schedule'!M11,Assumptions!$H$175:$U$175),SUMIF(Assumptions!$H$173:$U$173,'Debt repayment Schedule'!M11,Assumptions!$H$184:$U$184)/2),0)</f>
        <v>0</v>
      </c>
      <c r="T11" s="336">
        <f t="shared" si="1"/>
        <v>0</v>
      </c>
      <c r="U11" s="260"/>
      <c r="V11" s="210">
        <f>EOMONTH(V10,1)</f>
        <v>44592</v>
      </c>
      <c r="W11" s="210">
        <f>DATE(IF(MONTH(V11)&gt;3,YEAR(V11)+1,YEAR(V11)),3,31)</f>
        <v>44651</v>
      </c>
      <c r="X11" s="335">
        <f>Z10</f>
        <v>666.757681746</v>
      </c>
      <c r="Y11" s="335">
        <f t="shared" ref="Y11:Y74" si="7">$Z$10*AC11</f>
        <v>0</v>
      </c>
      <c r="Z11" s="335">
        <f>X11-Y11</f>
        <v>666.757681746</v>
      </c>
      <c r="AA11" s="335">
        <f>X11*AB11*(V11-V10)/365</f>
        <v>0</v>
      </c>
      <c r="AB11" s="337"/>
      <c r="AC11" s="631">
        <f>IF(MOD(MONTH(V11),3)=0,IF($B$4=1,SUMIF(Assumptions!$H$173:$U$173,'Debt repayment Schedule'!C11,Assumptions!$H$176:$U$176),SUMIF(Assumptions!$H$173:$U$173,'Debt repayment Schedule'!C11,Assumptions!$H$185:$U$185)/2),0)</f>
        <v>0</v>
      </c>
      <c r="AD11" s="336">
        <f t="shared" si="2"/>
        <v>0</v>
      </c>
      <c r="AE11" s="260"/>
      <c r="AF11" s="210">
        <f>EOMONTH(AF10,1)</f>
        <v>44592</v>
      </c>
      <c r="AG11" s="210">
        <f>DATE(IF(MONTH(AF11)&gt;3,YEAR(AF11)+1,YEAR(AF11)),3,31)</f>
        <v>44651</v>
      </c>
      <c r="AH11" s="335">
        <f>AJ10</f>
        <v>56.350552448000002</v>
      </c>
      <c r="AI11" s="335">
        <f>$AJ$10*AM11</f>
        <v>0</v>
      </c>
      <c r="AJ11" s="335">
        <f>AH11-AI11</f>
        <v>56.350552448000002</v>
      </c>
      <c r="AK11" s="335">
        <f>AJ11*AL11*(AF11-AF10)/365</f>
        <v>0</v>
      </c>
      <c r="AL11" s="337"/>
      <c r="AM11" s="631">
        <f>IF(MOD(MONTH(AF11),3)=0,IF($B$4=1,SUMIF(Assumptions!$H$173:$U$173,'Debt repayment Schedule'!M11,Assumptions!$H$176:$U$176),SUMIF(Assumptions!$H$173:$U$173,'Debt repayment Schedule'!M11,Assumptions!$H$185:$U$185)/2),0)</f>
        <v>0</v>
      </c>
      <c r="AN11" s="336">
        <f>AI11+AK11</f>
        <v>0</v>
      </c>
      <c r="AO11" s="260"/>
      <c r="AP11" s="210">
        <f>EOMONTH(AP10,1)</f>
        <v>44592</v>
      </c>
      <c r="AQ11" s="210">
        <f>DATE(IF(MONTH(AP11)&gt;3,YEAR(AP11)+1,YEAR(AP11)),3,31)</f>
        <v>44651</v>
      </c>
      <c r="AR11" s="335">
        <f>AT10</f>
        <v>0</v>
      </c>
      <c r="AS11" s="335">
        <f>$AT$10*AW11</f>
        <v>0</v>
      </c>
      <c r="AT11" s="616">
        <f>AR11-AS11</f>
        <v>0</v>
      </c>
      <c r="AU11" s="335">
        <f>AR11*AV11*(AP11-AP10)/365</f>
        <v>0</v>
      </c>
      <c r="AV11" s="337"/>
      <c r="AW11" s="337">
        <f>IF(MOD(MONTH(AP11),3)=0,IF($B$4=1,SUMIF(Assumptions!$H$173:$U$173,'Debt repayment Schedule'!W11,Assumptions!$H$176:$U$176)/2,SUMIF(Assumptions!$H$173:$U$173,'Debt repayment Schedule'!W11,Assumptions!$H$185:$U$185)/2),0)</f>
        <v>0</v>
      </c>
      <c r="AX11" s="336">
        <f t="shared" si="3"/>
        <v>0</v>
      </c>
      <c r="AY11" s="260"/>
      <c r="AZ11" s="612">
        <f>+E11+O11+Y11+AI11+AS11</f>
        <v>0</v>
      </c>
      <c r="BB11" s="612">
        <f t="shared" ref="BB11:BB42" si="8">+G11+Q11+AA11+AK11+AU11</f>
        <v>0</v>
      </c>
      <c r="BC11" s="612"/>
    </row>
    <row r="12" spans="1:55" x14ac:dyDescent="0.35">
      <c r="B12" s="210">
        <f t="shared" ref="B12:B75" si="9">EOMONTH(B11,1)</f>
        <v>44620</v>
      </c>
      <c r="C12" s="210">
        <f>DATE(IF(MONTH(B12)&gt;3,YEAR(B12)+1,YEAR(B12)),3,31)</f>
        <v>44651</v>
      </c>
      <c r="D12" s="335">
        <f>F11</f>
        <v>542.72373709199996</v>
      </c>
      <c r="E12" s="336">
        <f t="shared" si="4"/>
        <v>0</v>
      </c>
      <c r="F12" s="335">
        <f t="shared" ref="F12:F74" si="10">D12-E12</f>
        <v>542.72373709199996</v>
      </c>
      <c r="G12" s="335">
        <f t="shared" ref="G12:G75" si="11">D12*H12*(B12-B11)/365</f>
        <v>0</v>
      </c>
      <c r="H12" s="339"/>
      <c r="I12" s="631">
        <f>IF(MOD(MONTH(B12),3)=0,(IF($B$4=1,SUMIF(Assumptions!$H$173:$U$173,'Debt repayment Schedule'!C12,Assumptions!$H$174:$U$174),SUMIF(Assumptions!$H$173:$U$173,'Debt repayment Schedule'!C12,Assumptions!$H$183:$U$183)/2)),0)</f>
        <v>0</v>
      </c>
      <c r="J12" s="336">
        <f t="shared" si="0"/>
        <v>0</v>
      </c>
      <c r="K12" s="260"/>
      <c r="L12" s="338">
        <f t="shared" si="5"/>
        <v>44620</v>
      </c>
      <c r="M12" s="210">
        <f>DATE(IF(MONTH(L12)&gt;3,YEAR(L12)+1,YEAR(L12)),3,31)</f>
        <v>44651</v>
      </c>
      <c r="N12" s="335">
        <f>P11</f>
        <v>29.646679218999999</v>
      </c>
      <c r="O12" s="335">
        <f t="shared" si="6"/>
        <v>0</v>
      </c>
      <c r="P12" s="335">
        <f>N12-O12</f>
        <v>29.646679218999999</v>
      </c>
      <c r="Q12" s="335">
        <f t="shared" ref="Q12:Q75" si="12">N12*R12*(L12-L11)/365</f>
        <v>0</v>
      </c>
      <c r="R12" s="339"/>
      <c r="S12" s="631">
        <f>IF(MOD(MONTH(L12),3)=0,IF($B$4=1,SUMIF(Assumptions!$H$173:$U$173,'Debt repayment Schedule'!M12,Assumptions!$H$175:$U$175),SUMIF(Assumptions!$H$173:$U$173,'Debt repayment Schedule'!M12,Assumptions!$H$184:$U$184)/2),0)</f>
        <v>0</v>
      </c>
      <c r="T12" s="336">
        <f t="shared" si="1"/>
        <v>0</v>
      </c>
      <c r="U12" s="260"/>
      <c r="V12" s="210">
        <f t="shared" ref="V12:V75" si="13">EOMONTH(V11,1)</f>
        <v>44620</v>
      </c>
      <c r="W12" s="210">
        <f>DATE(IF(MONTH(V12)&gt;3,YEAR(V12)+1,YEAR(V12)),3,31)</f>
        <v>44651</v>
      </c>
      <c r="X12" s="335">
        <f>Z11</f>
        <v>666.757681746</v>
      </c>
      <c r="Y12" s="335">
        <f t="shared" si="7"/>
        <v>0</v>
      </c>
      <c r="Z12" s="335">
        <f>X12-Y12</f>
        <v>666.757681746</v>
      </c>
      <c r="AA12" s="335">
        <f t="shared" ref="AA12:AA75" si="14">X12*AB12*(V12-V11)/365</f>
        <v>0</v>
      </c>
      <c r="AB12" s="339"/>
      <c r="AC12" s="631">
        <f>IF(MOD(MONTH(V12),3)=0,IF($B$4=1,SUMIF(Assumptions!$H$173:$U$173,'Debt repayment Schedule'!C12,Assumptions!$H$176:$U$176),SUMIF(Assumptions!$H$173:$U$173,'Debt repayment Schedule'!C12,Assumptions!$H$185:$U$185)/2),0)</f>
        <v>0</v>
      </c>
      <c r="AD12" s="336">
        <f t="shared" si="2"/>
        <v>0</v>
      </c>
      <c r="AE12" s="260"/>
      <c r="AF12" s="210">
        <f t="shared" ref="AF12:AF75" si="15">EOMONTH(AF11,1)</f>
        <v>44620</v>
      </c>
      <c r="AG12" s="210">
        <f t="shared" ref="AG12:AG75" si="16">DATE(IF(MONTH(AF12)&gt;3,YEAR(AF12)+1,YEAR(AF12)),3,31)</f>
        <v>44651</v>
      </c>
      <c r="AH12" s="335">
        <f t="shared" ref="AH12:AH75" si="17">AJ11</f>
        <v>56.350552448000002</v>
      </c>
      <c r="AI12" s="335">
        <f t="shared" ref="AI12:AI75" si="18">$AJ$10*AM12</f>
        <v>0</v>
      </c>
      <c r="AJ12" s="335">
        <f t="shared" ref="AJ12:AJ75" si="19">AH12-AI12</f>
        <v>56.350552448000002</v>
      </c>
      <c r="AK12" s="335">
        <f t="shared" ref="AK12:AK75" si="20">AJ12*AL12*(AF12-AF11)/365</f>
        <v>0</v>
      </c>
      <c r="AL12" s="339"/>
      <c r="AM12" s="631">
        <f>IF(MOD(MONTH(AF12),3)=0,IF($B$4=1,SUMIF(Assumptions!$H$173:$U$173,'Debt repayment Schedule'!M12,Assumptions!$H$176:$U$176),SUMIF(Assumptions!$H$173:$U$173,'Debt repayment Schedule'!M12,Assumptions!$H$185:$U$185)/2),0)</f>
        <v>0</v>
      </c>
      <c r="AN12" s="336">
        <f t="shared" ref="AN12:AN75" si="21">AI12+AK12</f>
        <v>0</v>
      </c>
      <c r="AO12" s="260"/>
      <c r="AP12" s="210">
        <f t="shared" ref="AP12:AP75" si="22">EOMONTH(AP11,1)</f>
        <v>44620</v>
      </c>
      <c r="AQ12" s="210">
        <f>DATE(IF(MONTH(AP12)&gt;3,YEAR(AP12)+1,YEAR(AP12)),3,31)</f>
        <v>44651</v>
      </c>
      <c r="AR12" s="335">
        <f t="shared" ref="AR12:AR75" si="23">AT11</f>
        <v>0</v>
      </c>
      <c r="AS12" s="335">
        <f t="shared" ref="AS12:AS75" si="24">$AT$10*AW12</f>
        <v>0</v>
      </c>
      <c r="AT12" s="616">
        <f t="shared" ref="AT12:AT75" si="25">AR12-AS12</f>
        <v>0</v>
      </c>
      <c r="AU12" s="335">
        <f t="shared" ref="AU12:AU75" si="26">AR12*AV12*(AP12-AP11)/365</f>
        <v>0</v>
      </c>
      <c r="AV12" s="339"/>
      <c r="AW12" s="337">
        <f>IF(MOD(MONTH(AP12),3)=0,IF($B$4=1,SUMIF(Assumptions!$H$173:$U$173,'Debt repayment Schedule'!W12,Assumptions!$H$176:$U$176)/2,SUMIF(Assumptions!$H$173:$U$173,'Debt repayment Schedule'!W12,Assumptions!$H$185:$U$185)/2),0)</f>
        <v>0</v>
      </c>
      <c r="AX12" s="336">
        <f t="shared" si="3"/>
        <v>0</v>
      </c>
      <c r="AY12" s="260"/>
      <c r="AZ12" s="612">
        <f t="shared" ref="AZ12:AZ75" si="27">+E12+O12+Y12+AI12+AS12</f>
        <v>0</v>
      </c>
      <c r="BB12" s="612">
        <f t="shared" si="8"/>
        <v>0</v>
      </c>
      <c r="BC12" s="612"/>
    </row>
    <row r="13" spans="1:55" s="217" customFormat="1" x14ac:dyDescent="0.35">
      <c r="A13" s="569"/>
      <c r="B13" s="1332">
        <f t="shared" si="9"/>
        <v>44651</v>
      </c>
      <c r="C13" s="1333">
        <f>DATE(IF(MONTH(B13)&gt;3,YEAR(B13)+1,YEAR(B13)),3,31)</f>
        <v>44651</v>
      </c>
      <c r="D13" s="1334">
        <f>F12</f>
        <v>542.72373709199996</v>
      </c>
      <c r="E13" s="1335">
        <f t="shared" si="4"/>
        <v>0</v>
      </c>
      <c r="F13" s="1334">
        <f>D13-E13</f>
        <v>542.72373709199996</v>
      </c>
      <c r="G13" s="1334">
        <f t="shared" si="11"/>
        <v>0</v>
      </c>
      <c r="H13" s="1336"/>
      <c r="I13" s="631">
        <f>IF(MOD(MONTH(B13),3)=0,(IF($B$4=1,SUMIF(Assumptions!$H$173:$U$173,'Debt repayment Schedule'!C13,Assumptions!$H$174:$U$174),SUMIF(Assumptions!$H$173:$U$173,'Debt repayment Schedule'!C13,Assumptions!$H$183:$U$183)/2)),0)</f>
        <v>0</v>
      </c>
      <c r="J13" s="1335">
        <f t="shared" si="0"/>
        <v>0</v>
      </c>
      <c r="K13" s="1337"/>
      <c r="L13" s="1338">
        <f t="shared" si="5"/>
        <v>44651</v>
      </c>
      <c r="M13" s="1332">
        <f>DATE(IF(MONTH(L13)&gt;3,YEAR(L13)+1,YEAR(L13)),3,31)</f>
        <v>44651</v>
      </c>
      <c r="N13" s="1334">
        <f>P12</f>
        <v>29.646679218999999</v>
      </c>
      <c r="O13" s="1384">
        <f t="shared" si="6"/>
        <v>0</v>
      </c>
      <c r="P13" s="1334">
        <f>N13-O13</f>
        <v>29.646679218999999</v>
      </c>
      <c r="Q13" s="1334">
        <f t="shared" si="12"/>
        <v>0</v>
      </c>
      <c r="R13" s="1336"/>
      <c r="S13" s="631">
        <f>IF(MOD(MONTH(L13),3)=0,IF($B$4=1,SUMIF(Assumptions!$H$173:$U$173,'Debt repayment Schedule'!M13,Assumptions!$H$175:$U$175),SUMIF(Assumptions!$H$173:$U$173,'Debt repayment Schedule'!M13,Assumptions!$H$184:$U$184)/2),0)</f>
        <v>0</v>
      </c>
      <c r="T13" s="1335">
        <f t="shared" si="1"/>
        <v>0</v>
      </c>
      <c r="U13" s="1337"/>
      <c r="V13" s="1332">
        <f t="shared" si="13"/>
        <v>44651</v>
      </c>
      <c r="W13" s="1332">
        <f>DATE(IF(MONTH(V13)&gt;3,YEAR(V13)+1,YEAR(V13)),3,31)</f>
        <v>44651</v>
      </c>
      <c r="X13" s="1334">
        <f>Z12</f>
        <v>666.757681746</v>
      </c>
      <c r="Y13" s="1384">
        <f t="shared" si="7"/>
        <v>0</v>
      </c>
      <c r="Z13" s="1334">
        <f>X13-Y13</f>
        <v>666.757681746</v>
      </c>
      <c r="AA13" s="1334">
        <f t="shared" si="14"/>
        <v>0</v>
      </c>
      <c r="AB13" s="1336"/>
      <c r="AC13" s="631">
        <f>IF(MOD(MONTH(V13),3)=0,IF($B$4=1,SUMIF(Assumptions!$H$173:$U$173,'Debt repayment Schedule'!C13,Assumptions!$H$176:$U$176),SUMIF(Assumptions!$H$173:$U$173,'Debt repayment Schedule'!C13,Assumptions!$H$185:$U$185)/2),0)</f>
        <v>0</v>
      </c>
      <c r="AD13" s="1335">
        <f t="shared" si="2"/>
        <v>0</v>
      </c>
      <c r="AE13" s="1337"/>
      <c r="AF13" s="1332">
        <f t="shared" si="15"/>
        <v>44651</v>
      </c>
      <c r="AG13" s="1332">
        <f t="shared" si="16"/>
        <v>44651</v>
      </c>
      <c r="AH13" s="1334">
        <f t="shared" si="17"/>
        <v>56.350552448000002</v>
      </c>
      <c r="AI13" s="1384">
        <f t="shared" si="18"/>
        <v>0</v>
      </c>
      <c r="AJ13" s="1334">
        <f t="shared" si="19"/>
        <v>56.350552448000002</v>
      </c>
      <c r="AK13" s="1334">
        <f t="shared" si="20"/>
        <v>0</v>
      </c>
      <c r="AL13" s="1336"/>
      <c r="AM13" s="631">
        <f>IF(MOD(MONTH(AF13),3)=0,IF($B$4=1,SUMIF(Assumptions!$H$173:$U$173,'Debt repayment Schedule'!M13,Assumptions!$H$176:$U$176),SUMIF(Assumptions!$H$173:$U$173,'Debt repayment Schedule'!M13,Assumptions!$H$185:$U$185)/2),0)</f>
        <v>0</v>
      </c>
      <c r="AN13" s="1335">
        <f t="shared" si="21"/>
        <v>0</v>
      </c>
      <c r="AO13" s="1337"/>
      <c r="AP13" s="1332">
        <f t="shared" si="22"/>
        <v>44651</v>
      </c>
      <c r="AQ13" s="1332">
        <f>DATE(IF(MONTH(AP13)&gt;3,YEAR(AP13)+1,YEAR(AP13)),3,31)</f>
        <v>44651</v>
      </c>
      <c r="AR13" s="1334">
        <f t="shared" si="23"/>
        <v>0</v>
      </c>
      <c r="AS13" s="1334">
        <f t="shared" si="24"/>
        <v>0</v>
      </c>
      <c r="AT13" s="1334">
        <f t="shared" si="25"/>
        <v>0</v>
      </c>
      <c r="AU13" s="1334">
        <f t="shared" si="26"/>
        <v>0</v>
      </c>
      <c r="AV13" s="1336"/>
      <c r="AW13" s="631">
        <f>IF(MOD(MONTH(AP13),3)=0,IF($B$4=1,SUMIF(Assumptions!$H$173:$U$173,'Debt repayment Schedule'!W13,Assumptions!$H$176:$U$176)/2,SUMIF(Assumptions!$H$173:$U$173,'Debt repayment Schedule'!W13,Assumptions!$H$185:$U$185)/2),0)</f>
        <v>0</v>
      </c>
      <c r="AX13" s="1335">
        <f t="shared" si="3"/>
        <v>0</v>
      </c>
      <c r="AY13" s="1337"/>
      <c r="AZ13" s="1339">
        <f t="shared" si="27"/>
        <v>0</v>
      </c>
      <c r="BB13" s="1339">
        <f t="shared" si="8"/>
        <v>0</v>
      </c>
      <c r="BC13" s="1339"/>
    </row>
    <row r="14" spans="1:55" s="254" customFormat="1" x14ac:dyDescent="0.35">
      <c r="A14" s="569"/>
      <c r="B14" s="1377">
        <f t="shared" si="9"/>
        <v>44681</v>
      </c>
      <c r="C14" s="1378">
        <f>DATE(IF(MONTH(B14)&gt;3,YEAR(B14)+1,YEAR(B14)),3,31)</f>
        <v>45016</v>
      </c>
      <c r="D14" s="616">
        <f t="shared" ref="D14:D74" si="28">F13</f>
        <v>542.72373709199996</v>
      </c>
      <c r="E14" s="1379">
        <f t="shared" si="4"/>
        <v>0</v>
      </c>
      <c r="F14" s="616">
        <f>D14-E14</f>
        <v>542.72373709199996</v>
      </c>
      <c r="G14" s="616">
        <f t="shared" si="11"/>
        <v>4.527654190260658</v>
      </c>
      <c r="H14" s="1380">
        <f>G7</f>
        <v>0.10150000000000001</v>
      </c>
      <c r="I14" s="1282">
        <f>IF(MOD(MONTH(B14),3)=0,(IF($B$4=1,SUMIF(Assumptions!$H$173:$U$173,'Debt repayment Schedule'!C14,Assumptions!$H$174:$U$174)/4,SUMIF(Assumptions!$H$173:$U$173,'Debt repayment Schedule'!C14,Assumptions!$H$183:$U$183)/4)),0)</f>
        <v>0</v>
      </c>
      <c r="J14" s="1379">
        <f t="shared" si="0"/>
        <v>4.527654190260658</v>
      </c>
      <c r="K14" s="260"/>
      <c r="L14" s="1381">
        <f t="shared" si="5"/>
        <v>44681</v>
      </c>
      <c r="M14" s="1377">
        <f>DATE(IF(MONTH(L14)&gt;3,YEAR(L14)+1,YEAR(L14)),3,31)</f>
        <v>45016</v>
      </c>
      <c r="N14" s="616">
        <f t="shared" ref="N14:N77" si="29">P13</f>
        <v>29.646679218999999</v>
      </c>
      <c r="O14" s="1385">
        <f t="shared" si="6"/>
        <v>0</v>
      </c>
      <c r="P14" s="616">
        <f>N14-O14</f>
        <v>29.646679218999999</v>
      </c>
      <c r="Q14" s="616">
        <f t="shared" si="12"/>
        <v>0.24732640608727396</v>
      </c>
      <c r="R14" s="1380">
        <f>R7</f>
        <v>0.10150000000000001</v>
      </c>
      <c r="S14" s="1282">
        <f>IF(MOD(MONTH(L14),3)=0,IF($B$4=1,SUMIF(Assumptions!$H$173:$U$173,'Debt repayment Schedule'!M14,Assumptions!$H$175:$U$175)/4,SUMIF(Assumptions!$H$173:$U$173,'Debt repayment Schedule'!M14,Assumptions!$H$184:$U$184)/4),0)</f>
        <v>0</v>
      </c>
      <c r="T14" s="1379">
        <f t="shared" si="1"/>
        <v>0.24732640608727396</v>
      </c>
      <c r="U14" s="260"/>
      <c r="V14" s="1377">
        <f t="shared" si="13"/>
        <v>44681</v>
      </c>
      <c r="W14" s="1377">
        <f>DATE(IF(MONTH(V14)&gt;3,YEAR(V14)+1,YEAR(V14)),3,31)</f>
        <v>45016</v>
      </c>
      <c r="X14" s="616">
        <f t="shared" ref="X14:X77" si="30">Z13</f>
        <v>666.757681746</v>
      </c>
      <c r="Y14" s="1385">
        <f t="shared" si="7"/>
        <v>0</v>
      </c>
      <c r="Z14" s="616">
        <f>X14-Y14</f>
        <v>666.757681746</v>
      </c>
      <c r="AA14" s="616">
        <f t="shared" si="14"/>
        <v>5.6446061276579176</v>
      </c>
      <c r="AB14" s="1380">
        <f>AB7</f>
        <v>0.10299999999999999</v>
      </c>
      <c r="AC14" s="1282">
        <f>IF(MOD(MONTH(V14),3)=0,IF($B$4=1,SUMIF(Assumptions!$H$173:$U$173,'Debt repayment Schedule'!C14,Assumptions!$H$176:$U$176)/4,SUMIF(Assumptions!$H$173:$U$173,'Debt repayment Schedule'!C14,Assumptions!$H$185:$U$185)/4),0)</f>
        <v>0</v>
      </c>
      <c r="AD14" s="1379">
        <f t="shared" si="2"/>
        <v>5.6446061276579176</v>
      </c>
      <c r="AE14" s="260"/>
      <c r="AF14" s="1377">
        <f t="shared" si="15"/>
        <v>44681</v>
      </c>
      <c r="AG14" s="1377">
        <f t="shared" si="16"/>
        <v>45016</v>
      </c>
      <c r="AH14" s="616">
        <f t="shared" si="17"/>
        <v>56.350552448000002</v>
      </c>
      <c r="AI14" s="1385">
        <f t="shared" si="18"/>
        <v>0</v>
      </c>
      <c r="AJ14" s="616">
        <f t="shared" si="19"/>
        <v>56.350552448000002</v>
      </c>
      <c r="AK14" s="616">
        <f t="shared" si="20"/>
        <v>0</v>
      </c>
      <c r="AL14" s="1380">
        <f t="shared" ref="AL14:AL19" si="31">AL13</f>
        <v>0</v>
      </c>
      <c r="AM14" s="1282">
        <f>IF(MOD(MONTH(AF14),3)=0,IF($B$4=1,SUMIF(Assumptions!$H$173:$U$173,'Debt repayment Schedule'!M14,Assumptions!$H$176:$U$176)/4,SUMIF(Assumptions!$H$173:$U$173,'Debt repayment Schedule'!M14,Assumptions!$H$185:$U$185)/4),0)</f>
        <v>0</v>
      </c>
      <c r="AN14" s="1379">
        <f t="shared" si="21"/>
        <v>0</v>
      </c>
      <c r="AO14" s="260"/>
      <c r="AP14" s="1377">
        <f t="shared" si="22"/>
        <v>44681</v>
      </c>
      <c r="AQ14" s="1377">
        <f>DATE(IF(MONTH(AP14)&gt;3,YEAR(AP14)+1,YEAR(AP14)),3,31)</f>
        <v>45016</v>
      </c>
      <c r="AR14" s="616">
        <f t="shared" si="23"/>
        <v>0</v>
      </c>
      <c r="AS14" s="616">
        <f t="shared" si="24"/>
        <v>0</v>
      </c>
      <c r="AT14" s="616">
        <f t="shared" si="25"/>
        <v>0</v>
      </c>
      <c r="AU14" s="616">
        <f t="shared" si="26"/>
        <v>0</v>
      </c>
      <c r="AV14" s="1380">
        <f>AV7</f>
        <v>0.10299999999999999</v>
      </c>
      <c r="AW14" s="1282">
        <f>IF(MOD(MONTH(AP14),3)=0,IF($B$4=1,SUMIF(Assumptions!$H$173:$U$173,'Debt repayment Schedule'!W14,Assumptions!$H$176:$U$176)/4,SUMIF(Assumptions!$H$173:$U$173,'Debt repayment Schedule'!W14,Assumptions!$H$185:$U$185)/4),0)</f>
        <v>0</v>
      </c>
      <c r="AX14" s="1379">
        <f t="shared" si="3"/>
        <v>0</v>
      </c>
      <c r="AY14" s="260"/>
      <c r="AZ14" s="612">
        <f t="shared" si="27"/>
        <v>0</v>
      </c>
      <c r="BB14" s="612">
        <f t="shared" si="8"/>
        <v>10.41958672400585</v>
      </c>
      <c r="BC14" s="612"/>
    </row>
    <row r="15" spans="1:55" s="254" customFormat="1" x14ac:dyDescent="0.35">
      <c r="A15" s="569"/>
      <c r="B15" s="1377">
        <f t="shared" si="9"/>
        <v>44712</v>
      </c>
      <c r="C15" s="1378">
        <f t="shared" ref="C15:C78" si="32">DATE(IF(MONTH(B15)&gt;3,YEAR(B15)+1,YEAR(B15)),3,31)</f>
        <v>45016</v>
      </c>
      <c r="D15" s="616">
        <f t="shared" si="28"/>
        <v>542.72373709199996</v>
      </c>
      <c r="E15" s="1379">
        <f>$F$10*I15</f>
        <v>0</v>
      </c>
      <c r="F15" s="616">
        <f>D15-E15</f>
        <v>542.72373709199996</v>
      </c>
      <c r="G15" s="616">
        <f t="shared" si="11"/>
        <v>4.6785759966026799</v>
      </c>
      <c r="H15" s="1380">
        <f t="shared" ref="H15:H19" si="33">H14</f>
        <v>0.10150000000000001</v>
      </c>
      <c r="I15" s="1282">
        <f>IF(MOD(MONTH(B15),3)=0,(IF($B$4=1,SUMIF(Assumptions!$H$173:$U$173,'Debt repayment Schedule'!C15,Assumptions!$H$174:$U$174)/4,SUMIF(Assumptions!$H$173:$U$173,'Debt repayment Schedule'!C15,Assumptions!$H$183:$U$183)/4)),0)</f>
        <v>0</v>
      </c>
      <c r="J15" s="1379">
        <f t="shared" si="0"/>
        <v>4.6785759966026799</v>
      </c>
      <c r="K15" s="260"/>
      <c r="L15" s="1381">
        <f t="shared" si="5"/>
        <v>44712</v>
      </c>
      <c r="M15" s="1377">
        <f t="shared" ref="M15:M78" si="34">DATE(IF(MONTH(L15)&gt;3,YEAR(L15)+1,YEAR(L15)),3,31)</f>
        <v>45016</v>
      </c>
      <c r="N15" s="616">
        <f t="shared" si="29"/>
        <v>29.646679218999999</v>
      </c>
      <c r="O15" s="1385">
        <f t="shared" si="6"/>
        <v>0</v>
      </c>
      <c r="P15" s="616">
        <f>N15-O15</f>
        <v>29.646679218999999</v>
      </c>
      <c r="Q15" s="616">
        <f t="shared" si="12"/>
        <v>0.25557061962351646</v>
      </c>
      <c r="R15" s="1380">
        <f t="shared" ref="R15:R19" si="35">R14</f>
        <v>0.10150000000000001</v>
      </c>
      <c r="S15" s="1282">
        <f>IF(MOD(MONTH(L15),3)=0,IF($B$4=1,SUMIF(Assumptions!$H$173:$U$173,'Debt repayment Schedule'!M15,Assumptions!$H$175:$U$175)/4,SUMIF(Assumptions!$H$173:$U$173,'Debt repayment Schedule'!M15,Assumptions!$H$184:$U$184)/4),0)</f>
        <v>0</v>
      </c>
      <c r="T15" s="1379">
        <f t="shared" si="1"/>
        <v>0.25557061962351646</v>
      </c>
      <c r="U15" s="260"/>
      <c r="V15" s="1377">
        <f t="shared" si="13"/>
        <v>44712</v>
      </c>
      <c r="W15" s="1377">
        <f t="shared" ref="W15:W78" si="36">DATE(IF(MONTH(V15)&gt;3,YEAR(V15)+1,YEAR(V15)),3,31)</f>
        <v>45016</v>
      </c>
      <c r="X15" s="616">
        <f t="shared" si="30"/>
        <v>666.757681746</v>
      </c>
      <c r="Y15" s="1385">
        <f t="shared" si="7"/>
        <v>0</v>
      </c>
      <c r="Z15" s="616">
        <f>X15-Y15</f>
        <v>666.757681746</v>
      </c>
      <c r="AA15" s="616">
        <f t="shared" si="14"/>
        <v>5.8327596652465141</v>
      </c>
      <c r="AB15" s="1380">
        <f t="shared" ref="AB15:AB19" si="37">AB14</f>
        <v>0.10299999999999999</v>
      </c>
      <c r="AC15" s="1282">
        <f>IF(MOD(MONTH(V15),3)=0,IF($B$4=1,SUMIF(Assumptions!$H$173:$U$173,'Debt repayment Schedule'!C15,Assumptions!$H$176:$U$176)/4,SUMIF(Assumptions!$H$173:$U$173,'Debt repayment Schedule'!C15,Assumptions!$H$185:$U$185)/4),0)</f>
        <v>0</v>
      </c>
      <c r="AD15" s="1379">
        <f t="shared" si="2"/>
        <v>5.8327596652465141</v>
      </c>
      <c r="AE15" s="260"/>
      <c r="AF15" s="1377">
        <f t="shared" si="15"/>
        <v>44712</v>
      </c>
      <c r="AG15" s="1377">
        <f t="shared" si="16"/>
        <v>45016</v>
      </c>
      <c r="AH15" s="616">
        <f t="shared" si="17"/>
        <v>56.350552448000002</v>
      </c>
      <c r="AI15" s="1385">
        <f t="shared" si="18"/>
        <v>0</v>
      </c>
      <c r="AJ15" s="616">
        <f t="shared" si="19"/>
        <v>56.350552448000002</v>
      </c>
      <c r="AK15" s="616">
        <f t="shared" si="20"/>
        <v>0</v>
      </c>
      <c r="AL15" s="1380">
        <f t="shared" si="31"/>
        <v>0</v>
      </c>
      <c r="AM15" s="1282">
        <f>IF(MOD(MONTH(AF15),3)=0,IF($B$4=1,SUMIF(Assumptions!$H$173:$U$173,'Debt repayment Schedule'!M15,Assumptions!$H$176:$U$176)/4,SUMIF(Assumptions!$H$173:$U$173,'Debt repayment Schedule'!M15,Assumptions!$H$185:$U$185)/4),0)</f>
        <v>0</v>
      </c>
      <c r="AN15" s="1379">
        <f t="shared" si="21"/>
        <v>0</v>
      </c>
      <c r="AO15" s="260"/>
      <c r="AP15" s="1377">
        <f t="shared" si="22"/>
        <v>44712</v>
      </c>
      <c r="AQ15" s="1377">
        <f t="shared" ref="AQ15:AQ78" si="38">DATE(IF(MONTH(AP15)&gt;3,YEAR(AP15)+1,YEAR(AP15)),3,31)</f>
        <v>45016</v>
      </c>
      <c r="AR15" s="616">
        <f t="shared" si="23"/>
        <v>0</v>
      </c>
      <c r="AS15" s="616">
        <f t="shared" si="24"/>
        <v>0</v>
      </c>
      <c r="AT15" s="616">
        <f t="shared" si="25"/>
        <v>0</v>
      </c>
      <c r="AU15" s="616">
        <f t="shared" si="26"/>
        <v>0</v>
      </c>
      <c r="AV15" s="1380">
        <f t="shared" ref="AV15:AV19" si="39">AV14</f>
        <v>0.10299999999999999</v>
      </c>
      <c r="AW15" s="1282">
        <f>IF(MOD(MONTH(AP15),3)=0,IF($B$4=1,SUMIF(Assumptions!$H$173:$U$173,'Debt repayment Schedule'!W15,Assumptions!$H$176:$U$176)/4,SUMIF(Assumptions!$H$173:$U$173,'Debt repayment Schedule'!W15,Assumptions!$H$185:$U$185)/4),0)</f>
        <v>0</v>
      </c>
      <c r="AX15" s="1379">
        <f t="shared" si="3"/>
        <v>0</v>
      </c>
      <c r="AY15" s="260"/>
      <c r="AZ15" s="260">
        <f t="shared" si="27"/>
        <v>0</v>
      </c>
      <c r="BB15" s="260">
        <f t="shared" si="8"/>
        <v>10.766906281472711</v>
      </c>
      <c r="BC15" s="260"/>
    </row>
    <row r="16" spans="1:55" s="254" customFormat="1" x14ac:dyDescent="0.35">
      <c r="A16" s="569"/>
      <c r="B16" s="1377">
        <f t="shared" si="9"/>
        <v>44742</v>
      </c>
      <c r="C16" s="1378">
        <f t="shared" si="32"/>
        <v>45016</v>
      </c>
      <c r="D16" s="616">
        <f t="shared" si="28"/>
        <v>542.72373709199996</v>
      </c>
      <c r="E16" s="1379">
        <f t="shared" si="4"/>
        <v>14.924902770029998</v>
      </c>
      <c r="F16" s="616">
        <f t="shared" si="10"/>
        <v>527.79883432196993</v>
      </c>
      <c r="G16" s="616">
        <f t="shared" si="11"/>
        <v>4.527654190260658</v>
      </c>
      <c r="H16" s="1380">
        <f t="shared" si="33"/>
        <v>0.10150000000000001</v>
      </c>
      <c r="I16" s="1282">
        <f>IF(MOD(MONTH(B16),3)=0,(IF($B$4=1,SUMIF(Assumptions!$H$173:$U$173,'Debt repayment Schedule'!C16,Assumptions!$H$174:$U$174)/4,SUMIF(Assumptions!$H$173:$U$173,'Debt repayment Schedule'!C16,Assumptions!$H$183:$U$183)/4)),0)</f>
        <v>2.75E-2</v>
      </c>
      <c r="J16" s="1379">
        <f t="shared" si="0"/>
        <v>19.452556960290657</v>
      </c>
      <c r="K16" s="260"/>
      <c r="L16" s="1381">
        <f t="shared" si="5"/>
        <v>44742</v>
      </c>
      <c r="M16" s="1377">
        <f t="shared" si="34"/>
        <v>45016</v>
      </c>
      <c r="N16" s="616">
        <f t="shared" si="29"/>
        <v>29.646679218999999</v>
      </c>
      <c r="O16" s="1385">
        <f t="shared" si="6"/>
        <v>0.81528367852249994</v>
      </c>
      <c r="P16" s="616">
        <f t="shared" ref="P16:P79" si="40">N16-O16</f>
        <v>28.831395540477498</v>
      </c>
      <c r="Q16" s="616">
        <f t="shared" si="12"/>
        <v>0.24732640608727396</v>
      </c>
      <c r="R16" s="1380">
        <f t="shared" si="35"/>
        <v>0.10150000000000001</v>
      </c>
      <c r="S16" s="1282">
        <f>IF(MOD(MONTH(L16),3)=0,IF($B$4=1,SUMIF(Assumptions!$H$173:$U$173,'Debt repayment Schedule'!M16,Assumptions!$H$175:$U$175)/4,SUMIF(Assumptions!$H$173:$U$173,'Debt repayment Schedule'!M16,Assumptions!$H$184:$U$184)/4),0)</f>
        <v>2.75E-2</v>
      </c>
      <c r="T16" s="1379">
        <f t="shared" si="1"/>
        <v>1.0626100846097739</v>
      </c>
      <c r="U16" s="260"/>
      <c r="V16" s="1377">
        <f t="shared" si="13"/>
        <v>44742</v>
      </c>
      <c r="W16" s="1377">
        <f t="shared" si="36"/>
        <v>45016</v>
      </c>
      <c r="X16" s="616">
        <f t="shared" si="30"/>
        <v>666.757681746</v>
      </c>
      <c r="Y16" s="1385">
        <f t="shared" si="7"/>
        <v>18.335836248014999</v>
      </c>
      <c r="Z16" s="616">
        <f t="shared" ref="Z16:Z74" si="41">X16-Y16</f>
        <v>648.42184549798503</v>
      </c>
      <c r="AA16" s="616">
        <f t="shared" si="14"/>
        <v>5.6446061276579176</v>
      </c>
      <c r="AB16" s="1380">
        <f t="shared" si="37"/>
        <v>0.10299999999999999</v>
      </c>
      <c r="AC16" s="1282">
        <f>IF(MOD(MONTH(V16),3)=0,IF($B$4=1,SUMIF(Assumptions!$H$173:$U$173,'Debt repayment Schedule'!C16,Assumptions!$H$176:$U$176)/4,SUMIF(Assumptions!$H$173:$U$173,'Debt repayment Schedule'!C16,Assumptions!$H$185:$U$185)/4),0)</f>
        <v>2.75E-2</v>
      </c>
      <c r="AD16" s="1379">
        <f t="shared" si="2"/>
        <v>23.980442375672915</v>
      </c>
      <c r="AE16" s="260"/>
      <c r="AF16" s="1377">
        <f t="shared" si="15"/>
        <v>44742</v>
      </c>
      <c r="AG16" s="1377">
        <f t="shared" si="16"/>
        <v>45016</v>
      </c>
      <c r="AH16" s="616">
        <f t="shared" si="17"/>
        <v>56.350552448000002</v>
      </c>
      <c r="AI16" s="1385">
        <f t="shared" si="18"/>
        <v>1.5496401923200001</v>
      </c>
      <c r="AJ16" s="616">
        <f t="shared" si="19"/>
        <v>54.800912255680004</v>
      </c>
      <c r="AK16" s="616">
        <f t="shared" si="20"/>
        <v>0</v>
      </c>
      <c r="AL16" s="1380">
        <f t="shared" si="31"/>
        <v>0</v>
      </c>
      <c r="AM16" s="1282">
        <f>IF(MOD(MONTH(AF16),3)=0,IF($B$4=1,SUMIF(Assumptions!$H$173:$U$173,'Debt repayment Schedule'!M16,Assumptions!$H$176:$U$176)/4,SUMIF(Assumptions!$H$173:$U$173,'Debt repayment Schedule'!M16,Assumptions!$H$185:$U$185)/4),0)</f>
        <v>2.75E-2</v>
      </c>
      <c r="AN16" s="1379">
        <f t="shared" si="21"/>
        <v>1.5496401923200001</v>
      </c>
      <c r="AO16" s="260"/>
      <c r="AP16" s="1377">
        <f t="shared" si="22"/>
        <v>44742</v>
      </c>
      <c r="AQ16" s="1377">
        <f t="shared" si="38"/>
        <v>45016</v>
      </c>
      <c r="AR16" s="616">
        <f t="shared" si="23"/>
        <v>0</v>
      </c>
      <c r="AS16" s="616">
        <f t="shared" si="24"/>
        <v>0</v>
      </c>
      <c r="AT16" s="616">
        <f t="shared" si="25"/>
        <v>0</v>
      </c>
      <c r="AU16" s="616">
        <f t="shared" si="26"/>
        <v>0</v>
      </c>
      <c r="AV16" s="1380">
        <f t="shared" si="39"/>
        <v>0.10299999999999999</v>
      </c>
      <c r="AW16" s="1282">
        <f>IF(MOD(MONTH(AP16),3)=0,IF($B$4=1,SUMIF(Assumptions!$H$173:$U$173,'Debt repayment Schedule'!W16,Assumptions!$H$176:$U$176)/4,SUMIF(Assumptions!$H$173:$U$173,'Debt repayment Schedule'!W16,Assumptions!$H$185:$U$185)/4),0)</f>
        <v>2.75E-2</v>
      </c>
      <c r="AX16" s="1379">
        <f t="shared" si="3"/>
        <v>0</v>
      </c>
      <c r="AY16" s="260"/>
      <c r="AZ16" s="260">
        <f t="shared" si="27"/>
        <v>35.625662888887497</v>
      </c>
      <c r="BB16" s="260">
        <f t="shared" si="8"/>
        <v>10.41958672400585</v>
      </c>
      <c r="BC16" s="260">
        <f>AZ16+SUM(BB14:BB16)</f>
        <v>67.231742618371911</v>
      </c>
    </row>
    <row r="17" spans="2:56" x14ac:dyDescent="0.35">
      <c r="B17" s="210">
        <f t="shared" si="9"/>
        <v>44773</v>
      </c>
      <c r="C17" s="210">
        <f t="shared" si="32"/>
        <v>45016</v>
      </c>
      <c r="D17" s="335">
        <f t="shared" si="28"/>
        <v>527.79883432196993</v>
      </c>
      <c r="E17" s="336">
        <f t="shared" si="4"/>
        <v>0</v>
      </c>
      <c r="F17" s="335">
        <f t="shared" si="10"/>
        <v>527.79883432196993</v>
      </c>
      <c r="G17" s="335">
        <f t="shared" si="11"/>
        <v>4.5499151566961054</v>
      </c>
      <c r="H17" s="339">
        <f t="shared" si="33"/>
        <v>0.10150000000000001</v>
      </c>
      <c r="I17" s="337">
        <f>IF(MOD(MONTH(B17),3)=0,(IF($B$4=1,SUMIF(Assumptions!$H$173:$U$173,'Debt repayment Schedule'!C17,Assumptions!$H$174:$U$174)/4,SUMIF(Assumptions!$H$173:$U$173,'Debt repayment Schedule'!C17,Assumptions!$H$183:$U$183)/4)),0)</f>
        <v>0</v>
      </c>
      <c r="J17" s="336">
        <f t="shared" si="0"/>
        <v>4.5499151566961054</v>
      </c>
      <c r="K17" s="260"/>
      <c r="L17" s="338">
        <f t="shared" si="5"/>
        <v>44773</v>
      </c>
      <c r="M17" s="210">
        <f t="shared" si="34"/>
        <v>45016</v>
      </c>
      <c r="N17" s="335">
        <f t="shared" si="29"/>
        <v>28.831395540477498</v>
      </c>
      <c r="O17" s="1382">
        <f t="shared" si="6"/>
        <v>0</v>
      </c>
      <c r="P17" s="335">
        <f t="shared" si="40"/>
        <v>28.831395540477498</v>
      </c>
      <c r="Q17" s="335">
        <f t="shared" si="12"/>
        <v>0.24854242758386974</v>
      </c>
      <c r="R17" s="339">
        <f t="shared" si="35"/>
        <v>0.10150000000000001</v>
      </c>
      <c r="S17" s="1282">
        <f>IF(MOD(MONTH(L17),3)=0,IF($B$4=1,SUMIF(Assumptions!$H$173:$U$173,'Debt repayment Schedule'!M17,Assumptions!$H$175:$U$175)/4,SUMIF(Assumptions!$H$173:$U$173,'Debt repayment Schedule'!M17,Assumptions!$H$184:$U$184)/4),0)</f>
        <v>0</v>
      </c>
      <c r="T17" s="336">
        <f t="shared" si="1"/>
        <v>0.24854242758386974</v>
      </c>
      <c r="U17" s="260"/>
      <c r="V17" s="210">
        <f t="shared" si="13"/>
        <v>44773</v>
      </c>
      <c r="W17" s="210">
        <f t="shared" si="36"/>
        <v>45016</v>
      </c>
      <c r="X17" s="335">
        <f t="shared" si="30"/>
        <v>648.42184549798503</v>
      </c>
      <c r="Y17" s="1382">
        <f t="shared" si="7"/>
        <v>0</v>
      </c>
      <c r="Z17" s="335">
        <f t="shared" si="41"/>
        <v>648.42184549798503</v>
      </c>
      <c r="AA17" s="335">
        <f t="shared" si="14"/>
        <v>5.6723587744522348</v>
      </c>
      <c r="AB17" s="339">
        <f t="shared" si="37"/>
        <v>0.10299999999999999</v>
      </c>
      <c r="AC17" s="337">
        <f>IF(MOD(MONTH(V17),3)=0,IF($B$4=1,SUMIF(Assumptions!$H$173:$U$173,'Debt repayment Schedule'!C17,Assumptions!$H$176:$U$176)/4,SUMIF(Assumptions!$H$173:$U$173,'Debt repayment Schedule'!C17,Assumptions!$H$185:$U$185)/4),0)</f>
        <v>0</v>
      </c>
      <c r="AD17" s="336">
        <f t="shared" si="2"/>
        <v>5.6723587744522348</v>
      </c>
      <c r="AE17" s="260"/>
      <c r="AF17" s="210">
        <f t="shared" si="15"/>
        <v>44773</v>
      </c>
      <c r="AG17" s="210">
        <f t="shared" si="16"/>
        <v>45016</v>
      </c>
      <c r="AH17" s="335">
        <f t="shared" si="17"/>
        <v>54.800912255680004</v>
      </c>
      <c r="AI17" s="1382">
        <f t="shared" si="18"/>
        <v>0</v>
      </c>
      <c r="AJ17" s="335">
        <f t="shared" si="19"/>
        <v>54.800912255680004</v>
      </c>
      <c r="AK17" s="335">
        <f t="shared" si="20"/>
        <v>0</v>
      </c>
      <c r="AL17" s="339">
        <f t="shared" si="31"/>
        <v>0</v>
      </c>
      <c r="AM17" s="337">
        <f>IF(MOD(MONTH(AF17),3)=0,IF($B$4=1,SUMIF(Assumptions!$H$173:$U$173,'Debt repayment Schedule'!M17,Assumptions!$H$176:$U$176)/4,SUMIF(Assumptions!$H$173:$U$173,'Debt repayment Schedule'!M17,Assumptions!$H$185:$U$185)/4),0)</f>
        <v>0</v>
      </c>
      <c r="AN17" s="336">
        <f t="shared" si="21"/>
        <v>0</v>
      </c>
      <c r="AO17" s="260"/>
      <c r="AP17" s="210">
        <f t="shared" si="22"/>
        <v>44773</v>
      </c>
      <c r="AQ17" s="210">
        <f t="shared" si="38"/>
        <v>45016</v>
      </c>
      <c r="AR17" s="335">
        <f t="shared" si="23"/>
        <v>0</v>
      </c>
      <c r="AS17" s="335">
        <f t="shared" si="24"/>
        <v>0</v>
      </c>
      <c r="AT17" s="616">
        <f t="shared" si="25"/>
        <v>0</v>
      </c>
      <c r="AU17" s="335">
        <f t="shared" si="26"/>
        <v>0</v>
      </c>
      <c r="AV17" s="339">
        <f t="shared" si="39"/>
        <v>0.10299999999999999</v>
      </c>
      <c r="AW17" s="337">
        <f>IF(MOD(MONTH(AP17),3)=0,IF($B$4=1,SUMIF(Assumptions!$H$173:$U$173,'Debt repayment Schedule'!W17,Assumptions!$H$176:$U$176)/4,SUMIF(Assumptions!$H$173:$U$173,'Debt repayment Schedule'!W17,Assumptions!$H$185:$U$185)/4),0)</f>
        <v>0</v>
      </c>
      <c r="AX17" s="336">
        <f t="shared" si="3"/>
        <v>0</v>
      </c>
      <c r="AY17" s="260"/>
      <c r="AZ17" s="260">
        <f t="shared" si="27"/>
        <v>0</v>
      </c>
      <c r="BB17" s="260">
        <f t="shared" si="8"/>
        <v>10.470816358732211</v>
      </c>
      <c r="BC17" s="260"/>
    </row>
    <row r="18" spans="2:56" x14ac:dyDescent="0.35">
      <c r="B18" s="210">
        <f t="shared" si="9"/>
        <v>44804</v>
      </c>
      <c r="C18" s="210">
        <f t="shared" si="32"/>
        <v>45016</v>
      </c>
      <c r="D18" s="335">
        <f t="shared" si="28"/>
        <v>527.79883432196993</v>
      </c>
      <c r="E18" s="336">
        <f t="shared" si="4"/>
        <v>0</v>
      </c>
      <c r="F18" s="335">
        <f t="shared" si="10"/>
        <v>527.79883432196993</v>
      </c>
      <c r="G18" s="335">
        <f t="shared" si="11"/>
        <v>4.5499151566961054</v>
      </c>
      <c r="H18" s="339">
        <f t="shared" si="33"/>
        <v>0.10150000000000001</v>
      </c>
      <c r="I18" s="337">
        <f>IF(MOD(MONTH(B18),3)=0,(IF($B$4=1,SUMIF(Assumptions!$H$173:$U$173,'Debt repayment Schedule'!C18,Assumptions!$H$174:$U$174)/4,SUMIF(Assumptions!$H$173:$U$173,'Debt repayment Schedule'!C18,Assumptions!$H$183:$U$183)/4)),0)</f>
        <v>0</v>
      </c>
      <c r="J18" s="336">
        <f t="shared" si="0"/>
        <v>4.5499151566961054</v>
      </c>
      <c r="K18" s="260"/>
      <c r="L18" s="338">
        <f t="shared" si="5"/>
        <v>44804</v>
      </c>
      <c r="M18" s="210">
        <f t="shared" si="34"/>
        <v>45016</v>
      </c>
      <c r="N18" s="335">
        <f t="shared" si="29"/>
        <v>28.831395540477498</v>
      </c>
      <c r="O18" s="1382">
        <f t="shared" si="6"/>
        <v>0</v>
      </c>
      <c r="P18" s="335">
        <f t="shared" si="40"/>
        <v>28.831395540477498</v>
      </c>
      <c r="Q18" s="335">
        <f t="shared" si="12"/>
        <v>0.24854242758386974</v>
      </c>
      <c r="R18" s="339">
        <f t="shared" si="35"/>
        <v>0.10150000000000001</v>
      </c>
      <c r="S18" s="1282">
        <f>IF(MOD(MONTH(L18),3)=0,IF($B$4=1,SUMIF(Assumptions!$H$173:$U$173,'Debt repayment Schedule'!M18,Assumptions!$H$175:$U$175)/4,SUMIF(Assumptions!$H$173:$U$173,'Debt repayment Schedule'!M18,Assumptions!$H$184:$U$184)/4),0)</f>
        <v>0</v>
      </c>
      <c r="T18" s="336">
        <f t="shared" si="1"/>
        <v>0.24854242758386974</v>
      </c>
      <c r="U18" s="260"/>
      <c r="V18" s="210">
        <f t="shared" si="13"/>
        <v>44804</v>
      </c>
      <c r="W18" s="210">
        <f t="shared" si="36"/>
        <v>45016</v>
      </c>
      <c r="X18" s="335">
        <f t="shared" si="30"/>
        <v>648.42184549798503</v>
      </c>
      <c r="Y18" s="1382">
        <f t="shared" si="7"/>
        <v>0</v>
      </c>
      <c r="Z18" s="335">
        <f t="shared" si="41"/>
        <v>648.42184549798503</v>
      </c>
      <c r="AA18" s="335">
        <f t="shared" si="14"/>
        <v>5.6723587744522348</v>
      </c>
      <c r="AB18" s="339">
        <f t="shared" si="37"/>
        <v>0.10299999999999999</v>
      </c>
      <c r="AC18" s="337">
        <f>IF(MOD(MONTH(V18),3)=0,IF($B$4=1,SUMIF(Assumptions!$H$173:$U$173,'Debt repayment Schedule'!C18,Assumptions!$H$176:$U$176)/4,SUMIF(Assumptions!$H$173:$U$173,'Debt repayment Schedule'!C18,Assumptions!$H$185:$U$185)/4),0)</f>
        <v>0</v>
      </c>
      <c r="AD18" s="336">
        <f t="shared" si="2"/>
        <v>5.6723587744522348</v>
      </c>
      <c r="AE18" s="260"/>
      <c r="AF18" s="210">
        <f t="shared" si="15"/>
        <v>44804</v>
      </c>
      <c r="AG18" s="210">
        <f t="shared" si="16"/>
        <v>45016</v>
      </c>
      <c r="AH18" s="335">
        <f t="shared" si="17"/>
        <v>54.800912255680004</v>
      </c>
      <c r="AI18" s="1382">
        <f t="shared" si="18"/>
        <v>0</v>
      </c>
      <c r="AJ18" s="335">
        <f t="shared" si="19"/>
        <v>54.800912255680004</v>
      </c>
      <c r="AK18" s="335">
        <f t="shared" si="20"/>
        <v>0</v>
      </c>
      <c r="AL18" s="339">
        <f t="shared" si="31"/>
        <v>0</v>
      </c>
      <c r="AM18" s="337">
        <f>IF(MOD(MONTH(AF18),3)=0,IF($B$4=1,SUMIF(Assumptions!$H$173:$U$173,'Debt repayment Schedule'!M18,Assumptions!$H$176:$U$176)/4,SUMIF(Assumptions!$H$173:$U$173,'Debt repayment Schedule'!M18,Assumptions!$H$185:$U$185)/4),0)</f>
        <v>0</v>
      </c>
      <c r="AN18" s="336">
        <f t="shared" si="21"/>
        <v>0</v>
      </c>
      <c r="AO18" s="260"/>
      <c r="AP18" s="210">
        <f t="shared" si="22"/>
        <v>44804</v>
      </c>
      <c r="AQ18" s="210">
        <f t="shared" si="38"/>
        <v>45016</v>
      </c>
      <c r="AR18" s="335">
        <f t="shared" si="23"/>
        <v>0</v>
      </c>
      <c r="AS18" s="335">
        <f t="shared" si="24"/>
        <v>0</v>
      </c>
      <c r="AT18" s="616">
        <f t="shared" si="25"/>
        <v>0</v>
      </c>
      <c r="AU18" s="335">
        <f t="shared" si="26"/>
        <v>0</v>
      </c>
      <c r="AV18" s="339">
        <f t="shared" si="39"/>
        <v>0.10299999999999999</v>
      </c>
      <c r="AW18" s="337">
        <f>IF(MOD(MONTH(AP18),3)=0,IF($B$4=1,SUMIF(Assumptions!$H$173:$U$173,'Debt repayment Schedule'!W18,Assumptions!$H$176:$U$176)/4,SUMIF(Assumptions!$H$173:$U$173,'Debt repayment Schedule'!W18,Assumptions!$H$185:$U$185)/4),0)</f>
        <v>0</v>
      </c>
      <c r="AX18" s="336">
        <f t="shared" si="3"/>
        <v>0</v>
      </c>
      <c r="AY18" s="260"/>
      <c r="AZ18" s="260">
        <f t="shared" si="27"/>
        <v>0</v>
      </c>
      <c r="BB18" s="260">
        <f t="shared" si="8"/>
        <v>10.470816358732211</v>
      </c>
      <c r="BC18" s="260"/>
    </row>
    <row r="19" spans="2:56" x14ac:dyDescent="0.35">
      <c r="B19" s="210">
        <f t="shared" si="9"/>
        <v>44834</v>
      </c>
      <c r="C19" s="210">
        <f t="shared" si="32"/>
        <v>45016</v>
      </c>
      <c r="D19" s="335">
        <f t="shared" si="28"/>
        <v>527.79883432196993</v>
      </c>
      <c r="E19" s="336">
        <f t="shared" si="4"/>
        <v>14.924902770029998</v>
      </c>
      <c r="F19" s="335">
        <f t="shared" si="10"/>
        <v>512.8739315519399</v>
      </c>
      <c r="G19" s="335">
        <f t="shared" si="11"/>
        <v>4.4031437000284894</v>
      </c>
      <c r="H19" s="339">
        <f t="shared" si="33"/>
        <v>0.10150000000000001</v>
      </c>
      <c r="I19" s="337">
        <f>IF(MOD(MONTH(B19),3)=0,(IF($B$4=1,SUMIF(Assumptions!$H$173:$U$173,'Debt repayment Schedule'!C19,Assumptions!$H$174:$U$174)/4,SUMIF(Assumptions!$H$173:$U$173,'Debt repayment Schedule'!C19,Assumptions!$H$183:$U$183)/4)),0)</f>
        <v>2.75E-2</v>
      </c>
      <c r="J19" s="336">
        <f t="shared" si="0"/>
        <v>19.328046470058489</v>
      </c>
      <c r="K19" s="260"/>
      <c r="L19" s="338">
        <f t="shared" si="5"/>
        <v>44834</v>
      </c>
      <c r="M19" s="210">
        <f t="shared" si="34"/>
        <v>45016</v>
      </c>
      <c r="N19" s="335">
        <f t="shared" si="29"/>
        <v>28.831395540477498</v>
      </c>
      <c r="O19" s="1382">
        <f t="shared" si="6"/>
        <v>0.81528367852249994</v>
      </c>
      <c r="P19" s="335">
        <f t="shared" si="40"/>
        <v>28.016111861954997</v>
      </c>
      <c r="Q19" s="335">
        <f t="shared" si="12"/>
        <v>0.24052492991987393</v>
      </c>
      <c r="R19" s="339">
        <f t="shared" si="35"/>
        <v>0.10150000000000001</v>
      </c>
      <c r="S19" s="1282">
        <f>IF(MOD(MONTH(L19),3)=0,IF($B$4=1,SUMIF(Assumptions!$H$173:$U$173,'Debt repayment Schedule'!M19,Assumptions!$H$175:$U$175)/4,SUMIF(Assumptions!$H$173:$U$173,'Debt repayment Schedule'!M19,Assumptions!$H$184:$U$184)/4),0)</f>
        <v>2.75E-2</v>
      </c>
      <c r="T19" s="336">
        <f t="shared" si="1"/>
        <v>1.0558086084423739</v>
      </c>
      <c r="U19" s="260"/>
      <c r="V19" s="210">
        <f t="shared" si="13"/>
        <v>44834</v>
      </c>
      <c r="W19" s="210">
        <f t="shared" si="36"/>
        <v>45016</v>
      </c>
      <c r="X19" s="335">
        <f t="shared" si="30"/>
        <v>648.42184549798503</v>
      </c>
      <c r="Y19" s="1382">
        <f t="shared" si="7"/>
        <v>18.335836248014999</v>
      </c>
      <c r="Z19" s="335">
        <f t="shared" si="41"/>
        <v>630.08600924997006</v>
      </c>
      <c r="AA19" s="335">
        <f t="shared" si="14"/>
        <v>5.4893794591473251</v>
      </c>
      <c r="AB19" s="339">
        <f t="shared" si="37"/>
        <v>0.10299999999999999</v>
      </c>
      <c r="AC19" s="337">
        <f>IF(MOD(MONTH(V19),3)=0,IF($B$4=1,SUMIF(Assumptions!$H$173:$U$173,'Debt repayment Schedule'!C19,Assumptions!$H$176:$U$176)/4,SUMIF(Assumptions!$H$173:$U$173,'Debt repayment Schedule'!C19,Assumptions!$H$185:$U$185)/4),0)</f>
        <v>2.75E-2</v>
      </c>
      <c r="AD19" s="336">
        <f t="shared" si="2"/>
        <v>23.825215707162325</v>
      </c>
      <c r="AE19" s="260"/>
      <c r="AF19" s="210">
        <f t="shared" si="15"/>
        <v>44834</v>
      </c>
      <c r="AG19" s="210">
        <f t="shared" si="16"/>
        <v>45016</v>
      </c>
      <c r="AH19" s="335">
        <f t="shared" si="17"/>
        <v>54.800912255680004</v>
      </c>
      <c r="AI19" s="1382">
        <f t="shared" si="18"/>
        <v>1.5496401923200001</v>
      </c>
      <c r="AJ19" s="335">
        <f t="shared" si="19"/>
        <v>53.251272063360005</v>
      </c>
      <c r="AK19" s="335">
        <f t="shared" si="20"/>
        <v>0</v>
      </c>
      <c r="AL19" s="339">
        <f t="shared" si="31"/>
        <v>0</v>
      </c>
      <c r="AM19" s="337">
        <f>IF(MOD(MONTH(AF19),3)=0,IF($B$4=1,SUMIF(Assumptions!$H$173:$U$173,'Debt repayment Schedule'!M19,Assumptions!$H$176:$U$176)/4,SUMIF(Assumptions!$H$173:$U$173,'Debt repayment Schedule'!M19,Assumptions!$H$185:$U$185)/4),0)</f>
        <v>2.75E-2</v>
      </c>
      <c r="AN19" s="336">
        <f t="shared" si="21"/>
        <v>1.5496401923200001</v>
      </c>
      <c r="AO19" s="260"/>
      <c r="AP19" s="210">
        <f t="shared" si="22"/>
        <v>44834</v>
      </c>
      <c r="AQ19" s="210">
        <f t="shared" si="38"/>
        <v>45016</v>
      </c>
      <c r="AR19" s="335">
        <f t="shared" si="23"/>
        <v>0</v>
      </c>
      <c r="AS19" s="335">
        <f t="shared" si="24"/>
        <v>0</v>
      </c>
      <c r="AT19" s="616">
        <f t="shared" si="25"/>
        <v>0</v>
      </c>
      <c r="AU19" s="335">
        <f t="shared" si="26"/>
        <v>0</v>
      </c>
      <c r="AV19" s="339">
        <f t="shared" si="39"/>
        <v>0.10299999999999999</v>
      </c>
      <c r="AW19" s="337">
        <f>IF(MOD(MONTH(AP19),3)=0,IF($B$4=1,SUMIF(Assumptions!$H$173:$U$173,'Debt repayment Schedule'!W19,Assumptions!$H$176:$U$176)/4,SUMIF(Assumptions!$H$173:$U$173,'Debt repayment Schedule'!W19,Assumptions!$H$185:$U$185)/4),0)</f>
        <v>2.75E-2</v>
      </c>
      <c r="AX19" s="336">
        <f t="shared" si="3"/>
        <v>0</v>
      </c>
      <c r="AY19" s="260"/>
      <c r="AZ19" s="260">
        <f t="shared" si="27"/>
        <v>35.625662888887497</v>
      </c>
      <c r="BB19" s="260">
        <f t="shared" si="8"/>
        <v>10.133048089095688</v>
      </c>
      <c r="BC19" s="260">
        <f>AZ19+SUM(BB17:BB19)</f>
        <v>66.7003436954476</v>
      </c>
    </row>
    <row r="20" spans="2:56" x14ac:dyDescent="0.35">
      <c r="B20" s="210">
        <f t="shared" si="9"/>
        <v>44865</v>
      </c>
      <c r="C20" s="210">
        <f t="shared" si="32"/>
        <v>45016</v>
      </c>
      <c r="D20" s="335">
        <f t="shared" si="28"/>
        <v>512.8739315519399</v>
      </c>
      <c r="E20" s="336">
        <f t="shared" si="4"/>
        <v>0</v>
      </c>
      <c r="F20" s="335">
        <f t="shared" si="10"/>
        <v>512.8739315519399</v>
      </c>
      <c r="G20" s="335">
        <f t="shared" si="11"/>
        <v>4.4212543167895317</v>
      </c>
      <c r="H20" s="339">
        <f>H19</f>
        <v>0.10150000000000001</v>
      </c>
      <c r="I20" s="337">
        <f>IF(MOD(MONTH(B20),3)=0,(IF($B$4=1,SUMIF(Assumptions!$H$173:$U$173,'Debt repayment Schedule'!C20,Assumptions!$H$174:$U$174)/4,SUMIF(Assumptions!$H$173:$U$173,'Debt repayment Schedule'!C20,Assumptions!$H$183:$U$183)/4)),0)</f>
        <v>0</v>
      </c>
      <c r="J20" s="336">
        <f t="shared" si="0"/>
        <v>4.4212543167895317</v>
      </c>
      <c r="K20" s="260"/>
      <c r="L20" s="338">
        <f t="shared" si="5"/>
        <v>44865</v>
      </c>
      <c r="M20" s="210">
        <f t="shared" si="34"/>
        <v>45016</v>
      </c>
      <c r="N20" s="335">
        <f t="shared" si="29"/>
        <v>28.016111861954997</v>
      </c>
      <c r="O20" s="1382">
        <f t="shared" si="6"/>
        <v>0</v>
      </c>
      <c r="P20" s="335">
        <f t="shared" si="40"/>
        <v>28.016111861954997</v>
      </c>
      <c r="Q20" s="335">
        <f t="shared" si="12"/>
        <v>0.24151423554422302</v>
      </c>
      <c r="R20" s="339">
        <f>R19</f>
        <v>0.10150000000000001</v>
      </c>
      <c r="S20" s="1282">
        <f>IF(MOD(MONTH(L20),3)=0,IF($B$4=1,SUMIF(Assumptions!$H$173:$U$173,'Debt repayment Schedule'!M20,Assumptions!$H$175:$U$175)/4,SUMIF(Assumptions!$H$173:$U$173,'Debt repayment Schedule'!M20,Assumptions!$H$184:$U$184)/4),0)</f>
        <v>0</v>
      </c>
      <c r="T20" s="336">
        <f t="shared" si="1"/>
        <v>0.24151423554422302</v>
      </c>
      <c r="U20" s="260"/>
      <c r="V20" s="210">
        <f t="shared" si="13"/>
        <v>44865</v>
      </c>
      <c r="W20" s="210">
        <f t="shared" si="36"/>
        <v>45016</v>
      </c>
      <c r="X20" s="335">
        <f t="shared" si="30"/>
        <v>630.08600924997006</v>
      </c>
      <c r="Y20" s="1382">
        <f t="shared" si="7"/>
        <v>0</v>
      </c>
      <c r="Z20" s="335">
        <f t="shared" si="41"/>
        <v>630.08600924997006</v>
      </c>
      <c r="AA20" s="335">
        <f t="shared" si="14"/>
        <v>5.5119578836579564</v>
      </c>
      <c r="AB20" s="339">
        <f>AB19</f>
        <v>0.10299999999999999</v>
      </c>
      <c r="AC20" s="337">
        <f>IF(MOD(MONTH(V20),3)=0,IF($B$4=1,SUMIF(Assumptions!$H$173:$U$173,'Debt repayment Schedule'!C20,Assumptions!$H$176:$U$176)/4,SUMIF(Assumptions!$H$173:$U$173,'Debt repayment Schedule'!C20,Assumptions!$H$185:$U$185)/4),0)</f>
        <v>0</v>
      </c>
      <c r="AD20" s="336">
        <f t="shared" si="2"/>
        <v>5.5119578836579564</v>
      </c>
      <c r="AE20" s="260"/>
      <c r="AF20" s="210">
        <f t="shared" si="15"/>
        <v>44865</v>
      </c>
      <c r="AG20" s="210">
        <f t="shared" si="16"/>
        <v>45016</v>
      </c>
      <c r="AH20" s="335">
        <f t="shared" si="17"/>
        <v>53.251272063360005</v>
      </c>
      <c r="AI20" s="1382">
        <f t="shared" si="18"/>
        <v>0</v>
      </c>
      <c r="AJ20" s="335">
        <f t="shared" si="19"/>
        <v>53.251272063360005</v>
      </c>
      <c r="AK20" s="335">
        <f t="shared" si="20"/>
        <v>0</v>
      </c>
      <c r="AL20" s="339">
        <f>AL19</f>
        <v>0</v>
      </c>
      <c r="AM20" s="337">
        <f>IF(MOD(MONTH(AF20),3)=0,IF($B$4=1,SUMIF(Assumptions!$H$173:$U$173,'Debt repayment Schedule'!M20,Assumptions!$H$176:$U$176)/4,SUMIF(Assumptions!$H$173:$U$173,'Debt repayment Schedule'!M20,Assumptions!$H$185:$U$185)/4),0)</f>
        <v>0</v>
      </c>
      <c r="AN20" s="336">
        <f t="shared" si="21"/>
        <v>0</v>
      </c>
      <c r="AO20" s="260"/>
      <c r="AP20" s="210">
        <f t="shared" si="22"/>
        <v>44865</v>
      </c>
      <c r="AQ20" s="210">
        <f t="shared" si="38"/>
        <v>45016</v>
      </c>
      <c r="AR20" s="335">
        <f t="shared" si="23"/>
        <v>0</v>
      </c>
      <c r="AS20" s="335">
        <f t="shared" si="24"/>
        <v>0</v>
      </c>
      <c r="AT20" s="616">
        <f t="shared" si="25"/>
        <v>0</v>
      </c>
      <c r="AU20" s="335">
        <f t="shared" si="26"/>
        <v>0</v>
      </c>
      <c r="AV20" s="339">
        <f>AV19</f>
        <v>0.10299999999999999</v>
      </c>
      <c r="AW20" s="337">
        <f>IF(MOD(MONTH(AP20),3)=0,IF($B$4=1,SUMIF(Assumptions!$H$173:$U$173,'Debt repayment Schedule'!W20,Assumptions!$H$176:$U$176)/4,SUMIF(Assumptions!$H$173:$U$173,'Debt repayment Schedule'!W20,Assumptions!$H$185:$U$185)/4),0)</f>
        <v>0</v>
      </c>
      <c r="AX20" s="336">
        <f t="shared" si="3"/>
        <v>0</v>
      </c>
      <c r="AY20" s="260"/>
      <c r="AZ20" s="260">
        <f t="shared" si="27"/>
        <v>0</v>
      </c>
      <c r="BB20" s="260">
        <f t="shared" si="8"/>
        <v>10.174726435991712</v>
      </c>
      <c r="BC20" s="260"/>
    </row>
    <row r="21" spans="2:56" x14ac:dyDescent="0.35">
      <c r="B21" s="210">
        <f t="shared" si="9"/>
        <v>44895</v>
      </c>
      <c r="C21" s="210">
        <f t="shared" si="32"/>
        <v>45016</v>
      </c>
      <c r="D21" s="335">
        <f t="shared" si="28"/>
        <v>512.8739315519399</v>
      </c>
      <c r="E21" s="336">
        <f t="shared" si="4"/>
        <v>0</v>
      </c>
      <c r="F21" s="335">
        <f t="shared" si="10"/>
        <v>512.8739315519399</v>
      </c>
      <c r="G21" s="335">
        <f t="shared" si="11"/>
        <v>4.2786332097963209</v>
      </c>
      <c r="H21" s="339">
        <f t="shared" ref="H21:H84" si="42">H20</f>
        <v>0.10150000000000001</v>
      </c>
      <c r="I21" s="337">
        <f>IF(MOD(MONTH(B21),3)=0,(IF($B$4=1,SUMIF(Assumptions!$H$173:$U$173,'Debt repayment Schedule'!C21,Assumptions!$H$174:$U$174)/4,SUMIF(Assumptions!$H$173:$U$173,'Debt repayment Schedule'!C21,Assumptions!$H$183:$U$183)/4)),0)</f>
        <v>0</v>
      </c>
      <c r="J21" s="336">
        <f t="shared" si="0"/>
        <v>4.2786332097963209</v>
      </c>
      <c r="K21" s="260"/>
      <c r="L21" s="338">
        <f t="shared" si="5"/>
        <v>44895</v>
      </c>
      <c r="M21" s="210">
        <f t="shared" si="34"/>
        <v>45016</v>
      </c>
      <c r="N21" s="335">
        <f t="shared" si="29"/>
        <v>28.016111861954997</v>
      </c>
      <c r="O21" s="1382">
        <f t="shared" si="6"/>
        <v>0</v>
      </c>
      <c r="P21" s="335">
        <f t="shared" si="40"/>
        <v>28.016111861954997</v>
      </c>
      <c r="Q21" s="335">
        <f t="shared" si="12"/>
        <v>0.23372345375247389</v>
      </c>
      <c r="R21" s="339">
        <f t="shared" ref="R21:R84" si="43">R20</f>
        <v>0.10150000000000001</v>
      </c>
      <c r="S21" s="1282">
        <f>IF(MOD(MONTH(L21),3)=0,IF($B$4=1,SUMIF(Assumptions!$H$173:$U$173,'Debt repayment Schedule'!M21,Assumptions!$H$175:$U$175)/4,SUMIF(Assumptions!$H$173:$U$173,'Debt repayment Schedule'!M21,Assumptions!$H$184:$U$184)/4),0)</f>
        <v>0</v>
      </c>
      <c r="T21" s="336">
        <f t="shared" si="1"/>
        <v>0.23372345375247389</v>
      </c>
      <c r="U21" s="260"/>
      <c r="V21" s="210">
        <f t="shared" si="13"/>
        <v>44895</v>
      </c>
      <c r="W21" s="210">
        <f t="shared" si="36"/>
        <v>45016</v>
      </c>
      <c r="X21" s="335">
        <f t="shared" si="30"/>
        <v>630.08600924997006</v>
      </c>
      <c r="Y21" s="1382">
        <f t="shared" si="7"/>
        <v>0</v>
      </c>
      <c r="Z21" s="335">
        <f t="shared" si="41"/>
        <v>630.08600924997006</v>
      </c>
      <c r="AA21" s="335">
        <f t="shared" si="14"/>
        <v>5.3341527906367325</v>
      </c>
      <c r="AB21" s="339">
        <f t="shared" ref="AB21:AB84" si="44">AB20</f>
        <v>0.10299999999999999</v>
      </c>
      <c r="AC21" s="337">
        <f>IF(MOD(MONTH(V21),3)=0,IF($B$4=1,SUMIF(Assumptions!$H$173:$U$173,'Debt repayment Schedule'!C21,Assumptions!$H$176:$U$176)/4,SUMIF(Assumptions!$H$173:$U$173,'Debt repayment Schedule'!C21,Assumptions!$H$185:$U$185)/4),0)</f>
        <v>0</v>
      </c>
      <c r="AD21" s="336">
        <f t="shared" si="2"/>
        <v>5.3341527906367325</v>
      </c>
      <c r="AE21" s="260"/>
      <c r="AF21" s="210">
        <f t="shared" si="15"/>
        <v>44895</v>
      </c>
      <c r="AG21" s="210">
        <f t="shared" si="16"/>
        <v>45016</v>
      </c>
      <c r="AH21" s="335">
        <f t="shared" si="17"/>
        <v>53.251272063360005</v>
      </c>
      <c r="AI21" s="1382">
        <f t="shared" si="18"/>
        <v>0</v>
      </c>
      <c r="AJ21" s="335">
        <f t="shared" si="19"/>
        <v>53.251272063360005</v>
      </c>
      <c r="AK21" s="335">
        <f t="shared" si="20"/>
        <v>0</v>
      </c>
      <c r="AL21" s="339">
        <f t="shared" ref="AL21:AL84" si="45">AL20</f>
        <v>0</v>
      </c>
      <c r="AM21" s="337">
        <f>IF(MOD(MONTH(AF21),3)=0,IF($B$4=1,SUMIF(Assumptions!$H$173:$U$173,'Debt repayment Schedule'!M21,Assumptions!$H$176:$U$176)/4,SUMIF(Assumptions!$H$173:$U$173,'Debt repayment Schedule'!M21,Assumptions!$H$185:$U$185)/4),0)</f>
        <v>0</v>
      </c>
      <c r="AN21" s="336">
        <f t="shared" si="21"/>
        <v>0</v>
      </c>
      <c r="AO21" s="260"/>
      <c r="AP21" s="210">
        <f t="shared" si="22"/>
        <v>44895</v>
      </c>
      <c r="AQ21" s="210">
        <f t="shared" si="38"/>
        <v>45016</v>
      </c>
      <c r="AR21" s="335">
        <f t="shared" si="23"/>
        <v>0</v>
      </c>
      <c r="AS21" s="335">
        <f t="shared" si="24"/>
        <v>0</v>
      </c>
      <c r="AT21" s="616">
        <f t="shared" si="25"/>
        <v>0</v>
      </c>
      <c r="AU21" s="335">
        <f t="shared" si="26"/>
        <v>0</v>
      </c>
      <c r="AV21" s="339">
        <f t="shared" ref="AV21:AV84" si="46">AV20</f>
        <v>0.10299999999999999</v>
      </c>
      <c r="AW21" s="337">
        <f>IF(MOD(MONTH(AP21),3)=0,IF($B$4=1,SUMIF(Assumptions!$H$173:$U$173,'Debt repayment Schedule'!W21,Assumptions!$H$176:$U$176)/4,SUMIF(Assumptions!$H$173:$U$173,'Debt repayment Schedule'!W21,Assumptions!$H$185:$U$185)/4),0)</f>
        <v>0</v>
      </c>
      <c r="AX21" s="336">
        <f t="shared" si="3"/>
        <v>0</v>
      </c>
      <c r="AY21" s="260"/>
      <c r="AZ21" s="260">
        <f t="shared" si="27"/>
        <v>0</v>
      </c>
      <c r="BB21" s="260">
        <f t="shared" si="8"/>
        <v>9.8465094541855276</v>
      </c>
      <c r="BC21" s="260"/>
    </row>
    <row r="22" spans="2:56" x14ac:dyDescent="0.35">
      <c r="B22" s="210">
        <f t="shared" si="9"/>
        <v>44926</v>
      </c>
      <c r="C22" s="210">
        <f t="shared" si="32"/>
        <v>45016</v>
      </c>
      <c r="D22" s="335">
        <f t="shared" si="28"/>
        <v>512.8739315519399</v>
      </c>
      <c r="E22" s="336">
        <f t="shared" si="4"/>
        <v>14.924902770029998</v>
      </c>
      <c r="F22" s="335">
        <f t="shared" si="10"/>
        <v>497.94902878190993</v>
      </c>
      <c r="G22" s="335">
        <f t="shared" si="11"/>
        <v>4.4212543167895317</v>
      </c>
      <c r="H22" s="339">
        <f t="shared" si="42"/>
        <v>0.10150000000000001</v>
      </c>
      <c r="I22" s="337">
        <f>IF(MOD(MONTH(B22),3)=0,(IF($B$4=1,SUMIF(Assumptions!$H$173:$U$173,'Debt repayment Schedule'!C22,Assumptions!$H$174:$U$174)/4,SUMIF(Assumptions!$H$173:$U$173,'Debt repayment Schedule'!C22,Assumptions!$H$183:$U$183)/4)),0)</f>
        <v>2.75E-2</v>
      </c>
      <c r="J22" s="336">
        <f t="shared" si="0"/>
        <v>19.346157086819531</v>
      </c>
      <c r="K22" s="260"/>
      <c r="L22" s="338">
        <f t="shared" si="5"/>
        <v>44926</v>
      </c>
      <c r="M22" s="210">
        <f t="shared" si="34"/>
        <v>45016</v>
      </c>
      <c r="N22" s="335">
        <f t="shared" si="29"/>
        <v>28.016111861954997</v>
      </c>
      <c r="O22" s="1382">
        <f t="shared" si="6"/>
        <v>0.81528367852249994</v>
      </c>
      <c r="P22" s="335">
        <f t="shared" si="40"/>
        <v>27.200828183432495</v>
      </c>
      <c r="Q22" s="335">
        <f t="shared" si="12"/>
        <v>0.24151423554422302</v>
      </c>
      <c r="R22" s="339">
        <f t="shared" si="43"/>
        <v>0.10150000000000001</v>
      </c>
      <c r="S22" s="1282">
        <f>IF(MOD(MONTH(L22),3)=0,IF($B$4=1,SUMIF(Assumptions!$H$173:$U$173,'Debt repayment Schedule'!M22,Assumptions!$H$175:$U$175)/4,SUMIF(Assumptions!$H$173:$U$173,'Debt repayment Schedule'!M22,Assumptions!$H$184:$U$184)/4),0)</f>
        <v>2.75E-2</v>
      </c>
      <c r="T22" s="336">
        <f t="shared" si="1"/>
        <v>1.056797914066723</v>
      </c>
      <c r="U22" s="260"/>
      <c r="V22" s="210">
        <f t="shared" si="13"/>
        <v>44926</v>
      </c>
      <c r="W22" s="210">
        <f t="shared" si="36"/>
        <v>45016</v>
      </c>
      <c r="X22" s="335">
        <f t="shared" si="30"/>
        <v>630.08600924997006</v>
      </c>
      <c r="Y22" s="1382">
        <f t="shared" si="7"/>
        <v>18.335836248014999</v>
      </c>
      <c r="Z22" s="335">
        <f t="shared" si="41"/>
        <v>611.75017300195509</v>
      </c>
      <c r="AA22" s="335">
        <f t="shared" si="14"/>
        <v>5.5119578836579564</v>
      </c>
      <c r="AB22" s="339">
        <f t="shared" si="44"/>
        <v>0.10299999999999999</v>
      </c>
      <c r="AC22" s="337">
        <f>IF(MOD(MONTH(V22),3)=0,IF($B$4=1,SUMIF(Assumptions!$H$173:$U$173,'Debt repayment Schedule'!C22,Assumptions!$H$176:$U$176)/4,SUMIF(Assumptions!$H$173:$U$173,'Debt repayment Schedule'!C22,Assumptions!$H$185:$U$185)/4),0)</f>
        <v>2.75E-2</v>
      </c>
      <c r="AD22" s="336">
        <f t="shared" si="2"/>
        <v>23.847794131672956</v>
      </c>
      <c r="AE22" s="260"/>
      <c r="AF22" s="210">
        <f t="shared" si="15"/>
        <v>44926</v>
      </c>
      <c r="AG22" s="210">
        <f t="shared" si="16"/>
        <v>45016</v>
      </c>
      <c r="AH22" s="335">
        <f t="shared" si="17"/>
        <v>53.251272063360005</v>
      </c>
      <c r="AI22" s="1382">
        <f t="shared" si="18"/>
        <v>1.5496401923200001</v>
      </c>
      <c r="AJ22" s="335">
        <f t="shared" si="19"/>
        <v>51.701631871040007</v>
      </c>
      <c r="AK22" s="335">
        <f t="shared" si="20"/>
        <v>0</v>
      </c>
      <c r="AL22" s="339">
        <f t="shared" si="45"/>
        <v>0</v>
      </c>
      <c r="AM22" s="337">
        <f>IF(MOD(MONTH(AF22),3)=0,IF($B$4=1,SUMIF(Assumptions!$H$173:$U$173,'Debt repayment Schedule'!M22,Assumptions!$H$176:$U$176)/4,SUMIF(Assumptions!$H$173:$U$173,'Debt repayment Schedule'!M22,Assumptions!$H$185:$U$185)/4),0)</f>
        <v>2.75E-2</v>
      </c>
      <c r="AN22" s="336">
        <f t="shared" si="21"/>
        <v>1.5496401923200001</v>
      </c>
      <c r="AO22" s="260"/>
      <c r="AP22" s="210">
        <f t="shared" si="22"/>
        <v>44926</v>
      </c>
      <c r="AQ22" s="210">
        <f t="shared" si="38"/>
        <v>45016</v>
      </c>
      <c r="AR22" s="335">
        <f t="shared" si="23"/>
        <v>0</v>
      </c>
      <c r="AS22" s="335">
        <f t="shared" si="24"/>
        <v>0</v>
      </c>
      <c r="AT22" s="616">
        <f t="shared" si="25"/>
        <v>0</v>
      </c>
      <c r="AU22" s="335">
        <f t="shared" si="26"/>
        <v>0</v>
      </c>
      <c r="AV22" s="339">
        <f t="shared" si="46"/>
        <v>0.10299999999999999</v>
      </c>
      <c r="AW22" s="337">
        <f>IF(MOD(MONTH(AP22),3)=0,IF($B$4=1,SUMIF(Assumptions!$H$173:$U$173,'Debt repayment Schedule'!W22,Assumptions!$H$176:$U$176)/4,SUMIF(Assumptions!$H$173:$U$173,'Debt repayment Schedule'!W22,Assumptions!$H$185:$U$185)/4),0)</f>
        <v>2.75E-2</v>
      </c>
      <c r="AX22" s="336">
        <f t="shared" si="3"/>
        <v>0</v>
      </c>
      <c r="AY22" s="260"/>
      <c r="AZ22" s="260">
        <f t="shared" si="27"/>
        <v>35.625662888887497</v>
      </c>
      <c r="BB22" s="260">
        <f t="shared" si="8"/>
        <v>10.174726435991712</v>
      </c>
      <c r="BC22" s="260">
        <f>AZ22+SUM(BB20:BB22)</f>
        <v>65.821625215056443</v>
      </c>
    </row>
    <row r="23" spans="2:56" x14ac:dyDescent="0.35">
      <c r="B23" s="210">
        <f t="shared" si="9"/>
        <v>44957</v>
      </c>
      <c r="C23" s="210">
        <f t="shared" si="32"/>
        <v>45016</v>
      </c>
      <c r="D23" s="335">
        <f t="shared" si="28"/>
        <v>497.94902878190993</v>
      </c>
      <c r="E23" s="336">
        <f t="shared" si="4"/>
        <v>0</v>
      </c>
      <c r="F23" s="335">
        <f t="shared" si="10"/>
        <v>497.94902878190993</v>
      </c>
      <c r="G23" s="335">
        <f t="shared" si="11"/>
        <v>4.2925934768829581</v>
      </c>
      <c r="H23" s="339">
        <f t="shared" si="42"/>
        <v>0.10150000000000001</v>
      </c>
      <c r="I23" s="337">
        <f>IF(MOD(MONTH(B23),3)=0,(IF($B$4=1,SUMIF(Assumptions!$H$173:$U$173,'Debt repayment Schedule'!C23,Assumptions!$H$174:$U$174)/4,SUMIF(Assumptions!$H$173:$U$173,'Debt repayment Schedule'!C23,Assumptions!$H$183:$U$183)/4)),0)</f>
        <v>0</v>
      </c>
      <c r="J23" s="336">
        <f t="shared" si="0"/>
        <v>4.2925934768829581</v>
      </c>
      <c r="K23" s="260"/>
      <c r="L23" s="338">
        <f t="shared" si="5"/>
        <v>44957</v>
      </c>
      <c r="M23" s="210">
        <f t="shared" si="34"/>
        <v>45016</v>
      </c>
      <c r="N23" s="335">
        <f t="shared" si="29"/>
        <v>27.200828183432495</v>
      </c>
      <c r="O23" s="1382">
        <f t="shared" si="6"/>
        <v>0</v>
      </c>
      <c r="P23" s="335">
        <f t="shared" si="40"/>
        <v>27.200828183432495</v>
      </c>
      <c r="Q23" s="335">
        <f t="shared" si="12"/>
        <v>0.23448604350457633</v>
      </c>
      <c r="R23" s="339">
        <f t="shared" si="43"/>
        <v>0.10150000000000001</v>
      </c>
      <c r="S23" s="1282">
        <f>IF(MOD(MONTH(L23),3)=0,IF($B$4=1,SUMIF(Assumptions!$H$173:$U$173,'Debt repayment Schedule'!M23,Assumptions!$H$175:$U$175)/4,SUMIF(Assumptions!$H$173:$U$173,'Debt repayment Schedule'!M23,Assumptions!$H$184:$U$184)/4),0)</f>
        <v>0</v>
      </c>
      <c r="T23" s="336">
        <f t="shared" si="1"/>
        <v>0.23448604350457633</v>
      </c>
      <c r="U23" s="260"/>
      <c r="V23" s="210">
        <f t="shared" si="13"/>
        <v>44957</v>
      </c>
      <c r="W23" s="210">
        <f t="shared" si="36"/>
        <v>45016</v>
      </c>
      <c r="X23" s="335">
        <f t="shared" si="30"/>
        <v>611.75017300195509</v>
      </c>
      <c r="Y23" s="1382">
        <f t="shared" si="7"/>
        <v>0</v>
      </c>
      <c r="Z23" s="335">
        <f t="shared" si="41"/>
        <v>611.75017300195509</v>
      </c>
      <c r="AA23" s="335">
        <f t="shared" si="14"/>
        <v>5.3515569928636788</v>
      </c>
      <c r="AB23" s="339">
        <f t="shared" si="44"/>
        <v>0.10299999999999999</v>
      </c>
      <c r="AC23" s="337">
        <f>IF(MOD(MONTH(V23),3)=0,IF($B$4=1,SUMIF(Assumptions!$H$173:$U$173,'Debt repayment Schedule'!C23,Assumptions!$H$176:$U$176)/4,SUMIF(Assumptions!$H$173:$U$173,'Debt repayment Schedule'!C23,Assumptions!$H$185:$U$185)/4),0)</f>
        <v>0</v>
      </c>
      <c r="AD23" s="336">
        <f t="shared" si="2"/>
        <v>5.3515569928636788</v>
      </c>
      <c r="AE23" s="260"/>
      <c r="AF23" s="210">
        <f t="shared" si="15"/>
        <v>44957</v>
      </c>
      <c r="AG23" s="210">
        <f t="shared" si="16"/>
        <v>45016</v>
      </c>
      <c r="AH23" s="335">
        <f t="shared" si="17"/>
        <v>51.701631871040007</v>
      </c>
      <c r="AI23" s="1382">
        <f t="shared" si="18"/>
        <v>0</v>
      </c>
      <c r="AJ23" s="335">
        <f t="shared" si="19"/>
        <v>51.701631871040007</v>
      </c>
      <c r="AK23" s="335">
        <f t="shared" si="20"/>
        <v>0</v>
      </c>
      <c r="AL23" s="339">
        <f t="shared" si="45"/>
        <v>0</v>
      </c>
      <c r="AM23" s="337">
        <f>IF(MOD(MONTH(AF23),3)=0,IF($B$4=1,SUMIF(Assumptions!$H$173:$U$173,'Debt repayment Schedule'!M23,Assumptions!$H$176:$U$176)/4,SUMIF(Assumptions!$H$173:$U$173,'Debt repayment Schedule'!M23,Assumptions!$H$185:$U$185)/4),0)</f>
        <v>0</v>
      </c>
      <c r="AN23" s="336">
        <f t="shared" si="21"/>
        <v>0</v>
      </c>
      <c r="AO23" s="260"/>
      <c r="AP23" s="210">
        <f t="shared" si="22"/>
        <v>44957</v>
      </c>
      <c r="AQ23" s="210">
        <f t="shared" si="38"/>
        <v>45016</v>
      </c>
      <c r="AR23" s="335">
        <f t="shared" si="23"/>
        <v>0</v>
      </c>
      <c r="AS23" s="335">
        <f t="shared" si="24"/>
        <v>0</v>
      </c>
      <c r="AT23" s="616">
        <f t="shared" si="25"/>
        <v>0</v>
      </c>
      <c r="AU23" s="335">
        <f t="shared" si="26"/>
        <v>0</v>
      </c>
      <c r="AV23" s="339">
        <f t="shared" si="46"/>
        <v>0.10299999999999999</v>
      </c>
      <c r="AW23" s="337">
        <f>IF(MOD(MONTH(AP23),3)=0,IF($B$4=1,SUMIF(Assumptions!$H$173:$U$173,'Debt repayment Schedule'!W23,Assumptions!$H$176:$U$176)/4,SUMIF(Assumptions!$H$173:$U$173,'Debt repayment Schedule'!W23,Assumptions!$H$185:$U$185)/4),0)</f>
        <v>0</v>
      </c>
      <c r="AX23" s="336">
        <f t="shared" si="3"/>
        <v>0</v>
      </c>
      <c r="AY23" s="260"/>
      <c r="AZ23" s="260">
        <f t="shared" si="27"/>
        <v>0</v>
      </c>
      <c r="BB23" s="260">
        <f t="shared" si="8"/>
        <v>9.8786365132512124</v>
      </c>
      <c r="BC23" s="260"/>
    </row>
    <row r="24" spans="2:56" x14ac:dyDescent="0.35">
      <c r="B24" s="210">
        <f t="shared" si="9"/>
        <v>44985</v>
      </c>
      <c r="C24" s="210">
        <f t="shared" si="32"/>
        <v>45016</v>
      </c>
      <c r="D24" s="335">
        <f t="shared" si="28"/>
        <v>497.94902878190993</v>
      </c>
      <c r="E24" s="336">
        <f t="shared" si="4"/>
        <v>0</v>
      </c>
      <c r="F24" s="335">
        <f t="shared" si="10"/>
        <v>497.94902878190993</v>
      </c>
      <c r="G24" s="335">
        <f t="shared" si="11"/>
        <v>3.8771812049265426</v>
      </c>
      <c r="H24" s="339">
        <f t="shared" si="42"/>
        <v>0.10150000000000001</v>
      </c>
      <c r="I24" s="337">
        <f>IF(MOD(MONTH(B24),3)=0,(IF($B$4=1,SUMIF(Assumptions!$H$173:$U$173,'Debt repayment Schedule'!C24,Assumptions!$H$174:$U$174)/4,SUMIF(Assumptions!$H$173:$U$173,'Debt repayment Schedule'!C24,Assumptions!$H$183:$U$183)/4)),0)</f>
        <v>0</v>
      </c>
      <c r="J24" s="336">
        <f t="shared" si="0"/>
        <v>3.8771812049265426</v>
      </c>
      <c r="K24" s="260"/>
      <c r="L24" s="338">
        <f t="shared" si="5"/>
        <v>44985</v>
      </c>
      <c r="M24" s="210">
        <f t="shared" si="34"/>
        <v>45016</v>
      </c>
      <c r="N24" s="335">
        <f t="shared" si="29"/>
        <v>27.200828183432495</v>
      </c>
      <c r="O24" s="1382">
        <f t="shared" si="6"/>
        <v>0</v>
      </c>
      <c r="P24" s="335">
        <f t="shared" si="40"/>
        <v>27.200828183432495</v>
      </c>
      <c r="Q24" s="335">
        <f t="shared" si="12"/>
        <v>0.21179384574606894</v>
      </c>
      <c r="R24" s="339">
        <f t="shared" si="43"/>
        <v>0.10150000000000001</v>
      </c>
      <c r="S24" s="1282">
        <f>IF(MOD(MONTH(L24),3)=0,IF($B$4=1,SUMIF(Assumptions!$H$173:$U$173,'Debt repayment Schedule'!M24,Assumptions!$H$175:$U$175)/4,SUMIF(Assumptions!$H$173:$U$173,'Debt repayment Schedule'!M24,Assumptions!$H$184:$U$184)/4),0)</f>
        <v>0</v>
      </c>
      <c r="T24" s="336">
        <f t="shared" si="1"/>
        <v>0.21179384574606894</v>
      </c>
      <c r="U24" s="260"/>
      <c r="V24" s="210">
        <f t="shared" si="13"/>
        <v>44985</v>
      </c>
      <c r="W24" s="210">
        <f t="shared" si="36"/>
        <v>45016</v>
      </c>
      <c r="X24" s="335">
        <f t="shared" si="30"/>
        <v>611.75017300195509</v>
      </c>
      <c r="Y24" s="1382">
        <f t="shared" si="7"/>
        <v>0</v>
      </c>
      <c r="Z24" s="335">
        <f t="shared" si="41"/>
        <v>611.75017300195509</v>
      </c>
      <c r="AA24" s="335">
        <f t="shared" si="14"/>
        <v>4.8336643806510642</v>
      </c>
      <c r="AB24" s="339">
        <f t="shared" si="44"/>
        <v>0.10299999999999999</v>
      </c>
      <c r="AC24" s="337">
        <f>IF(MOD(MONTH(V24),3)=0,IF($B$4=1,SUMIF(Assumptions!$H$173:$U$173,'Debt repayment Schedule'!C24,Assumptions!$H$176:$U$176)/4,SUMIF(Assumptions!$H$173:$U$173,'Debt repayment Schedule'!C24,Assumptions!$H$185:$U$185)/4),0)</f>
        <v>0</v>
      </c>
      <c r="AD24" s="336">
        <f t="shared" si="2"/>
        <v>4.8336643806510642</v>
      </c>
      <c r="AE24" s="260"/>
      <c r="AF24" s="210">
        <f t="shared" si="15"/>
        <v>44985</v>
      </c>
      <c r="AG24" s="210">
        <f t="shared" si="16"/>
        <v>45016</v>
      </c>
      <c r="AH24" s="335">
        <f t="shared" si="17"/>
        <v>51.701631871040007</v>
      </c>
      <c r="AI24" s="1382">
        <f t="shared" si="18"/>
        <v>0</v>
      </c>
      <c r="AJ24" s="335">
        <f t="shared" si="19"/>
        <v>51.701631871040007</v>
      </c>
      <c r="AK24" s="335">
        <f t="shared" si="20"/>
        <v>0</v>
      </c>
      <c r="AL24" s="339">
        <f t="shared" si="45"/>
        <v>0</v>
      </c>
      <c r="AM24" s="337">
        <f>IF(MOD(MONTH(AF24),3)=0,IF($B$4=1,SUMIF(Assumptions!$H$173:$U$173,'Debt repayment Schedule'!M24,Assumptions!$H$176:$U$176)/4,SUMIF(Assumptions!$H$173:$U$173,'Debt repayment Schedule'!M24,Assumptions!$H$185:$U$185)/4),0)</f>
        <v>0</v>
      </c>
      <c r="AN24" s="336">
        <f t="shared" si="21"/>
        <v>0</v>
      </c>
      <c r="AO24" s="260"/>
      <c r="AP24" s="210">
        <f t="shared" si="22"/>
        <v>44985</v>
      </c>
      <c r="AQ24" s="210">
        <f t="shared" si="38"/>
        <v>45016</v>
      </c>
      <c r="AR24" s="335">
        <f t="shared" si="23"/>
        <v>0</v>
      </c>
      <c r="AS24" s="335">
        <f t="shared" si="24"/>
        <v>0</v>
      </c>
      <c r="AT24" s="616">
        <f t="shared" si="25"/>
        <v>0</v>
      </c>
      <c r="AU24" s="335">
        <f t="shared" si="26"/>
        <v>0</v>
      </c>
      <c r="AV24" s="339">
        <f t="shared" si="46"/>
        <v>0.10299999999999999</v>
      </c>
      <c r="AW24" s="337">
        <f>IF(MOD(MONTH(AP24),3)=0,IF($B$4=1,SUMIF(Assumptions!$H$173:$U$173,'Debt repayment Schedule'!W24,Assumptions!$H$176:$U$176)/4,SUMIF(Assumptions!$H$173:$U$173,'Debt repayment Schedule'!W24,Assumptions!$H$185:$U$185)/4),0)</f>
        <v>0</v>
      </c>
      <c r="AX24" s="336">
        <f t="shared" si="3"/>
        <v>0</v>
      </c>
      <c r="AY24" s="260"/>
      <c r="AZ24" s="260">
        <f t="shared" si="27"/>
        <v>0</v>
      </c>
      <c r="BB24" s="260">
        <f t="shared" si="8"/>
        <v>8.9226394313236757</v>
      </c>
      <c r="BC24" s="260"/>
    </row>
    <row r="25" spans="2:56" x14ac:dyDescent="0.35">
      <c r="B25" s="210">
        <f t="shared" si="9"/>
        <v>45016</v>
      </c>
      <c r="C25" s="210">
        <f t="shared" si="32"/>
        <v>45016</v>
      </c>
      <c r="D25" s="335">
        <f t="shared" si="28"/>
        <v>497.94902878190993</v>
      </c>
      <c r="E25" s="336">
        <f t="shared" si="4"/>
        <v>14.924902770029998</v>
      </c>
      <c r="F25" s="335">
        <f t="shared" si="10"/>
        <v>483.02412601187996</v>
      </c>
      <c r="G25" s="335">
        <f t="shared" si="11"/>
        <v>4.2925934768829581</v>
      </c>
      <c r="H25" s="339">
        <f t="shared" si="42"/>
        <v>0.10150000000000001</v>
      </c>
      <c r="I25" s="337">
        <f>IF(MOD(MONTH(B25),3)=0,(IF($B$4=1,SUMIF(Assumptions!$H$173:$U$173,'Debt repayment Schedule'!C25,Assumptions!$H$174:$U$174)/4,SUMIF(Assumptions!$H$173:$U$173,'Debt repayment Schedule'!C25,Assumptions!$H$183:$U$183)/4)),0)</f>
        <v>2.75E-2</v>
      </c>
      <c r="J25" s="336">
        <f t="shared" si="0"/>
        <v>19.217496246912958</v>
      </c>
      <c r="K25" s="260"/>
      <c r="L25" s="338">
        <f t="shared" si="5"/>
        <v>45016</v>
      </c>
      <c r="M25" s="210">
        <f t="shared" si="34"/>
        <v>45016</v>
      </c>
      <c r="N25" s="335">
        <f t="shared" si="29"/>
        <v>27.200828183432495</v>
      </c>
      <c r="O25" s="1382">
        <f t="shared" si="6"/>
        <v>0.81528367852249994</v>
      </c>
      <c r="P25" s="335">
        <f t="shared" si="40"/>
        <v>26.385544504909994</v>
      </c>
      <c r="Q25" s="335">
        <f t="shared" si="12"/>
        <v>0.23448604350457633</v>
      </c>
      <c r="R25" s="339">
        <f t="shared" si="43"/>
        <v>0.10150000000000001</v>
      </c>
      <c r="S25" s="1282">
        <f>IF(MOD(MONTH(L25),3)=0,IF($B$4=1,SUMIF(Assumptions!$H$173:$U$173,'Debt repayment Schedule'!M25,Assumptions!$H$175:$U$175)/4,SUMIF(Assumptions!$H$173:$U$173,'Debt repayment Schedule'!M25,Assumptions!$H$184:$U$184)/4),0)</f>
        <v>2.75E-2</v>
      </c>
      <c r="T25" s="336">
        <f t="shared" si="1"/>
        <v>1.0497697220270763</v>
      </c>
      <c r="U25" s="260"/>
      <c r="V25" s="210">
        <f t="shared" si="13"/>
        <v>45016</v>
      </c>
      <c r="W25" s="210">
        <f t="shared" si="36"/>
        <v>45016</v>
      </c>
      <c r="X25" s="335">
        <f t="shared" si="30"/>
        <v>611.75017300195509</v>
      </c>
      <c r="Y25" s="1382">
        <f t="shared" si="7"/>
        <v>18.335836248014999</v>
      </c>
      <c r="Z25" s="335">
        <f t="shared" si="41"/>
        <v>593.41433675394012</v>
      </c>
      <c r="AA25" s="335">
        <f t="shared" si="14"/>
        <v>5.3515569928636788</v>
      </c>
      <c r="AB25" s="339">
        <f t="shared" si="44"/>
        <v>0.10299999999999999</v>
      </c>
      <c r="AC25" s="337">
        <f>IF(MOD(MONTH(V25),3)=0,IF($B$4=1,SUMIF(Assumptions!$H$173:$U$173,'Debt repayment Schedule'!C25,Assumptions!$H$176:$U$176)/4,SUMIF(Assumptions!$H$173:$U$173,'Debt repayment Schedule'!C25,Assumptions!$H$185:$U$185)/4),0)</f>
        <v>2.75E-2</v>
      </c>
      <c r="AD25" s="336">
        <f t="shared" si="2"/>
        <v>23.687393240878677</v>
      </c>
      <c r="AE25" s="260"/>
      <c r="AF25" s="210">
        <f t="shared" si="15"/>
        <v>45016</v>
      </c>
      <c r="AG25" s="210">
        <f t="shared" si="16"/>
        <v>45016</v>
      </c>
      <c r="AH25" s="335">
        <f t="shared" si="17"/>
        <v>51.701631871040007</v>
      </c>
      <c r="AI25" s="1382">
        <f t="shared" si="18"/>
        <v>1.5496401923200001</v>
      </c>
      <c r="AJ25" s="335">
        <f t="shared" si="19"/>
        <v>50.151991678720009</v>
      </c>
      <c r="AK25" s="335">
        <f t="shared" si="20"/>
        <v>0</v>
      </c>
      <c r="AL25" s="339">
        <f t="shared" si="45"/>
        <v>0</v>
      </c>
      <c r="AM25" s="337">
        <f>IF(MOD(MONTH(AF25),3)=0,IF($B$4=1,SUMIF(Assumptions!$H$173:$U$173,'Debt repayment Schedule'!M25,Assumptions!$H$176:$U$176)/4,SUMIF(Assumptions!$H$173:$U$173,'Debt repayment Schedule'!M25,Assumptions!$H$185:$U$185)/4),0)</f>
        <v>2.75E-2</v>
      </c>
      <c r="AN25" s="336">
        <f t="shared" si="21"/>
        <v>1.5496401923200001</v>
      </c>
      <c r="AO25" s="260"/>
      <c r="AP25" s="210">
        <f t="shared" si="22"/>
        <v>45016</v>
      </c>
      <c r="AQ25" s="210">
        <f t="shared" si="38"/>
        <v>45016</v>
      </c>
      <c r="AR25" s="335">
        <f t="shared" si="23"/>
        <v>0</v>
      </c>
      <c r="AS25" s="335">
        <f t="shared" si="24"/>
        <v>0</v>
      </c>
      <c r="AT25" s="616">
        <f t="shared" si="25"/>
        <v>0</v>
      </c>
      <c r="AU25" s="335">
        <f t="shared" si="26"/>
        <v>0</v>
      </c>
      <c r="AV25" s="339">
        <f t="shared" si="46"/>
        <v>0.10299999999999999</v>
      </c>
      <c r="AW25" s="337">
        <f>IF(MOD(MONTH(AP25),3)=0,IF($B$4=1,SUMIF(Assumptions!$H$173:$U$173,'Debt repayment Schedule'!W25,Assumptions!$H$176:$U$176)/4,SUMIF(Assumptions!$H$173:$U$173,'Debt repayment Schedule'!W25,Assumptions!$H$185:$U$185)/4),0)</f>
        <v>2.75E-2</v>
      </c>
      <c r="AX25" s="336">
        <f t="shared" si="3"/>
        <v>0</v>
      </c>
      <c r="AY25" s="260"/>
      <c r="AZ25" s="260">
        <f t="shared" si="27"/>
        <v>35.625662888887497</v>
      </c>
      <c r="BB25" s="260">
        <f t="shared" si="8"/>
        <v>9.8786365132512124</v>
      </c>
      <c r="BC25" s="260">
        <f>AZ25+SUM(BB23:BB25)</f>
        <v>64.305575346713596</v>
      </c>
      <c r="BD25" s="215">
        <f>BC28</f>
        <v>60.516377221866129</v>
      </c>
    </row>
    <row r="26" spans="2:56" x14ac:dyDescent="0.35">
      <c r="B26" s="210">
        <f t="shared" si="9"/>
        <v>45046</v>
      </c>
      <c r="C26" s="210">
        <f t="shared" si="32"/>
        <v>45382</v>
      </c>
      <c r="D26" s="335">
        <f t="shared" si="28"/>
        <v>483.02412601187996</v>
      </c>
      <c r="E26" s="336">
        <f>$F$10*I26</f>
        <v>0</v>
      </c>
      <c r="F26" s="335">
        <f t="shared" si="10"/>
        <v>483.02412601187996</v>
      </c>
      <c r="G26" s="335">
        <f t="shared" si="11"/>
        <v>4.0296122293319856</v>
      </c>
      <c r="H26" s="339">
        <f t="shared" si="42"/>
        <v>0.10150000000000001</v>
      </c>
      <c r="I26" s="337">
        <f>IF(MOD(MONTH(B26),3)=0,(IF($B$4=1,SUMIF(Assumptions!$H$173:$U$173,'Debt repayment Schedule'!C26,Assumptions!$H$174:$U$174)/4,SUMIF(Assumptions!$H$173:$U$173,'Debt repayment Schedule'!C26,Assumptions!$H$183:$U$183)/4)),0)</f>
        <v>0</v>
      </c>
      <c r="J26" s="336">
        <f t="shared" si="0"/>
        <v>4.0296122293319856</v>
      </c>
      <c r="K26" s="260"/>
      <c r="L26" s="338">
        <f t="shared" si="5"/>
        <v>45046</v>
      </c>
      <c r="M26" s="210">
        <f t="shared" si="34"/>
        <v>45382</v>
      </c>
      <c r="N26" s="335">
        <f t="shared" si="29"/>
        <v>26.385544504909994</v>
      </c>
      <c r="O26" s="1382">
        <f t="shared" si="6"/>
        <v>0</v>
      </c>
      <c r="P26" s="335">
        <f t="shared" si="40"/>
        <v>26.385544504909994</v>
      </c>
      <c r="Q26" s="335">
        <f t="shared" si="12"/>
        <v>0.22012050141767381</v>
      </c>
      <c r="R26" s="339">
        <f t="shared" si="43"/>
        <v>0.10150000000000001</v>
      </c>
      <c r="S26" s="1282">
        <f>IF(MOD(MONTH(L26),3)=0,IF($B$4=1,SUMIF(Assumptions!$H$173:$U$173,'Debt repayment Schedule'!M26,Assumptions!$H$175:$U$175)/4,SUMIF(Assumptions!$H$173:$U$173,'Debt repayment Schedule'!M26,Assumptions!$H$184:$U$184)/4),0)</f>
        <v>0</v>
      </c>
      <c r="T26" s="336">
        <f t="shared" si="1"/>
        <v>0.22012050141767381</v>
      </c>
      <c r="U26" s="260"/>
      <c r="V26" s="210">
        <f t="shared" si="13"/>
        <v>45046</v>
      </c>
      <c r="W26" s="210">
        <f t="shared" si="36"/>
        <v>45382</v>
      </c>
      <c r="X26" s="335">
        <f t="shared" si="30"/>
        <v>593.41433675394012</v>
      </c>
      <c r="Y26" s="1382">
        <f t="shared" si="7"/>
        <v>0</v>
      </c>
      <c r="Z26" s="335">
        <f t="shared" si="41"/>
        <v>593.41433675394012</v>
      </c>
      <c r="AA26" s="335">
        <f t="shared" si="14"/>
        <v>5.0236994536155475</v>
      </c>
      <c r="AB26" s="339">
        <f t="shared" si="44"/>
        <v>0.10299999999999999</v>
      </c>
      <c r="AC26" s="337">
        <f>IF(MOD(MONTH(V26),3)=0,IF($B$4=1,SUMIF(Assumptions!$H$173:$U$173,'Debt repayment Schedule'!C26,Assumptions!$H$176:$U$176)/4,SUMIF(Assumptions!$H$173:$U$173,'Debt repayment Schedule'!C26,Assumptions!$H$185:$U$185)/4),0)</f>
        <v>0</v>
      </c>
      <c r="AD26" s="336">
        <f t="shared" si="2"/>
        <v>5.0236994536155475</v>
      </c>
      <c r="AE26" s="260"/>
      <c r="AF26" s="210">
        <f t="shared" si="15"/>
        <v>45046</v>
      </c>
      <c r="AG26" s="210">
        <f t="shared" si="16"/>
        <v>45382</v>
      </c>
      <c r="AH26" s="335">
        <f t="shared" si="17"/>
        <v>50.151991678720009</v>
      </c>
      <c r="AI26" s="1382">
        <f t="shared" si="18"/>
        <v>0</v>
      </c>
      <c r="AJ26" s="335">
        <f t="shared" si="19"/>
        <v>50.151991678720009</v>
      </c>
      <c r="AK26" s="335">
        <f t="shared" si="20"/>
        <v>0</v>
      </c>
      <c r="AL26" s="339">
        <f t="shared" si="45"/>
        <v>0</v>
      </c>
      <c r="AM26" s="337">
        <f>IF(MOD(MONTH(AF26),3)=0,IF($B$4=1,SUMIF(Assumptions!$H$173:$U$173,'Debt repayment Schedule'!M26,Assumptions!$H$176:$U$176)/4,SUMIF(Assumptions!$H$173:$U$173,'Debt repayment Schedule'!M26,Assumptions!$H$185:$U$185)/4),0)</f>
        <v>0</v>
      </c>
      <c r="AN26" s="336">
        <f t="shared" si="21"/>
        <v>0</v>
      </c>
      <c r="AO26" s="260"/>
      <c r="AP26" s="210">
        <f t="shared" si="22"/>
        <v>45046</v>
      </c>
      <c r="AQ26" s="210">
        <f t="shared" si="38"/>
        <v>45382</v>
      </c>
      <c r="AR26" s="335">
        <f t="shared" si="23"/>
        <v>0</v>
      </c>
      <c r="AS26" s="335">
        <f t="shared" si="24"/>
        <v>0</v>
      </c>
      <c r="AT26" s="616">
        <f t="shared" si="25"/>
        <v>0</v>
      </c>
      <c r="AU26" s="335">
        <f t="shared" si="26"/>
        <v>0</v>
      </c>
      <c r="AV26" s="339">
        <f t="shared" si="46"/>
        <v>0.10299999999999999</v>
      </c>
      <c r="AW26" s="337">
        <f>IF(MOD(MONTH(AP26),3)=0,IF($B$4=1,SUMIF(Assumptions!$H$173:$U$173,'Debt repayment Schedule'!W26,Assumptions!$H$176:$U$176)/4,SUMIF(Assumptions!$H$173:$U$173,'Debt repayment Schedule'!W26,Assumptions!$H$185:$U$185)/4),0)</f>
        <v>0</v>
      </c>
      <c r="AX26" s="336">
        <f t="shared" si="3"/>
        <v>0</v>
      </c>
      <c r="AY26" s="260"/>
      <c r="AZ26" s="260">
        <f t="shared" si="27"/>
        <v>0</v>
      </c>
      <c r="BB26" s="260">
        <f t="shared" si="8"/>
        <v>9.2734321843652072</v>
      </c>
      <c r="BC26" s="260"/>
    </row>
    <row r="27" spans="2:56" x14ac:dyDescent="0.35">
      <c r="B27" s="210">
        <f t="shared" si="9"/>
        <v>45077</v>
      </c>
      <c r="C27" s="210">
        <f t="shared" si="32"/>
        <v>45382</v>
      </c>
      <c r="D27" s="335">
        <f t="shared" si="28"/>
        <v>483.02412601187996</v>
      </c>
      <c r="E27" s="336">
        <f t="shared" si="4"/>
        <v>0</v>
      </c>
      <c r="F27" s="335">
        <f t="shared" si="10"/>
        <v>483.02412601187996</v>
      </c>
      <c r="G27" s="335">
        <f t="shared" si="11"/>
        <v>4.1639326369763854</v>
      </c>
      <c r="H27" s="339">
        <f t="shared" si="42"/>
        <v>0.10150000000000001</v>
      </c>
      <c r="I27" s="337">
        <f>IF(MOD(MONTH(B27),3)=0,(IF($B$4=1,SUMIF(Assumptions!$H$173:$U$173,'Debt repayment Schedule'!C27,Assumptions!$H$174:$U$174)/4,SUMIF(Assumptions!$H$173:$U$173,'Debt repayment Schedule'!C27,Assumptions!$H$183:$U$183)/4)),0)</f>
        <v>0</v>
      </c>
      <c r="J27" s="336">
        <f t="shared" si="0"/>
        <v>4.1639326369763854</v>
      </c>
      <c r="K27" s="260"/>
      <c r="L27" s="338">
        <f t="shared" si="5"/>
        <v>45077</v>
      </c>
      <c r="M27" s="210">
        <f t="shared" si="34"/>
        <v>45382</v>
      </c>
      <c r="N27" s="335">
        <f t="shared" si="29"/>
        <v>26.385544504909994</v>
      </c>
      <c r="O27" s="1382">
        <f t="shared" si="6"/>
        <v>0</v>
      </c>
      <c r="P27" s="335">
        <f t="shared" si="40"/>
        <v>26.385544504909994</v>
      </c>
      <c r="Q27" s="335">
        <f t="shared" si="12"/>
        <v>0.22745785146492958</v>
      </c>
      <c r="R27" s="339">
        <f t="shared" si="43"/>
        <v>0.10150000000000001</v>
      </c>
      <c r="S27" s="1282">
        <f>IF(MOD(MONTH(L27),3)=0,IF($B$4=1,SUMIF(Assumptions!$H$173:$U$173,'Debt repayment Schedule'!M27,Assumptions!$H$175:$U$175)/4,SUMIF(Assumptions!$H$173:$U$173,'Debt repayment Schedule'!M27,Assumptions!$H$184:$U$184)/4),0)</f>
        <v>0</v>
      </c>
      <c r="T27" s="336">
        <f t="shared" si="1"/>
        <v>0.22745785146492958</v>
      </c>
      <c r="U27" s="260"/>
      <c r="V27" s="210">
        <f t="shared" si="13"/>
        <v>45077</v>
      </c>
      <c r="W27" s="210">
        <f t="shared" si="36"/>
        <v>45382</v>
      </c>
      <c r="X27" s="335">
        <f t="shared" si="30"/>
        <v>593.41433675394012</v>
      </c>
      <c r="Y27" s="1382">
        <f t="shared" si="7"/>
        <v>0</v>
      </c>
      <c r="Z27" s="335">
        <f t="shared" si="41"/>
        <v>593.41433675394012</v>
      </c>
      <c r="AA27" s="335">
        <f t="shared" si="14"/>
        <v>5.1911561020693995</v>
      </c>
      <c r="AB27" s="339">
        <f t="shared" si="44"/>
        <v>0.10299999999999999</v>
      </c>
      <c r="AC27" s="337">
        <f>IF(MOD(MONTH(V27),3)=0,IF($B$4=1,SUMIF(Assumptions!$H$173:$U$173,'Debt repayment Schedule'!C27,Assumptions!$H$176:$U$176)/4,SUMIF(Assumptions!$H$173:$U$173,'Debt repayment Schedule'!C27,Assumptions!$H$185:$U$185)/4),0)</f>
        <v>0</v>
      </c>
      <c r="AD27" s="336">
        <f t="shared" si="2"/>
        <v>5.1911561020693995</v>
      </c>
      <c r="AE27" s="260"/>
      <c r="AF27" s="210">
        <f t="shared" si="15"/>
        <v>45077</v>
      </c>
      <c r="AG27" s="210">
        <f t="shared" si="16"/>
        <v>45382</v>
      </c>
      <c r="AH27" s="335">
        <f t="shared" si="17"/>
        <v>50.151991678720009</v>
      </c>
      <c r="AI27" s="1382">
        <f t="shared" si="18"/>
        <v>0</v>
      </c>
      <c r="AJ27" s="335">
        <f t="shared" si="19"/>
        <v>50.151991678720009</v>
      </c>
      <c r="AK27" s="335">
        <f t="shared" si="20"/>
        <v>0</v>
      </c>
      <c r="AL27" s="339">
        <f t="shared" si="45"/>
        <v>0</v>
      </c>
      <c r="AM27" s="337">
        <f>IF(MOD(MONTH(AF27),3)=0,IF($B$4=1,SUMIF(Assumptions!$H$173:$U$173,'Debt repayment Schedule'!M27,Assumptions!$H$176:$U$176)/4,SUMIF(Assumptions!$H$173:$U$173,'Debt repayment Schedule'!M27,Assumptions!$H$185:$U$185)/4),0)</f>
        <v>0</v>
      </c>
      <c r="AN27" s="336">
        <f t="shared" si="21"/>
        <v>0</v>
      </c>
      <c r="AO27" s="260"/>
      <c r="AP27" s="210">
        <f t="shared" si="22"/>
        <v>45077</v>
      </c>
      <c r="AQ27" s="210">
        <f t="shared" si="38"/>
        <v>45382</v>
      </c>
      <c r="AR27" s="335">
        <f t="shared" si="23"/>
        <v>0</v>
      </c>
      <c r="AS27" s="335">
        <f t="shared" si="24"/>
        <v>0</v>
      </c>
      <c r="AT27" s="616">
        <f t="shared" si="25"/>
        <v>0</v>
      </c>
      <c r="AU27" s="335">
        <f t="shared" si="26"/>
        <v>0</v>
      </c>
      <c r="AV27" s="339">
        <f t="shared" si="46"/>
        <v>0.10299999999999999</v>
      </c>
      <c r="AW27" s="337">
        <f>IF(MOD(MONTH(AP27),3)=0,IF($B$4=1,SUMIF(Assumptions!$H$173:$U$173,'Debt repayment Schedule'!W27,Assumptions!$H$176:$U$176)/4,SUMIF(Assumptions!$H$173:$U$173,'Debt repayment Schedule'!W27,Assumptions!$H$185:$U$185)/4),0)</f>
        <v>0</v>
      </c>
      <c r="AX27" s="336">
        <f t="shared" si="3"/>
        <v>0</v>
      </c>
      <c r="AY27" s="260"/>
      <c r="AZ27" s="260">
        <f t="shared" si="27"/>
        <v>0</v>
      </c>
      <c r="BB27" s="260">
        <f t="shared" si="8"/>
        <v>9.5825465905107148</v>
      </c>
      <c r="BC27" s="260"/>
    </row>
    <row r="28" spans="2:56" x14ac:dyDescent="0.35">
      <c r="B28" s="210">
        <f t="shared" si="9"/>
        <v>45107</v>
      </c>
      <c r="C28" s="210">
        <f t="shared" si="32"/>
        <v>45382</v>
      </c>
      <c r="D28" s="335">
        <f t="shared" si="28"/>
        <v>483.02412601187996</v>
      </c>
      <c r="E28" s="336">
        <f t="shared" si="4"/>
        <v>13.568093427299999</v>
      </c>
      <c r="F28" s="335">
        <f t="shared" si="10"/>
        <v>469.45603258457993</v>
      </c>
      <c r="G28" s="335">
        <f t="shared" si="11"/>
        <v>4.0296122293319856</v>
      </c>
      <c r="H28" s="339">
        <f t="shared" si="42"/>
        <v>0.10150000000000001</v>
      </c>
      <c r="I28" s="337">
        <f>IF(MOD(MONTH(B28),3)=0,(IF($B$4=1,SUMIF(Assumptions!$H$173:$U$173,'Debt repayment Schedule'!C28,Assumptions!$H$174:$U$174)/4,SUMIF(Assumptions!$H$173:$U$173,'Debt repayment Schedule'!C28,Assumptions!$H$183:$U$183)/4)),0)</f>
        <v>2.5000000000000001E-2</v>
      </c>
      <c r="J28" s="336">
        <f t="shared" si="0"/>
        <v>17.597705656631984</v>
      </c>
      <c r="K28" s="260"/>
      <c r="L28" s="338">
        <f t="shared" si="5"/>
        <v>45107</v>
      </c>
      <c r="M28" s="210">
        <f t="shared" si="34"/>
        <v>45382</v>
      </c>
      <c r="N28" s="335">
        <f t="shared" si="29"/>
        <v>26.385544504909994</v>
      </c>
      <c r="O28" s="1382">
        <f t="shared" si="6"/>
        <v>0.74116698047500007</v>
      </c>
      <c r="P28" s="335">
        <f t="shared" si="40"/>
        <v>25.644377524434994</v>
      </c>
      <c r="Q28" s="335">
        <f t="shared" si="12"/>
        <v>0.22012050141767381</v>
      </c>
      <c r="R28" s="339">
        <f t="shared" si="43"/>
        <v>0.10150000000000001</v>
      </c>
      <c r="S28" s="1282">
        <f>IF(MOD(MONTH(L28),3)=0,IF($B$4=1,SUMIF(Assumptions!$H$173:$U$173,'Debt repayment Schedule'!M28,Assumptions!$H$175:$U$175)/4,SUMIF(Assumptions!$H$173:$U$173,'Debt repayment Schedule'!M28,Assumptions!$H$184:$U$184)/4),0)</f>
        <v>2.5000000000000001E-2</v>
      </c>
      <c r="T28" s="336">
        <f t="shared" si="1"/>
        <v>0.96128748189267388</v>
      </c>
      <c r="U28" s="260"/>
      <c r="V28" s="210">
        <f t="shared" si="13"/>
        <v>45107</v>
      </c>
      <c r="W28" s="210">
        <f t="shared" si="36"/>
        <v>45382</v>
      </c>
      <c r="X28" s="335">
        <f t="shared" si="30"/>
        <v>593.41433675394012</v>
      </c>
      <c r="Y28" s="1382">
        <f t="shared" si="7"/>
        <v>16.668942043650002</v>
      </c>
      <c r="Z28" s="335">
        <f t="shared" si="41"/>
        <v>576.74539471029016</v>
      </c>
      <c r="AA28" s="335">
        <f t="shared" si="14"/>
        <v>5.0236994536155475</v>
      </c>
      <c r="AB28" s="339">
        <f t="shared" si="44"/>
        <v>0.10299999999999999</v>
      </c>
      <c r="AC28" s="337">
        <f>IF(MOD(MONTH(V28),3)=0,IF($B$4=1,SUMIF(Assumptions!$H$173:$U$173,'Debt repayment Schedule'!C28,Assumptions!$H$176:$U$176)/4,SUMIF(Assumptions!$H$173:$U$173,'Debt repayment Schedule'!C28,Assumptions!$H$185:$U$185)/4),0)</f>
        <v>2.5000000000000001E-2</v>
      </c>
      <c r="AD28" s="336">
        <f t="shared" si="2"/>
        <v>21.692641497265548</v>
      </c>
      <c r="AE28" s="260"/>
      <c r="AF28" s="210">
        <f t="shared" si="15"/>
        <v>45107</v>
      </c>
      <c r="AG28" s="210">
        <f t="shared" si="16"/>
        <v>45382</v>
      </c>
      <c r="AH28" s="335">
        <f t="shared" si="17"/>
        <v>50.151991678720009</v>
      </c>
      <c r="AI28" s="1382">
        <f t="shared" si="18"/>
        <v>1.4087638112</v>
      </c>
      <c r="AJ28" s="335">
        <f t="shared" si="19"/>
        <v>48.743227867520005</v>
      </c>
      <c r="AK28" s="335">
        <f t="shared" si="20"/>
        <v>0</v>
      </c>
      <c r="AL28" s="339">
        <f t="shared" si="45"/>
        <v>0</v>
      </c>
      <c r="AM28" s="337">
        <f>IF(MOD(MONTH(AF28),3)=0,IF($B$4=1,SUMIF(Assumptions!$H$173:$U$173,'Debt repayment Schedule'!M28,Assumptions!$H$176:$U$176)/4,SUMIF(Assumptions!$H$173:$U$173,'Debt repayment Schedule'!M28,Assumptions!$H$185:$U$185)/4),0)</f>
        <v>2.5000000000000001E-2</v>
      </c>
      <c r="AN28" s="336">
        <f t="shared" si="21"/>
        <v>1.4087638112</v>
      </c>
      <c r="AO28" s="260"/>
      <c r="AP28" s="210">
        <f t="shared" si="22"/>
        <v>45107</v>
      </c>
      <c r="AQ28" s="210">
        <f t="shared" si="38"/>
        <v>45382</v>
      </c>
      <c r="AR28" s="335">
        <f t="shared" si="23"/>
        <v>0</v>
      </c>
      <c r="AS28" s="335">
        <f t="shared" si="24"/>
        <v>0</v>
      </c>
      <c r="AT28" s="616">
        <f t="shared" si="25"/>
        <v>0</v>
      </c>
      <c r="AU28" s="335">
        <f t="shared" si="26"/>
        <v>0</v>
      </c>
      <c r="AV28" s="339">
        <f t="shared" si="46"/>
        <v>0.10299999999999999</v>
      </c>
      <c r="AW28" s="337">
        <f>IF(MOD(MONTH(AP28),3)=0,IF($B$4=1,SUMIF(Assumptions!$H$173:$U$173,'Debt repayment Schedule'!W28,Assumptions!$H$176:$U$176)/4,SUMIF(Assumptions!$H$173:$U$173,'Debt repayment Schedule'!W28,Assumptions!$H$185:$U$185)/4),0)</f>
        <v>2.5000000000000001E-2</v>
      </c>
      <c r="AX28" s="336">
        <f t="shared" si="3"/>
        <v>0</v>
      </c>
      <c r="AY28" s="260"/>
      <c r="AZ28" s="260">
        <f t="shared" si="27"/>
        <v>32.386966262625002</v>
      </c>
      <c r="BB28" s="260">
        <f t="shared" si="8"/>
        <v>9.2734321843652072</v>
      </c>
      <c r="BC28" s="260">
        <f>AZ28+SUM(BB26:BB28)</f>
        <v>60.516377221866129</v>
      </c>
    </row>
    <row r="29" spans="2:56" x14ac:dyDescent="0.35">
      <c r="B29" s="210">
        <f t="shared" si="9"/>
        <v>45138</v>
      </c>
      <c r="C29" s="210">
        <f t="shared" si="32"/>
        <v>45382</v>
      </c>
      <c r="D29" s="335">
        <f t="shared" si="28"/>
        <v>469.45603258457993</v>
      </c>
      <c r="E29" s="336">
        <f t="shared" si="4"/>
        <v>0</v>
      </c>
      <c r="F29" s="335">
        <f t="shared" si="10"/>
        <v>469.45603258457993</v>
      </c>
      <c r="G29" s="335">
        <f t="shared" si="11"/>
        <v>4.0469682370613178</v>
      </c>
      <c r="H29" s="339">
        <f t="shared" si="42"/>
        <v>0.10150000000000001</v>
      </c>
      <c r="I29" s="337">
        <f>IF(MOD(MONTH(B29),3)=0,(IF($B$4=1,SUMIF(Assumptions!$H$173:$U$173,'Debt repayment Schedule'!C29,Assumptions!$H$174:$U$174)/4,SUMIF(Assumptions!$H$173:$U$173,'Debt repayment Schedule'!C29,Assumptions!$H$183:$U$183)/4)),0)</f>
        <v>0</v>
      </c>
      <c r="J29" s="336">
        <f t="shared" si="0"/>
        <v>4.0469682370613178</v>
      </c>
      <c r="K29" s="260"/>
      <c r="L29" s="338">
        <f t="shared" si="5"/>
        <v>45138</v>
      </c>
      <c r="M29" s="210">
        <f t="shared" si="34"/>
        <v>45382</v>
      </c>
      <c r="N29" s="335">
        <f t="shared" si="29"/>
        <v>25.644377524434994</v>
      </c>
      <c r="O29" s="1382">
        <f t="shared" si="6"/>
        <v>0</v>
      </c>
      <c r="P29" s="335">
        <f t="shared" si="40"/>
        <v>25.644377524434994</v>
      </c>
      <c r="Q29" s="335">
        <f t="shared" si="12"/>
        <v>0.22106858597434167</v>
      </c>
      <c r="R29" s="339">
        <f t="shared" si="43"/>
        <v>0.10150000000000001</v>
      </c>
      <c r="S29" s="1282">
        <f>IF(MOD(MONTH(L29),3)=0,IF($B$4=1,SUMIF(Assumptions!$H$173:$U$173,'Debt repayment Schedule'!M29,Assumptions!$H$175:$U$175)/4,SUMIF(Assumptions!$H$173:$U$173,'Debt repayment Schedule'!M29,Assumptions!$H$184:$U$184)/4),0)</f>
        <v>0</v>
      </c>
      <c r="T29" s="336">
        <f t="shared" si="1"/>
        <v>0.22106858597434167</v>
      </c>
      <c r="U29" s="260"/>
      <c r="V29" s="210">
        <f t="shared" si="13"/>
        <v>45138</v>
      </c>
      <c r="W29" s="210">
        <f t="shared" si="36"/>
        <v>45382</v>
      </c>
      <c r="X29" s="335">
        <f t="shared" si="30"/>
        <v>576.74539471029016</v>
      </c>
      <c r="Y29" s="1382">
        <f t="shared" si="7"/>
        <v>0</v>
      </c>
      <c r="Z29" s="335">
        <f t="shared" si="41"/>
        <v>576.74539471029016</v>
      </c>
      <c r="AA29" s="335">
        <f t="shared" si="14"/>
        <v>5.0453371104382363</v>
      </c>
      <c r="AB29" s="339">
        <f t="shared" si="44"/>
        <v>0.10299999999999999</v>
      </c>
      <c r="AC29" s="337">
        <f>IF(MOD(MONTH(V29),3)=0,IF($B$4=1,SUMIF(Assumptions!$H$173:$U$173,'Debt repayment Schedule'!C29,Assumptions!$H$176:$U$176)/4,SUMIF(Assumptions!$H$173:$U$173,'Debt repayment Schedule'!C29,Assumptions!$H$185:$U$185)/4),0)</f>
        <v>0</v>
      </c>
      <c r="AD29" s="336">
        <f t="shared" si="2"/>
        <v>5.0453371104382363</v>
      </c>
      <c r="AE29" s="260"/>
      <c r="AF29" s="210">
        <f t="shared" si="15"/>
        <v>45138</v>
      </c>
      <c r="AG29" s="210">
        <f t="shared" si="16"/>
        <v>45382</v>
      </c>
      <c r="AH29" s="335">
        <f t="shared" si="17"/>
        <v>48.743227867520005</v>
      </c>
      <c r="AI29" s="1382">
        <f t="shared" si="18"/>
        <v>0</v>
      </c>
      <c r="AJ29" s="335">
        <f t="shared" si="19"/>
        <v>48.743227867520005</v>
      </c>
      <c r="AK29" s="335">
        <f t="shared" si="20"/>
        <v>0</v>
      </c>
      <c r="AL29" s="339">
        <f t="shared" si="45"/>
        <v>0</v>
      </c>
      <c r="AM29" s="337">
        <f>IF(MOD(MONTH(AF29),3)=0,IF($B$4=1,SUMIF(Assumptions!$H$173:$U$173,'Debt repayment Schedule'!M29,Assumptions!$H$176:$U$176)/4,SUMIF(Assumptions!$H$173:$U$173,'Debt repayment Schedule'!M29,Assumptions!$H$185:$U$185)/4),0)</f>
        <v>0</v>
      </c>
      <c r="AN29" s="336">
        <f t="shared" si="21"/>
        <v>0</v>
      </c>
      <c r="AO29" s="260"/>
      <c r="AP29" s="210">
        <f t="shared" si="22"/>
        <v>45138</v>
      </c>
      <c r="AQ29" s="210">
        <f t="shared" si="38"/>
        <v>45382</v>
      </c>
      <c r="AR29" s="335">
        <f t="shared" si="23"/>
        <v>0</v>
      </c>
      <c r="AS29" s="335">
        <f t="shared" si="24"/>
        <v>0</v>
      </c>
      <c r="AT29" s="616">
        <f t="shared" si="25"/>
        <v>0</v>
      </c>
      <c r="AU29" s="335">
        <f t="shared" si="26"/>
        <v>0</v>
      </c>
      <c r="AV29" s="339">
        <f t="shared" si="46"/>
        <v>0.10299999999999999</v>
      </c>
      <c r="AW29" s="337">
        <f>IF(MOD(MONTH(AP29),3)=0,IF($B$4=1,SUMIF(Assumptions!$H$173:$U$173,'Debt repayment Schedule'!W29,Assumptions!$H$176:$U$176)/4,SUMIF(Assumptions!$H$173:$U$173,'Debt repayment Schedule'!W29,Assumptions!$H$185:$U$185)/4),0)</f>
        <v>0</v>
      </c>
      <c r="AX29" s="336">
        <f t="shared" si="3"/>
        <v>0</v>
      </c>
      <c r="AY29" s="260"/>
      <c r="AZ29" s="260">
        <f t="shared" si="27"/>
        <v>0</v>
      </c>
      <c r="BB29" s="260">
        <f t="shared" si="8"/>
        <v>9.3133739334738959</v>
      </c>
      <c r="BC29" s="260"/>
    </row>
    <row r="30" spans="2:56" x14ac:dyDescent="0.35">
      <c r="B30" s="210">
        <f t="shared" si="9"/>
        <v>45169</v>
      </c>
      <c r="C30" s="210">
        <f t="shared" si="32"/>
        <v>45382</v>
      </c>
      <c r="D30" s="335">
        <f t="shared" si="28"/>
        <v>469.45603258457993</v>
      </c>
      <c r="E30" s="336">
        <f t="shared" si="4"/>
        <v>0</v>
      </c>
      <c r="F30" s="335">
        <f t="shared" si="10"/>
        <v>469.45603258457993</v>
      </c>
      <c r="G30" s="335">
        <f t="shared" si="11"/>
        <v>4.0469682370613178</v>
      </c>
      <c r="H30" s="339">
        <f t="shared" si="42"/>
        <v>0.10150000000000001</v>
      </c>
      <c r="I30" s="337">
        <f>IF(MOD(MONTH(B30),3)=0,(IF($B$4=1,SUMIF(Assumptions!$H$173:$U$173,'Debt repayment Schedule'!C30,Assumptions!$H$174:$U$174)/4,SUMIF(Assumptions!$H$173:$U$173,'Debt repayment Schedule'!C30,Assumptions!$H$183:$U$183)/4)),0)</f>
        <v>0</v>
      </c>
      <c r="J30" s="336">
        <f t="shared" si="0"/>
        <v>4.0469682370613178</v>
      </c>
      <c r="K30" s="260"/>
      <c r="L30" s="338">
        <f t="shared" si="5"/>
        <v>45169</v>
      </c>
      <c r="M30" s="210">
        <f t="shared" si="34"/>
        <v>45382</v>
      </c>
      <c r="N30" s="335">
        <f t="shared" si="29"/>
        <v>25.644377524434994</v>
      </c>
      <c r="O30" s="1382">
        <f t="shared" si="6"/>
        <v>0</v>
      </c>
      <c r="P30" s="335">
        <f t="shared" si="40"/>
        <v>25.644377524434994</v>
      </c>
      <c r="Q30" s="335">
        <f t="shared" si="12"/>
        <v>0.22106858597434167</v>
      </c>
      <c r="R30" s="339">
        <f t="shared" si="43"/>
        <v>0.10150000000000001</v>
      </c>
      <c r="S30" s="1282">
        <f>IF(MOD(MONTH(L30),3)=0,IF($B$4=1,SUMIF(Assumptions!$H$173:$U$173,'Debt repayment Schedule'!M30,Assumptions!$H$175:$U$175)/4,SUMIF(Assumptions!$H$173:$U$173,'Debt repayment Schedule'!M30,Assumptions!$H$184:$U$184)/4),0)</f>
        <v>0</v>
      </c>
      <c r="T30" s="336">
        <f t="shared" si="1"/>
        <v>0.22106858597434167</v>
      </c>
      <c r="U30" s="260"/>
      <c r="V30" s="210">
        <f t="shared" si="13"/>
        <v>45169</v>
      </c>
      <c r="W30" s="210">
        <f t="shared" si="36"/>
        <v>45382</v>
      </c>
      <c r="X30" s="335">
        <f t="shared" si="30"/>
        <v>576.74539471029016</v>
      </c>
      <c r="Y30" s="1382">
        <f t="shared" si="7"/>
        <v>0</v>
      </c>
      <c r="Z30" s="335">
        <f t="shared" si="41"/>
        <v>576.74539471029016</v>
      </c>
      <c r="AA30" s="335">
        <f t="shared" si="14"/>
        <v>5.0453371104382363</v>
      </c>
      <c r="AB30" s="339">
        <f t="shared" si="44"/>
        <v>0.10299999999999999</v>
      </c>
      <c r="AC30" s="337">
        <f>IF(MOD(MONTH(V30),3)=0,IF($B$4=1,SUMIF(Assumptions!$H$173:$U$173,'Debt repayment Schedule'!C30,Assumptions!$H$176:$U$176)/4,SUMIF(Assumptions!$H$173:$U$173,'Debt repayment Schedule'!C30,Assumptions!$H$185:$U$185)/4),0)</f>
        <v>0</v>
      </c>
      <c r="AD30" s="336">
        <f t="shared" si="2"/>
        <v>5.0453371104382363</v>
      </c>
      <c r="AE30" s="260"/>
      <c r="AF30" s="210">
        <f t="shared" si="15"/>
        <v>45169</v>
      </c>
      <c r="AG30" s="210">
        <f t="shared" si="16"/>
        <v>45382</v>
      </c>
      <c r="AH30" s="335">
        <f t="shared" si="17"/>
        <v>48.743227867520005</v>
      </c>
      <c r="AI30" s="1382">
        <f t="shared" si="18"/>
        <v>0</v>
      </c>
      <c r="AJ30" s="335">
        <f t="shared" si="19"/>
        <v>48.743227867520005</v>
      </c>
      <c r="AK30" s="335">
        <f t="shared" si="20"/>
        <v>0</v>
      </c>
      <c r="AL30" s="339">
        <f t="shared" si="45"/>
        <v>0</v>
      </c>
      <c r="AM30" s="337">
        <f>IF(MOD(MONTH(AF30),3)=0,IF($B$4=1,SUMIF(Assumptions!$H$173:$U$173,'Debt repayment Schedule'!M30,Assumptions!$H$176:$U$176)/4,SUMIF(Assumptions!$H$173:$U$173,'Debt repayment Schedule'!M30,Assumptions!$H$185:$U$185)/4),0)</f>
        <v>0</v>
      </c>
      <c r="AN30" s="336">
        <f t="shared" si="21"/>
        <v>0</v>
      </c>
      <c r="AO30" s="260"/>
      <c r="AP30" s="210">
        <f t="shared" si="22"/>
        <v>45169</v>
      </c>
      <c r="AQ30" s="210">
        <f t="shared" si="38"/>
        <v>45382</v>
      </c>
      <c r="AR30" s="335">
        <f t="shared" si="23"/>
        <v>0</v>
      </c>
      <c r="AS30" s="335">
        <f t="shared" si="24"/>
        <v>0</v>
      </c>
      <c r="AT30" s="616">
        <f t="shared" si="25"/>
        <v>0</v>
      </c>
      <c r="AU30" s="335">
        <f t="shared" si="26"/>
        <v>0</v>
      </c>
      <c r="AV30" s="339">
        <f t="shared" si="46"/>
        <v>0.10299999999999999</v>
      </c>
      <c r="AW30" s="337">
        <f>IF(MOD(MONTH(AP30),3)=0,IF($B$4=1,SUMIF(Assumptions!$H$173:$U$173,'Debt repayment Schedule'!W30,Assumptions!$H$176:$U$176)/4,SUMIF(Assumptions!$H$173:$U$173,'Debt repayment Schedule'!W30,Assumptions!$H$185:$U$185)/4),0)</f>
        <v>0</v>
      </c>
      <c r="AX30" s="336">
        <f t="shared" si="3"/>
        <v>0</v>
      </c>
      <c r="AY30" s="260"/>
      <c r="AZ30" s="260">
        <f t="shared" si="27"/>
        <v>0</v>
      </c>
      <c r="BB30" s="260">
        <f t="shared" si="8"/>
        <v>9.3133739334738959</v>
      </c>
      <c r="BC30" s="260"/>
    </row>
    <row r="31" spans="2:56" x14ac:dyDescent="0.35">
      <c r="B31" s="210">
        <f t="shared" si="9"/>
        <v>45199</v>
      </c>
      <c r="C31" s="210">
        <f t="shared" si="32"/>
        <v>45382</v>
      </c>
      <c r="D31" s="335">
        <f t="shared" si="28"/>
        <v>469.45603258457993</v>
      </c>
      <c r="E31" s="336">
        <f t="shared" si="4"/>
        <v>13.568093427299999</v>
      </c>
      <c r="F31" s="335">
        <f t="shared" si="10"/>
        <v>455.8879391572799</v>
      </c>
      <c r="G31" s="335">
        <f t="shared" si="11"/>
        <v>3.9164208745754685</v>
      </c>
      <c r="H31" s="339">
        <f t="shared" si="42"/>
        <v>0.10150000000000001</v>
      </c>
      <c r="I31" s="337">
        <f>IF(MOD(MONTH(B31),3)=0,(IF($B$4=1,SUMIF(Assumptions!$H$173:$U$173,'Debt repayment Schedule'!C31,Assumptions!$H$174:$U$174)/4,SUMIF(Assumptions!$H$173:$U$173,'Debt repayment Schedule'!C31,Assumptions!$H$183:$U$183)/4)),0)</f>
        <v>2.5000000000000001E-2</v>
      </c>
      <c r="J31" s="336">
        <f t="shared" si="0"/>
        <v>17.484514301875468</v>
      </c>
      <c r="K31" s="260"/>
      <c r="L31" s="338">
        <f t="shared" si="5"/>
        <v>45199</v>
      </c>
      <c r="M31" s="210">
        <f t="shared" si="34"/>
        <v>45382</v>
      </c>
      <c r="N31" s="335">
        <f t="shared" si="29"/>
        <v>25.644377524434994</v>
      </c>
      <c r="O31" s="1382">
        <f t="shared" si="6"/>
        <v>0.74116698047500007</v>
      </c>
      <c r="P31" s="335">
        <f t="shared" si="40"/>
        <v>24.903210543959993</v>
      </c>
      <c r="Q31" s="335">
        <f t="shared" si="12"/>
        <v>0.21393734126549194</v>
      </c>
      <c r="R31" s="339">
        <f t="shared" si="43"/>
        <v>0.10150000000000001</v>
      </c>
      <c r="S31" s="1282">
        <f>IF(MOD(MONTH(L31),3)=0,IF($B$4=1,SUMIF(Assumptions!$H$173:$U$173,'Debt repayment Schedule'!M31,Assumptions!$H$175:$U$175)/4,SUMIF(Assumptions!$H$173:$U$173,'Debt repayment Schedule'!M31,Assumptions!$H$184:$U$184)/4),0)</f>
        <v>2.5000000000000001E-2</v>
      </c>
      <c r="T31" s="336">
        <f t="shared" si="1"/>
        <v>0.95510432174049198</v>
      </c>
      <c r="U31" s="260"/>
      <c r="V31" s="210">
        <f t="shared" si="13"/>
        <v>45199</v>
      </c>
      <c r="W31" s="210">
        <f t="shared" si="36"/>
        <v>45382</v>
      </c>
      <c r="X31" s="335">
        <f t="shared" si="30"/>
        <v>576.74539471029016</v>
      </c>
      <c r="Y31" s="1382">
        <f t="shared" si="7"/>
        <v>16.668942043650002</v>
      </c>
      <c r="Z31" s="335">
        <f t="shared" si="41"/>
        <v>560.07645266664019</v>
      </c>
      <c r="AA31" s="335">
        <f t="shared" si="14"/>
        <v>4.8825843004240994</v>
      </c>
      <c r="AB31" s="339">
        <f t="shared" si="44"/>
        <v>0.10299999999999999</v>
      </c>
      <c r="AC31" s="337">
        <f>IF(MOD(MONTH(V31),3)=0,IF($B$4=1,SUMIF(Assumptions!$H$173:$U$173,'Debt repayment Schedule'!C31,Assumptions!$H$176:$U$176)/4,SUMIF(Assumptions!$H$173:$U$173,'Debt repayment Schedule'!C31,Assumptions!$H$185:$U$185)/4),0)</f>
        <v>2.5000000000000001E-2</v>
      </c>
      <c r="AD31" s="336">
        <f t="shared" si="2"/>
        <v>21.551526344074102</v>
      </c>
      <c r="AE31" s="260"/>
      <c r="AF31" s="210">
        <f t="shared" si="15"/>
        <v>45199</v>
      </c>
      <c r="AG31" s="210">
        <f t="shared" si="16"/>
        <v>45382</v>
      </c>
      <c r="AH31" s="335">
        <f t="shared" si="17"/>
        <v>48.743227867520005</v>
      </c>
      <c r="AI31" s="1382">
        <f t="shared" si="18"/>
        <v>1.4087638112</v>
      </c>
      <c r="AJ31" s="335">
        <f t="shared" si="19"/>
        <v>47.334464056320002</v>
      </c>
      <c r="AK31" s="335">
        <f t="shared" si="20"/>
        <v>0</v>
      </c>
      <c r="AL31" s="339">
        <f t="shared" si="45"/>
        <v>0</v>
      </c>
      <c r="AM31" s="337">
        <f>IF(MOD(MONTH(AF31),3)=0,IF($B$4=1,SUMIF(Assumptions!$H$173:$U$173,'Debt repayment Schedule'!M31,Assumptions!$H$176:$U$176)/4,SUMIF(Assumptions!$H$173:$U$173,'Debt repayment Schedule'!M31,Assumptions!$H$185:$U$185)/4),0)</f>
        <v>2.5000000000000001E-2</v>
      </c>
      <c r="AN31" s="336">
        <f t="shared" si="21"/>
        <v>1.4087638112</v>
      </c>
      <c r="AO31" s="260"/>
      <c r="AP31" s="210">
        <f t="shared" si="22"/>
        <v>45199</v>
      </c>
      <c r="AQ31" s="210">
        <f t="shared" si="38"/>
        <v>45382</v>
      </c>
      <c r="AR31" s="335">
        <f t="shared" si="23"/>
        <v>0</v>
      </c>
      <c r="AS31" s="335">
        <f t="shared" si="24"/>
        <v>0</v>
      </c>
      <c r="AT31" s="616">
        <f t="shared" si="25"/>
        <v>0</v>
      </c>
      <c r="AU31" s="335">
        <f t="shared" si="26"/>
        <v>0</v>
      </c>
      <c r="AV31" s="339">
        <f t="shared" si="46"/>
        <v>0.10299999999999999</v>
      </c>
      <c r="AW31" s="337">
        <f>IF(MOD(MONTH(AP31),3)=0,IF($B$4=1,SUMIF(Assumptions!$H$173:$U$173,'Debt repayment Schedule'!W31,Assumptions!$H$176:$U$176)/4,SUMIF(Assumptions!$H$173:$U$173,'Debt repayment Schedule'!W31,Assumptions!$H$185:$U$185)/4),0)</f>
        <v>2.5000000000000001E-2</v>
      </c>
      <c r="AX31" s="336">
        <f t="shared" si="3"/>
        <v>0</v>
      </c>
      <c r="AY31" s="260"/>
      <c r="AZ31" s="260">
        <f t="shared" si="27"/>
        <v>32.386966262625002</v>
      </c>
      <c r="BB31" s="260">
        <f t="shared" si="8"/>
        <v>9.0129425162650598</v>
      </c>
      <c r="BC31" s="260">
        <f>AZ31+SUM(BB29:BB31)</f>
        <v>60.026656645837853</v>
      </c>
    </row>
    <row r="32" spans="2:56" x14ac:dyDescent="0.35">
      <c r="B32" s="210">
        <f t="shared" si="9"/>
        <v>45230</v>
      </c>
      <c r="C32" s="210">
        <f t="shared" si="32"/>
        <v>45382</v>
      </c>
      <c r="D32" s="335">
        <f t="shared" si="28"/>
        <v>455.8879391572799</v>
      </c>
      <c r="E32" s="336">
        <f t="shared" si="4"/>
        <v>0</v>
      </c>
      <c r="F32" s="335">
        <f t="shared" si="10"/>
        <v>455.8879391572799</v>
      </c>
      <c r="G32" s="335">
        <f t="shared" si="11"/>
        <v>3.9300038371462507</v>
      </c>
      <c r="H32" s="339">
        <f t="shared" si="42"/>
        <v>0.10150000000000001</v>
      </c>
      <c r="I32" s="337">
        <f>IF(MOD(MONTH(B32),3)=0,(IF($B$4=1,SUMIF(Assumptions!$H$173:$U$173,'Debt repayment Schedule'!C32,Assumptions!$H$174:$U$174)/4,SUMIF(Assumptions!$H$173:$U$173,'Debt repayment Schedule'!C32,Assumptions!$H$183:$U$183)/4)),0)</f>
        <v>0</v>
      </c>
      <c r="J32" s="336">
        <f t="shared" si="0"/>
        <v>3.9300038371462507</v>
      </c>
      <c r="K32" s="260"/>
      <c r="L32" s="338">
        <f t="shared" si="5"/>
        <v>45230</v>
      </c>
      <c r="M32" s="210">
        <f t="shared" si="34"/>
        <v>45382</v>
      </c>
      <c r="N32" s="335">
        <f t="shared" si="29"/>
        <v>24.903210543959993</v>
      </c>
      <c r="O32" s="1382">
        <f t="shared" si="6"/>
        <v>0</v>
      </c>
      <c r="P32" s="335">
        <f t="shared" si="40"/>
        <v>24.903210543959993</v>
      </c>
      <c r="Q32" s="335">
        <f t="shared" si="12"/>
        <v>0.21467932048375377</v>
      </c>
      <c r="R32" s="339">
        <f t="shared" si="43"/>
        <v>0.10150000000000001</v>
      </c>
      <c r="S32" s="1282">
        <f>IF(MOD(MONTH(L32),3)=0,IF($B$4=1,SUMIF(Assumptions!$H$173:$U$173,'Debt repayment Schedule'!M32,Assumptions!$H$175:$U$175)/4,SUMIF(Assumptions!$H$173:$U$173,'Debt repayment Schedule'!M32,Assumptions!$H$184:$U$184)/4),0)</f>
        <v>0</v>
      </c>
      <c r="T32" s="336">
        <f t="shared" si="1"/>
        <v>0.21467932048375377</v>
      </c>
      <c r="U32" s="260"/>
      <c r="V32" s="210">
        <f t="shared" si="13"/>
        <v>45230</v>
      </c>
      <c r="W32" s="210">
        <f t="shared" si="36"/>
        <v>45382</v>
      </c>
      <c r="X32" s="335">
        <f t="shared" si="30"/>
        <v>560.07645266664019</v>
      </c>
      <c r="Y32" s="1382">
        <f t="shared" si="7"/>
        <v>0</v>
      </c>
      <c r="Z32" s="335">
        <f t="shared" si="41"/>
        <v>560.07645266664019</v>
      </c>
      <c r="AA32" s="335">
        <f t="shared" si="14"/>
        <v>4.899518118807074</v>
      </c>
      <c r="AB32" s="339">
        <f t="shared" si="44"/>
        <v>0.10299999999999999</v>
      </c>
      <c r="AC32" s="337">
        <f>IF(MOD(MONTH(V32),3)=0,IF($B$4=1,SUMIF(Assumptions!$H$173:$U$173,'Debt repayment Schedule'!C32,Assumptions!$H$176:$U$176)/4,SUMIF(Assumptions!$H$173:$U$173,'Debt repayment Schedule'!C32,Assumptions!$H$185:$U$185)/4),0)</f>
        <v>0</v>
      </c>
      <c r="AD32" s="336">
        <f t="shared" si="2"/>
        <v>4.899518118807074</v>
      </c>
      <c r="AE32" s="260"/>
      <c r="AF32" s="210">
        <f t="shared" si="15"/>
        <v>45230</v>
      </c>
      <c r="AG32" s="210">
        <f t="shared" si="16"/>
        <v>45382</v>
      </c>
      <c r="AH32" s="335">
        <f t="shared" si="17"/>
        <v>47.334464056320002</v>
      </c>
      <c r="AI32" s="1382">
        <f t="shared" si="18"/>
        <v>0</v>
      </c>
      <c r="AJ32" s="335">
        <f t="shared" si="19"/>
        <v>47.334464056320002</v>
      </c>
      <c r="AK32" s="335">
        <f t="shared" si="20"/>
        <v>0</v>
      </c>
      <c r="AL32" s="339">
        <f t="shared" si="45"/>
        <v>0</v>
      </c>
      <c r="AM32" s="337">
        <f>IF(MOD(MONTH(AF32),3)=0,IF($B$4=1,SUMIF(Assumptions!$H$173:$U$173,'Debt repayment Schedule'!M32,Assumptions!$H$176:$U$176)/4,SUMIF(Assumptions!$H$173:$U$173,'Debt repayment Schedule'!M32,Assumptions!$H$185:$U$185)/4),0)</f>
        <v>0</v>
      </c>
      <c r="AN32" s="336">
        <f t="shared" si="21"/>
        <v>0</v>
      </c>
      <c r="AO32" s="260"/>
      <c r="AP32" s="210">
        <f t="shared" si="22"/>
        <v>45230</v>
      </c>
      <c r="AQ32" s="210">
        <f t="shared" si="38"/>
        <v>45382</v>
      </c>
      <c r="AR32" s="335">
        <f t="shared" si="23"/>
        <v>0</v>
      </c>
      <c r="AS32" s="335">
        <f t="shared" si="24"/>
        <v>0</v>
      </c>
      <c r="AT32" s="616">
        <f t="shared" si="25"/>
        <v>0</v>
      </c>
      <c r="AU32" s="335">
        <f t="shared" si="26"/>
        <v>0</v>
      </c>
      <c r="AV32" s="339">
        <f t="shared" si="46"/>
        <v>0.10299999999999999</v>
      </c>
      <c r="AW32" s="337">
        <f>IF(MOD(MONTH(AP32),3)=0,IF($B$4=1,SUMIF(Assumptions!$H$173:$U$173,'Debt repayment Schedule'!W32,Assumptions!$H$176:$U$176)/4,SUMIF(Assumptions!$H$173:$U$173,'Debt repayment Schedule'!W32,Assumptions!$H$185:$U$185)/4),0)</f>
        <v>0</v>
      </c>
      <c r="AX32" s="336">
        <f t="shared" si="3"/>
        <v>0</v>
      </c>
      <c r="AY32" s="260"/>
      <c r="AZ32" s="260">
        <f t="shared" si="27"/>
        <v>0</v>
      </c>
      <c r="BB32" s="260">
        <f t="shared" si="8"/>
        <v>9.0442012764370787</v>
      </c>
      <c r="BC32" s="260"/>
    </row>
    <row r="33" spans="2:56" x14ac:dyDescent="0.35">
      <c r="B33" s="210">
        <f t="shared" si="9"/>
        <v>45260</v>
      </c>
      <c r="C33" s="210">
        <f t="shared" si="32"/>
        <v>45382</v>
      </c>
      <c r="D33" s="335">
        <f t="shared" si="28"/>
        <v>455.8879391572799</v>
      </c>
      <c r="E33" s="336">
        <f t="shared" si="4"/>
        <v>0</v>
      </c>
      <c r="F33" s="335">
        <f t="shared" si="10"/>
        <v>455.8879391572799</v>
      </c>
      <c r="G33" s="335">
        <f t="shared" si="11"/>
        <v>3.8032295198189519</v>
      </c>
      <c r="H33" s="339">
        <f t="shared" si="42"/>
        <v>0.10150000000000001</v>
      </c>
      <c r="I33" s="337">
        <f>IF(MOD(MONTH(B33),3)=0,(IF($B$4=1,SUMIF(Assumptions!$H$173:$U$173,'Debt repayment Schedule'!C33,Assumptions!$H$174:$U$174)/4,SUMIF(Assumptions!$H$173:$U$173,'Debt repayment Schedule'!C33,Assumptions!$H$183:$U$183)/4)),0)</f>
        <v>0</v>
      </c>
      <c r="J33" s="336">
        <f t="shared" si="0"/>
        <v>3.8032295198189519</v>
      </c>
      <c r="K33" s="260"/>
      <c r="L33" s="338">
        <f t="shared" si="5"/>
        <v>45260</v>
      </c>
      <c r="M33" s="210">
        <f t="shared" si="34"/>
        <v>45382</v>
      </c>
      <c r="N33" s="335">
        <f t="shared" si="29"/>
        <v>24.903210543959993</v>
      </c>
      <c r="O33" s="1382">
        <f t="shared" si="6"/>
        <v>0</v>
      </c>
      <c r="P33" s="335">
        <f t="shared" si="40"/>
        <v>24.903210543959993</v>
      </c>
      <c r="Q33" s="335">
        <f t="shared" si="12"/>
        <v>0.20775418111331009</v>
      </c>
      <c r="R33" s="339">
        <f t="shared" si="43"/>
        <v>0.10150000000000001</v>
      </c>
      <c r="S33" s="1282">
        <f>IF(MOD(MONTH(L33),3)=0,IF($B$4=1,SUMIF(Assumptions!$H$173:$U$173,'Debt repayment Schedule'!M33,Assumptions!$H$175:$U$175)/4,SUMIF(Assumptions!$H$173:$U$173,'Debt repayment Schedule'!M33,Assumptions!$H$184:$U$184)/4),0)</f>
        <v>0</v>
      </c>
      <c r="T33" s="336">
        <f t="shared" si="1"/>
        <v>0.20775418111331009</v>
      </c>
      <c r="U33" s="260"/>
      <c r="V33" s="210">
        <f t="shared" si="13"/>
        <v>45260</v>
      </c>
      <c r="W33" s="210">
        <f t="shared" si="36"/>
        <v>45382</v>
      </c>
      <c r="X33" s="335">
        <f t="shared" si="30"/>
        <v>560.07645266664019</v>
      </c>
      <c r="Y33" s="1382">
        <f t="shared" si="7"/>
        <v>0</v>
      </c>
      <c r="Z33" s="335">
        <f t="shared" si="41"/>
        <v>560.07645266664019</v>
      </c>
      <c r="AA33" s="335">
        <f t="shared" si="14"/>
        <v>4.7414691472326522</v>
      </c>
      <c r="AB33" s="339">
        <f t="shared" si="44"/>
        <v>0.10299999999999999</v>
      </c>
      <c r="AC33" s="337">
        <f>IF(MOD(MONTH(V33),3)=0,IF($B$4=1,SUMIF(Assumptions!$H$173:$U$173,'Debt repayment Schedule'!C33,Assumptions!$H$176:$U$176)/4,SUMIF(Assumptions!$H$173:$U$173,'Debt repayment Schedule'!C33,Assumptions!$H$185:$U$185)/4),0)</f>
        <v>0</v>
      </c>
      <c r="AD33" s="336">
        <f t="shared" si="2"/>
        <v>4.7414691472326522</v>
      </c>
      <c r="AE33" s="260"/>
      <c r="AF33" s="210">
        <f t="shared" si="15"/>
        <v>45260</v>
      </c>
      <c r="AG33" s="210">
        <f t="shared" si="16"/>
        <v>45382</v>
      </c>
      <c r="AH33" s="335">
        <f t="shared" si="17"/>
        <v>47.334464056320002</v>
      </c>
      <c r="AI33" s="1382">
        <f t="shared" si="18"/>
        <v>0</v>
      </c>
      <c r="AJ33" s="335">
        <f t="shared" si="19"/>
        <v>47.334464056320002</v>
      </c>
      <c r="AK33" s="335">
        <f t="shared" si="20"/>
        <v>0</v>
      </c>
      <c r="AL33" s="339">
        <f t="shared" si="45"/>
        <v>0</v>
      </c>
      <c r="AM33" s="337">
        <f>IF(MOD(MONTH(AF33),3)=0,IF($B$4=1,SUMIF(Assumptions!$H$173:$U$173,'Debt repayment Schedule'!M33,Assumptions!$H$176:$U$176)/4,SUMIF(Assumptions!$H$173:$U$173,'Debt repayment Schedule'!M33,Assumptions!$H$185:$U$185)/4),0)</f>
        <v>0</v>
      </c>
      <c r="AN33" s="336">
        <f t="shared" si="21"/>
        <v>0</v>
      </c>
      <c r="AO33" s="260"/>
      <c r="AP33" s="210">
        <f t="shared" si="22"/>
        <v>45260</v>
      </c>
      <c r="AQ33" s="210">
        <f t="shared" si="38"/>
        <v>45382</v>
      </c>
      <c r="AR33" s="335">
        <f t="shared" si="23"/>
        <v>0</v>
      </c>
      <c r="AS33" s="335">
        <f t="shared" si="24"/>
        <v>0</v>
      </c>
      <c r="AT33" s="616">
        <f t="shared" si="25"/>
        <v>0</v>
      </c>
      <c r="AU33" s="335">
        <f t="shared" si="26"/>
        <v>0</v>
      </c>
      <c r="AV33" s="339">
        <f t="shared" si="46"/>
        <v>0.10299999999999999</v>
      </c>
      <c r="AW33" s="337">
        <f>IF(MOD(MONTH(AP33),3)=0,IF($B$4=1,SUMIF(Assumptions!$H$173:$U$173,'Debt repayment Schedule'!W33,Assumptions!$H$176:$U$176)/4,SUMIF(Assumptions!$H$173:$U$173,'Debt repayment Schedule'!W33,Assumptions!$H$185:$U$185)/4),0)</f>
        <v>0</v>
      </c>
      <c r="AX33" s="336">
        <f t="shared" si="3"/>
        <v>0</v>
      </c>
      <c r="AY33" s="260"/>
      <c r="AZ33" s="260">
        <f t="shared" si="27"/>
        <v>0</v>
      </c>
      <c r="BB33" s="260">
        <f t="shared" si="8"/>
        <v>8.7524528481649142</v>
      </c>
      <c r="BC33" s="260"/>
    </row>
    <row r="34" spans="2:56" x14ac:dyDescent="0.35">
      <c r="B34" s="210">
        <f t="shared" si="9"/>
        <v>45291</v>
      </c>
      <c r="C34" s="210">
        <f t="shared" si="32"/>
        <v>45382</v>
      </c>
      <c r="D34" s="335">
        <f t="shared" si="28"/>
        <v>455.8879391572799</v>
      </c>
      <c r="E34" s="336">
        <f t="shared" si="4"/>
        <v>13.568093427299999</v>
      </c>
      <c r="F34" s="335">
        <f t="shared" si="10"/>
        <v>442.31984572997987</v>
      </c>
      <c r="G34" s="335">
        <f t="shared" si="11"/>
        <v>3.9300038371462507</v>
      </c>
      <c r="H34" s="339">
        <f t="shared" si="42"/>
        <v>0.10150000000000001</v>
      </c>
      <c r="I34" s="337">
        <f>IF(MOD(MONTH(B34),3)=0,(IF($B$4=1,SUMIF(Assumptions!$H$173:$U$173,'Debt repayment Schedule'!C34,Assumptions!$H$174:$U$174)/4,SUMIF(Assumptions!$H$173:$U$173,'Debt repayment Schedule'!C34,Assumptions!$H$183:$U$183)/4)),0)</f>
        <v>2.5000000000000001E-2</v>
      </c>
      <c r="J34" s="336">
        <f t="shared" si="0"/>
        <v>17.498097264446251</v>
      </c>
      <c r="K34" s="260"/>
      <c r="L34" s="338">
        <f t="shared" si="5"/>
        <v>45291</v>
      </c>
      <c r="M34" s="210">
        <f t="shared" si="34"/>
        <v>45382</v>
      </c>
      <c r="N34" s="335">
        <f t="shared" si="29"/>
        <v>24.903210543959993</v>
      </c>
      <c r="O34" s="1382">
        <f t="shared" si="6"/>
        <v>0.74116698047500007</v>
      </c>
      <c r="P34" s="335">
        <f t="shared" si="40"/>
        <v>24.162043563484993</v>
      </c>
      <c r="Q34" s="335">
        <f t="shared" si="12"/>
        <v>0.21467932048375377</v>
      </c>
      <c r="R34" s="339">
        <f t="shared" si="43"/>
        <v>0.10150000000000001</v>
      </c>
      <c r="S34" s="1282">
        <f>IF(MOD(MONTH(L34),3)=0,IF($B$4=1,SUMIF(Assumptions!$H$173:$U$173,'Debt repayment Schedule'!M34,Assumptions!$H$175:$U$175)/4,SUMIF(Assumptions!$H$173:$U$173,'Debt repayment Schedule'!M34,Assumptions!$H$184:$U$184)/4),0)</f>
        <v>2.5000000000000001E-2</v>
      </c>
      <c r="T34" s="336">
        <f t="shared" si="1"/>
        <v>0.95584630095875389</v>
      </c>
      <c r="U34" s="260"/>
      <c r="V34" s="210">
        <f t="shared" si="13"/>
        <v>45291</v>
      </c>
      <c r="W34" s="210">
        <f t="shared" si="36"/>
        <v>45382</v>
      </c>
      <c r="X34" s="335">
        <f t="shared" si="30"/>
        <v>560.07645266664019</v>
      </c>
      <c r="Y34" s="1382">
        <f t="shared" si="7"/>
        <v>16.668942043650002</v>
      </c>
      <c r="Z34" s="335">
        <f t="shared" si="41"/>
        <v>543.40751062299023</v>
      </c>
      <c r="AA34" s="335">
        <f t="shared" si="14"/>
        <v>4.899518118807074</v>
      </c>
      <c r="AB34" s="339">
        <f t="shared" si="44"/>
        <v>0.10299999999999999</v>
      </c>
      <c r="AC34" s="337">
        <f>IF(MOD(MONTH(V34),3)=0,IF($B$4=1,SUMIF(Assumptions!$H$173:$U$173,'Debt repayment Schedule'!C34,Assumptions!$H$176:$U$176)/4,SUMIF(Assumptions!$H$173:$U$173,'Debt repayment Schedule'!C34,Assumptions!$H$185:$U$185)/4),0)</f>
        <v>2.5000000000000001E-2</v>
      </c>
      <c r="AD34" s="336">
        <f t="shared" si="2"/>
        <v>21.568460162457075</v>
      </c>
      <c r="AE34" s="260"/>
      <c r="AF34" s="210">
        <f t="shared" si="15"/>
        <v>45291</v>
      </c>
      <c r="AG34" s="210">
        <f t="shared" si="16"/>
        <v>45382</v>
      </c>
      <c r="AH34" s="335">
        <f t="shared" si="17"/>
        <v>47.334464056320002</v>
      </c>
      <c r="AI34" s="1382">
        <f t="shared" si="18"/>
        <v>1.4087638112</v>
      </c>
      <c r="AJ34" s="335">
        <f t="shared" si="19"/>
        <v>45.925700245119998</v>
      </c>
      <c r="AK34" s="335">
        <f t="shared" si="20"/>
        <v>0</v>
      </c>
      <c r="AL34" s="339">
        <f t="shared" si="45"/>
        <v>0</v>
      </c>
      <c r="AM34" s="337">
        <f>IF(MOD(MONTH(AF34),3)=0,IF($B$4=1,SUMIF(Assumptions!$H$173:$U$173,'Debt repayment Schedule'!M34,Assumptions!$H$176:$U$176)/4,SUMIF(Assumptions!$H$173:$U$173,'Debt repayment Schedule'!M34,Assumptions!$H$185:$U$185)/4),0)</f>
        <v>2.5000000000000001E-2</v>
      </c>
      <c r="AN34" s="336">
        <f t="shared" si="21"/>
        <v>1.4087638112</v>
      </c>
      <c r="AO34" s="260"/>
      <c r="AP34" s="210">
        <f t="shared" si="22"/>
        <v>45291</v>
      </c>
      <c r="AQ34" s="210">
        <f t="shared" si="38"/>
        <v>45382</v>
      </c>
      <c r="AR34" s="335">
        <f t="shared" si="23"/>
        <v>0</v>
      </c>
      <c r="AS34" s="335">
        <f t="shared" si="24"/>
        <v>0</v>
      </c>
      <c r="AT34" s="616">
        <f t="shared" si="25"/>
        <v>0</v>
      </c>
      <c r="AU34" s="335">
        <f t="shared" si="26"/>
        <v>0</v>
      </c>
      <c r="AV34" s="339">
        <f t="shared" si="46"/>
        <v>0.10299999999999999</v>
      </c>
      <c r="AW34" s="337">
        <f>IF(MOD(MONTH(AP34),3)=0,IF($B$4=1,SUMIF(Assumptions!$H$173:$U$173,'Debt repayment Schedule'!W34,Assumptions!$H$176:$U$176)/4,SUMIF(Assumptions!$H$173:$U$173,'Debt repayment Schedule'!W34,Assumptions!$H$185:$U$185)/4),0)</f>
        <v>2.5000000000000001E-2</v>
      </c>
      <c r="AX34" s="336">
        <f t="shared" si="3"/>
        <v>0</v>
      </c>
      <c r="AY34" s="260"/>
      <c r="AZ34" s="260">
        <f t="shared" si="27"/>
        <v>32.386966262625002</v>
      </c>
      <c r="BB34" s="260">
        <f t="shared" si="8"/>
        <v>9.0442012764370787</v>
      </c>
      <c r="BC34" s="260">
        <f>AZ34+SUM(BB32:BB34)</f>
        <v>59.227821663664074</v>
      </c>
    </row>
    <row r="35" spans="2:56" x14ac:dyDescent="0.35">
      <c r="B35" s="210">
        <f t="shared" si="9"/>
        <v>45322</v>
      </c>
      <c r="C35" s="210">
        <f t="shared" si="32"/>
        <v>45382</v>
      </c>
      <c r="D35" s="335">
        <f t="shared" si="28"/>
        <v>442.31984572997987</v>
      </c>
      <c r="E35" s="336">
        <f t="shared" si="4"/>
        <v>0</v>
      </c>
      <c r="F35" s="335">
        <f t="shared" si="10"/>
        <v>442.31984572997987</v>
      </c>
      <c r="G35" s="335">
        <f t="shared" si="11"/>
        <v>3.8130394372311831</v>
      </c>
      <c r="H35" s="339">
        <f t="shared" si="42"/>
        <v>0.10150000000000001</v>
      </c>
      <c r="I35" s="337">
        <f>IF(MOD(MONTH(B35),3)=0,(IF($B$4=1,SUMIF(Assumptions!$H$173:$U$173,'Debt repayment Schedule'!C35,Assumptions!$H$174:$U$174)/4,SUMIF(Assumptions!$H$173:$U$173,'Debt repayment Schedule'!C35,Assumptions!$H$183:$U$183)/4)),0)</f>
        <v>0</v>
      </c>
      <c r="J35" s="336">
        <f t="shared" si="0"/>
        <v>3.8130394372311831</v>
      </c>
      <c r="K35" s="260"/>
      <c r="L35" s="338">
        <f t="shared" si="5"/>
        <v>45322</v>
      </c>
      <c r="M35" s="210">
        <f t="shared" si="34"/>
        <v>45382</v>
      </c>
      <c r="N35" s="335">
        <f t="shared" si="29"/>
        <v>24.162043563484993</v>
      </c>
      <c r="O35" s="1382">
        <f t="shared" si="6"/>
        <v>0</v>
      </c>
      <c r="P35" s="335">
        <f t="shared" si="40"/>
        <v>24.162043563484993</v>
      </c>
      <c r="Q35" s="335">
        <f t="shared" si="12"/>
        <v>0.20829005499316583</v>
      </c>
      <c r="R35" s="339">
        <f t="shared" si="43"/>
        <v>0.10150000000000001</v>
      </c>
      <c r="S35" s="1282">
        <f>IF(MOD(MONTH(L35),3)=0,IF($B$4=1,SUMIF(Assumptions!$H$173:$U$173,'Debt repayment Schedule'!M35,Assumptions!$H$175:$U$175)/4,SUMIF(Assumptions!$H$173:$U$173,'Debt repayment Schedule'!M35,Assumptions!$H$184:$U$184)/4),0)</f>
        <v>0</v>
      </c>
      <c r="T35" s="336">
        <f t="shared" si="1"/>
        <v>0.20829005499316583</v>
      </c>
      <c r="U35" s="260"/>
      <c r="V35" s="210">
        <f t="shared" si="13"/>
        <v>45322</v>
      </c>
      <c r="W35" s="210">
        <f t="shared" si="36"/>
        <v>45382</v>
      </c>
      <c r="X35" s="335">
        <f t="shared" si="30"/>
        <v>543.40751062299023</v>
      </c>
      <c r="Y35" s="1382">
        <f t="shared" si="7"/>
        <v>0</v>
      </c>
      <c r="Z35" s="335">
        <f t="shared" si="41"/>
        <v>543.40751062299023</v>
      </c>
      <c r="AA35" s="335">
        <f t="shared" si="14"/>
        <v>4.7536991271759117</v>
      </c>
      <c r="AB35" s="339">
        <f t="shared" si="44"/>
        <v>0.10299999999999999</v>
      </c>
      <c r="AC35" s="337">
        <f>IF(MOD(MONTH(V35),3)=0,IF($B$4=1,SUMIF(Assumptions!$H$173:$U$173,'Debt repayment Schedule'!C35,Assumptions!$H$176:$U$176)/4,SUMIF(Assumptions!$H$173:$U$173,'Debt repayment Schedule'!C35,Assumptions!$H$185:$U$185)/4),0)</f>
        <v>0</v>
      </c>
      <c r="AD35" s="336">
        <f t="shared" si="2"/>
        <v>4.7536991271759117</v>
      </c>
      <c r="AE35" s="260"/>
      <c r="AF35" s="210">
        <f t="shared" si="15"/>
        <v>45322</v>
      </c>
      <c r="AG35" s="210">
        <f t="shared" si="16"/>
        <v>45382</v>
      </c>
      <c r="AH35" s="335">
        <f t="shared" si="17"/>
        <v>45.925700245119998</v>
      </c>
      <c r="AI35" s="1382">
        <f t="shared" si="18"/>
        <v>0</v>
      </c>
      <c r="AJ35" s="335">
        <f t="shared" si="19"/>
        <v>45.925700245119998</v>
      </c>
      <c r="AK35" s="335">
        <f t="shared" si="20"/>
        <v>0</v>
      </c>
      <c r="AL35" s="339">
        <f t="shared" si="45"/>
        <v>0</v>
      </c>
      <c r="AM35" s="337">
        <f>IF(MOD(MONTH(AF35),3)=0,IF($B$4=1,SUMIF(Assumptions!$H$173:$U$173,'Debt repayment Schedule'!M35,Assumptions!$H$176:$U$176)/4,SUMIF(Assumptions!$H$173:$U$173,'Debt repayment Schedule'!M35,Assumptions!$H$185:$U$185)/4),0)</f>
        <v>0</v>
      </c>
      <c r="AN35" s="336">
        <f t="shared" si="21"/>
        <v>0</v>
      </c>
      <c r="AO35" s="260"/>
      <c r="AP35" s="210">
        <f t="shared" si="22"/>
        <v>45322</v>
      </c>
      <c r="AQ35" s="210">
        <f t="shared" si="38"/>
        <v>45382</v>
      </c>
      <c r="AR35" s="335">
        <f t="shared" si="23"/>
        <v>0</v>
      </c>
      <c r="AS35" s="335">
        <f t="shared" si="24"/>
        <v>0</v>
      </c>
      <c r="AT35" s="616">
        <f t="shared" si="25"/>
        <v>0</v>
      </c>
      <c r="AU35" s="335">
        <f t="shared" si="26"/>
        <v>0</v>
      </c>
      <c r="AV35" s="339">
        <f t="shared" si="46"/>
        <v>0.10299999999999999</v>
      </c>
      <c r="AW35" s="337">
        <f>IF(MOD(MONTH(AP35),3)=0,IF($B$4=1,SUMIF(Assumptions!$H$173:$U$173,'Debt repayment Schedule'!W35,Assumptions!$H$176:$U$176)/4,SUMIF(Assumptions!$H$173:$U$173,'Debt repayment Schedule'!W35,Assumptions!$H$185:$U$185)/4),0)</f>
        <v>0</v>
      </c>
      <c r="AX35" s="336">
        <f t="shared" si="3"/>
        <v>0</v>
      </c>
      <c r="AY35" s="260"/>
      <c r="AZ35" s="260">
        <f t="shared" si="27"/>
        <v>0</v>
      </c>
      <c r="BB35" s="260">
        <f t="shared" si="8"/>
        <v>8.7750286194002598</v>
      </c>
      <c r="BC35" s="260"/>
    </row>
    <row r="36" spans="2:56" x14ac:dyDescent="0.35">
      <c r="B36" s="210">
        <f t="shared" si="9"/>
        <v>45351</v>
      </c>
      <c r="C36" s="210">
        <f t="shared" si="32"/>
        <v>45382</v>
      </c>
      <c r="D36" s="335">
        <f t="shared" si="28"/>
        <v>442.31984572997987</v>
      </c>
      <c r="E36" s="336">
        <f t="shared" si="4"/>
        <v>0</v>
      </c>
      <c r="F36" s="335">
        <f t="shared" si="10"/>
        <v>442.31984572997987</v>
      </c>
      <c r="G36" s="335">
        <f t="shared" si="11"/>
        <v>3.5670368928936873</v>
      </c>
      <c r="H36" s="339">
        <f t="shared" si="42"/>
        <v>0.10150000000000001</v>
      </c>
      <c r="I36" s="337">
        <f>IF(MOD(MONTH(B36),3)=0,(IF($B$4=1,SUMIF(Assumptions!$H$173:$U$173,'Debt repayment Schedule'!C36,Assumptions!$H$174:$U$174)/4,SUMIF(Assumptions!$H$173:$U$173,'Debt repayment Schedule'!C36,Assumptions!$H$183:$U$183)/4)),0)</f>
        <v>0</v>
      </c>
      <c r="J36" s="336">
        <f t="shared" si="0"/>
        <v>3.5670368928936873</v>
      </c>
      <c r="K36" s="260"/>
      <c r="L36" s="338">
        <f t="shared" si="5"/>
        <v>45351</v>
      </c>
      <c r="M36" s="210">
        <f t="shared" si="34"/>
        <v>45382</v>
      </c>
      <c r="N36" s="335">
        <f t="shared" si="29"/>
        <v>24.162043563484993</v>
      </c>
      <c r="O36" s="1382">
        <f t="shared" si="6"/>
        <v>0</v>
      </c>
      <c r="P36" s="335">
        <f t="shared" si="40"/>
        <v>24.162043563484993</v>
      </c>
      <c r="Q36" s="335">
        <f t="shared" si="12"/>
        <v>0.19485198692909061</v>
      </c>
      <c r="R36" s="339">
        <f t="shared" si="43"/>
        <v>0.10150000000000001</v>
      </c>
      <c r="S36" s="1282">
        <f>IF(MOD(MONTH(L36),3)=0,IF($B$4=1,SUMIF(Assumptions!$H$173:$U$173,'Debt repayment Schedule'!M36,Assumptions!$H$175:$U$175)/4,SUMIF(Assumptions!$H$173:$U$173,'Debt repayment Schedule'!M36,Assumptions!$H$184:$U$184)/4),0)</f>
        <v>0</v>
      </c>
      <c r="T36" s="336">
        <f t="shared" si="1"/>
        <v>0.19485198692909061</v>
      </c>
      <c r="U36" s="260"/>
      <c r="V36" s="210">
        <f t="shared" si="13"/>
        <v>45351</v>
      </c>
      <c r="W36" s="210">
        <f t="shared" si="36"/>
        <v>45382</v>
      </c>
      <c r="X36" s="335">
        <f t="shared" si="30"/>
        <v>543.40751062299023</v>
      </c>
      <c r="Y36" s="1382">
        <f t="shared" si="7"/>
        <v>0</v>
      </c>
      <c r="Z36" s="335">
        <f t="shared" si="41"/>
        <v>543.40751062299023</v>
      </c>
      <c r="AA36" s="335">
        <f t="shared" si="14"/>
        <v>4.4470088609064984</v>
      </c>
      <c r="AB36" s="339">
        <f t="shared" si="44"/>
        <v>0.10299999999999999</v>
      </c>
      <c r="AC36" s="337">
        <f>IF(MOD(MONTH(V36),3)=0,IF($B$4=1,SUMIF(Assumptions!$H$173:$U$173,'Debt repayment Schedule'!C36,Assumptions!$H$176:$U$176)/4,SUMIF(Assumptions!$H$173:$U$173,'Debt repayment Schedule'!C36,Assumptions!$H$185:$U$185)/4),0)</f>
        <v>0</v>
      </c>
      <c r="AD36" s="336">
        <f t="shared" si="2"/>
        <v>4.4470088609064984</v>
      </c>
      <c r="AE36" s="260"/>
      <c r="AF36" s="210">
        <f t="shared" si="15"/>
        <v>45351</v>
      </c>
      <c r="AG36" s="210">
        <f t="shared" si="16"/>
        <v>45382</v>
      </c>
      <c r="AH36" s="335">
        <f t="shared" si="17"/>
        <v>45.925700245119998</v>
      </c>
      <c r="AI36" s="1382">
        <f t="shared" si="18"/>
        <v>0</v>
      </c>
      <c r="AJ36" s="335">
        <f t="shared" si="19"/>
        <v>45.925700245119998</v>
      </c>
      <c r="AK36" s="335">
        <f t="shared" si="20"/>
        <v>0</v>
      </c>
      <c r="AL36" s="339">
        <f t="shared" si="45"/>
        <v>0</v>
      </c>
      <c r="AM36" s="337">
        <f>IF(MOD(MONTH(AF36),3)=0,IF($B$4=1,SUMIF(Assumptions!$H$173:$U$173,'Debt repayment Schedule'!M36,Assumptions!$H$176:$U$176)/4,SUMIF(Assumptions!$H$173:$U$173,'Debt repayment Schedule'!M36,Assumptions!$H$185:$U$185)/4),0)</f>
        <v>0</v>
      </c>
      <c r="AN36" s="336">
        <f t="shared" si="21"/>
        <v>0</v>
      </c>
      <c r="AO36" s="260"/>
      <c r="AP36" s="210">
        <f t="shared" si="22"/>
        <v>45351</v>
      </c>
      <c r="AQ36" s="210">
        <f t="shared" si="38"/>
        <v>45382</v>
      </c>
      <c r="AR36" s="335">
        <f t="shared" si="23"/>
        <v>0</v>
      </c>
      <c r="AS36" s="335">
        <f t="shared" si="24"/>
        <v>0</v>
      </c>
      <c r="AT36" s="616">
        <f t="shared" si="25"/>
        <v>0</v>
      </c>
      <c r="AU36" s="335">
        <f t="shared" si="26"/>
        <v>0</v>
      </c>
      <c r="AV36" s="339">
        <f t="shared" si="46"/>
        <v>0.10299999999999999</v>
      </c>
      <c r="AW36" s="337">
        <f>IF(MOD(MONTH(AP36),3)=0,IF($B$4=1,SUMIF(Assumptions!$H$173:$U$173,'Debt repayment Schedule'!W36,Assumptions!$H$176:$U$176)/4,SUMIF(Assumptions!$H$173:$U$173,'Debt repayment Schedule'!W36,Assumptions!$H$185:$U$185)/4),0)</f>
        <v>0</v>
      </c>
      <c r="AX36" s="336">
        <f t="shared" si="3"/>
        <v>0</v>
      </c>
      <c r="AY36" s="260"/>
      <c r="AZ36" s="260">
        <f t="shared" si="27"/>
        <v>0</v>
      </c>
      <c r="BB36" s="260">
        <f t="shared" si="8"/>
        <v>8.2088977407292774</v>
      </c>
      <c r="BC36" s="260"/>
    </row>
    <row r="37" spans="2:56" x14ac:dyDescent="0.35">
      <c r="B37" s="210">
        <f t="shared" si="9"/>
        <v>45382</v>
      </c>
      <c r="C37" s="210">
        <f t="shared" si="32"/>
        <v>45382</v>
      </c>
      <c r="D37" s="335">
        <f t="shared" si="28"/>
        <v>442.31984572997987</v>
      </c>
      <c r="E37" s="336">
        <f t="shared" si="4"/>
        <v>13.568093427299999</v>
      </c>
      <c r="F37" s="335">
        <f t="shared" si="10"/>
        <v>428.75175230267985</v>
      </c>
      <c r="G37" s="335">
        <f t="shared" si="11"/>
        <v>3.8130394372311831</v>
      </c>
      <c r="H37" s="339">
        <f t="shared" si="42"/>
        <v>0.10150000000000001</v>
      </c>
      <c r="I37" s="337">
        <f>IF(MOD(MONTH(B37),3)=0,(IF($B$4=1,SUMIF(Assumptions!$H$173:$U$173,'Debt repayment Schedule'!C37,Assumptions!$H$174:$U$174)/4,SUMIF(Assumptions!$H$173:$U$173,'Debt repayment Schedule'!C37,Assumptions!$H$183:$U$183)/4)),0)</f>
        <v>2.5000000000000001E-2</v>
      </c>
      <c r="J37" s="336">
        <f t="shared" si="0"/>
        <v>17.381132864531182</v>
      </c>
      <c r="K37" s="260"/>
      <c r="L37" s="338">
        <f t="shared" si="5"/>
        <v>45382</v>
      </c>
      <c r="M37" s="210">
        <f t="shared" si="34"/>
        <v>45382</v>
      </c>
      <c r="N37" s="335">
        <f t="shared" si="29"/>
        <v>24.162043563484993</v>
      </c>
      <c r="O37" s="1382">
        <f t="shared" si="6"/>
        <v>0.74116698047500007</v>
      </c>
      <c r="P37" s="335">
        <f t="shared" si="40"/>
        <v>23.420876583009992</v>
      </c>
      <c r="Q37" s="335">
        <f t="shared" si="12"/>
        <v>0.20829005499316583</v>
      </c>
      <c r="R37" s="339">
        <f t="shared" si="43"/>
        <v>0.10150000000000001</v>
      </c>
      <c r="S37" s="1282">
        <f>IF(MOD(MONTH(L37),3)=0,IF($B$4=1,SUMIF(Assumptions!$H$173:$U$173,'Debt repayment Schedule'!M37,Assumptions!$H$175:$U$175)/4,SUMIF(Assumptions!$H$173:$U$173,'Debt repayment Schedule'!M37,Assumptions!$H$184:$U$184)/4),0)</f>
        <v>2.5000000000000001E-2</v>
      </c>
      <c r="T37" s="336">
        <f t="shared" si="1"/>
        <v>0.94945703546816596</v>
      </c>
      <c r="U37" s="260"/>
      <c r="V37" s="210">
        <f t="shared" si="13"/>
        <v>45382</v>
      </c>
      <c r="W37" s="210">
        <f t="shared" si="36"/>
        <v>45382</v>
      </c>
      <c r="X37" s="335">
        <f t="shared" si="30"/>
        <v>543.40751062299023</v>
      </c>
      <c r="Y37" s="1382">
        <f t="shared" si="7"/>
        <v>16.668942043650002</v>
      </c>
      <c r="Z37" s="335">
        <f t="shared" si="41"/>
        <v>526.73856857934027</v>
      </c>
      <c r="AA37" s="335">
        <f t="shared" si="14"/>
        <v>4.7536991271759117</v>
      </c>
      <c r="AB37" s="339">
        <f t="shared" si="44"/>
        <v>0.10299999999999999</v>
      </c>
      <c r="AC37" s="337">
        <f>IF(MOD(MONTH(V37),3)=0,IF($B$4=1,SUMIF(Assumptions!$H$173:$U$173,'Debt repayment Schedule'!C37,Assumptions!$H$176:$U$176)/4,SUMIF(Assumptions!$H$173:$U$173,'Debt repayment Schedule'!C37,Assumptions!$H$185:$U$185)/4),0)</f>
        <v>2.5000000000000001E-2</v>
      </c>
      <c r="AD37" s="336">
        <f t="shared" si="2"/>
        <v>21.422641170825912</v>
      </c>
      <c r="AE37" s="260"/>
      <c r="AF37" s="210">
        <f t="shared" si="15"/>
        <v>45382</v>
      </c>
      <c r="AG37" s="210">
        <f t="shared" si="16"/>
        <v>45382</v>
      </c>
      <c r="AH37" s="335">
        <f t="shared" si="17"/>
        <v>45.925700245119998</v>
      </c>
      <c r="AI37" s="1382">
        <f t="shared" si="18"/>
        <v>1.4087638112</v>
      </c>
      <c r="AJ37" s="335">
        <f t="shared" si="19"/>
        <v>44.516936433919994</v>
      </c>
      <c r="AK37" s="335">
        <f t="shared" si="20"/>
        <v>0</v>
      </c>
      <c r="AL37" s="339">
        <f t="shared" si="45"/>
        <v>0</v>
      </c>
      <c r="AM37" s="337">
        <f>IF(MOD(MONTH(AF37),3)=0,IF($B$4=1,SUMIF(Assumptions!$H$173:$U$173,'Debt repayment Schedule'!M37,Assumptions!$H$176:$U$176)/4,SUMIF(Assumptions!$H$173:$U$173,'Debt repayment Schedule'!M37,Assumptions!$H$185:$U$185)/4),0)</f>
        <v>2.5000000000000001E-2</v>
      </c>
      <c r="AN37" s="336">
        <f t="shared" si="21"/>
        <v>1.4087638112</v>
      </c>
      <c r="AO37" s="260"/>
      <c r="AP37" s="210">
        <f t="shared" si="22"/>
        <v>45382</v>
      </c>
      <c r="AQ37" s="210">
        <f t="shared" si="38"/>
        <v>45382</v>
      </c>
      <c r="AR37" s="335">
        <f t="shared" si="23"/>
        <v>0</v>
      </c>
      <c r="AS37" s="335">
        <f t="shared" si="24"/>
        <v>0</v>
      </c>
      <c r="AT37" s="616">
        <f t="shared" si="25"/>
        <v>0</v>
      </c>
      <c r="AU37" s="335">
        <f t="shared" si="26"/>
        <v>0</v>
      </c>
      <c r="AV37" s="339">
        <f t="shared" si="46"/>
        <v>0.10299999999999999</v>
      </c>
      <c r="AW37" s="337">
        <f>IF(MOD(MONTH(AP37),3)=0,IF($B$4=1,SUMIF(Assumptions!$H$173:$U$173,'Debt repayment Schedule'!W37,Assumptions!$H$176:$U$176)/4,SUMIF(Assumptions!$H$173:$U$173,'Debt repayment Schedule'!W37,Assumptions!$H$185:$U$185)/4),0)</f>
        <v>2.5000000000000001E-2</v>
      </c>
      <c r="AX37" s="336">
        <f t="shared" si="3"/>
        <v>0</v>
      </c>
      <c r="AY37" s="260"/>
      <c r="AZ37" s="260">
        <f t="shared" si="27"/>
        <v>32.386966262625002</v>
      </c>
      <c r="BB37" s="260">
        <f t="shared" si="8"/>
        <v>8.7750286194002598</v>
      </c>
      <c r="BC37" s="260">
        <f>AZ37+SUM(BB35:BB37)</f>
        <v>58.145921242154799</v>
      </c>
      <c r="BD37" s="215">
        <f>BC40</f>
        <v>57.355769248917689</v>
      </c>
    </row>
    <row r="38" spans="2:56" x14ac:dyDescent="0.35">
      <c r="B38" s="1377">
        <f t="shared" si="9"/>
        <v>45412</v>
      </c>
      <c r="C38" s="210">
        <f t="shared" si="32"/>
        <v>45747</v>
      </c>
      <c r="D38" s="335">
        <f t="shared" si="28"/>
        <v>428.75175230267985</v>
      </c>
      <c r="E38" s="336">
        <f t="shared" si="4"/>
        <v>0</v>
      </c>
      <c r="F38" s="335">
        <f t="shared" si="10"/>
        <v>428.75175230267985</v>
      </c>
      <c r="G38" s="335">
        <f t="shared" si="11"/>
        <v>3.5768468103059186</v>
      </c>
      <c r="H38" s="339">
        <f t="shared" si="42"/>
        <v>0.10150000000000001</v>
      </c>
      <c r="I38" s="631">
        <f>IF(MOD(MONTH(B38),3)=0,(IF($B$4=1,SUMIF(Assumptions!$H$173:$U$173,'Debt repayment Schedule'!C38,Assumptions!$H$174:$U$174)/2,SUMIF(Assumptions!$H$173:$U$173,'Debt repayment Schedule'!C38,Assumptions!$H$183:$U$183)/4)),0)</f>
        <v>0</v>
      </c>
      <c r="J38" s="336">
        <f t="shared" si="0"/>
        <v>3.5768468103059186</v>
      </c>
      <c r="K38" s="260"/>
      <c r="L38" s="338">
        <f t="shared" si="5"/>
        <v>45412</v>
      </c>
      <c r="M38" s="210">
        <f t="shared" si="34"/>
        <v>45747</v>
      </c>
      <c r="N38" s="335">
        <f t="shared" si="29"/>
        <v>23.420876583009992</v>
      </c>
      <c r="O38" s="1382">
        <f t="shared" si="6"/>
        <v>0</v>
      </c>
      <c r="P38" s="335">
        <f t="shared" si="40"/>
        <v>23.420876583009992</v>
      </c>
      <c r="Q38" s="335">
        <f t="shared" si="12"/>
        <v>0.19538786080894638</v>
      </c>
      <c r="R38" s="339">
        <f t="shared" si="43"/>
        <v>0.10150000000000001</v>
      </c>
      <c r="S38" s="631">
        <f>IF(MOD(MONTH(L38),3)=0,IF($B$4=1,SUMIF(Assumptions!$H$173:$U$173,'Debt repayment Schedule'!M38,Assumptions!$H$175:$U$175)/2,SUMIF(Assumptions!$H$173:$U$173,'Debt repayment Schedule'!M38,Assumptions!$H$184:$U$184)/4),0)</f>
        <v>0</v>
      </c>
      <c r="T38" s="336">
        <f t="shared" si="1"/>
        <v>0.19538786080894638</v>
      </c>
      <c r="U38" s="260"/>
      <c r="V38" s="210">
        <f t="shared" si="13"/>
        <v>45412</v>
      </c>
      <c r="W38" s="210">
        <f t="shared" si="36"/>
        <v>45747</v>
      </c>
      <c r="X38" s="335">
        <f t="shared" si="30"/>
        <v>526.73856857934027</v>
      </c>
      <c r="Y38" s="1382">
        <f t="shared" si="7"/>
        <v>0</v>
      </c>
      <c r="Z38" s="335">
        <f t="shared" si="41"/>
        <v>526.73856857934027</v>
      </c>
      <c r="AA38" s="335">
        <f t="shared" si="14"/>
        <v>4.459238840849757</v>
      </c>
      <c r="AB38" s="339">
        <f t="shared" si="44"/>
        <v>0.10299999999999999</v>
      </c>
      <c r="AC38" s="631">
        <f>IF(MOD(MONTH(V38),3)=0,IF($B$4=1,SUMIF(Assumptions!$H$173:$U$173,'Debt repayment Schedule'!C38,Assumptions!$H$176:$U$176)/2,SUMIF(Assumptions!$H$173:$U$173,'Debt repayment Schedule'!C38,Assumptions!$H$185:$U$185)/4),0)</f>
        <v>0</v>
      </c>
      <c r="AD38" s="336">
        <f t="shared" si="2"/>
        <v>4.459238840849757</v>
      </c>
      <c r="AE38" s="260"/>
      <c r="AF38" s="210">
        <f t="shared" si="15"/>
        <v>45412</v>
      </c>
      <c r="AG38" s="210">
        <f t="shared" si="16"/>
        <v>45747</v>
      </c>
      <c r="AH38" s="335">
        <f t="shared" si="17"/>
        <v>44.516936433919994</v>
      </c>
      <c r="AI38" s="1382">
        <f t="shared" si="18"/>
        <v>0</v>
      </c>
      <c r="AJ38" s="335">
        <f t="shared" si="19"/>
        <v>44.516936433919994</v>
      </c>
      <c r="AK38" s="335">
        <f t="shared" si="20"/>
        <v>0</v>
      </c>
      <c r="AL38" s="339">
        <f t="shared" si="45"/>
        <v>0</v>
      </c>
      <c r="AM38" s="631">
        <f>IF(MOD(MONTH(AF38),3)=0,IF($B$4=1,SUMIF(Assumptions!$H$173:$U$173,'Debt repayment Schedule'!M38,Assumptions!$H$176:$U$176)/2,SUMIF(Assumptions!$H$173:$U$173,'Debt repayment Schedule'!M38,Assumptions!$H$185:$U$185)/4),0)</f>
        <v>0</v>
      </c>
      <c r="AN38" s="336">
        <f t="shared" si="21"/>
        <v>0</v>
      </c>
      <c r="AO38" s="260"/>
      <c r="AP38" s="210">
        <f t="shared" si="22"/>
        <v>45412</v>
      </c>
      <c r="AQ38" s="210">
        <f t="shared" si="38"/>
        <v>45747</v>
      </c>
      <c r="AR38" s="335">
        <f t="shared" si="23"/>
        <v>0</v>
      </c>
      <c r="AS38" s="335">
        <f t="shared" si="24"/>
        <v>0</v>
      </c>
      <c r="AT38" s="616">
        <f t="shared" si="25"/>
        <v>0</v>
      </c>
      <c r="AU38" s="335">
        <f t="shared" si="26"/>
        <v>0</v>
      </c>
      <c r="AV38" s="339">
        <f t="shared" si="46"/>
        <v>0.10299999999999999</v>
      </c>
      <c r="AW38" s="631">
        <f>IF(MOD(MONTH(AP38),3)=0,IF($B$4=1,SUMIF(Assumptions!$H$173:$U$173,'Debt repayment Schedule'!W38,Assumptions!$H$176:$U$176)/2,SUMIF(Assumptions!$H$173:$U$173,'Debt repayment Schedule'!W38,Assumptions!$H$185:$U$185)/4),0)</f>
        <v>0</v>
      </c>
      <c r="AX38" s="336">
        <f t="shared" si="3"/>
        <v>0</v>
      </c>
      <c r="AY38" s="260"/>
      <c r="AZ38" s="260">
        <f t="shared" si="27"/>
        <v>0</v>
      </c>
      <c r="BB38" s="260">
        <f t="shared" si="8"/>
        <v>8.231473511964623</v>
      </c>
      <c r="BC38" s="260"/>
    </row>
    <row r="39" spans="2:56" x14ac:dyDescent="0.35">
      <c r="B39" s="1377">
        <f t="shared" si="9"/>
        <v>45443</v>
      </c>
      <c r="C39" s="210">
        <f t="shared" si="32"/>
        <v>45747</v>
      </c>
      <c r="D39" s="335">
        <f t="shared" si="28"/>
        <v>428.75175230267985</v>
      </c>
      <c r="E39" s="336">
        <f t="shared" si="4"/>
        <v>0</v>
      </c>
      <c r="F39" s="335">
        <f t="shared" si="10"/>
        <v>428.75175230267985</v>
      </c>
      <c r="G39" s="335">
        <f t="shared" si="11"/>
        <v>3.6960750373161155</v>
      </c>
      <c r="H39" s="339">
        <f t="shared" si="42"/>
        <v>0.10150000000000001</v>
      </c>
      <c r="I39" s="631">
        <f>IF(MOD(MONTH(B39),3)=0,(IF($B$4=1,SUMIF(Assumptions!$H$173:$U$173,'Debt repayment Schedule'!C39,Assumptions!$H$174:$U$174)/2,SUMIF(Assumptions!$H$173:$U$173,'Debt repayment Schedule'!C39,Assumptions!$H$183:$U$183)/4)),0)</f>
        <v>0</v>
      </c>
      <c r="J39" s="336">
        <f t="shared" si="0"/>
        <v>3.6960750373161155</v>
      </c>
      <c r="K39" s="260"/>
      <c r="L39" s="338">
        <f t="shared" si="5"/>
        <v>45443</v>
      </c>
      <c r="M39" s="210">
        <f t="shared" si="34"/>
        <v>45747</v>
      </c>
      <c r="N39" s="335">
        <f t="shared" si="29"/>
        <v>23.420876583009992</v>
      </c>
      <c r="O39" s="1382">
        <f t="shared" si="6"/>
        <v>0</v>
      </c>
      <c r="P39" s="335">
        <f t="shared" si="40"/>
        <v>23.420876583009992</v>
      </c>
      <c r="Q39" s="335">
        <f t="shared" si="12"/>
        <v>0.20190078950257792</v>
      </c>
      <c r="R39" s="339">
        <f t="shared" si="43"/>
        <v>0.10150000000000001</v>
      </c>
      <c r="S39" s="631">
        <f>IF(MOD(MONTH(L39),3)=0,IF($B$4=1,SUMIF(Assumptions!$H$173:$U$173,'Debt repayment Schedule'!M39,Assumptions!$H$175:$U$175)/2,SUMIF(Assumptions!$H$173:$U$173,'Debt repayment Schedule'!M39,Assumptions!$H$184:$U$184)/4),0)</f>
        <v>0</v>
      </c>
      <c r="T39" s="336">
        <f t="shared" si="1"/>
        <v>0.20190078950257792</v>
      </c>
      <c r="U39" s="260"/>
      <c r="V39" s="210">
        <f t="shared" si="13"/>
        <v>45443</v>
      </c>
      <c r="W39" s="210">
        <f t="shared" si="36"/>
        <v>45747</v>
      </c>
      <c r="X39" s="335">
        <f t="shared" si="30"/>
        <v>526.73856857934027</v>
      </c>
      <c r="Y39" s="1382">
        <f t="shared" si="7"/>
        <v>0</v>
      </c>
      <c r="Z39" s="335">
        <f t="shared" si="41"/>
        <v>526.73856857934027</v>
      </c>
      <c r="AA39" s="335">
        <f t="shared" si="14"/>
        <v>4.6078801355447494</v>
      </c>
      <c r="AB39" s="339">
        <f t="shared" si="44"/>
        <v>0.10299999999999999</v>
      </c>
      <c r="AC39" s="631">
        <f>IF(MOD(MONTH(V39),3)=0,IF($B$4=1,SUMIF(Assumptions!$H$173:$U$173,'Debt repayment Schedule'!C39,Assumptions!$H$176:$U$176)/2,SUMIF(Assumptions!$H$173:$U$173,'Debt repayment Schedule'!C39,Assumptions!$H$185:$U$185)/4),0)</f>
        <v>0</v>
      </c>
      <c r="AD39" s="336">
        <f t="shared" si="2"/>
        <v>4.6078801355447494</v>
      </c>
      <c r="AE39" s="260"/>
      <c r="AF39" s="210">
        <f t="shared" si="15"/>
        <v>45443</v>
      </c>
      <c r="AG39" s="210">
        <f t="shared" si="16"/>
        <v>45747</v>
      </c>
      <c r="AH39" s="335">
        <f t="shared" si="17"/>
        <v>44.516936433919994</v>
      </c>
      <c r="AI39" s="1382">
        <f t="shared" si="18"/>
        <v>0</v>
      </c>
      <c r="AJ39" s="335">
        <f t="shared" si="19"/>
        <v>44.516936433919994</v>
      </c>
      <c r="AK39" s="335">
        <f t="shared" si="20"/>
        <v>0</v>
      </c>
      <c r="AL39" s="339">
        <f t="shared" si="45"/>
        <v>0</v>
      </c>
      <c r="AM39" s="631">
        <f>IF(MOD(MONTH(AF39),3)=0,IF($B$4=1,SUMIF(Assumptions!$H$173:$U$173,'Debt repayment Schedule'!M39,Assumptions!$H$176:$U$176)/2,SUMIF(Assumptions!$H$173:$U$173,'Debt repayment Schedule'!M39,Assumptions!$H$185:$U$185)/4),0)</f>
        <v>0</v>
      </c>
      <c r="AN39" s="336">
        <f t="shared" si="21"/>
        <v>0</v>
      </c>
      <c r="AO39" s="260"/>
      <c r="AP39" s="210">
        <f t="shared" si="22"/>
        <v>45443</v>
      </c>
      <c r="AQ39" s="210">
        <f t="shared" si="38"/>
        <v>45747</v>
      </c>
      <c r="AR39" s="335">
        <f t="shared" si="23"/>
        <v>0</v>
      </c>
      <c r="AS39" s="335">
        <f t="shared" si="24"/>
        <v>0</v>
      </c>
      <c r="AT39" s="616">
        <f t="shared" si="25"/>
        <v>0</v>
      </c>
      <c r="AU39" s="335">
        <f t="shared" si="26"/>
        <v>0</v>
      </c>
      <c r="AV39" s="339">
        <f t="shared" si="46"/>
        <v>0.10299999999999999</v>
      </c>
      <c r="AW39" s="631">
        <f>IF(MOD(MONTH(AP39),3)=0,IF($B$4=1,SUMIF(Assumptions!$H$173:$U$173,'Debt repayment Schedule'!W39,Assumptions!$H$176:$U$176)/2,SUMIF(Assumptions!$H$173:$U$173,'Debt repayment Schedule'!W39,Assumptions!$H$185:$U$185)/4),0)</f>
        <v>0</v>
      </c>
      <c r="AX39" s="336">
        <f t="shared" si="3"/>
        <v>0</v>
      </c>
      <c r="AY39" s="260"/>
      <c r="AZ39" s="260">
        <f t="shared" si="27"/>
        <v>0</v>
      </c>
      <c r="BB39" s="260">
        <f t="shared" si="8"/>
        <v>8.5058559623634427</v>
      </c>
      <c r="BC39" s="260"/>
    </row>
    <row r="40" spans="2:56" x14ac:dyDescent="0.35">
      <c r="B40" s="1377">
        <f t="shared" si="9"/>
        <v>45473</v>
      </c>
      <c r="C40" s="210">
        <f t="shared" si="32"/>
        <v>45747</v>
      </c>
      <c r="D40" s="335">
        <f t="shared" si="28"/>
        <v>428.75175230267985</v>
      </c>
      <c r="E40" s="336">
        <f t="shared" si="4"/>
        <v>13.568093427299999</v>
      </c>
      <c r="F40" s="335">
        <f t="shared" si="10"/>
        <v>415.18365887537982</v>
      </c>
      <c r="G40" s="335">
        <f t="shared" si="11"/>
        <v>3.5768468103059186</v>
      </c>
      <c r="H40" s="339">
        <f t="shared" si="42"/>
        <v>0.10150000000000001</v>
      </c>
      <c r="I40" s="631">
        <f>IF(MOD(MONTH(B40),3)=0,(IF($B$4=1,SUMIF(Assumptions!$H$173:$U$173,'Debt repayment Schedule'!C40,Assumptions!$H$174:$U$174)/2,SUMIF(Assumptions!$H$173:$U$173,'Debt repayment Schedule'!C40,Assumptions!$H$183:$U$183)/4)),0)</f>
        <v>2.5000000000000001E-2</v>
      </c>
      <c r="J40" s="336">
        <f t="shared" si="0"/>
        <v>17.144940237605919</v>
      </c>
      <c r="K40" s="260"/>
      <c r="L40" s="338">
        <f t="shared" si="5"/>
        <v>45473</v>
      </c>
      <c r="M40" s="210">
        <f t="shared" si="34"/>
        <v>45747</v>
      </c>
      <c r="N40" s="335">
        <f t="shared" si="29"/>
        <v>23.420876583009992</v>
      </c>
      <c r="O40" s="1382">
        <f t="shared" si="6"/>
        <v>0.74116698047500007</v>
      </c>
      <c r="P40" s="335">
        <f t="shared" si="40"/>
        <v>22.679709602534992</v>
      </c>
      <c r="Q40" s="335">
        <f t="shared" si="12"/>
        <v>0.19538786080894638</v>
      </c>
      <c r="R40" s="339">
        <f t="shared" si="43"/>
        <v>0.10150000000000001</v>
      </c>
      <c r="S40" s="631">
        <f>IF(MOD(MONTH(L40),3)=0,IF($B$4=1,SUMIF(Assumptions!$H$173:$U$173,'Debt repayment Schedule'!M40,Assumptions!$H$175:$U$175)/2,SUMIF(Assumptions!$H$173:$U$173,'Debt repayment Schedule'!M40,Assumptions!$H$184:$U$184)/4),0)</f>
        <v>2.5000000000000001E-2</v>
      </c>
      <c r="T40" s="336">
        <f t="shared" si="1"/>
        <v>0.93655484128394639</v>
      </c>
      <c r="U40" s="260"/>
      <c r="V40" s="210">
        <f t="shared" si="13"/>
        <v>45473</v>
      </c>
      <c r="W40" s="210">
        <f t="shared" si="36"/>
        <v>45747</v>
      </c>
      <c r="X40" s="335">
        <f t="shared" si="30"/>
        <v>526.73856857934027</v>
      </c>
      <c r="Y40" s="1382">
        <f t="shared" si="7"/>
        <v>16.668942043650002</v>
      </c>
      <c r="Z40" s="335">
        <f t="shared" si="41"/>
        <v>510.06962653569025</v>
      </c>
      <c r="AA40" s="335">
        <f t="shared" si="14"/>
        <v>4.459238840849757</v>
      </c>
      <c r="AB40" s="339">
        <f t="shared" si="44"/>
        <v>0.10299999999999999</v>
      </c>
      <c r="AC40" s="631">
        <f>IF(MOD(MONTH(V40),3)=0,IF($B$4=1,SUMIF(Assumptions!$H$173:$U$173,'Debt repayment Schedule'!C40,Assumptions!$H$176:$U$176)/2,SUMIF(Assumptions!$H$173:$U$173,'Debt repayment Schedule'!C40,Assumptions!$H$185:$U$185)/4),0)</f>
        <v>2.5000000000000001E-2</v>
      </c>
      <c r="AD40" s="336">
        <f t="shared" si="2"/>
        <v>21.128180884499759</v>
      </c>
      <c r="AE40" s="260"/>
      <c r="AF40" s="210">
        <f t="shared" si="15"/>
        <v>45473</v>
      </c>
      <c r="AG40" s="210">
        <f t="shared" si="16"/>
        <v>45747</v>
      </c>
      <c r="AH40" s="335">
        <f t="shared" si="17"/>
        <v>44.516936433919994</v>
      </c>
      <c r="AI40" s="1382">
        <f t="shared" si="18"/>
        <v>1.4087638112</v>
      </c>
      <c r="AJ40" s="335">
        <f t="shared" si="19"/>
        <v>43.108172622719991</v>
      </c>
      <c r="AK40" s="335">
        <f t="shared" si="20"/>
        <v>0</v>
      </c>
      <c r="AL40" s="339">
        <f t="shared" si="45"/>
        <v>0</v>
      </c>
      <c r="AM40" s="631">
        <f>IF(MOD(MONTH(AF40),3)=0,IF($B$4=1,SUMIF(Assumptions!$H$173:$U$173,'Debt repayment Schedule'!M40,Assumptions!$H$176:$U$176)/2,SUMIF(Assumptions!$H$173:$U$173,'Debt repayment Schedule'!M40,Assumptions!$H$185:$U$185)/4),0)</f>
        <v>2.5000000000000001E-2</v>
      </c>
      <c r="AN40" s="336">
        <f t="shared" si="21"/>
        <v>1.4087638112</v>
      </c>
      <c r="AO40" s="260"/>
      <c r="AP40" s="210">
        <f t="shared" si="22"/>
        <v>45473</v>
      </c>
      <c r="AQ40" s="210">
        <f t="shared" si="38"/>
        <v>45747</v>
      </c>
      <c r="AR40" s="335">
        <f t="shared" si="23"/>
        <v>0</v>
      </c>
      <c r="AS40" s="335">
        <f t="shared" si="24"/>
        <v>0</v>
      </c>
      <c r="AT40" s="616">
        <f t="shared" si="25"/>
        <v>0</v>
      </c>
      <c r="AU40" s="335">
        <f t="shared" si="26"/>
        <v>0</v>
      </c>
      <c r="AV40" s="339">
        <f t="shared" si="46"/>
        <v>0.10299999999999999</v>
      </c>
      <c r="AW40" s="631">
        <f>IF(MOD(MONTH(AP40),3)=0,IF($B$4=1,SUMIF(Assumptions!$H$173:$U$173,'Debt repayment Schedule'!W40,Assumptions!$H$176:$U$176)/2,SUMIF(Assumptions!$H$173:$U$173,'Debt repayment Schedule'!W40,Assumptions!$H$185:$U$185)/4),0)</f>
        <v>2.5000000000000001E-2</v>
      </c>
      <c r="AX40" s="336">
        <f t="shared" si="3"/>
        <v>0</v>
      </c>
      <c r="AY40" s="260"/>
      <c r="AZ40" s="260">
        <f t="shared" si="27"/>
        <v>32.386966262625002</v>
      </c>
      <c r="BB40" s="260">
        <f t="shared" si="8"/>
        <v>8.231473511964623</v>
      </c>
      <c r="BC40" s="260">
        <f>AZ40+SUM(BB38:BB40)</f>
        <v>57.355769248917689</v>
      </c>
    </row>
    <row r="41" spans="2:56" x14ac:dyDescent="0.35">
      <c r="B41" s="1377">
        <f t="shared" si="9"/>
        <v>45504</v>
      </c>
      <c r="C41" s="210">
        <f t="shared" si="32"/>
        <v>45747</v>
      </c>
      <c r="D41" s="335">
        <f t="shared" si="28"/>
        <v>415.18365887537982</v>
      </c>
      <c r="E41" s="336">
        <f t="shared" si="4"/>
        <v>0</v>
      </c>
      <c r="F41" s="335">
        <f t="shared" si="10"/>
        <v>415.18365887537982</v>
      </c>
      <c r="G41" s="335">
        <f t="shared" si="11"/>
        <v>3.5791106374010488</v>
      </c>
      <c r="H41" s="339">
        <f t="shared" si="42"/>
        <v>0.10150000000000001</v>
      </c>
      <c r="I41" s="631">
        <f>IF(MOD(MONTH(B41),3)=0,(IF($B$4=1,SUMIF(Assumptions!$H$173:$U$173,'Debt repayment Schedule'!C41,Assumptions!$H$174:$U$174)/2,SUMIF(Assumptions!$H$173:$U$173,'Debt repayment Schedule'!C41,Assumptions!$H$183:$U$183)/4)),0)</f>
        <v>0</v>
      </c>
      <c r="J41" s="336">
        <f t="shared" si="0"/>
        <v>3.5791106374010488</v>
      </c>
      <c r="K41" s="260"/>
      <c r="L41" s="338">
        <f t="shared" si="5"/>
        <v>45504</v>
      </c>
      <c r="M41" s="210">
        <f t="shared" si="34"/>
        <v>45747</v>
      </c>
      <c r="N41" s="335">
        <f t="shared" si="29"/>
        <v>22.679709602534992</v>
      </c>
      <c r="O41" s="1382">
        <f t="shared" si="6"/>
        <v>0</v>
      </c>
      <c r="P41" s="335">
        <f t="shared" si="40"/>
        <v>22.679709602534992</v>
      </c>
      <c r="Q41" s="335">
        <f t="shared" si="12"/>
        <v>0.19551152401199001</v>
      </c>
      <c r="R41" s="339">
        <f t="shared" si="43"/>
        <v>0.10150000000000001</v>
      </c>
      <c r="S41" s="631">
        <f>IF(MOD(MONTH(L41),3)=0,IF($B$4=1,SUMIF(Assumptions!$H$173:$U$173,'Debt repayment Schedule'!M41,Assumptions!$H$175:$U$175)/2,SUMIF(Assumptions!$H$173:$U$173,'Debt repayment Schedule'!M41,Assumptions!$H$184:$U$184)/4),0)</f>
        <v>0</v>
      </c>
      <c r="T41" s="336">
        <f t="shared" si="1"/>
        <v>0.19551152401199001</v>
      </c>
      <c r="U41" s="260"/>
      <c r="V41" s="210">
        <f t="shared" si="13"/>
        <v>45504</v>
      </c>
      <c r="W41" s="210">
        <f t="shared" si="36"/>
        <v>45747</v>
      </c>
      <c r="X41" s="335">
        <f t="shared" si="30"/>
        <v>510.06962653569025</v>
      </c>
      <c r="Y41" s="1382">
        <f t="shared" si="7"/>
        <v>0</v>
      </c>
      <c r="Z41" s="335">
        <f t="shared" si="41"/>
        <v>510.06962653569025</v>
      </c>
      <c r="AA41" s="335">
        <f t="shared" si="14"/>
        <v>4.4620611439135853</v>
      </c>
      <c r="AB41" s="339">
        <f t="shared" si="44"/>
        <v>0.10299999999999999</v>
      </c>
      <c r="AC41" s="631">
        <f>IF(MOD(MONTH(V41),3)=0,IF($B$4=1,SUMIF(Assumptions!$H$173:$U$173,'Debt repayment Schedule'!C41,Assumptions!$H$176:$U$176)/2,SUMIF(Assumptions!$H$173:$U$173,'Debt repayment Schedule'!C41,Assumptions!$H$185:$U$185)/4),0)</f>
        <v>0</v>
      </c>
      <c r="AD41" s="336">
        <f t="shared" si="2"/>
        <v>4.4620611439135853</v>
      </c>
      <c r="AE41" s="260"/>
      <c r="AF41" s="210">
        <f t="shared" si="15"/>
        <v>45504</v>
      </c>
      <c r="AG41" s="210">
        <f t="shared" si="16"/>
        <v>45747</v>
      </c>
      <c r="AH41" s="335">
        <f t="shared" si="17"/>
        <v>43.108172622719991</v>
      </c>
      <c r="AI41" s="1382">
        <f t="shared" si="18"/>
        <v>0</v>
      </c>
      <c r="AJ41" s="335">
        <f t="shared" si="19"/>
        <v>43.108172622719991</v>
      </c>
      <c r="AK41" s="335">
        <f t="shared" si="20"/>
        <v>0</v>
      </c>
      <c r="AL41" s="339">
        <f t="shared" si="45"/>
        <v>0</v>
      </c>
      <c r="AM41" s="631">
        <f>IF(MOD(MONTH(AF41),3)=0,IF($B$4=1,SUMIF(Assumptions!$H$173:$U$173,'Debt repayment Schedule'!M41,Assumptions!$H$176:$U$176)/2,SUMIF(Assumptions!$H$173:$U$173,'Debt repayment Schedule'!M41,Assumptions!$H$185:$U$185)/4),0)</f>
        <v>0</v>
      </c>
      <c r="AN41" s="336">
        <f t="shared" si="21"/>
        <v>0</v>
      </c>
      <c r="AO41" s="260"/>
      <c r="AP41" s="210">
        <f t="shared" si="22"/>
        <v>45504</v>
      </c>
      <c r="AQ41" s="210">
        <f t="shared" si="38"/>
        <v>45747</v>
      </c>
      <c r="AR41" s="335">
        <f t="shared" si="23"/>
        <v>0</v>
      </c>
      <c r="AS41" s="335">
        <f t="shared" si="24"/>
        <v>0</v>
      </c>
      <c r="AT41" s="616">
        <f t="shared" si="25"/>
        <v>0</v>
      </c>
      <c r="AU41" s="335">
        <f t="shared" si="26"/>
        <v>0</v>
      </c>
      <c r="AV41" s="339">
        <f t="shared" si="46"/>
        <v>0.10299999999999999</v>
      </c>
      <c r="AW41" s="631">
        <f>IF(MOD(MONTH(AP41),3)=0,IF($B$4=1,SUMIF(Assumptions!$H$173:$U$173,'Debt repayment Schedule'!W41,Assumptions!$H$176:$U$176)/2,SUMIF(Assumptions!$H$173:$U$173,'Debt repayment Schedule'!W41,Assumptions!$H$185:$U$185)/4),0)</f>
        <v>0</v>
      </c>
      <c r="AX41" s="336">
        <f t="shared" si="3"/>
        <v>0</v>
      </c>
      <c r="AY41" s="260"/>
      <c r="AZ41" s="260">
        <f t="shared" si="27"/>
        <v>0</v>
      </c>
      <c r="BB41" s="260">
        <f t="shared" si="8"/>
        <v>8.2366833053266237</v>
      </c>
      <c r="BC41" s="260"/>
    </row>
    <row r="42" spans="2:56" x14ac:dyDescent="0.35">
      <c r="B42" s="1377">
        <f t="shared" si="9"/>
        <v>45535</v>
      </c>
      <c r="C42" s="210">
        <f t="shared" si="32"/>
        <v>45747</v>
      </c>
      <c r="D42" s="335">
        <f t="shared" si="28"/>
        <v>415.18365887537982</v>
      </c>
      <c r="E42" s="336">
        <f t="shared" si="4"/>
        <v>0</v>
      </c>
      <c r="F42" s="335">
        <f t="shared" si="10"/>
        <v>415.18365887537982</v>
      </c>
      <c r="G42" s="335">
        <f t="shared" si="11"/>
        <v>3.5791106374010488</v>
      </c>
      <c r="H42" s="339">
        <f t="shared" si="42"/>
        <v>0.10150000000000001</v>
      </c>
      <c r="I42" s="631">
        <f>IF(MOD(MONTH(B42),3)=0,(IF($B$4=1,SUMIF(Assumptions!$H$173:$U$173,'Debt repayment Schedule'!C42,Assumptions!$H$174:$U$174)/2,SUMIF(Assumptions!$H$173:$U$173,'Debt repayment Schedule'!C42,Assumptions!$H$183:$U$183)/4)),0)</f>
        <v>0</v>
      </c>
      <c r="J42" s="336">
        <f t="shared" si="0"/>
        <v>3.5791106374010488</v>
      </c>
      <c r="K42" s="260"/>
      <c r="L42" s="338">
        <f t="shared" si="5"/>
        <v>45535</v>
      </c>
      <c r="M42" s="210">
        <f t="shared" si="34"/>
        <v>45747</v>
      </c>
      <c r="N42" s="335">
        <f t="shared" si="29"/>
        <v>22.679709602534992</v>
      </c>
      <c r="O42" s="1382">
        <f t="shared" si="6"/>
        <v>0</v>
      </c>
      <c r="P42" s="335">
        <f t="shared" si="40"/>
        <v>22.679709602534992</v>
      </c>
      <c r="Q42" s="335">
        <f t="shared" si="12"/>
        <v>0.19551152401199001</v>
      </c>
      <c r="R42" s="339">
        <f t="shared" si="43"/>
        <v>0.10150000000000001</v>
      </c>
      <c r="S42" s="631">
        <f>IF(MOD(MONTH(L42),3)=0,IF($B$4=1,SUMIF(Assumptions!$H$173:$U$173,'Debt repayment Schedule'!M42,Assumptions!$H$175:$U$175)/2,SUMIF(Assumptions!$H$173:$U$173,'Debt repayment Schedule'!M42,Assumptions!$H$184:$U$184)/4),0)</f>
        <v>0</v>
      </c>
      <c r="T42" s="336">
        <f t="shared" si="1"/>
        <v>0.19551152401199001</v>
      </c>
      <c r="U42" s="260"/>
      <c r="V42" s="210">
        <f t="shared" si="13"/>
        <v>45535</v>
      </c>
      <c r="W42" s="210">
        <f t="shared" si="36"/>
        <v>45747</v>
      </c>
      <c r="X42" s="335">
        <f t="shared" si="30"/>
        <v>510.06962653569025</v>
      </c>
      <c r="Y42" s="1382">
        <f t="shared" si="7"/>
        <v>0</v>
      </c>
      <c r="Z42" s="335">
        <f t="shared" si="41"/>
        <v>510.06962653569025</v>
      </c>
      <c r="AA42" s="335">
        <f t="shared" si="14"/>
        <v>4.4620611439135853</v>
      </c>
      <c r="AB42" s="339">
        <f t="shared" si="44"/>
        <v>0.10299999999999999</v>
      </c>
      <c r="AC42" s="631">
        <f>IF(MOD(MONTH(V42),3)=0,IF($B$4=1,SUMIF(Assumptions!$H$173:$U$173,'Debt repayment Schedule'!C42,Assumptions!$H$176:$U$176)/2,SUMIF(Assumptions!$H$173:$U$173,'Debt repayment Schedule'!C42,Assumptions!$H$185:$U$185)/4),0)</f>
        <v>0</v>
      </c>
      <c r="AD42" s="336">
        <f t="shared" si="2"/>
        <v>4.4620611439135853</v>
      </c>
      <c r="AE42" s="260"/>
      <c r="AF42" s="210">
        <f t="shared" si="15"/>
        <v>45535</v>
      </c>
      <c r="AG42" s="210">
        <f t="shared" si="16"/>
        <v>45747</v>
      </c>
      <c r="AH42" s="335">
        <f t="shared" si="17"/>
        <v>43.108172622719991</v>
      </c>
      <c r="AI42" s="1382">
        <f t="shared" si="18"/>
        <v>0</v>
      </c>
      <c r="AJ42" s="335">
        <f t="shared" si="19"/>
        <v>43.108172622719991</v>
      </c>
      <c r="AK42" s="335">
        <f t="shared" si="20"/>
        <v>0</v>
      </c>
      <c r="AL42" s="339">
        <f t="shared" si="45"/>
        <v>0</v>
      </c>
      <c r="AM42" s="631">
        <f>IF(MOD(MONTH(AF42),3)=0,IF($B$4=1,SUMIF(Assumptions!$H$173:$U$173,'Debt repayment Schedule'!M42,Assumptions!$H$176:$U$176)/2,SUMIF(Assumptions!$H$173:$U$173,'Debt repayment Schedule'!M42,Assumptions!$H$185:$U$185)/4),0)</f>
        <v>0</v>
      </c>
      <c r="AN42" s="336">
        <f t="shared" si="21"/>
        <v>0</v>
      </c>
      <c r="AO42" s="260"/>
      <c r="AP42" s="210">
        <f t="shared" si="22"/>
        <v>45535</v>
      </c>
      <c r="AQ42" s="210">
        <f t="shared" si="38"/>
        <v>45747</v>
      </c>
      <c r="AR42" s="335">
        <f t="shared" si="23"/>
        <v>0</v>
      </c>
      <c r="AS42" s="335">
        <f t="shared" si="24"/>
        <v>0</v>
      </c>
      <c r="AT42" s="616">
        <f t="shared" si="25"/>
        <v>0</v>
      </c>
      <c r="AU42" s="335">
        <f t="shared" si="26"/>
        <v>0</v>
      </c>
      <c r="AV42" s="339">
        <f t="shared" si="46"/>
        <v>0.10299999999999999</v>
      </c>
      <c r="AW42" s="631">
        <f>IF(MOD(MONTH(AP42),3)=0,IF($B$4=1,SUMIF(Assumptions!$H$173:$U$173,'Debt repayment Schedule'!W42,Assumptions!$H$176:$U$176)/2,SUMIF(Assumptions!$H$173:$U$173,'Debt repayment Schedule'!W42,Assumptions!$H$185:$U$185)/4),0)</f>
        <v>0</v>
      </c>
      <c r="AX42" s="336">
        <f t="shared" si="3"/>
        <v>0</v>
      </c>
      <c r="AY42" s="260"/>
      <c r="AZ42" s="260">
        <f t="shared" si="27"/>
        <v>0</v>
      </c>
      <c r="BB42" s="260">
        <f t="shared" si="8"/>
        <v>8.2366833053266237</v>
      </c>
      <c r="BC42" s="260"/>
    </row>
    <row r="43" spans="2:56" x14ac:dyDescent="0.35">
      <c r="B43" s="1377">
        <f t="shared" si="9"/>
        <v>45565</v>
      </c>
      <c r="C43" s="210">
        <f t="shared" si="32"/>
        <v>45747</v>
      </c>
      <c r="D43" s="335">
        <f t="shared" si="28"/>
        <v>415.18365887537982</v>
      </c>
      <c r="E43" s="336">
        <f t="shared" si="4"/>
        <v>13.568093427299999</v>
      </c>
      <c r="F43" s="335">
        <f t="shared" si="10"/>
        <v>401.61556544807979</v>
      </c>
      <c r="G43" s="335">
        <f t="shared" si="11"/>
        <v>3.4636554555494019</v>
      </c>
      <c r="H43" s="339">
        <f t="shared" si="42"/>
        <v>0.10150000000000001</v>
      </c>
      <c r="I43" s="631">
        <f>IF(MOD(MONTH(B43),3)=0,(IF($B$4=1,SUMIF(Assumptions!$H$173:$U$173,'Debt repayment Schedule'!C43,Assumptions!$H$174:$U$174)/2,SUMIF(Assumptions!$H$173:$U$173,'Debt repayment Schedule'!C43,Assumptions!$H$183:$U$183)/4)),0)</f>
        <v>2.5000000000000001E-2</v>
      </c>
      <c r="J43" s="336">
        <f t="shared" si="0"/>
        <v>17.031748882849399</v>
      </c>
      <c r="K43" s="260"/>
      <c r="L43" s="338">
        <f t="shared" si="5"/>
        <v>45565</v>
      </c>
      <c r="M43" s="210">
        <f t="shared" si="34"/>
        <v>45747</v>
      </c>
      <c r="N43" s="335">
        <f t="shared" si="29"/>
        <v>22.679709602534992</v>
      </c>
      <c r="O43" s="1382">
        <f t="shared" si="6"/>
        <v>0.74116698047500007</v>
      </c>
      <c r="P43" s="335">
        <f t="shared" si="40"/>
        <v>21.938542622059991</v>
      </c>
      <c r="Q43" s="335">
        <f t="shared" si="12"/>
        <v>0.18920470065676454</v>
      </c>
      <c r="R43" s="339">
        <f t="shared" si="43"/>
        <v>0.10150000000000001</v>
      </c>
      <c r="S43" s="631">
        <f>IF(MOD(MONTH(L43),3)=0,IF($B$4=1,SUMIF(Assumptions!$H$173:$U$173,'Debt repayment Schedule'!M43,Assumptions!$H$175:$U$175)/2,SUMIF(Assumptions!$H$173:$U$173,'Debt repayment Schedule'!M43,Assumptions!$H$184:$U$184)/4),0)</f>
        <v>2.5000000000000001E-2</v>
      </c>
      <c r="T43" s="336">
        <f t="shared" si="1"/>
        <v>0.93037168113176461</v>
      </c>
      <c r="U43" s="260"/>
      <c r="V43" s="210">
        <f t="shared" si="13"/>
        <v>45565</v>
      </c>
      <c r="W43" s="210">
        <f t="shared" si="36"/>
        <v>45747</v>
      </c>
      <c r="X43" s="335">
        <f t="shared" si="30"/>
        <v>510.06962653569025</v>
      </c>
      <c r="Y43" s="1382">
        <f t="shared" si="7"/>
        <v>16.668942043650002</v>
      </c>
      <c r="Z43" s="335">
        <f t="shared" si="41"/>
        <v>493.40068449204023</v>
      </c>
      <c r="AA43" s="335">
        <f t="shared" si="14"/>
        <v>4.3181236876583089</v>
      </c>
      <c r="AB43" s="339">
        <f t="shared" si="44"/>
        <v>0.10299999999999999</v>
      </c>
      <c r="AC43" s="631">
        <f>IF(MOD(MONTH(V43),3)=0,IF($B$4=1,SUMIF(Assumptions!$H$173:$U$173,'Debt repayment Schedule'!C43,Assumptions!$H$176:$U$176)/2,SUMIF(Assumptions!$H$173:$U$173,'Debt repayment Schedule'!C43,Assumptions!$H$185:$U$185)/4),0)</f>
        <v>2.5000000000000001E-2</v>
      </c>
      <c r="AD43" s="336">
        <f t="shared" si="2"/>
        <v>20.987065731308313</v>
      </c>
      <c r="AE43" s="260"/>
      <c r="AF43" s="210">
        <f t="shared" si="15"/>
        <v>45565</v>
      </c>
      <c r="AG43" s="210">
        <f t="shared" si="16"/>
        <v>45747</v>
      </c>
      <c r="AH43" s="335">
        <f t="shared" si="17"/>
        <v>43.108172622719991</v>
      </c>
      <c r="AI43" s="1382">
        <f t="shared" si="18"/>
        <v>1.4087638112</v>
      </c>
      <c r="AJ43" s="335">
        <f t="shared" si="19"/>
        <v>41.699408811519987</v>
      </c>
      <c r="AK43" s="335">
        <f t="shared" si="20"/>
        <v>0</v>
      </c>
      <c r="AL43" s="339">
        <f t="shared" si="45"/>
        <v>0</v>
      </c>
      <c r="AM43" s="631">
        <f>IF(MOD(MONTH(AF43),3)=0,IF($B$4=1,SUMIF(Assumptions!$H$173:$U$173,'Debt repayment Schedule'!M43,Assumptions!$H$176:$U$176)/2,SUMIF(Assumptions!$H$173:$U$173,'Debt repayment Schedule'!M43,Assumptions!$H$185:$U$185)/4),0)</f>
        <v>2.5000000000000001E-2</v>
      </c>
      <c r="AN43" s="336">
        <f t="shared" si="21"/>
        <v>1.4087638112</v>
      </c>
      <c r="AO43" s="260"/>
      <c r="AP43" s="210">
        <f t="shared" si="22"/>
        <v>45565</v>
      </c>
      <c r="AQ43" s="210">
        <f t="shared" si="38"/>
        <v>45747</v>
      </c>
      <c r="AR43" s="335">
        <f t="shared" si="23"/>
        <v>0</v>
      </c>
      <c r="AS43" s="335">
        <f t="shared" si="24"/>
        <v>0</v>
      </c>
      <c r="AT43" s="616">
        <f t="shared" si="25"/>
        <v>0</v>
      </c>
      <c r="AU43" s="335">
        <f t="shared" si="26"/>
        <v>0</v>
      </c>
      <c r="AV43" s="339">
        <f t="shared" si="46"/>
        <v>0.10299999999999999</v>
      </c>
      <c r="AW43" s="631">
        <f>IF(MOD(MONTH(AP43),3)=0,IF($B$4=1,SUMIF(Assumptions!$H$173:$U$173,'Debt repayment Schedule'!W43,Assumptions!$H$176:$U$176)/2,SUMIF(Assumptions!$H$173:$U$173,'Debt repayment Schedule'!W43,Assumptions!$H$185:$U$185)/4),0)</f>
        <v>2.5000000000000001E-2</v>
      </c>
      <c r="AX43" s="336">
        <f t="shared" si="3"/>
        <v>0</v>
      </c>
      <c r="AY43" s="260"/>
      <c r="AZ43" s="260">
        <f t="shared" si="27"/>
        <v>32.386966262625002</v>
      </c>
      <c r="BB43" s="260">
        <f t="shared" ref="BB43:BB106" si="47">+G43+Q43+AA43+AK43+AU43</f>
        <v>7.9709838438644756</v>
      </c>
      <c r="BC43" s="260">
        <f>AZ43+SUM(BB41:BB43)</f>
        <v>56.831316717142727</v>
      </c>
    </row>
    <row r="44" spans="2:56" x14ac:dyDescent="0.35">
      <c r="B44" s="210">
        <f t="shared" si="9"/>
        <v>45596</v>
      </c>
      <c r="C44" s="210">
        <f t="shared" si="32"/>
        <v>45747</v>
      </c>
      <c r="D44" s="335">
        <f t="shared" si="28"/>
        <v>401.61556544807979</v>
      </c>
      <c r="E44" s="336">
        <f t="shared" si="4"/>
        <v>0</v>
      </c>
      <c r="F44" s="335">
        <f t="shared" si="10"/>
        <v>401.61556544807979</v>
      </c>
      <c r="G44" s="335">
        <f t="shared" si="11"/>
        <v>3.4621462374859813</v>
      </c>
      <c r="H44" s="339">
        <f t="shared" si="42"/>
        <v>0.10150000000000001</v>
      </c>
      <c r="I44" s="1282">
        <f>IF(MOD(MONTH(B44),3)=0,(IF($B$4=1,0,SUMIF(Assumptions!$H$173:$U$173,'Debt repayment Schedule'!C44,Assumptions!$H$183:$U$183)/4)),0)</f>
        <v>0</v>
      </c>
      <c r="J44" s="336">
        <f t="shared" si="0"/>
        <v>3.4621462374859813</v>
      </c>
      <c r="K44" s="260"/>
      <c r="L44" s="338">
        <f t="shared" si="5"/>
        <v>45596</v>
      </c>
      <c r="M44" s="210">
        <f t="shared" si="34"/>
        <v>45747</v>
      </c>
      <c r="N44" s="335">
        <f t="shared" si="29"/>
        <v>21.938542622059991</v>
      </c>
      <c r="O44" s="1382">
        <f t="shared" si="6"/>
        <v>0</v>
      </c>
      <c r="P44" s="335">
        <f t="shared" si="40"/>
        <v>21.938542622059991</v>
      </c>
      <c r="Q44" s="335">
        <f t="shared" si="12"/>
        <v>0.18912225852140208</v>
      </c>
      <c r="R44" s="339">
        <f t="shared" si="43"/>
        <v>0.10150000000000001</v>
      </c>
      <c r="S44" s="1282">
        <f>IF(MOD(MONTH(L44),3)=0,IF($B$4=1,0,SUMIF(Assumptions!$H$173:$U$173,'Debt repayment Schedule'!M44,Assumptions!$H$184:$U$184)/4),0)</f>
        <v>0</v>
      </c>
      <c r="T44" s="336">
        <f t="shared" si="1"/>
        <v>0.18912225852140208</v>
      </c>
      <c r="U44" s="260"/>
      <c r="V44" s="210">
        <f t="shared" si="13"/>
        <v>45596</v>
      </c>
      <c r="W44" s="210">
        <f t="shared" si="36"/>
        <v>45747</v>
      </c>
      <c r="X44" s="335">
        <f t="shared" si="30"/>
        <v>493.40068449204023</v>
      </c>
      <c r="Y44" s="1382">
        <f t="shared" si="7"/>
        <v>0</v>
      </c>
      <c r="Z44" s="335">
        <f t="shared" si="41"/>
        <v>493.40068449204023</v>
      </c>
      <c r="AA44" s="335">
        <f t="shared" si="14"/>
        <v>4.316242152282423</v>
      </c>
      <c r="AB44" s="339">
        <f t="shared" si="44"/>
        <v>0.10299999999999999</v>
      </c>
      <c r="AC44" s="1282">
        <f>IF(MOD(MONTH(V44),3)=0,IF($B$4=1,0,SUMIF(Assumptions!$H$173:$U$173,'Debt repayment Schedule'!C44,Assumptions!$H$185:$U$185)/4),0)</f>
        <v>0</v>
      </c>
      <c r="AD44" s="336">
        <f t="shared" si="2"/>
        <v>4.316242152282423</v>
      </c>
      <c r="AE44" s="260"/>
      <c r="AF44" s="210">
        <f t="shared" si="15"/>
        <v>45596</v>
      </c>
      <c r="AG44" s="210">
        <f t="shared" si="16"/>
        <v>45747</v>
      </c>
      <c r="AH44" s="335">
        <f t="shared" si="17"/>
        <v>41.699408811519987</v>
      </c>
      <c r="AI44" s="1382">
        <f t="shared" si="18"/>
        <v>0</v>
      </c>
      <c r="AJ44" s="335">
        <f t="shared" si="19"/>
        <v>41.699408811519987</v>
      </c>
      <c r="AK44" s="335">
        <f t="shared" si="20"/>
        <v>0</v>
      </c>
      <c r="AL44" s="339">
        <f t="shared" si="45"/>
        <v>0</v>
      </c>
      <c r="AM44" s="1282">
        <f>IF(MOD(MONTH(AF44),3)=0,IF($B$4=1,0,SUMIF(Assumptions!$H$173:$U$173,'Debt repayment Schedule'!M44,Assumptions!$H$185:$U$185)/4),0)</f>
        <v>0</v>
      </c>
      <c r="AN44" s="336">
        <f t="shared" si="21"/>
        <v>0</v>
      </c>
      <c r="AO44" s="260"/>
      <c r="AP44" s="210">
        <f t="shared" si="22"/>
        <v>45596</v>
      </c>
      <c r="AQ44" s="210">
        <f t="shared" si="38"/>
        <v>45747</v>
      </c>
      <c r="AR44" s="335">
        <f t="shared" si="23"/>
        <v>0</v>
      </c>
      <c r="AS44" s="335">
        <f t="shared" si="24"/>
        <v>0</v>
      </c>
      <c r="AT44" s="616">
        <f t="shared" si="25"/>
        <v>0</v>
      </c>
      <c r="AU44" s="335">
        <f t="shared" si="26"/>
        <v>0</v>
      </c>
      <c r="AV44" s="339">
        <f t="shared" si="46"/>
        <v>0.10299999999999999</v>
      </c>
      <c r="AW44" s="1282">
        <f>IF(MOD(MONTH(AP44),3)=0,IF($B$4=1,0,SUMIF(Assumptions!$H$173:$U$173,'Debt repayment Schedule'!W44,Assumptions!$H$185:$U$185)/4),0)</f>
        <v>0</v>
      </c>
      <c r="AX44" s="336">
        <f t="shared" si="3"/>
        <v>0</v>
      </c>
      <c r="AY44" s="260"/>
      <c r="AZ44" s="260">
        <f t="shared" si="27"/>
        <v>0</v>
      </c>
      <c r="BB44" s="260">
        <f t="shared" si="47"/>
        <v>7.9675106482898066</v>
      </c>
      <c r="BC44" s="260"/>
    </row>
    <row r="45" spans="2:56" x14ac:dyDescent="0.35">
      <c r="B45" s="210">
        <f t="shared" si="9"/>
        <v>45626</v>
      </c>
      <c r="C45" s="210">
        <f t="shared" si="32"/>
        <v>45747</v>
      </c>
      <c r="D45" s="335">
        <f t="shared" si="28"/>
        <v>401.61556544807979</v>
      </c>
      <c r="E45" s="336">
        <f t="shared" si="4"/>
        <v>0</v>
      </c>
      <c r="F45" s="335">
        <f t="shared" si="10"/>
        <v>401.61556544807979</v>
      </c>
      <c r="G45" s="335">
        <f t="shared" si="11"/>
        <v>3.3504641007928848</v>
      </c>
      <c r="H45" s="339">
        <f t="shared" si="42"/>
        <v>0.10150000000000001</v>
      </c>
      <c r="I45" s="1282">
        <f>IF(MOD(MONTH(B45),3)=0,(IF($B$4=1,0,SUMIF(Assumptions!$H$173:$U$173,'Debt repayment Schedule'!C45,Assumptions!$H$183:$U$183)/4)),0)</f>
        <v>0</v>
      </c>
      <c r="J45" s="336">
        <f t="shared" si="0"/>
        <v>3.3504641007928848</v>
      </c>
      <c r="K45" s="260"/>
      <c r="L45" s="338">
        <f t="shared" si="5"/>
        <v>45626</v>
      </c>
      <c r="M45" s="210">
        <f t="shared" si="34"/>
        <v>45747</v>
      </c>
      <c r="N45" s="335">
        <f t="shared" si="29"/>
        <v>21.938542622059991</v>
      </c>
      <c r="O45" s="1382">
        <f t="shared" si="6"/>
        <v>0</v>
      </c>
      <c r="P45" s="335">
        <f t="shared" si="40"/>
        <v>21.938542622059991</v>
      </c>
      <c r="Q45" s="335">
        <f t="shared" si="12"/>
        <v>0.18302154050458266</v>
      </c>
      <c r="R45" s="339">
        <f t="shared" si="43"/>
        <v>0.10150000000000001</v>
      </c>
      <c r="S45" s="1282">
        <f>IF(MOD(MONTH(L45),3)=0,IF($B$4=1,0,SUMIF(Assumptions!$H$173:$U$173,'Debt repayment Schedule'!M45,Assumptions!$H$184:$U$184)/4),0)</f>
        <v>0</v>
      </c>
      <c r="T45" s="336">
        <f t="shared" si="1"/>
        <v>0.18302154050458266</v>
      </c>
      <c r="U45" s="260"/>
      <c r="V45" s="210">
        <f t="shared" si="13"/>
        <v>45626</v>
      </c>
      <c r="W45" s="210">
        <f t="shared" si="36"/>
        <v>45747</v>
      </c>
      <c r="X45" s="335">
        <f t="shared" si="30"/>
        <v>493.40068449204023</v>
      </c>
      <c r="Y45" s="1382">
        <f t="shared" si="7"/>
        <v>0</v>
      </c>
      <c r="Z45" s="335">
        <f t="shared" si="41"/>
        <v>493.40068449204023</v>
      </c>
      <c r="AA45" s="335">
        <f t="shared" si="14"/>
        <v>4.1770085344668608</v>
      </c>
      <c r="AB45" s="339">
        <f t="shared" si="44"/>
        <v>0.10299999999999999</v>
      </c>
      <c r="AC45" s="1282">
        <f>IF(MOD(MONTH(V45),3)=0,IF($B$4=1,0,SUMIF(Assumptions!$H$173:$U$173,'Debt repayment Schedule'!C45,Assumptions!$H$185:$U$185)/4),0)</f>
        <v>0</v>
      </c>
      <c r="AD45" s="336">
        <f t="shared" si="2"/>
        <v>4.1770085344668608</v>
      </c>
      <c r="AE45" s="260"/>
      <c r="AF45" s="210">
        <f t="shared" si="15"/>
        <v>45626</v>
      </c>
      <c r="AG45" s="210">
        <f t="shared" si="16"/>
        <v>45747</v>
      </c>
      <c r="AH45" s="335">
        <f t="shared" si="17"/>
        <v>41.699408811519987</v>
      </c>
      <c r="AI45" s="1382">
        <f t="shared" si="18"/>
        <v>0</v>
      </c>
      <c r="AJ45" s="335">
        <f t="shared" si="19"/>
        <v>41.699408811519987</v>
      </c>
      <c r="AK45" s="335">
        <f t="shared" si="20"/>
        <v>0</v>
      </c>
      <c r="AL45" s="339">
        <f t="shared" si="45"/>
        <v>0</v>
      </c>
      <c r="AM45" s="1282">
        <f>IF(MOD(MONTH(AF45),3)=0,IF($B$4=1,0,SUMIF(Assumptions!$H$173:$U$173,'Debt repayment Schedule'!M45,Assumptions!$H$185:$U$185)/4),0)</f>
        <v>0</v>
      </c>
      <c r="AN45" s="336">
        <f t="shared" si="21"/>
        <v>0</v>
      </c>
      <c r="AO45" s="260"/>
      <c r="AP45" s="210">
        <f t="shared" si="22"/>
        <v>45626</v>
      </c>
      <c r="AQ45" s="210">
        <f t="shared" si="38"/>
        <v>45747</v>
      </c>
      <c r="AR45" s="335">
        <f t="shared" si="23"/>
        <v>0</v>
      </c>
      <c r="AS45" s="335">
        <f t="shared" si="24"/>
        <v>0</v>
      </c>
      <c r="AT45" s="616">
        <f t="shared" si="25"/>
        <v>0</v>
      </c>
      <c r="AU45" s="335">
        <f t="shared" si="26"/>
        <v>0</v>
      </c>
      <c r="AV45" s="339">
        <f t="shared" si="46"/>
        <v>0.10299999999999999</v>
      </c>
      <c r="AW45" s="1282">
        <f>IF(MOD(MONTH(AP45),3)=0,IF($B$4=1,0,SUMIF(Assumptions!$H$173:$U$173,'Debt repayment Schedule'!W45,Assumptions!$H$185:$U$185)/4),0)</f>
        <v>0</v>
      </c>
      <c r="AX45" s="336">
        <f t="shared" si="3"/>
        <v>0</v>
      </c>
      <c r="AY45" s="260"/>
      <c r="AZ45" s="260">
        <f t="shared" si="27"/>
        <v>0</v>
      </c>
      <c r="BB45" s="260">
        <f t="shared" si="47"/>
        <v>7.7104941757643282</v>
      </c>
      <c r="BC45" s="260"/>
    </row>
    <row r="46" spans="2:56" x14ac:dyDescent="0.35">
      <c r="B46" s="210">
        <f t="shared" si="9"/>
        <v>45657</v>
      </c>
      <c r="C46" s="210">
        <f t="shared" si="32"/>
        <v>45747</v>
      </c>
      <c r="D46" s="335">
        <f t="shared" si="28"/>
        <v>401.61556544807979</v>
      </c>
      <c r="E46" s="336">
        <f t="shared" si="4"/>
        <v>13.568093427299999</v>
      </c>
      <c r="F46" s="335">
        <f t="shared" si="10"/>
        <v>388.04747202077976</v>
      </c>
      <c r="G46" s="335">
        <f t="shared" si="11"/>
        <v>3.4621462374859813</v>
      </c>
      <c r="H46" s="339">
        <f t="shared" si="42"/>
        <v>0.10150000000000001</v>
      </c>
      <c r="I46" s="1282">
        <f>IF(MOD(MONTH(B46),3)=0,(IF($B$4=1,0,SUMIF(Assumptions!$H$173:$U$173,'Debt repayment Schedule'!C46,Assumptions!$H$183:$U$183)/4)),0)</f>
        <v>2.5000000000000001E-2</v>
      </c>
      <c r="J46" s="336">
        <f t="shared" si="0"/>
        <v>17.030239664785981</v>
      </c>
      <c r="K46" s="260"/>
      <c r="L46" s="338">
        <f t="shared" si="5"/>
        <v>45657</v>
      </c>
      <c r="M46" s="210">
        <f t="shared" si="34"/>
        <v>45747</v>
      </c>
      <c r="N46" s="335">
        <f t="shared" si="29"/>
        <v>21.938542622059991</v>
      </c>
      <c r="O46" s="1382">
        <f t="shared" si="6"/>
        <v>0.74116698047500007</v>
      </c>
      <c r="P46" s="335">
        <f t="shared" si="40"/>
        <v>21.197375641584991</v>
      </c>
      <c r="Q46" s="335">
        <f t="shared" si="12"/>
        <v>0.18912225852140208</v>
      </c>
      <c r="R46" s="339">
        <f t="shared" si="43"/>
        <v>0.10150000000000001</v>
      </c>
      <c r="S46" s="1282">
        <f>IF(MOD(MONTH(L46),3)=0,IF($B$4=1,0,SUMIF(Assumptions!$H$173:$U$173,'Debt repayment Schedule'!M46,Assumptions!$H$184:$U$184)/4),0)</f>
        <v>2.5000000000000001E-2</v>
      </c>
      <c r="T46" s="336">
        <f t="shared" si="1"/>
        <v>0.93028923899640215</v>
      </c>
      <c r="U46" s="260"/>
      <c r="V46" s="210">
        <f t="shared" si="13"/>
        <v>45657</v>
      </c>
      <c r="W46" s="210">
        <f t="shared" si="36"/>
        <v>45747</v>
      </c>
      <c r="X46" s="335">
        <f t="shared" si="30"/>
        <v>493.40068449204023</v>
      </c>
      <c r="Y46" s="1382">
        <f t="shared" si="7"/>
        <v>16.668942043650002</v>
      </c>
      <c r="Z46" s="335">
        <f t="shared" si="41"/>
        <v>476.73174244839021</v>
      </c>
      <c r="AA46" s="335">
        <f t="shared" si="14"/>
        <v>4.316242152282423</v>
      </c>
      <c r="AB46" s="339">
        <f t="shared" si="44"/>
        <v>0.10299999999999999</v>
      </c>
      <c r="AC46" s="1282">
        <f>IF(MOD(MONTH(V46),3)=0,IF($B$4=1,0,SUMIF(Assumptions!$H$173:$U$173,'Debt repayment Schedule'!C46,Assumptions!$H$185:$U$185)/4),0)</f>
        <v>2.5000000000000001E-2</v>
      </c>
      <c r="AD46" s="336">
        <f t="shared" si="2"/>
        <v>20.985184195932426</v>
      </c>
      <c r="AE46" s="260"/>
      <c r="AF46" s="210">
        <f t="shared" si="15"/>
        <v>45657</v>
      </c>
      <c r="AG46" s="210">
        <f t="shared" si="16"/>
        <v>45747</v>
      </c>
      <c r="AH46" s="335">
        <f t="shared" si="17"/>
        <v>41.699408811519987</v>
      </c>
      <c r="AI46" s="1382">
        <f t="shared" si="18"/>
        <v>1.4087638112</v>
      </c>
      <c r="AJ46" s="335">
        <f t="shared" si="19"/>
        <v>40.290645000319984</v>
      </c>
      <c r="AK46" s="335">
        <f t="shared" si="20"/>
        <v>0</v>
      </c>
      <c r="AL46" s="339">
        <f t="shared" si="45"/>
        <v>0</v>
      </c>
      <c r="AM46" s="1282">
        <f>IF(MOD(MONTH(AF46),3)=0,IF($B$4=1,0,SUMIF(Assumptions!$H$173:$U$173,'Debt repayment Schedule'!M46,Assumptions!$H$185:$U$185)/4),0)</f>
        <v>2.5000000000000001E-2</v>
      </c>
      <c r="AN46" s="336">
        <f t="shared" si="21"/>
        <v>1.4087638112</v>
      </c>
      <c r="AO46" s="260"/>
      <c r="AP46" s="210">
        <f t="shared" si="22"/>
        <v>45657</v>
      </c>
      <c r="AQ46" s="210">
        <f t="shared" si="38"/>
        <v>45747</v>
      </c>
      <c r="AR46" s="335">
        <f t="shared" si="23"/>
        <v>0</v>
      </c>
      <c r="AS46" s="335">
        <f t="shared" si="24"/>
        <v>0</v>
      </c>
      <c r="AT46" s="616">
        <f t="shared" si="25"/>
        <v>0</v>
      </c>
      <c r="AU46" s="335">
        <f t="shared" si="26"/>
        <v>0</v>
      </c>
      <c r="AV46" s="339">
        <f t="shared" si="46"/>
        <v>0.10299999999999999</v>
      </c>
      <c r="AW46" s="1282">
        <f>IF(MOD(MONTH(AP46),3)=0,IF($B$4=1,0,SUMIF(Assumptions!$H$173:$U$173,'Debt repayment Schedule'!W46,Assumptions!$H$185:$U$185)/4),0)</f>
        <v>2.5000000000000001E-2</v>
      </c>
      <c r="AX46" s="336">
        <f t="shared" si="3"/>
        <v>0</v>
      </c>
      <c r="AY46" s="260"/>
      <c r="AZ46" s="260">
        <f t="shared" si="27"/>
        <v>32.386966262625002</v>
      </c>
      <c r="BB46" s="260">
        <f t="shared" si="47"/>
        <v>7.9675106482898066</v>
      </c>
      <c r="BC46" s="260">
        <f>AZ46+SUM(BB44:BB46)</f>
        <v>56.03248173496894</v>
      </c>
    </row>
    <row r="47" spans="2:56" x14ac:dyDescent="0.35">
      <c r="B47" s="210">
        <f t="shared" si="9"/>
        <v>45688</v>
      </c>
      <c r="C47" s="210">
        <f t="shared" si="32"/>
        <v>45747</v>
      </c>
      <c r="D47" s="335">
        <f t="shared" si="28"/>
        <v>388.04747202077976</v>
      </c>
      <c r="E47" s="336">
        <f t="shared" si="4"/>
        <v>0</v>
      </c>
      <c r="F47" s="335">
        <f t="shared" si="10"/>
        <v>388.04747202077976</v>
      </c>
      <c r="G47" s="335">
        <f t="shared" si="11"/>
        <v>3.3451818375709141</v>
      </c>
      <c r="H47" s="339">
        <f t="shared" si="42"/>
        <v>0.10150000000000001</v>
      </c>
      <c r="I47" s="337">
        <f>IF(MOD(MONTH(B47),3)=0,(IF($B$4=1,0,SUMIF(Assumptions!$H$173:$U$173,'Debt repayment Schedule'!C47,Assumptions!$H$183:$U$183)/4)),0)</f>
        <v>0</v>
      </c>
      <c r="J47" s="336">
        <f t="shared" si="0"/>
        <v>3.3451818375709141</v>
      </c>
      <c r="K47" s="260"/>
      <c r="L47" s="338">
        <f t="shared" si="5"/>
        <v>45688</v>
      </c>
      <c r="M47" s="210">
        <f t="shared" si="34"/>
        <v>45747</v>
      </c>
      <c r="N47" s="335">
        <f t="shared" si="29"/>
        <v>21.197375641584991</v>
      </c>
      <c r="O47" s="1382">
        <f t="shared" si="6"/>
        <v>0</v>
      </c>
      <c r="P47" s="335">
        <f t="shared" si="40"/>
        <v>21.197375641584991</v>
      </c>
      <c r="Q47" s="335">
        <f t="shared" si="12"/>
        <v>0.18273299303081419</v>
      </c>
      <c r="R47" s="339">
        <f t="shared" si="43"/>
        <v>0.10150000000000001</v>
      </c>
      <c r="S47" s="1282">
        <f>IF(MOD(MONTH(L47),3)=0,IF($B$4=1,0,SUMIF(Assumptions!$H$173:$U$173,'Debt repayment Schedule'!M47,Assumptions!$H$184:$U$184)/4),0)</f>
        <v>0</v>
      </c>
      <c r="T47" s="336">
        <f t="shared" si="1"/>
        <v>0.18273299303081419</v>
      </c>
      <c r="U47" s="260"/>
      <c r="V47" s="210">
        <f t="shared" si="13"/>
        <v>45688</v>
      </c>
      <c r="W47" s="210">
        <f t="shared" si="36"/>
        <v>45747</v>
      </c>
      <c r="X47" s="335">
        <f t="shared" si="30"/>
        <v>476.73174244839021</v>
      </c>
      <c r="Y47" s="1382">
        <f t="shared" si="7"/>
        <v>0</v>
      </c>
      <c r="Z47" s="335">
        <f t="shared" si="41"/>
        <v>476.73174244839021</v>
      </c>
      <c r="AA47" s="335">
        <f t="shared" si="14"/>
        <v>4.1704231606512598</v>
      </c>
      <c r="AB47" s="339">
        <f t="shared" si="44"/>
        <v>0.10299999999999999</v>
      </c>
      <c r="AC47" s="337">
        <f>IF(MOD(MONTH(V47),3)=0,IF($B$4=1,0,SUMIF(Assumptions!$H$173:$U$173,'Debt repayment Schedule'!C47,Assumptions!$H$185:$U$185)/4),0)</f>
        <v>0</v>
      </c>
      <c r="AD47" s="336">
        <f t="shared" si="2"/>
        <v>4.1704231606512598</v>
      </c>
      <c r="AE47" s="260"/>
      <c r="AF47" s="210">
        <f t="shared" si="15"/>
        <v>45688</v>
      </c>
      <c r="AG47" s="210">
        <f t="shared" si="16"/>
        <v>45747</v>
      </c>
      <c r="AH47" s="335">
        <f t="shared" si="17"/>
        <v>40.290645000319984</v>
      </c>
      <c r="AI47" s="1382">
        <f t="shared" si="18"/>
        <v>0</v>
      </c>
      <c r="AJ47" s="335">
        <f t="shared" si="19"/>
        <v>40.290645000319984</v>
      </c>
      <c r="AK47" s="335">
        <f t="shared" si="20"/>
        <v>0</v>
      </c>
      <c r="AL47" s="339">
        <f t="shared" si="45"/>
        <v>0</v>
      </c>
      <c r="AM47" s="337">
        <f>IF(MOD(MONTH(AF47),3)=0,IF($B$4=1,0,SUMIF(Assumptions!$H$173:$U$173,'Debt repayment Schedule'!M47,Assumptions!$H$185:$U$185)/4),0)</f>
        <v>0</v>
      </c>
      <c r="AN47" s="336">
        <f t="shared" si="21"/>
        <v>0</v>
      </c>
      <c r="AO47" s="260"/>
      <c r="AP47" s="210">
        <f t="shared" si="22"/>
        <v>45688</v>
      </c>
      <c r="AQ47" s="210">
        <f t="shared" si="38"/>
        <v>45747</v>
      </c>
      <c r="AR47" s="335">
        <f t="shared" si="23"/>
        <v>0</v>
      </c>
      <c r="AS47" s="335">
        <f t="shared" si="24"/>
        <v>0</v>
      </c>
      <c r="AT47" s="616">
        <f t="shared" si="25"/>
        <v>0</v>
      </c>
      <c r="AU47" s="335">
        <f t="shared" si="26"/>
        <v>0</v>
      </c>
      <c r="AV47" s="339">
        <f t="shared" si="46"/>
        <v>0.10299999999999999</v>
      </c>
      <c r="AW47" s="337">
        <f>IF(MOD(MONTH(AP47),3)=0,IF($B$4=1,0,SUMIF(Assumptions!$H$173:$U$173,'Debt repayment Schedule'!W47,Assumptions!$H$185:$U$185)/4),0)</f>
        <v>0</v>
      </c>
      <c r="AX47" s="336">
        <f t="shared" si="3"/>
        <v>0</v>
      </c>
      <c r="AY47" s="260"/>
      <c r="AZ47" s="260">
        <f t="shared" si="27"/>
        <v>0</v>
      </c>
      <c r="BB47" s="260">
        <f t="shared" si="47"/>
        <v>7.6983379912529877</v>
      </c>
      <c r="BC47" s="260"/>
    </row>
    <row r="48" spans="2:56" x14ac:dyDescent="0.35">
      <c r="B48" s="210">
        <f t="shared" si="9"/>
        <v>45716</v>
      </c>
      <c r="C48" s="210">
        <f t="shared" si="32"/>
        <v>45747</v>
      </c>
      <c r="D48" s="335">
        <f t="shared" si="28"/>
        <v>388.04747202077976</v>
      </c>
      <c r="E48" s="336">
        <f t="shared" si="4"/>
        <v>0</v>
      </c>
      <c r="F48" s="335">
        <f t="shared" si="10"/>
        <v>388.04747202077976</v>
      </c>
      <c r="G48" s="335">
        <f t="shared" si="11"/>
        <v>3.0214545629672775</v>
      </c>
      <c r="H48" s="339">
        <f t="shared" si="42"/>
        <v>0.10150000000000001</v>
      </c>
      <c r="I48" s="337">
        <f>IF(MOD(MONTH(B48),3)=0,(IF($B$4=1,0,SUMIF(Assumptions!$H$173:$U$173,'Debt repayment Schedule'!C48,Assumptions!$H$183:$U$183)/4)),0)</f>
        <v>0</v>
      </c>
      <c r="J48" s="336">
        <f t="shared" si="0"/>
        <v>3.0214545629672775</v>
      </c>
      <c r="K48" s="260"/>
      <c r="L48" s="338">
        <f t="shared" si="5"/>
        <v>45716</v>
      </c>
      <c r="M48" s="210">
        <f t="shared" si="34"/>
        <v>45747</v>
      </c>
      <c r="N48" s="335">
        <f t="shared" si="29"/>
        <v>21.197375641584991</v>
      </c>
      <c r="O48" s="1382">
        <f t="shared" si="6"/>
        <v>0</v>
      </c>
      <c r="P48" s="335">
        <f t="shared" si="40"/>
        <v>21.197375641584991</v>
      </c>
      <c r="Q48" s="335">
        <f t="shared" si="12"/>
        <v>0.1650491549955741</v>
      </c>
      <c r="R48" s="339">
        <f t="shared" si="43"/>
        <v>0.10150000000000001</v>
      </c>
      <c r="S48" s="1282">
        <f>IF(MOD(MONTH(L48),3)=0,IF($B$4=1,0,SUMIF(Assumptions!$H$173:$U$173,'Debt repayment Schedule'!M48,Assumptions!$H$184:$U$184)/4),0)</f>
        <v>0</v>
      </c>
      <c r="T48" s="336">
        <f t="shared" si="1"/>
        <v>0.1650491549955741</v>
      </c>
      <c r="U48" s="260"/>
      <c r="V48" s="210">
        <f t="shared" si="13"/>
        <v>45716</v>
      </c>
      <c r="W48" s="210">
        <f t="shared" si="36"/>
        <v>45747</v>
      </c>
      <c r="X48" s="335">
        <f t="shared" si="30"/>
        <v>476.73174244839021</v>
      </c>
      <c r="Y48" s="1382">
        <f t="shared" si="7"/>
        <v>0</v>
      </c>
      <c r="Z48" s="335">
        <f t="shared" si="41"/>
        <v>476.73174244839021</v>
      </c>
      <c r="AA48" s="335">
        <f t="shared" si="14"/>
        <v>3.766833822523719</v>
      </c>
      <c r="AB48" s="339">
        <f t="shared" si="44"/>
        <v>0.10299999999999999</v>
      </c>
      <c r="AC48" s="337">
        <f>IF(MOD(MONTH(V48),3)=0,IF($B$4=1,0,SUMIF(Assumptions!$H$173:$U$173,'Debt repayment Schedule'!C48,Assumptions!$H$185:$U$185)/4),0)</f>
        <v>0</v>
      </c>
      <c r="AD48" s="336">
        <f t="shared" si="2"/>
        <v>3.766833822523719</v>
      </c>
      <c r="AE48" s="260"/>
      <c r="AF48" s="210">
        <f t="shared" si="15"/>
        <v>45716</v>
      </c>
      <c r="AG48" s="210">
        <f t="shared" si="16"/>
        <v>45747</v>
      </c>
      <c r="AH48" s="335">
        <f t="shared" si="17"/>
        <v>40.290645000319984</v>
      </c>
      <c r="AI48" s="1382">
        <f t="shared" si="18"/>
        <v>0</v>
      </c>
      <c r="AJ48" s="335">
        <f t="shared" si="19"/>
        <v>40.290645000319984</v>
      </c>
      <c r="AK48" s="335">
        <f t="shared" si="20"/>
        <v>0</v>
      </c>
      <c r="AL48" s="339">
        <f t="shared" si="45"/>
        <v>0</v>
      </c>
      <c r="AM48" s="337">
        <f>IF(MOD(MONTH(AF48),3)=0,IF($B$4=1,0,SUMIF(Assumptions!$H$173:$U$173,'Debt repayment Schedule'!M48,Assumptions!$H$185:$U$185)/4),0)</f>
        <v>0</v>
      </c>
      <c r="AN48" s="336">
        <f t="shared" si="21"/>
        <v>0</v>
      </c>
      <c r="AO48" s="260"/>
      <c r="AP48" s="210">
        <f t="shared" si="22"/>
        <v>45716</v>
      </c>
      <c r="AQ48" s="210">
        <f t="shared" si="38"/>
        <v>45747</v>
      </c>
      <c r="AR48" s="335">
        <f t="shared" si="23"/>
        <v>0</v>
      </c>
      <c r="AS48" s="335">
        <f t="shared" si="24"/>
        <v>0</v>
      </c>
      <c r="AT48" s="616">
        <f t="shared" si="25"/>
        <v>0</v>
      </c>
      <c r="AU48" s="335">
        <f t="shared" si="26"/>
        <v>0</v>
      </c>
      <c r="AV48" s="339">
        <f t="shared" si="46"/>
        <v>0.10299999999999999</v>
      </c>
      <c r="AW48" s="337">
        <f>IF(MOD(MONTH(AP48),3)=0,IF($B$4=1,0,SUMIF(Assumptions!$H$173:$U$173,'Debt repayment Schedule'!W48,Assumptions!$H$185:$U$185)/4),0)</f>
        <v>0</v>
      </c>
      <c r="AX48" s="336">
        <f t="shared" si="3"/>
        <v>0</v>
      </c>
      <c r="AY48" s="260"/>
      <c r="AZ48" s="260">
        <f t="shared" si="27"/>
        <v>0</v>
      </c>
      <c r="BB48" s="260">
        <f t="shared" si="47"/>
        <v>6.9533375404865705</v>
      </c>
      <c r="BC48" s="260"/>
    </row>
    <row r="49" spans="2:56" x14ac:dyDescent="0.35">
      <c r="B49" s="210">
        <f t="shared" si="9"/>
        <v>45747</v>
      </c>
      <c r="C49" s="210">
        <f t="shared" si="32"/>
        <v>45747</v>
      </c>
      <c r="D49" s="335">
        <f t="shared" si="28"/>
        <v>388.04747202077976</v>
      </c>
      <c r="E49" s="336">
        <f t="shared" si="4"/>
        <v>13.568093427299999</v>
      </c>
      <c r="F49" s="335">
        <f t="shared" si="10"/>
        <v>374.47937859347974</v>
      </c>
      <c r="G49" s="335">
        <f t="shared" si="11"/>
        <v>3.3451818375709141</v>
      </c>
      <c r="H49" s="339">
        <f t="shared" si="42"/>
        <v>0.10150000000000001</v>
      </c>
      <c r="I49" s="337">
        <f>IF(MOD(MONTH(B49),3)=0,(IF($B$4=1,0,SUMIF(Assumptions!$H$173:$U$173,'Debt repayment Schedule'!C49,Assumptions!$H$183:$U$183)/4)),0)</f>
        <v>2.5000000000000001E-2</v>
      </c>
      <c r="J49" s="336">
        <f t="shared" si="0"/>
        <v>16.913275264870911</v>
      </c>
      <c r="K49" s="260"/>
      <c r="L49" s="338">
        <f t="shared" si="5"/>
        <v>45747</v>
      </c>
      <c r="M49" s="210">
        <f t="shared" si="34"/>
        <v>45747</v>
      </c>
      <c r="N49" s="335">
        <f t="shared" si="29"/>
        <v>21.197375641584991</v>
      </c>
      <c r="O49" s="1382">
        <f t="shared" si="6"/>
        <v>0.74116698047500007</v>
      </c>
      <c r="P49" s="335">
        <f t="shared" si="40"/>
        <v>20.45620866110999</v>
      </c>
      <c r="Q49" s="335">
        <f t="shared" si="12"/>
        <v>0.18273299303081419</v>
      </c>
      <c r="R49" s="339">
        <f t="shared" si="43"/>
        <v>0.10150000000000001</v>
      </c>
      <c r="S49" s="1282">
        <f>IF(MOD(MONTH(L49),3)=0,IF($B$4=1,0,SUMIF(Assumptions!$H$173:$U$173,'Debt repayment Schedule'!M49,Assumptions!$H$184:$U$184)/4),0)</f>
        <v>2.5000000000000001E-2</v>
      </c>
      <c r="T49" s="336">
        <f t="shared" si="1"/>
        <v>0.92389997350581421</v>
      </c>
      <c r="U49" s="260"/>
      <c r="V49" s="210">
        <f t="shared" si="13"/>
        <v>45747</v>
      </c>
      <c r="W49" s="210">
        <f t="shared" si="36"/>
        <v>45747</v>
      </c>
      <c r="X49" s="335">
        <f t="shared" si="30"/>
        <v>476.73174244839021</v>
      </c>
      <c r="Y49" s="1382">
        <f t="shared" si="7"/>
        <v>16.668942043650002</v>
      </c>
      <c r="Z49" s="335">
        <f t="shared" si="41"/>
        <v>460.06280040474019</v>
      </c>
      <c r="AA49" s="335">
        <f t="shared" si="14"/>
        <v>4.1704231606512598</v>
      </c>
      <c r="AB49" s="339">
        <f t="shared" si="44"/>
        <v>0.10299999999999999</v>
      </c>
      <c r="AC49" s="337">
        <f>IF(MOD(MONTH(V49),3)=0,IF($B$4=1,0,SUMIF(Assumptions!$H$173:$U$173,'Debt repayment Schedule'!C49,Assumptions!$H$185:$U$185)/4),0)</f>
        <v>2.5000000000000001E-2</v>
      </c>
      <c r="AD49" s="336">
        <f t="shared" si="2"/>
        <v>20.839365204301263</v>
      </c>
      <c r="AE49" s="260"/>
      <c r="AF49" s="210">
        <f t="shared" si="15"/>
        <v>45747</v>
      </c>
      <c r="AG49" s="210">
        <f t="shared" si="16"/>
        <v>45747</v>
      </c>
      <c r="AH49" s="335">
        <f t="shared" si="17"/>
        <v>40.290645000319984</v>
      </c>
      <c r="AI49" s="1382">
        <f t="shared" si="18"/>
        <v>1.4087638112</v>
      </c>
      <c r="AJ49" s="335">
        <f t="shared" si="19"/>
        <v>38.88188118911998</v>
      </c>
      <c r="AK49" s="335">
        <f t="shared" si="20"/>
        <v>0</v>
      </c>
      <c r="AL49" s="339">
        <f t="shared" si="45"/>
        <v>0</v>
      </c>
      <c r="AM49" s="337">
        <f>IF(MOD(MONTH(AF49),3)=0,IF($B$4=1,0,SUMIF(Assumptions!$H$173:$U$173,'Debt repayment Schedule'!M49,Assumptions!$H$185:$U$185)/4),0)</f>
        <v>2.5000000000000001E-2</v>
      </c>
      <c r="AN49" s="336">
        <f t="shared" si="21"/>
        <v>1.4087638112</v>
      </c>
      <c r="AO49" s="260"/>
      <c r="AP49" s="210">
        <f t="shared" si="22"/>
        <v>45747</v>
      </c>
      <c r="AQ49" s="210">
        <f t="shared" si="38"/>
        <v>45747</v>
      </c>
      <c r="AR49" s="335">
        <f t="shared" si="23"/>
        <v>0</v>
      </c>
      <c r="AS49" s="335">
        <f t="shared" si="24"/>
        <v>0</v>
      </c>
      <c r="AT49" s="616">
        <f t="shared" si="25"/>
        <v>0</v>
      </c>
      <c r="AU49" s="335">
        <f t="shared" si="26"/>
        <v>0</v>
      </c>
      <c r="AV49" s="339">
        <f t="shared" si="46"/>
        <v>0.10299999999999999</v>
      </c>
      <c r="AW49" s="337">
        <f>IF(MOD(MONTH(AP49),3)=0,IF($B$4=1,0,SUMIF(Assumptions!$H$173:$U$173,'Debt repayment Schedule'!W49,Assumptions!$H$185:$U$185)/4),0)</f>
        <v>2.5000000000000001E-2</v>
      </c>
      <c r="AX49" s="336">
        <f t="shared" si="3"/>
        <v>0</v>
      </c>
      <c r="AY49" s="260"/>
      <c r="AZ49" s="260">
        <f t="shared" si="27"/>
        <v>32.386966262625002</v>
      </c>
      <c r="BB49" s="260">
        <f t="shared" si="47"/>
        <v>7.6983379912529877</v>
      </c>
      <c r="BC49" s="260">
        <f>AZ49+SUM(BB47:BB49)</f>
        <v>54.73697978561755</v>
      </c>
      <c r="BD49" s="215">
        <f>BC52</f>
        <v>57.433857902231736</v>
      </c>
    </row>
    <row r="50" spans="2:56" x14ac:dyDescent="0.35">
      <c r="B50" s="210">
        <f t="shared" si="9"/>
        <v>45777</v>
      </c>
      <c r="C50" s="210">
        <f t="shared" si="32"/>
        <v>46112</v>
      </c>
      <c r="D50" s="335">
        <f t="shared" si="28"/>
        <v>374.47937859347974</v>
      </c>
      <c r="E50" s="336">
        <f t="shared" si="4"/>
        <v>0</v>
      </c>
      <c r="F50" s="335">
        <f t="shared" si="10"/>
        <v>374.47937859347974</v>
      </c>
      <c r="G50" s="335">
        <f t="shared" si="11"/>
        <v>3.1240813912798515</v>
      </c>
      <c r="H50" s="339">
        <f t="shared" si="42"/>
        <v>0.10150000000000001</v>
      </c>
      <c r="I50" s="337">
        <f>IF(MOD(MONTH(B50),3)=0,(IF($B$4=1,0,SUMIF(Assumptions!$H$173:$U$173,'Debt repayment Schedule'!C50,Assumptions!$H$183:$U$183)/4)),0)</f>
        <v>0</v>
      </c>
      <c r="J50" s="336">
        <f t="shared" si="0"/>
        <v>3.1240813912798515</v>
      </c>
      <c r="K50" s="260"/>
      <c r="L50" s="338">
        <f t="shared" si="5"/>
        <v>45777</v>
      </c>
      <c r="M50" s="210">
        <f t="shared" si="34"/>
        <v>46112</v>
      </c>
      <c r="N50" s="335">
        <f t="shared" si="29"/>
        <v>20.45620866110999</v>
      </c>
      <c r="O50" s="1382">
        <f t="shared" si="6"/>
        <v>0</v>
      </c>
      <c r="P50" s="335">
        <f t="shared" si="40"/>
        <v>20.45620866110999</v>
      </c>
      <c r="Q50" s="335">
        <f t="shared" si="12"/>
        <v>0.17065522020021898</v>
      </c>
      <c r="R50" s="339">
        <f t="shared" si="43"/>
        <v>0.10150000000000001</v>
      </c>
      <c r="S50" s="1282">
        <f>IF(MOD(MONTH(L50),3)=0,IF($B$4=1,0,SUMIF(Assumptions!$H$173:$U$173,'Debt repayment Schedule'!M50,Assumptions!$H$184:$U$184)/4),0)</f>
        <v>0</v>
      </c>
      <c r="T50" s="336">
        <f t="shared" si="1"/>
        <v>0.17065522020021898</v>
      </c>
      <c r="U50" s="260"/>
      <c r="V50" s="210">
        <f t="shared" si="13"/>
        <v>45777</v>
      </c>
      <c r="W50" s="210">
        <f t="shared" si="36"/>
        <v>46112</v>
      </c>
      <c r="X50" s="335">
        <f t="shared" si="30"/>
        <v>460.06280040474019</v>
      </c>
      <c r="Y50" s="1382">
        <f t="shared" si="7"/>
        <v>0</v>
      </c>
      <c r="Z50" s="335">
        <f t="shared" si="41"/>
        <v>460.06280040474019</v>
      </c>
      <c r="AA50" s="335">
        <f t="shared" si="14"/>
        <v>3.8947782280839642</v>
      </c>
      <c r="AB50" s="339">
        <f t="shared" si="44"/>
        <v>0.10299999999999999</v>
      </c>
      <c r="AC50" s="337">
        <f>IF(MOD(MONTH(V50),3)=0,IF($B$4=1,0,SUMIF(Assumptions!$H$173:$U$173,'Debt repayment Schedule'!C50,Assumptions!$H$185:$U$185)/4),0)</f>
        <v>0</v>
      </c>
      <c r="AD50" s="336">
        <f t="shared" si="2"/>
        <v>3.8947782280839642</v>
      </c>
      <c r="AE50" s="260"/>
      <c r="AF50" s="210">
        <f t="shared" si="15"/>
        <v>45777</v>
      </c>
      <c r="AG50" s="210">
        <f t="shared" si="16"/>
        <v>46112</v>
      </c>
      <c r="AH50" s="335">
        <f t="shared" si="17"/>
        <v>38.88188118911998</v>
      </c>
      <c r="AI50" s="1382">
        <f t="shared" si="18"/>
        <v>0</v>
      </c>
      <c r="AJ50" s="335">
        <f t="shared" si="19"/>
        <v>38.88188118911998</v>
      </c>
      <c r="AK50" s="335">
        <f t="shared" si="20"/>
        <v>0</v>
      </c>
      <c r="AL50" s="339">
        <f t="shared" si="45"/>
        <v>0</v>
      </c>
      <c r="AM50" s="337">
        <f>IF(MOD(MONTH(AF50),3)=0,IF($B$4=1,0,SUMIF(Assumptions!$H$173:$U$173,'Debt repayment Schedule'!M50,Assumptions!$H$185:$U$185)/4),0)</f>
        <v>0</v>
      </c>
      <c r="AN50" s="336">
        <f t="shared" si="21"/>
        <v>0</v>
      </c>
      <c r="AO50" s="260"/>
      <c r="AP50" s="210">
        <f t="shared" si="22"/>
        <v>45777</v>
      </c>
      <c r="AQ50" s="210">
        <f t="shared" si="38"/>
        <v>46112</v>
      </c>
      <c r="AR50" s="335">
        <f t="shared" si="23"/>
        <v>0</v>
      </c>
      <c r="AS50" s="335">
        <f t="shared" si="24"/>
        <v>0</v>
      </c>
      <c r="AT50" s="616">
        <f t="shared" si="25"/>
        <v>0</v>
      </c>
      <c r="AU50" s="335">
        <f t="shared" si="26"/>
        <v>0</v>
      </c>
      <c r="AV50" s="339">
        <f t="shared" si="46"/>
        <v>0.10299999999999999</v>
      </c>
      <c r="AW50" s="337">
        <f>IF(MOD(MONTH(AP50),3)=0,IF($B$4=1,0,SUMIF(Assumptions!$H$173:$U$173,'Debt repayment Schedule'!W50,Assumptions!$H$185:$U$185)/4),0)</f>
        <v>0</v>
      </c>
      <c r="AX50" s="336">
        <f t="shared" si="3"/>
        <v>0</v>
      </c>
      <c r="AY50" s="260"/>
      <c r="AZ50" s="260">
        <f t="shared" si="27"/>
        <v>0</v>
      </c>
      <c r="BB50" s="260">
        <f t="shared" si="47"/>
        <v>7.1895148395640351</v>
      </c>
      <c r="BC50" s="260"/>
    </row>
    <row r="51" spans="2:56" x14ac:dyDescent="0.35">
      <c r="B51" s="210">
        <f t="shared" si="9"/>
        <v>45808</v>
      </c>
      <c r="C51" s="210">
        <f t="shared" si="32"/>
        <v>46112</v>
      </c>
      <c r="D51" s="335">
        <f t="shared" si="28"/>
        <v>374.47937859347974</v>
      </c>
      <c r="E51" s="336">
        <f t="shared" si="4"/>
        <v>0</v>
      </c>
      <c r="F51" s="335">
        <f t="shared" si="10"/>
        <v>374.47937859347974</v>
      </c>
      <c r="G51" s="335">
        <f t="shared" si="11"/>
        <v>3.228217437655847</v>
      </c>
      <c r="H51" s="339">
        <f t="shared" si="42"/>
        <v>0.10150000000000001</v>
      </c>
      <c r="I51" s="337">
        <f>IF(MOD(MONTH(B51),3)=0,(IF($B$4=1,0,SUMIF(Assumptions!$H$173:$U$173,'Debt repayment Schedule'!C51,Assumptions!$H$183:$U$183)/4)),0)</f>
        <v>0</v>
      </c>
      <c r="J51" s="336">
        <f t="shared" si="0"/>
        <v>3.228217437655847</v>
      </c>
      <c r="K51" s="260"/>
      <c r="L51" s="338">
        <f t="shared" si="5"/>
        <v>45808</v>
      </c>
      <c r="M51" s="210">
        <f t="shared" si="34"/>
        <v>46112</v>
      </c>
      <c r="N51" s="335">
        <f t="shared" si="29"/>
        <v>20.45620866110999</v>
      </c>
      <c r="O51" s="1382">
        <f t="shared" si="6"/>
        <v>0</v>
      </c>
      <c r="P51" s="335">
        <f t="shared" si="40"/>
        <v>20.45620866110999</v>
      </c>
      <c r="Q51" s="335">
        <f t="shared" si="12"/>
        <v>0.17634372754022629</v>
      </c>
      <c r="R51" s="339">
        <f t="shared" si="43"/>
        <v>0.10150000000000001</v>
      </c>
      <c r="S51" s="1282">
        <f>IF(MOD(MONTH(L51),3)=0,IF($B$4=1,0,SUMIF(Assumptions!$H$173:$U$173,'Debt repayment Schedule'!M51,Assumptions!$H$184:$U$184)/4),0)</f>
        <v>0</v>
      </c>
      <c r="T51" s="336">
        <f t="shared" si="1"/>
        <v>0.17634372754022629</v>
      </c>
      <c r="U51" s="260"/>
      <c r="V51" s="210">
        <f t="shared" si="13"/>
        <v>45808</v>
      </c>
      <c r="W51" s="210">
        <f t="shared" si="36"/>
        <v>46112</v>
      </c>
      <c r="X51" s="335">
        <f t="shared" si="30"/>
        <v>460.06280040474019</v>
      </c>
      <c r="Y51" s="1382">
        <f t="shared" si="7"/>
        <v>0</v>
      </c>
      <c r="Z51" s="335">
        <f t="shared" si="41"/>
        <v>460.06280040474019</v>
      </c>
      <c r="AA51" s="335">
        <f t="shared" si="14"/>
        <v>4.0246041690200967</v>
      </c>
      <c r="AB51" s="339">
        <f t="shared" si="44"/>
        <v>0.10299999999999999</v>
      </c>
      <c r="AC51" s="337">
        <f>IF(MOD(MONTH(V51),3)=0,IF($B$4=1,0,SUMIF(Assumptions!$H$173:$U$173,'Debt repayment Schedule'!C51,Assumptions!$H$185:$U$185)/4),0)</f>
        <v>0</v>
      </c>
      <c r="AD51" s="336">
        <f t="shared" si="2"/>
        <v>4.0246041690200967</v>
      </c>
      <c r="AE51" s="260"/>
      <c r="AF51" s="210">
        <f t="shared" si="15"/>
        <v>45808</v>
      </c>
      <c r="AG51" s="210">
        <f t="shared" si="16"/>
        <v>46112</v>
      </c>
      <c r="AH51" s="335">
        <f t="shared" si="17"/>
        <v>38.88188118911998</v>
      </c>
      <c r="AI51" s="1382">
        <f t="shared" si="18"/>
        <v>0</v>
      </c>
      <c r="AJ51" s="335">
        <f t="shared" si="19"/>
        <v>38.88188118911998</v>
      </c>
      <c r="AK51" s="335">
        <f t="shared" si="20"/>
        <v>0</v>
      </c>
      <c r="AL51" s="339">
        <f t="shared" si="45"/>
        <v>0</v>
      </c>
      <c r="AM51" s="337">
        <f>IF(MOD(MONTH(AF51),3)=0,IF($B$4=1,0,SUMIF(Assumptions!$H$173:$U$173,'Debt repayment Schedule'!M51,Assumptions!$H$185:$U$185)/4),0)</f>
        <v>0</v>
      </c>
      <c r="AN51" s="336">
        <f t="shared" si="21"/>
        <v>0</v>
      </c>
      <c r="AO51" s="260"/>
      <c r="AP51" s="210">
        <f t="shared" si="22"/>
        <v>45808</v>
      </c>
      <c r="AQ51" s="210">
        <f t="shared" si="38"/>
        <v>46112</v>
      </c>
      <c r="AR51" s="335">
        <f t="shared" si="23"/>
        <v>0</v>
      </c>
      <c r="AS51" s="335">
        <f t="shared" si="24"/>
        <v>0</v>
      </c>
      <c r="AT51" s="616">
        <f t="shared" si="25"/>
        <v>0</v>
      </c>
      <c r="AU51" s="335">
        <f t="shared" si="26"/>
        <v>0</v>
      </c>
      <c r="AV51" s="339">
        <f t="shared" si="46"/>
        <v>0.10299999999999999</v>
      </c>
      <c r="AW51" s="337">
        <f>IF(MOD(MONTH(AP51),3)=0,IF($B$4=1,0,SUMIF(Assumptions!$H$173:$U$173,'Debt repayment Schedule'!W51,Assumptions!$H$185:$U$185)/4),0)</f>
        <v>0</v>
      </c>
      <c r="AX51" s="336">
        <f t="shared" si="3"/>
        <v>0</v>
      </c>
      <c r="AY51" s="260"/>
      <c r="AZ51" s="260">
        <f t="shared" si="27"/>
        <v>0</v>
      </c>
      <c r="BB51" s="260">
        <f t="shared" si="47"/>
        <v>7.4291653342161705</v>
      </c>
      <c r="BC51" s="260"/>
    </row>
    <row r="52" spans="2:56" x14ac:dyDescent="0.35">
      <c r="B52" s="210">
        <f t="shared" si="9"/>
        <v>45838</v>
      </c>
      <c r="C52" s="210">
        <f t="shared" si="32"/>
        <v>46112</v>
      </c>
      <c r="D52" s="335">
        <f t="shared" si="28"/>
        <v>374.47937859347974</v>
      </c>
      <c r="E52" s="336">
        <f t="shared" si="4"/>
        <v>14.924902770029998</v>
      </c>
      <c r="F52" s="335">
        <f t="shared" si="10"/>
        <v>359.55447582344976</v>
      </c>
      <c r="G52" s="335">
        <f t="shared" si="11"/>
        <v>3.1240813912798515</v>
      </c>
      <c r="H52" s="339">
        <f t="shared" si="42"/>
        <v>0.10150000000000001</v>
      </c>
      <c r="I52" s="337">
        <f>IF(MOD(MONTH(B52),3)=0,(IF($B$4=1,0,SUMIF(Assumptions!$H$173:$U$173,'Debt repayment Schedule'!C52,Assumptions!$H$183:$U$183)/4)),0)</f>
        <v>2.75E-2</v>
      </c>
      <c r="J52" s="336">
        <f t="shared" si="0"/>
        <v>18.04898416130985</v>
      </c>
      <c r="K52" s="260"/>
      <c r="L52" s="338">
        <f t="shared" si="5"/>
        <v>45838</v>
      </c>
      <c r="M52" s="210">
        <f t="shared" si="34"/>
        <v>46112</v>
      </c>
      <c r="N52" s="335">
        <f t="shared" si="29"/>
        <v>20.45620866110999</v>
      </c>
      <c r="O52" s="1382">
        <f t="shared" si="6"/>
        <v>0.81528367852249994</v>
      </c>
      <c r="P52" s="335">
        <f t="shared" si="40"/>
        <v>19.640924982587489</v>
      </c>
      <c r="Q52" s="335">
        <f t="shared" si="12"/>
        <v>0.17065522020021898</v>
      </c>
      <c r="R52" s="339">
        <f t="shared" si="43"/>
        <v>0.10150000000000001</v>
      </c>
      <c r="S52" s="1282">
        <f>IF(MOD(MONTH(L52),3)=0,IF($B$4=1,0,SUMIF(Assumptions!$H$173:$U$173,'Debt repayment Schedule'!M52,Assumptions!$H$184:$U$184)/4),0)</f>
        <v>2.75E-2</v>
      </c>
      <c r="T52" s="336">
        <f t="shared" si="1"/>
        <v>0.98593889872271889</v>
      </c>
      <c r="U52" s="260"/>
      <c r="V52" s="210">
        <f t="shared" si="13"/>
        <v>45838</v>
      </c>
      <c r="W52" s="210">
        <f t="shared" si="36"/>
        <v>46112</v>
      </c>
      <c r="X52" s="335">
        <f t="shared" si="30"/>
        <v>460.06280040474019</v>
      </c>
      <c r="Y52" s="1382">
        <f t="shared" si="7"/>
        <v>18.335836248014999</v>
      </c>
      <c r="Z52" s="335">
        <f t="shared" si="41"/>
        <v>441.72696415672522</v>
      </c>
      <c r="AA52" s="335">
        <f t="shared" si="14"/>
        <v>3.8947782280839642</v>
      </c>
      <c r="AB52" s="339">
        <f t="shared" si="44"/>
        <v>0.10299999999999999</v>
      </c>
      <c r="AC52" s="337">
        <f>IF(MOD(MONTH(V52),3)=0,IF($B$4=1,0,SUMIF(Assumptions!$H$173:$U$173,'Debt repayment Schedule'!C52,Assumptions!$H$185:$U$185)/4),0)</f>
        <v>2.75E-2</v>
      </c>
      <c r="AD52" s="336">
        <f t="shared" si="2"/>
        <v>22.230614476098964</v>
      </c>
      <c r="AE52" s="260"/>
      <c r="AF52" s="210">
        <f t="shared" si="15"/>
        <v>45838</v>
      </c>
      <c r="AG52" s="210">
        <f t="shared" si="16"/>
        <v>46112</v>
      </c>
      <c r="AH52" s="335">
        <f t="shared" si="17"/>
        <v>38.88188118911998</v>
      </c>
      <c r="AI52" s="1382">
        <f t="shared" si="18"/>
        <v>1.5496401923200001</v>
      </c>
      <c r="AJ52" s="335">
        <f t="shared" si="19"/>
        <v>37.332240996799982</v>
      </c>
      <c r="AK52" s="335">
        <f t="shared" si="20"/>
        <v>0</v>
      </c>
      <c r="AL52" s="339">
        <f t="shared" si="45"/>
        <v>0</v>
      </c>
      <c r="AM52" s="337">
        <f>IF(MOD(MONTH(AF52),3)=0,IF($B$4=1,0,SUMIF(Assumptions!$H$173:$U$173,'Debt repayment Schedule'!M52,Assumptions!$H$185:$U$185)/4),0)</f>
        <v>2.75E-2</v>
      </c>
      <c r="AN52" s="336">
        <f t="shared" si="21"/>
        <v>1.5496401923200001</v>
      </c>
      <c r="AO52" s="260"/>
      <c r="AP52" s="210">
        <f t="shared" si="22"/>
        <v>45838</v>
      </c>
      <c r="AQ52" s="210">
        <f t="shared" si="38"/>
        <v>46112</v>
      </c>
      <c r="AR52" s="335">
        <f t="shared" si="23"/>
        <v>0</v>
      </c>
      <c r="AS52" s="335">
        <f t="shared" si="24"/>
        <v>0</v>
      </c>
      <c r="AT52" s="616">
        <f t="shared" si="25"/>
        <v>0</v>
      </c>
      <c r="AU52" s="335">
        <f t="shared" si="26"/>
        <v>0</v>
      </c>
      <c r="AV52" s="339">
        <f t="shared" si="46"/>
        <v>0.10299999999999999</v>
      </c>
      <c r="AW52" s="337">
        <f>IF(MOD(MONTH(AP52),3)=0,IF($B$4=1,0,SUMIF(Assumptions!$H$173:$U$173,'Debt repayment Schedule'!W52,Assumptions!$H$185:$U$185)/4),0)</f>
        <v>2.75E-2</v>
      </c>
      <c r="AX52" s="336">
        <f t="shared" si="3"/>
        <v>0</v>
      </c>
      <c r="AY52" s="260"/>
      <c r="AZ52" s="260">
        <f t="shared" si="27"/>
        <v>35.625662888887497</v>
      </c>
      <c r="BB52" s="260">
        <f t="shared" si="47"/>
        <v>7.1895148395640351</v>
      </c>
      <c r="BC52" s="260">
        <f>AZ52+SUM(BB50:BB52)</f>
        <v>57.433857902231736</v>
      </c>
    </row>
    <row r="53" spans="2:56" x14ac:dyDescent="0.35">
      <c r="B53" s="210">
        <f t="shared" si="9"/>
        <v>45869</v>
      </c>
      <c r="C53" s="210">
        <f t="shared" si="32"/>
        <v>46112</v>
      </c>
      <c r="D53" s="335">
        <f t="shared" si="28"/>
        <v>359.55447582344976</v>
      </c>
      <c r="E53" s="336">
        <f t="shared" si="4"/>
        <v>0</v>
      </c>
      <c r="F53" s="335">
        <f t="shared" si="10"/>
        <v>359.55447582344976</v>
      </c>
      <c r="G53" s="335">
        <f t="shared" si="11"/>
        <v>3.0995565977492734</v>
      </c>
      <c r="H53" s="339">
        <f t="shared" si="42"/>
        <v>0.10150000000000001</v>
      </c>
      <c r="I53" s="337">
        <f>IF(MOD(MONTH(B53),3)=0,(IF($B$4=1,0,SUMIF(Assumptions!$H$173:$U$173,'Debt repayment Schedule'!C53,Assumptions!$H$183:$U$183)/4)),0)</f>
        <v>0</v>
      </c>
      <c r="J53" s="336">
        <f t="shared" si="0"/>
        <v>3.0995565977492734</v>
      </c>
      <c r="K53" s="260"/>
      <c r="L53" s="338">
        <f t="shared" si="5"/>
        <v>45869</v>
      </c>
      <c r="M53" s="210">
        <f t="shared" si="34"/>
        <v>46112</v>
      </c>
      <c r="N53" s="335">
        <f t="shared" si="29"/>
        <v>19.640924982587489</v>
      </c>
      <c r="O53" s="1382">
        <f t="shared" si="6"/>
        <v>0</v>
      </c>
      <c r="P53" s="335">
        <f t="shared" si="40"/>
        <v>19.640924982587489</v>
      </c>
      <c r="Q53" s="335">
        <f t="shared" si="12"/>
        <v>0.16931553550057957</v>
      </c>
      <c r="R53" s="339">
        <f t="shared" si="43"/>
        <v>0.10150000000000001</v>
      </c>
      <c r="S53" s="1282">
        <f>IF(MOD(MONTH(L53),3)=0,IF($B$4=1,0,SUMIF(Assumptions!$H$173:$U$173,'Debt repayment Schedule'!M53,Assumptions!$H$184:$U$184)/4),0)</f>
        <v>0</v>
      </c>
      <c r="T53" s="336">
        <f t="shared" si="1"/>
        <v>0.16931553550057957</v>
      </c>
      <c r="U53" s="260"/>
      <c r="V53" s="210">
        <f t="shared" si="13"/>
        <v>45869</v>
      </c>
      <c r="W53" s="210">
        <f t="shared" si="36"/>
        <v>46112</v>
      </c>
      <c r="X53" s="335">
        <f t="shared" si="30"/>
        <v>441.72696415672522</v>
      </c>
      <c r="Y53" s="1382">
        <f t="shared" si="7"/>
        <v>0</v>
      </c>
      <c r="Z53" s="335">
        <f t="shared" si="41"/>
        <v>441.72696415672522</v>
      </c>
      <c r="AA53" s="335">
        <f t="shared" si="14"/>
        <v>3.8642032782258182</v>
      </c>
      <c r="AB53" s="339">
        <f t="shared" si="44"/>
        <v>0.10299999999999999</v>
      </c>
      <c r="AC53" s="337">
        <f>IF(MOD(MONTH(V53),3)=0,IF($B$4=1,0,SUMIF(Assumptions!$H$173:$U$173,'Debt repayment Schedule'!C53,Assumptions!$H$185:$U$185)/4),0)</f>
        <v>0</v>
      </c>
      <c r="AD53" s="336">
        <f t="shared" si="2"/>
        <v>3.8642032782258182</v>
      </c>
      <c r="AE53" s="260"/>
      <c r="AF53" s="210">
        <f t="shared" si="15"/>
        <v>45869</v>
      </c>
      <c r="AG53" s="210">
        <f t="shared" si="16"/>
        <v>46112</v>
      </c>
      <c r="AH53" s="335">
        <f t="shared" si="17"/>
        <v>37.332240996799982</v>
      </c>
      <c r="AI53" s="1382">
        <f t="shared" si="18"/>
        <v>0</v>
      </c>
      <c r="AJ53" s="335">
        <f t="shared" si="19"/>
        <v>37.332240996799982</v>
      </c>
      <c r="AK53" s="335">
        <f t="shared" si="20"/>
        <v>0</v>
      </c>
      <c r="AL53" s="339">
        <f t="shared" si="45"/>
        <v>0</v>
      </c>
      <c r="AM53" s="337">
        <f>IF(MOD(MONTH(AF53),3)=0,IF($B$4=1,0,SUMIF(Assumptions!$H$173:$U$173,'Debt repayment Schedule'!M53,Assumptions!$H$185:$U$185)/4),0)</f>
        <v>0</v>
      </c>
      <c r="AN53" s="336">
        <f t="shared" si="21"/>
        <v>0</v>
      </c>
      <c r="AO53" s="260"/>
      <c r="AP53" s="210">
        <f t="shared" si="22"/>
        <v>45869</v>
      </c>
      <c r="AQ53" s="210">
        <f t="shared" si="38"/>
        <v>46112</v>
      </c>
      <c r="AR53" s="335">
        <f t="shared" si="23"/>
        <v>0</v>
      </c>
      <c r="AS53" s="335">
        <f t="shared" si="24"/>
        <v>0</v>
      </c>
      <c r="AT53" s="616">
        <f t="shared" si="25"/>
        <v>0</v>
      </c>
      <c r="AU53" s="335">
        <f t="shared" si="26"/>
        <v>0</v>
      </c>
      <c r="AV53" s="339">
        <f t="shared" si="46"/>
        <v>0.10299999999999999</v>
      </c>
      <c r="AW53" s="337">
        <f>IF(MOD(MONTH(AP53),3)=0,IF($B$4=1,0,SUMIF(Assumptions!$H$173:$U$173,'Debt repayment Schedule'!W53,Assumptions!$H$185:$U$185)/4),0)</f>
        <v>0</v>
      </c>
      <c r="AX53" s="336">
        <f t="shared" si="3"/>
        <v>0</v>
      </c>
      <c r="AY53" s="260"/>
      <c r="AZ53" s="260">
        <f t="shared" si="27"/>
        <v>0</v>
      </c>
      <c r="BB53" s="260">
        <f t="shared" si="47"/>
        <v>7.1330754114756711</v>
      </c>
      <c r="BC53" s="260"/>
    </row>
    <row r="54" spans="2:56" x14ac:dyDescent="0.35">
      <c r="B54" s="210">
        <f t="shared" si="9"/>
        <v>45900</v>
      </c>
      <c r="C54" s="210">
        <f t="shared" si="32"/>
        <v>46112</v>
      </c>
      <c r="D54" s="335">
        <f t="shared" si="28"/>
        <v>359.55447582344976</v>
      </c>
      <c r="E54" s="336">
        <f t="shared" si="4"/>
        <v>0</v>
      </c>
      <c r="F54" s="335">
        <f t="shared" si="10"/>
        <v>359.55447582344976</v>
      </c>
      <c r="G54" s="335">
        <f t="shared" si="11"/>
        <v>3.0995565977492734</v>
      </c>
      <c r="H54" s="339">
        <f t="shared" si="42"/>
        <v>0.10150000000000001</v>
      </c>
      <c r="I54" s="337">
        <f>IF(MOD(MONTH(B54),3)=0,(IF($B$4=1,0,SUMIF(Assumptions!$H$173:$U$173,'Debt repayment Schedule'!C54,Assumptions!$H$183:$U$183)/4)),0)</f>
        <v>0</v>
      </c>
      <c r="J54" s="336">
        <f t="shared" si="0"/>
        <v>3.0995565977492734</v>
      </c>
      <c r="K54" s="260"/>
      <c r="L54" s="338">
        <f t="shared" si="5"/>
        <v>45900</v>
      </c>
      <c r="M54" s="210">
        <f t="shared" si="34"/>
        <v>46112</v>
      </c>
      <c r="N54" s="335">
        <f t="shared" si="29"/>
        <v>19.640924982587489</v>
      </c>
      <c r="O54" s="1382">
        <f t="shared" si="6"/>
        <v>0</v>
      </c>
      <c r="P54" s="335">
        <f t="shared" si="40"/>
        <v>19.640924982587489</v>
      </c>
      <c r="Q54" s="335">
        <f t="shared" si="12"/>
        <v>0.16931553550057957</v>
      </c>
      <c r="R54" s="339">
        <f t="shared" si="43"/>
        <v>0.10150000000000001</v>
      </c>
      <c r="S54" s="1282">
        <f>IF(MOD(MONTH(L54),3)=0,IF($B$4=1,0,SUMIF(Assumptions!$H$173:$U$173,'Debt repayment Schedule'!M54,Assumptions!$H$184:$U$184)/4),0)</f>
        <v>0</v>
      </c>
      <c r="T54" s="336">
        <f t="shared" si="1"/>
        <v>0.16931553550057957</v>
      </c>
      <c r="U54" s="260"/>
      <c r="V54" s="210">
        <f t="shared" si="13"/>
        <v>45900</v>
      </c>
      <c r="W54" s="210">
        <f t="shared" si="36"/>
        <v>46112</v>
      </c>
      <c r="X54" s="335">
        <f t="shared" si="30"/>
        <v>441.72696415672522</v>
      </c>
      <c r="Y54" s="1382">
        <f t="shared" si="7"/>
        <v>0</v>
      </c>
      <c r="Z54" s="335">
        <f t="shared" si="41"/>
        <v>441.72696415672522</v>
      </c>
      <c r="AA54" s="335">
        <f t="shared" si="14"/>
        <v>3.8642032782258182</v>
      </c>
      <c r="AB54" s="339">
        <f t="shared" si="44"/>
        <v>0.10299999999999999</v>
      </c>
      <c r="AC54" s="337">
        <f>IF(MOD(MONTH(V54),3)=0,IF($B$4=1,0,SUMIF(Assumptions!$H$173:$U$173,'Debt repayment Schedule'!C54,Assumptions!$H$185:$U$185)/4),0)</f>
        <v>0</v>
      </c>
      <c r="AD54" s="336">
        <f t="shared" si="2"/>
        <v>3.8642032782258182</v>
      </c>
      <c r="AE54" s="260"/>
      <c r="AF54" s="210">
        <f t="shared" si="15"/>
        <v>45900</v>
      </c>
      <c r="AG54" s="210">
        <f t="shared" si="16"/>
        <v>46112</v>
      </c>
      <c r="AH54" s="335">
        <f t="shared" si="17"/>
        <v>37.332240996799982</v>
      </c>
      <c r="AI54" s="1382">
        <f t="shared" si="18"/>
        <v>0</v>
      </c>
      <c r="AJ54" s="335">
        <f t="shared" si="19"/>
        <v>37.332240996799982</v>
      </c>
      <c r="AK54" s="335">
        <f t="shared" si="20"/>
        <v>0</v>
      </c>
      <c r="AL54" s="339">
        <f t="shared" si="45"/>
        <v>0</v>
      </c>
      <c r="AM54" s="337">
        <f>IF(MOD(MONTH(AF54),3)=0,IF($B$4=1,0,SUMIF(Assumptions!$H$173:$U$173,'Debt repayment Schedule'!M54,Assumptions!$H$185:$U$185)/4),0)</f>
        <v>0</v>
      </c>
      <c r="AN54" s="336">
        <f t="shared" si="21"/>
        <v>0</v>
      </c>
      <c r="AO54" s="260"/>
      <c r="AP54" s="210">
        <f t="shared" si="22"/>
        <v>45900</v>
      </c>
      <c r="AQ54" s="210">
        <f t="shared" si="38"/>
        <v>46112</v>
      </c>
      <c r="AR54" s="335">
        <f t="shared" si="23"/>
        <v>0</v>
      </c>
      <c r="AS54" s="335">
        <f t="shared" si="24"/>
        <v>0</v>
      </c>
      <c r="AT54" s="616">
        <f t="shared" si="25"/>
        <v>0</v>
      </c>
      <c r="AU54" s="335">
        <f t="shared" si="26"/>
        <v>0</v>
      </c>
      <c r="AV54" s="339">
        <f t="shared" si="46"/>
        <v>0.10299999999999999</v>
      </c>
      <c r="AW54" s="337">
        <f>IF(MOD(MONTH(AP54),3)=0,IF($B$4=1,0,SUMIF(Assumptions!$H$173:$U$173,'Debt repayment Schedule'!W54,Assumptions!$H$185:$U$185)/4),0)</f>
        <v>0</v>
      </c>
      <c r="AX54" s="336">
        <f t="shared" si="3"/>
        <v>0</v>
      </c>
      <c r="AY54" s="260"/>
      <c r="AZ54" s="260">
        <f t="shared" si="27"/>
        <v>0</v>
      </c>
      <c r="BB54" s="260">
        <f t="shared" si="47"/>
        <v>7.1330754114756711</v>
      </c>
      <c r="BC54" s="260"/>
    </row>
    <row r="55" spans="2:56" x14ac:dyDescent="0.35">
      <c r="B55" s="210">
        <f t="shared" si="9"/>
        <v>45930</v>
      </c>
      <c r="C55" s="210">
        <f t="shared" si="32"/>
        <v>46112</v>
      </c>
      <c r="D55" s="335">
        <f t="shared" si="28"/>
        <v>359.55447582344976</v>
      </c>
      <c r="E55" s="336">
        <f t="shared" si="4"/>
        <v>14.924902770029998</v>
      </c>
      <c r="F55" s="335">
        <f t="shared" si="10"/>
        <v>344.62957305341979</v>
      </c>
      <c r="G55" s="335">
        <f t="shared" si="11"/>
        <v>2.9995709010476834</v>
      </c>
      <c r="H55" s="339">
        <f t="shared" si="42"/>
        <v>0.10150000000000001</v>
      </c>
      <c r="I55" s="337">
        <f>IF(MOD(MONTH(B55),3)=0,(IF($B$4=1,0,SUMIF(Assumptions!$H$173:$U$173,'Debt repayment Schedule'!C55,Assumptions!$H$183:$U$183)/4)),0)</f>
        <v>2.75E-2</v>
      </c>
      <c r="J55" s="336">
        <f t="shared" si="0"/>
        <v>17.924473671077681</v>
      </c>
      <c r="K55" s="260"/>
      <c r="L55" s="338">
        <f t="shared" si="5"/>
        <v>45930</v>
      </c>
      <c r="M55" s="210">
        <f t="shared" si="34"/>
        <v>46112</v>
      </c>
      <c r="N55" s="335">
        <f t="shared" si="29"/>
        <v>19.640924982587489</v>
      </c>
      <c r="O55" s="1382">
        <f t="shared" si="6"/>
        <v>0.81528367852249994</v>
      </c>
      <c r="P55" s="335">
        <f t="shared" si="40"/>
        <v>18.825641304064987</v>
      </c>
      <c r="Q55" s="335">
        <f t="shared" si="12"/>
        <v>0.16385374403281891</v>
      </c>
      <c r="R55" s="339">
        <f t="shared" si="43"/>
        <v>0.10150000000000001</v>
      </c>
      <c r="S55" s="1282">
        <f>IF(MOD(MONTH(L55),3)=0,IF($B$4=1,0,SUMIF(Assumptions!$H$173:$U$173,'Debt repayment Schedule'!M55,Assumptions!$H$184:$U$184)/4),0)</f>
        <v>2.75E-2</v>
      </c>
      <c r="T55" s="336">
        <f t="shared" si="1"/>
        <v>0.97913742255531888</v>
      </c>
      <c r="U55" s="260"/>
      <c r="V55" s="210">
        <f t="shared" si="13"/>
        <v>45930</v>
      </c>
      <c r="W55" s="210">
        <f t="shared" si="36"/>
        <v>46112</v>
      </c>
      <c r="X55" s="335">
        <f t="shared" si="30"/>
        <v>441.72696415672522</v>
      </c>
      <c r="Y55" s="1382">
        <f t="shared" si="7"/>
        <v>18.335836248014999</v>
      </c>
      <c r="Z55" s="335">
        <f t="shared" si="41"/>
        <v>423.39112790871025</v>
      </c>
      <c r="AA55" s="335">
        <f t="shared" si="14"/>
        <v>3.7395515595733722</v>
      </c>
      <c r="AB55" s="339">
        <f t="shared" si="44"/>
        <v>0.10299999999999999</v>
      </c>
      <c r="AC55" s="337">
        <f>IF(MOD(MONTH(V55),3)=0,IF($B$4=1,0,SUMIF(Assumptions!$H$173:$U$173,'Debt repayment Schedule'!C55,Assumptions!$H$185:$U$185)/4),0)</f>
        <v>2.75E-2</v>
      </c>
      <c r="AD55" s="336">
        <f t="shared" si="2"/>
        <v>22.07538780758837</v>
      </c>
      <c r="AE55" s="260"/>
      <c r="AF55" s="210">
        <f t="shared" si="15"/>
        <v>45930</v>
      </c>
      <c r="AG55" s="210">
        <f t="shared" si="16"/>
        <v>46112</v>
      </c>
      <c r="AH55" s="335">
        <f t="shared" si="17"/>
        <v>37.332240996799982</v>
      </c>
      <c r="AI55" s="1382">
        <f t="shared" si="18"/>
        <v>1.5496401923200001</v>
      </c>
      <c r="AJ55" s="335">
        <f t="shared" si="19"/>
        <v>35.782600804479983</v>
      </c>
      <c r="AK55" s="335">
        <f t="shared" si="20"/>
        <v>0</v>
      </c>
      <c r="AL55" s="339">
        <f t="shared" si="45"/>
        <v>0</v>
      </c>
      <c r="AM55" s="337">
        <f>IF(MOD(MONTH(AF55),3)=0,IF($B$4=1,0,SUMIF(Assumptions!$H$173:$U$173,'Debt repayment Schedule'!M55,Assumptions!$H$185:$U$185)/4),0)</f>
        <v>2.75E-2</v>
      </c>
      <c r="AN55" s="336">
        <f t="shared" si="21"/>
        <v>1.5496401923200001</v>
      </c>
      <c r="AO55" s="260"/>
      <c r="AP55" s="210">
        <f t="shared" si="22"/>
        <v>45930</v>
      </c>
      <c r="AQ55" s="210">
        <f t="shared" si="38"/>
        <v>46112</v>
      </c>
      <c r="AR55" s="335">
        <f t="shared" si="23"/>
        <v>0</v>
      </c>
      <c r="AS55" s="335">
        <f t="shared" si="24"/>
        <v>0</v>
      </c>
      <c r="AT55" s="616">
        <f t="shared" si="25"/>
        <v>0</v>
      </c>
      <c r="AU55" s="335">
        <f t="shared" si="26"/>
        <v>0</v>
      </c>
      <c r="AV55" s="339">
        <f t="shared" si="46"/>
        <v>0.10299999999999999</v>
      </c>
      <c r="AW55" s="337">
        <f>IF(MOD(MONTH(AP55),3)=0,IF($B$4=1,0,SUMIF(Assumptions!$H$173:$U$173,'Debt repayment Schedule'!W55,Assumptions!$H$185:$U$185)/4),0)</f>
        <v>2.75E-2</v>
      </c>
      <c r="AX55" s="336">
        <f t="shared" si="3"/>
        <v>0</v>
      </c>
      <c r="AY55" s="260"/>
      <c r="AZ55" s="260">
        <f t="shared" si="27"/>
        <v>35.625662888887497</v>
      </c>
      <c r="BB55" s="260">
        <f t="shared" si="47"/>
        <v>6.902976204653875</v>
      </c>
      <c r="BC55" s="260">
        <f>AZ55+SUM(BB53:BB55)</f>
        <v>56.794789916492718</v>
      </c>
    </row>
    <row r="56" spans="2:56" x14ac:dyDescent="0.35">
      <c r="B56" s="210">
        <f t="shared" si="9"/>
        <v>45961</v>
      </c>
      <c r="C56" s="210">
        <f t="shared" si="32"/>
        <v>46112</v>
      </c>
      <c r="D56" s="335">
        <f t="shared" si="28"/>
        <v>344.62957305341979</v>
      </c>
      <c r="E56" s="336">
        <f t="shared" si="4"/>
        <v>0</v>
      </c>
      <c r="F56" s="335">
        <f t="shared" si="10"/>
        <v>344.62957305341979</v>
      </c>
      <c r="G56" s="335">
        <f t="shared" si="11"/>
        <v>2.9708957578426998</v>
      </c>
      <c r="H56" s="339">
        <f t="shared" si="42"/>
        <v>0.10150000000000001</v>
      </c>
      <c r="I56" s="337">
        <f>IF(MOD(MONTH(B56),3)=0,(IF($B$4=1,0,SUMIF(Assumptions!$H$173:$U$173,'Debt repayment Schedule'!C56,Assumptions!$H$183:$U$183)/4)),0)</f>
        <v>0</v>
      </c>
      <c r="J56" s="336">
        <f t="shared" si="0"/>
        <v>2.9708957578426998</v>
      </c>
      <c r="K56" s="260"/>
      <c r="L56" s="338">
        <f t="shared" si="5"/>
        <v>45961</v>
      </c>
      <c r="M56" s="210">
        <f t="shared" si="34"/>
        <v>46112</v>
      </c>
      <c r="N56" s="335">
        <f t="shared" si="29"/>
        <v>18.825641304064987</v>
      </c>
      <c r="O56" s="1382">
        <f t="shared" si="6"/>
        <v>0</v>
      </c>
      <c r="P56" s="335">
        <f t="shared" si="40"/>
        <v>18.825641304064987</v>
      </c>
      <c r="Q56" s="335">
        <f t="shared" si="12"/>
        <v>0.16228734346093285</v>
      </c>
      <c r="R56" s="339">
        <f t="shared" si="43"/>
        <v>0.10150000000000001</v>
      </c>
      <c r="S56" s="1282">
        <f>IF(MOD(MONTH(L56),3)=0,IF($B$4=1,0,SUMIF(Assumptions!$H$173:$U$173,'Debt repayment Schedule'!M56,Assumptions!$H$184:$U$184)/4),0)</f>
        <v>0</v>
      </c>
      <c r="T56" s="336">
        <f t="shared" si="1"/>
        <v>0.16228734346093285</v>
      </c>
      <c r="U56" s="260"/>
      <c r="V56" s="210">
        <f t="shared" si="13"/>
        <v>45961</v>
      </c>
      <c r="W56" s="210">
        <f t="shared" si="36"/>
        <v>46112</v>
      </c>
      <c r="X56" s="335">
        <f t="shared" si="30"/>
        <v>423.39112790871025</v>
      </c>
      <c r="Y56" s="1382">
        <f t="shared" si="7"/>
        <v>0</v>
      </c>
      <c r="Z56" s="335">
        <f t="shared" si="41"/>
        <v>423.39112790871025</v>
      </c>
      <c r="AA56" s="335">
        <f t="shared" si="14"/>
        <v>3.7038023874315389</v>
      </c>
      <c r="AB56" s="339">
        <f t="shared" si="44"/>
        <v>0.10299999999999999</v>
      </c>
      <c r="AC56" s="337">
        <f>IF(MOD(MONTH(V56),3)=0,IF($B$4=1,0,SUMIF(Assumptions!$H$173:$U$173,'Debt repayment Schedule'!C56,Assumptions!$H$185:$U$185)/4),0)</f>
        <v>0</v>
      </c>
      <c r="AD56" s="336">
        <f t="shared" si="2"/>
        <v>3.7038023874315389</v>
      </c>
      <c r="AE56" s="260"/>
      <c r="AF56" s="210">
        <f t="shared" si="15"/>
        <v>45961</v>
      </c>
      <c r="AG56" s="210">
        <f t="shared" si="16"/>
        <v>46112</v>
      </c>
      <c r="AH56" s="335">
        <f t="shared" si="17"/>
        <v>35.782600804479983</v>
      </c>
      <c r="AI56" s="1382">
        <f t="shared" si="18"/>
        <v>0</v>
      </c>
      <c r="AJ56" s="335">
        <f t="shared" si="19"/>
        <v>35.782600804479983</v>
      </c>
      <c r="AK56" s="335">
        <f t="shared" si="20"/>
        <v>0</v>
      </c>
      <c r="AL56" s="339">
        <f t="shared" si="45"/>
        <v>0</v>
      </c>
      <c r="AM56" s="337">
        <f>IF(MOD(MONTH(AF56),3)=0,IF($B$4=1,0,SUMIF(Assumptions!$H$173:$U$173,'Debt repayment Schedule'!M56,Assumptions!$H$185:$U$185)/4),0)</f>
        <v>0</v>
      </c>
      <c r="AN56" s="336">
        <f t="shared" si="21"/>
        <v>0</v>
      </c>
      <c r="AO56" s="260"/>
      <c r="AP56" s="210">
        <f t="shared" si="22"/>
        <v>45961</v>
      </c>
      <c r="AQ56" s="210">
        <f t="shared" si="38"/>
        <v>46112</v>
      </c>
      <c r="AR56" s="335">
        <f t="shared" si="23"/>
        <v>0</v>
      </c>
      <c r="AS56" s="335">
        <f t="shared" si="24"/>
        <v>0</v>
      </c>
      <c r="AT56" s="616">
        <f t="shared" si="25"/>
        <v>0</v>
      </c>
      <c r="AU56" s="335">
        <f t="shared" si="26"/>
        <v>0</v>
      </c>
      <c r="AV56" s="339">
        <f t="shared" si="46"/>
        <v>0.10299999999999999</v>
      </c>
      <c r="AW56" s="337">
        <f>IF(MOD(MONTH(AP56),3)=0,IF($B$4=1,0,SUMIF(Assumptions!$H$173:$U$173,'Debt repayment Schedule'!W56,Assumptions!$H$185:$U$185)/4),0)</f>
        <v>0</v>
      </c>
      <c r="AX56" s="336">
        <f t="shared" si="3"/>
        <v>0</v>
      </c>
      <c r="AY56" s="260"/>
      <c r="AZ56" s="260">
        <f t="shared" si="27"/>
        <v>0</v>
      </c>
      <c r="BB56" s="260">
        <f t="shared" si="47"/>
        <v>6.8369854887351718</v>
      </c>
      <c r="BC56" s="260"/>
    </row>
    <row r="57" spans="2:56" x14ac:dyDescent="0.35">
      <c r="B57" s="210">
        <f t="shared" si="9"/>
        <v>45991</v>
      </c>
      <c r="C57" s="210">
        <f t="shared" si="32"/>
        <v>46112</v>
      </c>
      <c r="D57" s="335">
        <f t="shared" si="28"/>
        <v>344.62957305341979</v>
      </c>
      <c r="E57" s="336">
        <f t="shared" si="4"/>
        <v>0</v>
      </c>
      <c r="F57" s="335">
        <f t="shared" si="10"/>
        <v>344.62957305341979</v>
      </c>
      <c r="G57" s="335">
        <f t="shared" si="11"/>
        <v>2.8750604108155162</v>
      </c>
      <c r="H57" s="339">
        <f t="shared" si="42"/>
        <v>0.10150000000000001</v>
      </c>
      <c r="I57" s="337">
        <f>IF(MOD(MONTH(B57),3)=0,(IF($B$4=1,0,SUMIF(Assumptions!$H$173:$U$173,'Debt repayment Schedule'!C57,Assumptions!$H$183:$U$183)/4)),0)</f>
        <v>0</v>
      </c>
      <c r="J57" s="336">
        <f t="shared" si="0"/>
        <v>2.8750604108155162</v>
      </c>
      <c r="K57" s="260"/>
      <c r="L57" s="338">
        <f t="shared" si="5"/>
        <v>45991</v>
      </c>
      <c r="M57" s="210">
        <f t="shared" si="34"/>
        <v>46112</v>
      </c>
      <c r="N57" s="335">
        <f t="shared" si="29"/>
        <v>18.825641304064987</v>
      </c>
      <c r="O57" s="1382">
        <f t="shared" si="6"/>
        <v>0</v>
      </c>
      <c r="P57" s="335">
        <f t="shared" si="40"/>
        <v>18.825641304064987</v>
      </c>
      <c r="Q57" s="335">
        <f t="shared" si="12"/>
        <v>0.15705226786541887</v>
      </c>
      <c r="R57" s="339">
        <f t="shared" si="43"/>
        <v>0.10150000000000001</v>
      </c>
      <c r="S57" s="1282">
        <f>IF(MOD(MONTH(L57),3)=0,IF($B$4=1,0,SUMIF(Assumptions!$H$173:$U$173,'Debt repayment Schedule'!M57,Assumptions!$H$184:$U$184)/4),0)</f>
        <v>0</v>
      </c>
      <c r="T57" s="336">
        <f t="shared" si="1"/>
        <v>0.15705226786541887</v>
      </c>
      <c r="U57" s="260"/>
      <c r="V57" s="210">
        <f t="shared" si="13"/>
        <v>45991</v>
      </c>
      <c r="W57" s="210">
        <f t="shared" si="36"/>
        <v>46112</v>
      </c>
      <c r="X57" s="335">
        <f t="shared" si="30"/>
        <v>423.39112790871025</v>
      </c>
      <c r="Y57" s="1382">
        <f t="shared" si="7"/>
        <v>0</v>
      </c>
      <c r="Z57" s="335">
        <f t="shared" si="41"/>
        <v>423.39112790871025</v>
      </c>
      <c r="AA57" s="335">
        <f t="shared" si="14"/>
        <v>3.5843248910627796</v>
      </c>
      <c r="AB57" s="339">
        <f t="shared" si="44"/>
        <v>0.10299999999999999</v>
      </c>
      <c r="AC57" s="337">
        <f>IF(MOD(MONTH(V57),3)=0,IF($B$4=1,0,SUMIF(Assumptions!$H$173:$U$173,'Debt repayment Schedule'!C57,Assumptions!$H$185:$U$185)/4),0)</f>
        <v>0</v>
      </c>
      <c r="AD57" s="336">
        <f t="shared" si="2"/>
        <v>3.5843248910627796</v>
      </c>
      <c r="AE57" s="260"/>
      <c r="AF57" s="210">
        <f t="shared" si="15"/>
        <v>45991</v>
      </c>
      <c r="AG57" s="210">
        <f t="shared" si="16"/>
        <v>46112</v>
      </c>
      <c r="AH57" s="335">
        <f t="shared" si="17"/>
        <v>35.782600804479983</v>
      </c>
      <c r="AI57" s="1382">
        <f t="shared" si="18"/>
        <v>0</v>
      </c>
      <c r="AJ57" s="335">
        <f t="shared" si="19"/>
        <v>35.782600804479983</v>
      </c>
      <c r="AK57" s="335">
        <f t="shared" si="20"/>
        <v>0</v>
      </c>
      <c r="AL57" s="339">
        <f t="shared" si="45"/>
        <v>0</v>
      </c>
      <c r="AM57" s="337">
        <f>IF(MOD(MONTH(AF57),3)=0,IF($B$4=1,0,SUMIF(Assumptions!$H$173:$U$173,'Debt repayment Schedule'!M57,Assumptions!$H$185:$U$185)/4),0)</f>
        <v>0</v>
      </c>
      <c r="AN57" s="336">
        <f t="shared" si="21"/>
        <v>0</v>
      </c>
      <c r="AO57" s="260"/>
      <c r="AP57" s="210">
        <f t="shared" si="22"/>
        <v>45991</v>
      </c>
      <c r="AQ57" s="210">
        <f t="shared" si="38"/>
        <v>46112</v>
      </c>
      <c r="AR57" s="335">
        <f t="shared" si="23"/>
        <v>0</v>
      </c>
      <c r="AS57" s="335">
        <f t="shared" si="24"/>
        <v>0</v>
      </c>
      <c r="AT57" s="616">
        <f t="shared" si="25"/>
        <v>0</v>
      </c>
      <c r="AU57" s="335">
        <f t="shared" si="26"/>
        <v>0</v>
      </c>
      <c r="AV57" s="339">
        <f t="shared" si="46"/>
        <v>0.10299999999999999</v>
      </c>
      <c r="AW57" s="337">
        <f>IF(MOD(MONTH(AP57),3)=0,IF($B$4=1,0,SUMIF(Assumptions!$H$173:$U$173,'Debt repayment Schedule'!W57,Assumptions!$H$185:$U$185)/4),0)</f>
        <v>0</v>
      </c>
      <c r="AX57" s="336">
        <f t="shared" si="3"/>
        <v>0</v>
      </c>
      <c r="AY57" s="260"/>
      <c r="AZ57" s="260">
        <f t="shared" si="27"/>
        <v>0</v>
      </c>
      <c r="BB57" s="260">
        <f t="shared" si="47"/>
        <v>6.6164375697437148</v>
      </c>
      <c r="BC57" s="260"/>
    </row>
    <row r="58" spans="2:56" x14ac:dyDescent="0.35">
      <c r="B58" s="210">
        <f t="shared" si="9"/>
        <v>46022</v>
      </c>
      <c r="C58" s="210">
        <f t="shared" si="32"/>
        <v>46112</v>
      </c>
      <c r="D58" s="335">
        <f t="shared" si="28"/>
        <v>344.62957305341979</v>
      </c>
      <c r="E58" s="336">
        <f t="shared" si="4"/>
        <v>14.924902770029998</v>
      </c>
      <c r="F58" s="335">
        <f t="shared" si="10"/>
        <v>329.70467028338982</v>
      </c>
      <c r="G58" s="335">
        <f t="shared" si="11"/>
        <v>2.9708957578426998</v>
      </c>
      <c r="H58" s="339">
        <f t="shared" si="42"/>
        <v>0.10150000000000001</v>
      </c>
      <c r="I58" s="337">
        <f>IF(MOD(MONTH(B58),3)=0,(IF($B$4=1,0,SUMIF(Assumptions!$H$173:$U$173,'Debt repayment Schedule'!C58,Assumptions!$H$183:$U$183)/4)),0)</f>
        <v>2.75E-2</v>
      </c>
      <c r="J58" s="336">
        <f t="shared" si="0"/>
        <v>17.895798527872699</v>
      </c>
      <c r="K58" s="260"/>
      <c r="L58" s="338">
        <f t="shared" si="5"/>
        <v>46022</v>
      </c>
      <c r="M58" s="210">
        <f t="shared" si="34"/>
        <v>46112</v>
      </c>
      <c r="N58" s="335">
        <f t="shared" si="29"/>
        <v>18.825641304064987</v>
      </c>
      <c r="O58" s="1382">
        <f t="shared" si="6"/>
        <v>0.81528367852249994</v>
      </c>
      <c r="P58" s="335">
        <f t="shared" si="40"/>
        <v>18.010357625542486</v>
      </c>
      <c r="Q58" s="335">
        <f t="shared" si="12"/>
        <v>0.16228734346093285</v>
      </c>
      <c r="R58" s="339">
        <f t="shared" si="43"/>
        <v>0.10150000000000001</v>
      </c>
      <c r="S58" s="1282">
        <f>IF(MOD(MONTH(L58),3)=0,IF($B$4=1,0,SUMIF(Assumptions!$H$173:$U$173,'Debt repayment Schedule'!M58,Assumptions!$H$184:$U$184)/4),0)</f>
        <v>2.75E-2</v>
      </c>
      <c r="T58" s="336">
        <f t="shared" si="1"/>
        <v>0.97757102198343282</v>
      </c>
      <c r="U58" s="260"/>
      <c r="V58" s="210">
        <f t="shared" si="13"/>
        <v>46022</v>
      </c>
      <c r="W58" s="210">
        <f t="shared" si="36"/>
        <v>46112</v>
      </c>
      <c r="X58" s="335">
        <f t="shared" si="30"/>
        <v>423.39112790871025</v>
      </c>
      <c r="Y58" s="1382">
        <f t="shared" si="7"/>
        <v>18.335836248014999</v>
      </c>
      <c r="Z58" s="335">
        <f t="shared" si="41"/>
        <v>405.05529166069527</v>
      </c>
      <c r="AA58" s="335">
        <f t="shared" si="14"/>
        <v>3.7038023874315389</v>
      </c>
      <c r="AB58" s="339">
        <f t="shared" si="44"/>
        <v>0.10299999999999999</v>
      </c>
      <c r="AC58" s="337">
        <f>IF(MOD(MONTH(V58),3)=0,IF($B$4=1,0,SUMIF(Assumptions!$H$173:$U$173,'Debt repayment Schedule'!C58,Assumptions!$H$185:$U$185)/4),0)</f>
        <v>2.75E-2</v>
      </c>
      <c r="AD58" s="336">
        <f t="shared" si="2"/>
        <v>22.039638635446536</v>
      </c>
      <c r="AE58" s="260"/>
      <c r="AF58" s="210">
        <f t="shared" si="15"/>
        <v>46022</v>
      </c>
      <c r="AG58" s="210">
        <f t="shared" si="16"/>
        <v>46112</v>
      </c>
      <c r="AH58" s="335">
        <f t="shared" si="17"/>
        <v>35.782600804479983</v>
      </c>
      <c r="AI58" s="1382">
        <f t="shared" si="18"/>
        <v>1.5496401923200001</v>
      </c>
      <c r="AJ58" s="335">
        <f t="shared" si="19"/>
        <v>34.232960612159985</v>
      </c>
      <c r="AK58" s="335">
        <f t="shared" si="20"/>
        <v>0</v>
      </c>
      <c r="AL58" s="339">
        <f t="shared" si="45"/>
        <v>0</v>
      </c>
      <c r="AM58" s="337">
        <f>IF(MOD(MONTH(AF58),3)=0,IF($B$4=1,0,SUMIF(Assumptions!$H$173:$U$173,'Debt repayment Schedule'!M58,Assumptions!$H$185:$U$185)/4),0)</f>
        <v>2.75E-2</v>
      </c>
      <c r="AN58" s="336">
        <f t="shared" si="21"/>
        <v>1.5496401923200001</v>
      </c>
      <c r="AO58" s="260"/>
      <c r="AP58" s="210">
        <f t="shared" si="22"/>
        <v>46022</v>
      </c>
      <c r="AQ58" s="210">
        <f t="shared" si="38"/>
        <v>46112</v>
      </c>
      <c r="AR58" s="335">
        <f t="shared" si="23"/>
        <v>0</v>
      </c>
      <c r="AS58" s="335">
        <f t="shared" si="24"/>
        <v>0</v>
      </c>
      <c r="AT58" s="616">
        <f t="shared" si="25"/>
        <v>0</v>
      </c>
      <c r="AU58" s="335">
        <f t="shared" si="26"/>
        <v>0</v>
      </c>
      <c r="AV58" s="339">
        <f t="shared" si="46"/>
        <v>0.10299999999999999</v>
      </c>
      <c r="AW58" s="337">
        <f>IF(MOD(MONTH(AP58),3)=0,IF($B$4=1,0,SUMIF(Assumptions!$H$173:$U$173,'Debt repayment Schedule'!W58,Assumptions!$H$185:$U$185)/4),0)</f>
        <v>2.75E-2</v>
      </c>
      <c r="AX58" s="336">
        <f t="shared" si="3"/>
        <v>0</v>
      </c>
      <c r="AY58" s="260"/>
      <c r="AZ58" s="260">
        <f t="shared" si="27"/>
        <v>35.625662888887497</v>
      </c>
      <c r="BB58" s="260">
        <f t="shared" si="47"/>
        <v>6.8369854887351718</v>
      </c>
      <c r="BC58" s="260">
        <f>AZ58+SUM(BB56:BB58)</f>
        <v>55.916071436101554</v>
      </c>
    </row>
    <row r="59" spans="2:56" x14ac:dyDescent="0.35">
      <c r="B59" s="210">
        <f t="shared" si="9"/>
        <v>46053</v>
      </c>
      <c r="C59" s="210">
        <f t="shared" si="32"/>
        <v>46112</v>
      </c>
      <c r="D59" s="335">
        <f t="shared" si="28"/>
        <v>329.70467028338982</v>
      </c>
      <c r="E59" s="336">
        <f t="shared" si="4"/>
        <v>0</v>
      </c>
      <c r="F59" s="335">
        <f t="shared" si="10"/>
        <v>329.70467028338982</v>
      </c>
      <c r="G59" s="335">
        <f t="shared" si="11"/>
        <v>2.8422349179361261</v>
      </c>
      <c r="H59" s="339">
        <f t="shared" si="42"/>
        <v>0.10150000000000001</v>
      </c>
      <c r="I59" s="337">
        <f>IF(MOD(MONTH(B59),3)=0,(IF($B$4=1,0,SUMIF(Assumptions!$H$173:$U$173,'Debt repayment Schedule'!C59,Assumptions!$H$183:$U$183)/4)),0)</f>
        <v>0</v>
      </c>
      <c r="J59" s="336">
        <f t="shared" si="0"/>
        <v>2.8422349179361261</v>
      </c>
      <c r="K59" s="260"/>
      <c r="L59" s="338">
        <f t="shared" si="5"/>
        <v>46053</v>
      </c>
      <c r="M59" s="210">
        <f t="shared" si="34"/>
        <v>46112</v>
      </c>
      <c r="N59" s="335">
        <f t="shared" si="29"/>
        <v>18.010357625542486</v>
      </c>
      <c r="O59" s="1382">
        <f t="shared" si="6"/>
        <v>0</v>
      </c>
      <c r="P59" s="335">
        <f t="shared" si="40"/>
        <v>18.010357625542486</v>
      </c>
      <c r="Q59" s="335">
        <f t="shared" si="12"/>
        <v>0.15525915142128613</v>
      </c>
      <c r="R59" s="339">
        <f t="shared" si="43"/>
        <v>0.10150000000000001</v>
      </c>
      <c r="S59" s="1282">
        <f>IF(MOD(MONTH(L59),3)=0,IF($B$4=1,0,SUMIF(Assumptions!$H$173:$U$173,'Debt repayment Schedule'!M59,Assumptions!$H$184:$U$184)/4),0)</f>
        <v>0</v>
      </c>
      <c r="T59" s="336">
        <f t="shared" si="1"/>
        <v>0.15525915142128613</v>
      </c>
      <c r="U59" s="260"/>
      <c r="V59" s="210">
        <f t="shared" si="13"/>
        <v>46053</v>
      </c>
      <c r="W59" s="210">
        <f t="shared" si="36"/>
        <v>46112</v>
      </c>
      <c r="X59" s="335">
        <f t="shared" si="30"/>
        <v>405.05529166069527</v>
      </c>
      <c r="Y59" s="1382">
        <f t="shared" si="7"/>
        <v>0</v>
      </c>
      <c r="Z59" s="335">
        <f t="shared" si="41"/>
        <v>405.05529166069527</v>
      </c>
      <c r="AA59" s="335">
        <f t="shared" si="14"/>
        <v>3.5434014966372605</v>
      </c>
      <c r="AB59" s="339">
        <f t="shared" si="44"/>
        <v>0.10299999999999999</v>
      </c>
      <c r="AC59" s="337">
        <f>IF(MOD(MONTH(V59),3)=0,IF($B$4=1,0,SUMIF(Assumptions!$H$173:$U$173,'Debt repayment Schedule'!C59,Assumptions!$H$185:$U$185)/4),0)</f>
        <v>0</v>
      </c>
      <c r="AD59" s="336">
        <f t="shared" si="2"/>
        <v>3.5434014966372605</v>
      </c>
      <c r="AE59" s="260"/>
      <c r="AF59" s="210">
        <f t="shared" si="15"/>
        <v>46053</v>
      </c>
      <c r="AG59" s="210">
        <f t="shared" si="16"/>
        <v>46112</v>
      </c>
      <c r="AH59" s="335">
        <f t="shared" si="17"/>
        <v>34.232960612159985</v>
      </c>
      <c r="AI59" s="1382">
        <f t="shared" si="18"/>
        <v>0</v>
      </c>
      <c r="AJ59" s="335">
        <f t="shared" si="19"/>
        <v>34.232960612159985</v>
      </c>
      <c r="AK59" s="335">
        <f t="shared" si="20"/>
        <v>0</v>
      </c>
      <c r="AL59" s="339">
        <f t="shared" si="45"/>
        <v>0</v>
      </c>
      <c r="AM59" s="337">
        <f>IF(MOD(MONTH(AF59),3)=0,IF($B$4=1,0,SUMIF(Assumptions!$H$173:$U$173,'Debt repayment Schedule'!M59,Assumptions!$H$185:$U$185)/4),0)</f>
        <v>0</v>
      </c>
      <c r="AN59" s="336">
        <f t="shared" si="21"/>
        <v>0</v>
      </c>
      <c r="AO59" s="260"/>
      <c r="AP59" s="210">
        <f t="shared" si="22"/>
        <v>46053</v>
      </c>
      <c r="AQ59" s="210">
        <f t="shared" si="38"/>
        <v>46112</v>
      </c>
      <c r="AR59" s="335">
        <f t="shared" si="23"/>
        <v>0</v>
      </c>
      <c r="AS59" s="335">
        <f t="shared" si="24"/>
        <v>0</v>
      </c>
      <c r="AT59" s="616">
        <f t="shared" si="25"/>
        <v>0</v>
      </c>
      <c r="AU59" s="335">
        <f t="shared" si="26"/>
        <v>0</v>
      </c>
      <c r="AV59" s="339">
        <f t="shared" si="46"/>
        <v>0.10299999999999999</v>
      </c>
      <c r="AW59" s="337">
        <f>IF(MOD(MONTH(AP59),3)=0,IF($B$4=1,0,SUMIF(Assumptions!$H$173:$U$173,'Debt repayment Schedule'!W59,Assumptions!$H$185:$U$185)/4),0)</f>
        <v>0</v>
      </c>
      <c r="AX59" s="336">
        <f t="shared" si="3"/>
        <v>0</v>
      </c>
      <c r="AY59" s="260"/>
      <c r="AZ59" s="260">
        <f t="shared" si="27"/>
        <v>0</v>
      </c>
      <c r="BB59" s="260">
        <f t="shared" si="47"/>
        <v>6.5408955659946724</v>
      </c>
      <c r="BC59" s="260"/>
    </row>
    <row r="60" spans="2:56" x14ac:dyDescent="0.35">
      <c r="B60" s="210">
        <f t="shared" si="9"/>
        <v>46081</v>
      </c>
      <c r="C60" s="210">
        <f t="shared" si="32"/>
        <v>46112</v>
      </c>
      <c r="D60" s="335">
        <f t="shared" si="28"/>
        <v>329.70467028338982</v>
      </c>
      <c r="E60" s="336">
        <f t="shared" si="4"/>
        <v>0</v>
      </c>
      <c r="F60" s="335">
        <f t="shared" si="10"/>
        <v>329.70467028338982</v>
      </c>
      <c r="G60" s="335">
        <f t="shared" si="11"/>
        <v>2.5671799258777916</v>
      </c>
      <c r="H60" s="339">
        <f t="shared" si="42"/>
        <v>0.10150000000000001</v>
      </c>
      <c r="I60" s="337">
        <f>IF(MOD(MONTH(B60),3)=0,(IF($B$4=1,0,SUMIF(Assumptions!$H$173:$U$173,'Debt repayment Schedule'!C60,Assumptions!$H$183:$U$183)/4)),0)</f>
        <v>0</v>
      </c>
      <c r="J60" s="336">
        <f t="shared" si="0"/>
        <v>2.5671799258777916</v>
      </c>
      <c r="K60" s="260"/>
      <c r="L60" s="338">
        <f t="shared" si="5"/>
        <v>46081</v>
      </c>
      <c r="M60" s="210">
        <f t="shared" si="34"/>
        <v>46112</v>
      </c>
      <c r="N60" s="335">
        <f t="shared" si="29"/>
        <v>18.010357625542486</v>
      </c>
      <c r="O60" s="1382">
        <f t="shared" si="6"/>
        <v>0</v>
      </c>
      <c r="P60" s="335">
        <f t="shared" si="40"/>
        <v>18.010357625542486</v>
      </c>
      <c r="Q60" s="335">
        <f t="shared" si="12"/>
        <v>0.14023407225148427</v>
      </c>
      <c r="R60" s="339">
        <f t="shared" si="43"/>
        <v>0.10150000000000001</v>
      </c>
      <c r="S60" s="1282">
        <f>IF(MOD(MONTH(L60),3)=0,IF($B$4=1,0,SUMIF(Assumptions!$H$173:$U$173,'Debt repayment Schedule'!M60,Assumptions!$H$184:$U$184)/4),0)</f>
        <v>0</v>
      </c>
      <c r="T60" s="336">
        <f t="shared" si="1"/>
        <v>0.14023407225148427</v>
      </c>
      <c r="U60" s="260"/>
      <c r="V60" s="210">
        <f t="shared" si="13"/>
        <v>46081</v>
      </c>
      <c r="W60" s="210">
        <f t="shared" si="36"/>
        <v>46112</v>
      </c>
      <c r="X60" s="335">
        <f t="shared" si="30"/>
        <v>405.05529166069527</v>
      </c>
      <c r="Y60" s="1382">
        <f t="shared" si="7"/>
        <v>0</v>
      </c>
      <c r="Z60" s="335">
        <f t="shared" si="41"/>
        <v>405.05529166069527</v>
      </c>
      <c r="AA60" s="335">
        <f t="shared" si="14"/>
        <v>3.2004916743820417</v>
      </c>
      <c r="AB60" s="339">
        <f t="shared" si="44"/>
        <v>0.10299999999999999</v>
      </c>
      <c r="AC60" s="337">
        <f>IF(MOD(MONTH(V60),3)=0,IF($B$4=1,0,SUMIF(Assumptions!$H$173:$U$173,'Debt repayment Schedule'!C60,Assumptions!$H$185:$U$185)/4),0)</f>
        <v>0</v>
      </c>
      <c r="AD60" s="336">
        <f t="shared" si="2"/>
        <v>3.2004916743820417</v>
      </c>
      <c r="AE60" s="260"/>
      <c r="AF60" s="210">
        <f t="shared" si="15"/>
        <v>46081</v>
      </c>
      <c r="AG60" s="210">
        <f t="shared" si="16"/>
        <v>46112</v>
      </c>
      <c r="AH60" s="335">
        <f t="shared" si="17"/>
        <v>34.232960612159985</v>
      </c>
      <c r="AI60" s="1382">
        <f t="shared" si="18"/>
        <v>0</v>
      </c>
      <c r="AJ60" s="335">
        <f t="shared" si="19"/>
        <v>34.232960612159985</v>
      </c>
      <c r="AK60" s="335">
        <f t="shared" si="20"/>
        <v>0</v>
      </c>
      <c r="AL60" s="339">
        <f t="shared" si="45"/>
        <v>0</v>
      </c>
      <c r="AM60" s="337">
        <f>IF(MOD(MONTH(AF60),3)=0,IF($B$4=1,0,SUMIF(Assumptions!$H$173:$U$173,'Debt repayment Schedule'!M60,Assumptions!$H$185:$U$185)/4),0)</f>
        <v>0</v>
      </c>
      <c r="AN60" s="336">
        <f t="shared" si="21"/>
        <v>0</v>
      </c>
      <c r="AO60" s="260"/>
      <c r="AP60" s="210">
        <f t="shared" si="22"/>
        <v>46081</v>
      </c>
      <c r="AQ60" s="210">
        <f t="shared" si="38"/>
        <v>46112</v>
      </c>
      <c r="AR60" s="335">
        <f t="shared" si="23"/>
        <v>0</v>
      </c>
      <c r="AS60" s="335">
        <f t="shared" si="24"/>
        <v>0</v>
      </c>
      <c r="AT60" s="616">
        <f t="shared" si="25"/>
        <v>0</v>
      </c>
      <c r="AU60" s="335">
        <f t="shared" si="26"/>
        <v>0</v>
      </c>
      <c r="AV60" s="339">
        <f t="shared" si="46"/>
        <v>0.10299999999999999</v>
      </c>
      <c r="AW60" s="337">
        <f>IF(MOD(MONTH(AP60),3)=0,IF($B$4=1,0,SUMIF(Assumptions!$H$173:$U$173,'Debt repayment Schedule'!W60,Assumptions!$H$185:$U$185)/4),0)</f>
        <v>0</v>
      </c>
      <c r="AX60" s="336">
        <f t="shared" si="3"/>
        <v>0</v>
      </c>
      <c r="AY60" s="260"/>
      <c r="AZ60" s="260">
        <f t="shared" si="27"/>
        <v>0</v>
      </c>
      <c r="BB60" s="260">
        <f t="shared" si="47"/>
        <v>5.9079056725113173</v>
      </c>
      <c r="BC60" s="260"/>
    </row>
    <row r="61" spans="2:56" x14ac:dyDescent="0.35">
      <c r="B61" s="210">
        <f t="shared" si="9"/>
        <v>46112</v>
      </c>
      <c r="C61" s="210">
        <f t="shared" si="32"/>
        <v>46112</v>
      </c>
      <c r="D61" s="335">
        <f t="shared" si="28"/>
        <v>329.70467028338982</v>
      </c>
      <c r="E61" s="336">
        <f t="shared" si="4"/>
        <v>14.924902770029998</v>
      </c>
      <c r="F61" s="335">
        <f t="shared" si="10"/>
        <v>314.77976751335984</v>
      </c>
      <c r="G61" s="335">
        <f t="shared" si="11"/>
        <v>2.8422349179361261</v>
      </c>
      <c r="H61" s="339">
        <f t="shared" si="42"/>
        <v>0.10150000000000001</v>
      </c>
      <c r="I61" s="337">
        <f>IF(MOD(MONTH(B61),3)=0,(IF($B$4=1,0,SUMIF(Assumptions!$H$173:$U$173,'Debt repayment Schedule'!C61,Assumptions!$H$183:$U$183)/4)),0)</f>
        <v>2.75E-2</v>
      </c>
      <c r="J61" s="336">
        <f t="shared" si="0"/>
        <v>17.767137687966123</v>
      </c>
      <c r="K61" s="260"/>
      <c r="L61" s="338">
        <f t="shared" si="5"/>
        <v>46112</v>
      </c>
      <c r="M61" s="210">
        <f t="shared" si="34"/>
        <v>46112</v>
      </c>
      <c r="N61" s="335">
        <f t="shared" si="29"/>
        <v>18.010357625542486</v>
      </c>
      <c r="O61" s="1382">
        <f t="shared" si="6"/>
        <v>0.81528367852249994</v>
      </c>
      <c r="P61" s="335">
        <f t="shared" si="40"/>
        <v>17.195073947019985</v>
      </c>
      <c r="Q61" s="335">
        <f t="shared" si="12"/>
        <v>0.15525915142128613</v>
      </c>
      <c r="R61" s="339">
        <f t="shared" si="43"/>
        <v>0.10150000000000001</v>
      </c>
      <c r="S61" s="1282">
        <f>IF(MOD(MONTH(L61),3)=0,IF($B$4=1,0,SUMIF(Assumptions!$H$173:$U$173,'Debt repayment Schedule'!M61,Assumptions!$H$184:$U$184)/4),0)</f>
        <v>2.75E-2</v>
      </c>
      <c r="T61" s="336">
        <f t="shared" si="1"/>
        <v>0.97054282994378605</v>
      </c>
      <c r="U61" s="260"/>
      <c r="V61" s="210">
        <f t="shared" si="13"/>
        <v>46112</v>
      </c>
      <c r="W61" s="210">
        <f t="shared" si="36"/>
        <v>46112</v>
      </c>
      <c r="X61" s="335">
        <f t="shared" si="30"/>
        <v>405.05529166069527</v>
      </c>
      <c r="Y61" s="1382">
        <f t="shared" si="7"/>
        <v>18.335836248014999</v>
      </c>
      <c r="Z61" s="335">
        <f t="shared" si="41"/>
        <v>386.7194554126803</v>
      </c>
      <c r="AA61" s="335">
        <f t="shared" si="14"/>
        <v>3.5434014966372605</v>
      </c>
      <c r="AB61" s="339">
        <f t="shared" si="44"/>
        <v>0.10299999999999999</v>
      </c>
      <c r="AC61" s="337">
        <f>IF(MOD(MONTH(V61),3)=0,IF($B$4=1,0,SUMIF(Assumptions!$H$173:$U$173,'Debt repayment Schedule'!C61,Assumptions!$H$185:$U$185)/4),0)</f>
        <v>2.75E-2</v>
      </c>
      <c r="AD61" s="336">
        <f t="shared" si="2"/>
        <v>21.879237744652258</v>
      </c>
      <c r="AE61" s="260"/>
      <c r="AF61" s="210">
        <f t="shared" si="15"/>
        <v>46112</v>
      </c>
      <c r="AG61" s="210">
        <f t="shared" si="16"/>
        <v>46112</v>
      </c>
      <c r="AH61" s="335">
        <f t="shared" si="17"/>
        <v>34.232960612159985</v>
      </c>
      <c r="AI61" s="1382">
        <f t="shared" si="18"/>
        <v>1.5496401923200001</v>
      </c>
      <c r="AJ61" s="335">
        <f t="shared" si="19"/>
        <v>32.683320419839987</v>
      </c>
      <c r="AK61" s="335">
        <f t="shared" si="20"/>
        <v>0</v>
      </c>
      <c r="AL61" s="339">
        <f t="shared" si="45"/>
        <v>0</v>
      </c>
      <c r="AM61" s="337">
        <f>IF(MOD(MONTH(AF61),3)=0,IF($B$4=1,0,SUMIF(Assumptions!$H$173:$U$173,'Debt repayment Schedule'!M61,Assumptions!$H$185:$U$185)/4),0)</f>
        <v>2.75E-2</v>
      </c>
      <c r="AN61" s="336">
        <f t="shared" si="21"/>
        <v>1.5496401923200001</v>
      </c>
      <c r="AO61" s="260"/>
      <c r="AP61" s="210">
        <f t="shared" si="22"/>
        <v>46112</v>
      </c>
      <c r="AQ61" s="210">
        <f t="shared" si="38"/>
        <v>46112</v>
      </c>
      <c r="AR61" s="335">
        <f t="shared" si="23"/>
        <v>0</v>
      </c>
      <c r="AS61" s="335">
        <f t="shared" si="24"/>
        <v>0</v>
      </c>
      <c r="AT61" s="616">
        <f t="shared" si="25"/>
        <v>0</v>
      </c>
      <c r="AU61" s="335">
        <f t="shared" si="26"/>
        <v>0</v>
      </c>
      <c r="AV61" s="339">
        <f t="shared" si="46"/>
        <v>0.10299999999999999</v>
      </c>
      <c r="AW61" s="337">
        <f>IF(MOD(MONTH(AP61),3)=0,IF($B$4=1,0,SUMIF(Assumptions!$H$173:$U$173,'Debt repayment Schedule'!W61,Assumptions!$H$185:$U$185)/4),0)</f>
        <v>2.75E-2</v>
      </c>
      <c r="AX61" s="336">
        <f t="shared" si="3"/>
        <v>0</v>
      </c>
      <c r="AY61" s="260"/>
      <c r="AZ61" s="260">
        <f t="shared" si="27"/>
        <v>35.625662888887497</v>
      </c>
      <c r="BB61" s="260">
        <f t="shared" si="47"/>
        <v>6.5408955659946724</v>
      </c>
      <c r="BC61" s="260">
        <f>AZ61+SUM(BB59:BB61)</f>
        <v>54.615359693388157</v>
      </c>
      <c r="BD61" s="215">
        <f>BC64</f>
        <v>53.957189131988457</v>
      </c>
    </row>
    <row r="62" spans="2:56" x14ac:dyDescent="0.35">
      <c r="B62" s="210">
        <f t="shared" si="9"/>
        <v>46142</v>
      </c>
      <c r="C62" s="210">
        <f t="shared" si="32"/>
        <v>46477</v>
      </c>
      <c r="D62" s="335">
        <f t="shared" si="28"/>
        <v>314.77976751335984</v>
      </c>
      <c r="E62" s="336">
        <f t="shared" si="4"/>
        <v>0</v>
      </c>
      <c r="F62" s="335">
        <f t="shared" si="10"/>
        <v>314.77976751335984</v>
      </c>
      <c r="G62" s="335">
        <f t="shared" si="11"/>
        <v>2.62603943035118</v>
      </c>
      <c r="H62" s="339">
        <f t="shared" si="42"/>
        <v>0.10150000000000001</v>
      </c>
      <c r="I62" s="337">
        <f>IF(MOD(MONTH(B62),3)=0,(IF($B$4=1,0,SUMIF(Assumptions!$H$173:$U$173,'Debt repayment Schedule'!C62,Assumptions!$H$183:$U$183)/4)),0)</f>
        <v>0</v>
      </c>
      <c r="J62" s="336">
        <f t="shared" si="0"/>
        <v>2.62603943035118</v>
      </c>
      <c r="K62" s="260"/>
      <c r="L62" s="338">
        <f t="shared" si="5"/>
        <v>46142</v>
      </c>
      <c r="M62" s="210">
        <f t="shared" si="34"/>
        <v>46477</v>
      </c>
      <c r="N62" s="335">
        <f t="shared" si="29"/>
        <v>17.195073947019985</v>
      </c>
      <c r="O62" s="1382">
        <f t="shared" si="6"/>
        <v>0</v>
      </c>
      <c r="P62" s="335">
        <f t="shared" si="40"/>
        <v>17.195073947019985</v>
      </c>
      <c r="Q62" s="335">
        <f t="shared" si="12"/>
        <v>0.14344931553061879</v>
      </c>
      <c r="R62" s="339">
        <f t="shared" si="43"/>
        <v>0.10150000000000001</v>
      </c>
      <c r="S62" s="1282">
        <f>IF(MOD(MONTH(L62),3)=0,IF($B$4=1,0,SUMIF(Assumptions!$H$173:$U$173,'Debt repayment Schedule'!M62,Assumptions!$H$184:$U$184)/4),0)</f>
        <v>0</v>
      </c>
      <c r="T62" s="336">
        <f t="shared" si="1"/>
        <v>0.14344931553061879</v>
      </c>
      <c r="U62" s="260"/>
      <c r="V62" s="210">
        <f t="shared" si="13"/>
        <v>46142</v>
      </c>
      <c r="W62" s="210">
        <f t="shared" si="36"/>
        <v>46477</v>
      </c>
      <c r="X62" s="335">
        <f t="shared" si="30"/>
        <v>386.7194554126803</v>
      </c>
      <c r="Y62" s="1382">
        <f t="shared" si="7"/>
        <v>0</v>
      </c>
      <c r="Z62" s="335">
        <f t="shared" si="41"/>
        <v>386.7194554126803</v>
      </c>
      <c r="AA62" s="335">
        <f t="shared" si="14"/>
        <v>3.2738715540415946</v>
      </c>
      <c r="AB62" s="339">
        <f t="shared" si="44"/>
        <v>0.10299999999999999</v>
      </c>
      <c r="AC62" s="337">
        <f>IF(MOD(MONTH(V62),3)=0,IF($B$4=1,0,SUMIF(Assumptions!$H$173:$U$173,'Debt repayment Schedule'!C62,Assumptions!$H$185:$U$185)/4),0)</f>
        <v>0</v>
      </c>
      <c r="AD62" s="336">
        <f t="shared" si="2"/>
        <v>3.2738715540415946</v>
      </c>
      <c r="AE62" s="260"/>
      <c r="AF62" s="210">
        <f t="shared" si="15"/>
        <v>46142</v>
      </c>
      <c r="AG62" s="210">
        <f t="shared" si="16"/>
        <v>46477</v>
      </c>
      <c r="AH62" s="335">
        <f t="shared" si="17"/>
        <v>32.683320419839987</v>
      </c>
      <c r="AI62" s="1382">
        <f t="shared" si="18"/>
        <v>0</v>
      </c>
      <c r="AJ62" s="335">
        <f t="shared" si="19"/>
        <v>32.683320419839987</v>
      </c>
      <c r="AK62" s="335">
        <f t="shared" si="20"/>
        <v>0</v>
      </c>
      <c r="AL62" s="339">
        <f t="shared" si="45"/>
        <v>0</v>
      </c>
      <c r="AM62" s="337">
        <f>IF(MOD(MONTH(AF62),3)=0,IF($B$4=1,0,SUMIF(Assumptions!$H$173:$U$173,'Debt repayment Schedule'!M62,Assumptions!$H$185:$U$185)/4),0)</f>
        <v>0</v>
      </c>
      <c r="AN62" s="336">
        <f t="shared" si="21"/>
        <v>0</v>
      </c>
      <c r="AO62" s="260"/>
      <c r="AP62" s="210">
        <f t="shared" si="22"/>
        <v>46142</v>
      </c>
      <c r="AQ62" s="210">
        <f t="shared" si="38"/>
        <v>46477</v>
      </c>
      <c r="AR62" s="335">
        <f t="shared" si="23"/>
        <v>0</v>
      </c>
      <c r="AS62" s="335">
        <f t="shared" si="24"/>
        <v>0</v>
      </c>
      <c r="AT62" s="616">
        <f t="shared" si="25"/>
        <v>0</v>
      </c>
      <c r="AU62" s="335">
        <f t="shared" si="26"/>
        <v>0</v>
      </c>
      <c r="AV62" s="339">
        <f t="shared" si="46"/>
        <v>0.10299999999999999</v>
      </c>
      <c r="AW62" s="337">
        <f>IF(MOD(MONTH(AP62),3)=0,IF($B$4=1,0,SUMIF(Assumptions!$H$173:$U$173,'Debt repayment Schedule'!W62,Assumptions!$H$185:$U$185)/4),0)</f>
        <v>0</v>
      </c>
      <c r="AX62" s="336">
        <f t="shared" si="3"/>
        <v>0</v>
      </c>
      <c r="AY62" s="260"/>
      <c r="AZ62" s="260">
        <f t="shared" si="27"/>
        <v>0</v>
      </c>
      <c r="BB62" s="260">
        <f t="shared" si="47"/>
        <v>6.0433602999233935</v>
      </c>
      <c r="BC62" s="260"/>
    </row>
    <row r="63" spans="2:56" x14ac:dyDescent="0.35">
      <c r="B63" s="210">
        <f t="shared" si="9"/>
        <v>46173</v>
      </c>
      <c r="C63" s="210">
        <f t="shared" si="32"/>
        <v>46477</v>
      </c>
      <c r="D63" s="335">
        <f t="shared" si="28"/>
        <v>314.77976751335984</v>
      </c>
      <c r="E63" s="336">
        <f t="shared" si="4"/>
        <v>0</v>
      </c>
      <c r="F63" s="335">
        <f t="shared" si="10"/>
        <v>314.77976751335984</v>
      </c>
      <c r="G63" s="335">
        <f t="shared" si="11"/>
        <v>2.713574078029553</v>
      </c>
      <c r="H63" s="339">
        <f t="shared" si="42"/>
        <v>0.10150000000000001</v>
      </c>
      <c r="I63" s="337">
        <f>IF(MOD(MONTH(B63),3)=0,(IF($B$4=1,0,SUMIF(Assumptions!$H$173:$U$173,'Debt repayment Schedule'!C63,Assumptions!$H$183:$U$183)/4)),0)</f>
        <v>0</v>
      </c>
      <c r="J63" s="336">
        <f t="shared" si="0"/>
        <v>2.713574078029553</v>
      </c>
      <c r="K63" s="260"/>
      <c r="L63" s="338">
        <f t="shared" si="5"/>
        <v>46173</v>
      </c>
      <c r="M63" s="210">
        <f t="shared" si="34"/>
        <v>46477</v>
      </c>
      <c r="N63" s="335">
        <f t="shared" si="29"/>
        <v>17.195073947019985</v>
      </c>
      <c r="O63" s="1382">
        <f t="shared" si="6"/>
        <v>0</v>
      </c>
      <c r="P63" s="335">
        <f t="shared" si="40"/>
        <v>17.195073947019985</v>
      </c>
      <c r="Q63" s="335">
        <f t="shared" si="12"/>
        <v>0.14823095938163941</v>
      </c>
      <c r="R63" s="339">
        <f t="shared" si="43"/>
        <v>0.10150000000000001</v>
      </c>
      <c r="S63" s="1282">
        <f>IF(MOD(MONTH(L63),3)=0,IF($B$4=1,0,SUMIF(Assumptions!$H$173:$U$173,'Debt repayment Schedule'!M63,Assumptions!$H$184:$U$184)/4),0)</f>
        <v>0</v>
      </c>
      <c r="T63" s="336">
        <f t="shared" si="1"/>
        <v>0.14823095938163941</v>
      </c>
      <c r="U63" s="260"/>
      <c r="V63" s="210">
        <f t="shared" si="13"/>
        <v>46173</v>
      </c>
      <c r="W63" s="210">
        <f t="shared" si="36"/>
        <v>46477</v>
      </c>
      <c r="X63" s="335">
        <f t="shared" si="30"/>
        <v>386.7194554126803</v>
      </c>
      <c r="Y63" s="1382">
        <f t="shared" si="7"/>
        <v>0</v>
      </c>
      <c r="Z63" s="335">
        <f t="shared" si="41"/>
        <v>386.7194554126803</v>
      </c>
      <c r="AA63" s="335">
        <f t="shared" si="14"/>
        <v>3.3830006058429811</v>
      </c>
      <c r="AB63" s="339">
        <f t="shared" si="44"/>
        <v>0.10299999999999999</v>
      </c>
      <c r="AC63" s="337">
        <f>IF(MOD(MONTH(V63),3)=0,IF($B$4=1,0,SUMIF(Assumptions!$H$173:$U$173,'Debt repayment Schedule'!C63,Assumptions!$H$185:$U$185)/4),0)</f>
        <v>0</v>
      </c>
      <c r="AD63" s="336">
        <f t="shared" si="2"/>
        <v>3.3830006058429811</v>
      </c>
      <c r="AE63" s="260"/>
      <c r="AF63" s="210">
        <f t="shared" si="15"/>
        <v>46173</v>
      </c>
      <c r="AG63" s="210">
        <f t="shared" si="16"/>
        <v>46477</v>
      </c>
      <c r="AH63" s="335">
        <f t="shared" si="17"/>
        <v>32.683320419839987</v>
      </c>
      <c r="AI63" s="1382">
        <f t="shared" si="18"/>
        <v>0</v>
      </c>
      <c r="AJ63" s="335">
        <f t="shared" si="19"/>
        <v>32.683320419839987</v>
      </c>
      <c r="AK63" s="335">
        <f t="shared" si="20"/>
        <v>0</v>
      </c>
      <c r="AL63" s="339">
        <f t="shared" si="45"/>
        <v>0</v>
      </c>
      <c r="AM63" s="337">
        <f>IF(MOD(MONTH(AF63),3)=0,IF($B$4=1,0,SUMIF(Assumptions!$H$173:$U$173,'Debt repayment Schedule'!M63,Assumptions!$H$185:$U$185)/4),0)</f>
        <v>0</v>
      </c>
      <c r="AN63" s="336">
        <f t="shared" si="21"/>
        <v>0</v>
      </c>
      <c r="AO63" s="260"/>
      <c r="AP63" s="210">
        <f t="shared" si="22"/>
        <v>46173</v>
      </c>
      <c r="AQ63" s="210">
        <f t="shared" si="38"/>
        <v>46477</v>
      </c>
      <c r="AR63" s="335">
        <f t="shared" si="23"/>
        <v>0</v>
      </c>
      <c r="AS63" s="335">
        <f t="shared" si="24"/>
        <v>0</v>
      </c>
      <c r="AT63" s="616">
        <f t="shared" si="25"/>
        <v>0</v>
      </c>
      <c r="AU63" s="335">
        <f t="shared" si="26"/>
        <v>0</v>
      </c>
      <c r="AV63" s="339">
        <f t="shared" si="46"/>
        <v>0.10299999999999999</v>
      </c>
      <c r="AW63" s="337">
        <f>IF(MOD(MONTH(AP63),3)=0,IF($B$4=1,0,SUMIF(Assumptions!$H$173:$U$173,'Debt repayment Schedule'!W63,Assumptions!$H$185:$U$185)/4),0)</f>
        <v>0</v>
      </c>
      <c r="AX63" s="336">
        <f t="shared" si="3"/>
        <v>0</v>
      </c>
      <c r="AY63" s="260"/>
      <c r="AZ63" s="260">
        <f t="shared" si="27"/>
        <v>0</v>
      </c>
      <c r="BB63" s="260">
        <f t="shared" si="47"/>
        <v>6.244805643254173</v>
      </c>
      <c r="BC63" s="260"/>
    </row>
    <row r="64" spans="2:56" x14ac:dyDescent="0.35">
      <c r="B64" s="210">
        <f t="shared" si="9"/>
        <v>46203</v>
      </c>
      <c r="C64" s="210">
        <f t="shared" si="32"/>
        <v>46477</v>
      </c>
      <c r="D64" s="335">
        <f t="shared" si="28"/>
        <v>314.77976751335984</v>
      </c>
      <c r="E64" s="336">
        <f t="shared" si="4"/>
        <v>14.924902770029998</v>
      </c>
      <c r="F64" s="335">
        <f t="shared" si="10"/>
        <v>299.85486474332987</v>
      </c>
      <c r="G64" s="335">
        <f t="shared" si="11"/>
        <v>2.62603943035118</v>
      </c>
      <c r="H64" s="339">
        <f t="shared" si="42"/>
        <v>0.10150000000000001</v>
      </c>
      <c r="I64" s="337">
        <f>IF(MOD(MONTH(B64),3)=0,(IF($B$4=1,0,SUMIF(Assumptions!$H$173:$U$173,'Debt repayment Schedule'!C64,Assumptions!$H$183:$U$183)/4)),0)</f>
        <v>2.75E-2</v>
      </c>
      <c r="J64" s="336">
        <f t="shared" si="0"/>
        <v>17.550942200381179</v>
      </c>
      <c r="K64" s="260"/>
      <c r="L64" s="338">
        <f t="shared" si="5"/>
        <v>46203</v>
      </c>
      <c r="M64" s="210">
        <f t="shared" si="34"/>
        <v>46477</v>
      </c>
      <c r="N64" s="335">
        <f t="shared" si="29"/>
        <v>17.195073947019985</v>
      </c>
      <c r="O64" s="1382">
        <f t="shared" si="6"/>
        <v>0.81528367852249994</v>
      </c>
      <c r="P64" s="335">
        <f t="shared" si="40"/>
        <v>16.379790268497484</v>
      </c>
      <c r="Q64" s="335">
        <f t="shared" si="12"/>
        <v>0.14344931553061879</v>
      </c>
      <c r="R64" s="339">
        <f t="shared" si="43"/>
        <v>0.10150000000000001</v>
      </c>
      <c r="S64" s="1282">
        <f>IF(MOD(MONTH(L64),3)=0,IF($B$4=1,0,SUMIF(Assumptions!$H$173:$U$173,'Debt repayment Schedule'!M64,Assumptions!$H$184:$U$184)/4),0)</f>
        <v>2.75E-2</v>
      </c>
      <c r="T64" s="336">
        <f t="shared" si="1"/>
        <v>0.95873299405311874</v>
      </c>
      <c r="U64" s="260"/>
      <c r="V64" s="210">
        <f t="shared" si="13"/>
        <v>46203</v>
      </c>
      <c r="W64" s="210">
        <f t="shared" si="36"/>
        <v>46477</v>
      </c>
      <c r="X64" s="335">
        <f t="shared" si="30"/>
        <v>386.7194554126803</v>
      </c>
      <c r="Y64" s="1382">
        <f t="shared" si="7"/>
        <v>18.335836248014999</v>
      </c>
      <c r="Z64" s="335">
        <f t="shared" si="41"/>
        <v>368.38361916466533</v>
      </c>
      <c r="AA64" s="335">
        <f t="shared" si="14"/>
        <v>3.2738715540415946</v>
      </c>
      <c r="AB64" s="339">
        <f t="shared" si="44"/>
        <v>0.10299999999999999</v>
      </c>
      <c r="AC64" s="337">
        <f>IF(MOD(MONTH(V64),3)=0,IF($B$4=1,0,SUMIF(Assumptions!$H$173:$U$173,'Debt repayment Schedule'!C64,Assumptions!$H$185:$U$185)/4),0)</f>
        <v>2.75E-2</v>
      </c>
      <c r="AD64" s="336">
        <f t="shared" si="2"/>
        <v>21.609707802056594</v>
      </c>
      <c r="AE64" s="260"/>
      <c r="AF64" s="210">
        <f t="shared" si="15"/>
        <v>46203</v>
      </c>
      <c r="AG64" s="210">
        <f t="shared" si="16"/>
        <v>46477</v>
      </c>
      <c r="AH64" s="335">
        <f t="shared" si="17"/>
        <v>32.683320419839987</v>
      </c>
      <c r="AI64" s="1382">
        <f t="shared" si="18"/>
        <v>1.5496401923200001</v>
      </c>
      <c r="AJ64" s="335">
        <f t="shared" si="19"/>
        <v>31.133680227519989</v>
      </c>
      <c r="AK64" s="335">
        <f t="shared" si="20"/>
        <v>0</v>
      </c>
      <c r="AL64" s="339">
        <f t="shared" si="45"/>
        <v>0</v>
      </c>
      <c r="AM64" s="337">
        <f>IF(MOD(MONTH(AF64),3)=0,IF($B$4=1,0,SUMIF(Assumptions!$H$173:$U$173,'Debt repayment Schedule'!M64,Assumptions!$H$185:$U$185)/4),0)</f>
        <v>2.75E-2</v>
      </c>
      <c r="AN64" s="336">
        <f t="shared" si="21"/>
        <v>1.5496401923200001</v>
      </c>
      <c r="AO64" s="260"/>
      <c r="AP64" s="210">
        <f t="shared" si="22"/>
        <v>46203</v>
      </c>
      <c r="AQ64" s="210">
        <f t="shared" si="38"/>
        <v>46477</v>
      </c>
      <c r="AR64" s="335">
        <f t="shared" si="23"/>
        <v>0</v>
      </c>
      <c r="AS64" s="335">
        <f t="shared" si="24"/>
        <v>0</v>
      </c>
      <c r="AT64" s="616">
        <f t="shared" si="25"/>
        <v>0</v>
      </c>
      <c r="AU64" s="335">
        <f t="shared" si="26"/>
        <v>0</v>
      </c>
      <c r="AV64" s="339">
        <f t="shared" si="46"/>
        <v>0.10299999999999999</v>
      </c>
      <c r="AW64" s="337">
        <f>IF(MOD(MONTH(AP64),3)=0,IF($B$4=1,0,SUMIF(Assumptions!$H$173:$U$173,'Debt repayment Schedule'!W64,Assumptions!$H$185:$U$185)/4),0)</f>
        <v>2.75E-2</v>
      </c>
      <c r="AX64" s="336">
        <f t="shared" si="3"/>
        <v>0</v>
      </c>
      <c r="AY64" s="260"/>
      <c r="AZ64" s="260">
        <f t="shared" si="27"/>
        <v>35.625662888887497</v>
      </c>
      <c r="BB64" s="260">
        <f t="shared" si="47"/>
        <v>6.0433602999233935</v>
      </c>
      <c r="BC64" s="260">
        <f>AZ64+SUM(BB62:BB64)</f>
        <v>53.957189131988457</v>
      </c>
    </row>
    <row r="65" spans="2:56" x14ac:dyDescent="0.35">
      <c r="B65" s="210">
        <f t="shared" si="9"/>
        <v>46234</v>
      </c>
      <c r="C65" s="210">
        <f t="shared" si="32"/>
        <v>46477</v>
      </c>
      <c r="D65" s="335">
        <f t="shared" si="28"/>
        <v>299.85486474332987</v>
      </c>
      <c r="E65" s="336">
        <f t="shared" si="4"/>
        <v>0</v>
      </c>
      <c r="F65" s="335">
        <f t="shared" si="10"/>
        <v>299.85486474332987</v>
      </c>
      <c r="G65" s="335">
        <f t="shared" si="11"/>
        <v>2.5849132381229794</v>
      </c>
      <c r="H65" s="339">
        <f t="shared" si="42"/>
        <v>0.10150000000000001</v>
      </c>
      <c r="I65" s="337">
        <f>IF(MOD(MONTH(B65),3)=0,(IF($B$4=1,0,SUMIF(Assumptions!$H$173:$U$173,'Debt repayment Schedule'!C65,Assumptions!$H$183:$U$183)/4)),0)</f>
        <v>0</v>
      </c>
      <c r="J65" s="336">
        <f t="shared" si="0"/>
        <v>2.5849132381229794</v>
      </c>
      <c r="K65" s="260"/>
      <c r="L65" s="338">
        <f t="shared" si="5"/>
        <v>46234</v>
      </c>
      <c r="M65" s="210">
        <f t="shared" si="34"/>
        <v>46477</v>
      </c>
      <c r="N65" s="335">
        <f t="shared" si="29"/>
        <v>16.379790268497484</v>
      </c>
      <c r="O65" s="1382">
        <f t="shared" si="6"/>
        <v>0</v>
      </c>
      <c r="P65" s="335">
        <f t="shared" si="40"/>
        <v>16.379790268497484</v>
      </c>
      <c r="Q65" s="335">
        <f t="shared" si="12"/>
        <v>0.14120276734199269</v>
      </c>
      <c r="R65" s="339">
        <f t="shared" si="43"/>
        <v>0.10150000000000001</v>
      </c>
      <c r="S65" s="1282">
        <f>IF(MOD(MONTH(L65),3)=0,IF($B$4=1,0,SUMIF(Assumptions!$H$173:$U$173,'Debt repayment Schedule'!M65,Assumptions!$H$184:$U$184)/4),0)</f>
        <v>0</v>
      </c>
      <c r="T65" s="336">
        <f t="shared" si="1"/>
        <v>0.14120276734199269</v>
      </c>
      <c r="U65" s="260"/>
      <c r="V65" s="210">
        <f t="shared" si="13"/>
        <v>46234</v>
      </c>
      <c r="W65" s="210">
        <f t="shared" si="36"/>
        <v>46477</v>
      </c>
      <c r="X65" s="335">
        <f t="shared" si="30"/>
        <v>368.38361916466533</v>
      </c>
      <c r="Y65" s="1382">
        <f t="shared" si="7"/>
        <v>0</v>
      </c>
      <c r="Z65" s="335">
        <f t="shared" si="41"/>
        <v>368.38361916466533</v>
      </c>
      <c r="AA65" s="335">
        <f t="shared" si="14"/>
        <v>3.2225997150487022</v>
      </c>
      <c r="AB65" s="339">
        <f t="shared" si="44"/>
        <v>0.10299999999999999</v>
      </c>
      <c r="AC65" s="337">
        <f>IF(MOD(MONTH(V65),3)=0,IF($B$4=1,0,SUMIF(Assumptions!$H$173:$U$173,'Debt repayment Schedule'!C65,Assumptions!$H$185:$U$185)/4),0)</f>
        <v>0</v>
      </c>
      <c r="AD65" s="336">
        <f t="shared" si="2"/>
        <v>3.2225997150487022</v>
      </c>
      <c r="AE65" s="260"/>
      <c r="AF65" s="210">
        <f t="shared" si="15"/>
        <v>46234</v>
      </c>
      <c r="AG65" s="210">
        <f t="shared" si="16"/>
        <v>46477</v>
      </c>
      <c r="AH65" s="335">
        <f t="shared" si="17"/>
        <v>31.133680227519989</v>
      </c>
      <c r="AI65" s="1382">
        <f t="shared" si="18"/>
        <v>0</v>
      </c>
      <c r="AJ65" s="335">
        <f t="shared" si="19"/>
        <v>31.133680227519989</v>
      </c>
      <c r="AK65" s="335">
        <f t="shared" si="20"/>
        <v>0</v>
      </c>
      <c r="AL65" s="339">
        <f t="shared" si="45"/>
        <v>0</v>
      </c>
      <c r="AM65" s="337">
        <f>IF(MOD(MONTH(AF65),3)=0,IF($B$4=1,0,SUMIF(Assumptions!$H$173:$U$173,'Debt repayment Schedule'!M65,Assumptions!$H$185:$U$185)/4),0)</f>
        <v>0</v>
      </c>
      <c r="AN65" s="336">
        <f t="shared" si="21"/>
        <v>0</v>
      </c>
      <c r="AO65" s="260"/>
      <c r="AP65" s="210">
        <f t="shared" si="22"/>
        <v>46234</v>
      </c>
      <c r="AQ65" s="210">
        <f t="shared" si="38"/>
        <v>46477</v>
      </c>
      <c r="AR65" s="335">
        <f t="shared" si="23"/>
        <v>0</v>
      </c>
      <c r="AS65" s="335">
        <f t="shared" si="24"/>
        <v>0</v>
      </c>
      <c r="AT65" s="616">
        <f t="shared" si="25"/>
        <v>0</v>
      </c>
      <c r="AU65" s="335">
        <f t="shared" si="26"/>
        <v>0</v>
      </c>
      <c r="AV65" s="339">
        <f t="shared" si="46"/>
        <v>0.10299999999999999</v>
      </c>
      <c r="AW65" s="337">
        <f>IF(MOD(MONTH(AP65),3)=0,IF($B$4=1,0,SUMIF(Assumptions!$H$173:$U$173,'Debt repayment Schedule'!W65,Assumptions!$H$185:$U$185)/4),0)</f>
        <v>0</v>
      </c>
      <c r="AX65" s="336">
        <f t="shared" si="3"/>
        <v>0</v>
      </c>
      <c r="AY65" s="260"/>
      <c r="AZ65" s="260">
        <f t="shared" si="27"/>
        <v>0</v>
      </c>
      <c r="BB65" s="260">
        <f t="shared" si="47"/>
        <v>5.9487157205136745</v>
      </c>
      <c r="BC65" s="260"/>
    </row>
    <row r="66" spans="2:56" x14ac:dyDescent="0.35">
      <c r="B66" s="210">
        <f t="shared" si="9"/>
        <v>46265</v>
      </c>
      <c r="C66" s="210">
        <f t="shared" si="32"/>
        <v>46477</v>
      </c>
      <c r="D66" s="335">
        <f t="shared" si="28"/>
        <v>299.85486474332987</v>
      </c>
      <c r="E66" s="336">
        <f t="shared" si="4"/>
        <v>0</v>
      </c>
      <c r="F66" s="335">
        <f t="shared" si="10"/>
        <v>299.85486474332987</v>
      </c>
      <c r="G66" s="335">
        <f t="shared" si="11"/>
        <v>2.5849132381229794</v>
      </c>
      <c r="H66" s="339">
        <f t="shared" si="42"/>
        <v>0.10150000000000001</v>
      </c>
      <c r="I66" s="337">
        <f>IF(MOD(MONTH(B66),3)=0,(IF($B$4=1,0,SUMIF(Assumptions!$H$173:$U$173,'Debt repayment Schedule'!C66,Assumptions!$H$183:$U$183)/4)),0)</f>
        <v>0</v>
      </c>
      <c r="J66" s="336">
        <f t="shared" si="0"/>
        <v>2.5849132381229794</v>
      </c>
      <c r="K66" s="260"/>
      <c r="L66" s="338">
        <f t="shared" si="5"/>
        <v>46265</v>
      </c>
      <c r="M66" s="210">
        <f t="shared" si="34"/>
        <v>46477</v>
      </c>
      <c r="N66" s="335">
        <f t="shared" si="29"/>
        <v>16.379790268497484</v>
      </c>
      <c r="O66" s="1382">
        <f t="shared" si="6"/>
        <v>0</v>
      </c>
      <c r="P66" s="335">
        <f t="shared" si="40"/>
        <v>16.379790268497484</v>
      </c>
      <c r="Q66" s="335">
        <f t="shared" si="12"/>
        <v>0.14120276734199269</v>
      </c>
      <c r="R66" s="339">
        <f t="shared" si="43"/>
        <v>0.10150000000000001</v>
      </c>
      <c r="S66" s="1282">
        <f>IF(MOD(MONTH(L66),3)=0,IF($B$4=1,0,SUMIF(Assumptions!$H$173:$U$173,'Debt repayment Schedule'!M66,Assumptions!$H$184:$U$184)/4),0)</f>
        <v>0</v>
      </c>
      <c r="T66" s="336">
        <f t="shared" si="1"/>
        <v>0.14120276734199269</v>
      </c>
      <c r="U66" s="260"/>
      <c r="V66" s="210">
        <f t="shared" si="13"/>
        <v>46265</v>
      </c>
      <c r="W66" s="210">
        <f t="shared" si="36"/>
        <v>46477</v>
      </c>
      <c r="X66" s="335">
        <f t="shared" si="30"/>
        <v>368.38361916466533</v>
      </c>
      <c r="Y66" s="1382">
        <f t="shared" si="7"/>
        <v>0</v>
      </c>
      <c r="Z66" s="335">
        <f t="shared" si="41"/>
        <v>368.38361916466533</v>
      </c>
      <c r="AA66" s="335">
        <f t="shared" si="14"/>
        <v>3.2225997150487022</v>
      </c>
      <c r="AB66" s="339">
        <f t="shared" si="44"/>
        <v>0.10299999999999999</v>
      </c>
      <c r="AC66" s="337">
        <f>IF(MOD(MONTH(V66),3)=0,IF($B$4=1,0,SUMIF(Assumptions!$H$173:$U$173,'Debt repayment Schedule'!C66,Assumptions!$H$185:$U$185)/4),0)</f>
        <v>0</v>
      </c>
      <c r="AD66" s="336">
        <f t="shared" si="2"/>
        <v>3.2225997150487022</v>
      </c>
      <c r="AE66" s="260"/>
      <c r="AF66" s="210">
        <f t="shared" si="15"/>
        <v>46265</v>
      </c>
      <c r="AG66" s="210">
        <f t="shared" si="16"/>
        <v>46477</v>
      </c>
      <c r="AH66" s="335">
        <f t="shared" si="17"/>
        <v>31.133680227519989</v>
      </c>
      <c r="AI66" s="1382">
        <f t="shared" si="18"/>
        <v>0</v>
      </c>
      <c r="AJ66" s="335">
        <f t="shared" si="19"/>
        <v>31.133680227519989</v>
      </c>
      <c r="AK66" s="335">
        <f t="shared" si="20"/>
        <v>0</v>
      </c>
      <c r="AL66" s="339">
        <f t="shared" si="45"/>
        <v>0</v>
      </c>
      <c r="AM66" s="337">
        <f>IF(MOD(MONTH(AF66),3)=0,IF($B$4=1,0,SUMIF(Assumptions!$H$173:$U$173,'Debt repayment Schedule'!M66,Assumptions!$H$185:$U$185)/4),0)</f>
        <v>0</v>
      </c>
      <c r="AN66" s="336">
        <f t="shared" si="21"/>
        <v>0</v>
      </c>
      <c r="AO66" s="260"/>
      <c r="AP66" s="210">
        <f t="shared" si="22"/>
        <v>46265</v>
      </c>
      <c r="AQ66" s="210">
        <f t="shared" si="38"/>
        <v>46477</v>
      </c>
      <c r="AR66" s="335">
        <f t="shared" si="23"/>
        <v>0</v>
      </c>
      <c r="AS66" s="335">
        <f t="shared" si="24"/>
        <v>0</v>
      </c>
      <c r="AT66" s="616">
        <f t="shared" si="25"/>
        <v>0</v>
      </c>
      <c r="AU66" s="335">
        <f t="shared" si="26"/>
        <v>0</v>
      </c>
      <c r="AV66" s="339">
        <f t="shared" si="46"/>
        <v>0.10299999999999999</v>
      </c>
      <c r="AW66" s="337">
        <f>IF(MOD(MONTH(AP66),3)=0,IF($B$4=1,0,SUMIF(Assumptions!$H$173:$U$173,'Debt repayment Schedule'!W66,Assumptions!$H$185:$U$185)/4),0)</f>
        <v>0</v>
      </c>
      <c r="AX66" s="336">
        <f t="shared" si="3"/>
        <v>0</v>
      </c>
      <c r="AY66" s="260"/>
      <c r="AZ66" s="260">
        <f t="shared" si="27"/>
        <v>0</v>
      </c>
      <c r="BB66" s="260">
        <f t="shared" si="47"/>
        <v>5.9487157205136745</v>
      </c>
      <c r="BC66" s="260"/>
    </row>
    <row r="67" spans="2:56" x14ac:dyDescent="0.35">
      <c r="B67" s="210">
        <f t="shared" si="9"/>
        <v>46295</v>
      </c>
      <c r="C67" s="210">
        <f t="shared" si="32"/>
        <v>46477</v>
      </c>
      <c r="D67" s="335">
        <f t="shared" si="28"/>
        <v>299.85486474332987</v>
      </c>
      <c r="E67" s="336">
        <f t="shared" si="4"/>
        <v>14.924902770029998</v>
      </c>
      <c r="F67" s="335">
        <f t="shared" si="10"/>
        <v>284.9299619732999</v>
      </c>
      <c r="G67" s="335">
        <f t="shared" si="11"/>
        <v>2.5015289401190124</v>
      </c>
      <c r="H67" s="339">
        <f t="shared" si="42"/>
        <v>0.10150000000000001</v>
      </c>
      <c r="I67" s="337">
        <f>IF(MOD(MONTH(B67),3)=0,(IF($B$4=1,0,SUMIF(Assumptions!$H$173:$U$173,'Debt repayment Schedule'!C67,Assumptions!$H$183:$U$183)/4)),0)</f>
        <v>2.75E-2</v>
      </c>
      <c r="J67" s="336">
        <f t="shared" si="0"/>
        <v>17.426431710149011</v>
      </c>
      <c r="K67" s="260"/>
      <c r="L67" s="338">
        <f t="shared" si="5"/>
        <v>46295</v>
      </c>
      <c r="M67" s="210">
        <f t="shared" si="34"/>
        <v>46477</v>
      </c>
      <c r="N67" s="335">
        <f t="shared" si="29"/>
        <v>16.379790268497484</v>
      </c>
      <c r="O67" s="1382">
        <f t="shared" si="6"/>
        <v>0.81528367852249994</v>
      </c>
      <c r="P67" s="335">
        <f t="shared" si="40"/>
        <v>15.564506589974984</v>
      </c>
      <c r="Q67" s="335">
        <f t="shared" si="12"/>
        <v>0.13664783936321875</v>
      </c>
      <c r="R67" s="339">
        <f t="shared" si="43"/>
        <v>0.10150000000000001</v>
      </c>
      <c r="S67" s="1282">
        <f>IF(MOD(MONTH(L67),3)=0,IF($B$4=1,0,SUMIF(Assumptions!$H$173:$U$173,'Debt repayment Schedule'!M67,Assumptions!$H$184:$U$184)/4),0)</f>
        <v>2.75E-2</v>
      </c>
      <c r="T67" s="336">
        <f t="shared" si="1"/>
        <v>0.95193151788571873</v>
      </c>
      <c r="U67" s="260"/>
      <c r="V67" s="210">
        <f t="shared" si="13"/>
        <v>46295</v>
      </c>
      <c r="W67" s="210">
        <f t="shared" si="36"/>
        <v>46477</v>
      </c>
      <c r="X67" s="335">
        <f t="shared" si="30"/>
        <v>368.38361916466533</v>
      </c>
      <c r="Y67" s="1382">
        <f t="shared" si="7"/>
        <v>18.335836248014999</v>
      </c>
      <c r="Z67" s="335">
        <f t="shared" si="41"/>
        <v>350.04778291665036</v>
      </c>
      <c r="AA67" s="335">
        <f t="shared" si="14"/>
        <v>3.1186448855310025</v>
      </c>
      <c r="AB67" s="339">
        <f t="shared" si="44"/>
        <v>0.10299999999999999</v>
      </c>
      <c r="AC67" s="337">
        <f>IF(MOD(MONTH(V67),3)=0,IF($B$4=1,0,SUMIF(Assumptions!$H$173:$U$173,'Debt repayment Schedule'!C67,Assumptions!$H$185:$U$185)/4),0)</f>
        <v>2.75E-2</v>
      </c>
      <c r="AD67" s="336">
        <f t="shared" si="2"/>
        <v>21.454481133546</v>
      </c>
      <c r="AE67" s="260"/>
      <c r="AF67" s="210">
        <f t="shared" si="15"/>
        <v>46295</v>
      </c>
      <c r="AG67" s="210">
        <f t="shared" si="16"/>
        <v>46477</v>
      </c>
      <c r="AH67" s="335">
        <f t="shared" si="17"/>
        <v>31.133680227519989</v>
      </c>
      <c r="AI67" s="1382">
        <f t="shared" si="18"/>
        <v>1.5496401923200001</v>
      </c>
      <c r="AJ67" s="335">
        <f t="shared" si="19"/>
        <v>29.58404003519999</v>
      </c>
      <c r="AK67" s="335">
        <f t="shared" si="20"/>
        <v>0</v>
      </c>
      <c r="AL67" s="339">
        <f t="shared" si="45"/>
        <v>0</v>
      </c>
      <c r="AM67" s="337">
        <f>IF(MOD(MONTH(AF67),3)=0,IF($B$4=1,0,SUMIF(Assumptions!$H$173:$U$173,'Debt repayment Schedule'!M67,Assumptions!$H$185:$U$185)/4),0)</f>
        <v>2.75E-2</v>
      </c>
      <c r="AN67" s="336">
        <f t="shared" si="21"/>
        <v>1.5496401923200001</v>
      </c>
      <c r="AO67" s="260"/>
      <c r="AP67" s="210">
        <f t="shared" si="22"/>
        <v>46295</v>
      </c>
      <c r="AQ67" s="210">
        <f t="shared" si="38"/>
        <v>46477</v>
      </c>
      <c r="AR67" s="335">
        <f t="shared" si="23"/>
        <v>0</v>
      </c>
      <c r="AS67" s="335">
        <f t="shared" si="24"/>
        <v>0</v>
      </c>
      <c r="AT67" s="616">
        <f t="shared" si="25"/>
        <v>0</v>
      </c>
      <c r="AU67" s="335">
        <f t="shared" si="26"/>
        <v>0</v>
      </c>
      <c r="AV67" s="339">
        <f t="shared" si="46"/>
        <v>0.10299999999999999</v>
      </c>
      <c r="AW67" s="337">
        <f>IF(MOD(MONTH(AP67),3)=0,IF($B$4=1,0,SUMIF(Assumptions!$H$173:$U$173,'Debt repayment Schedule'!W67,Assumptions!$H$185:$U$185)/4),0)</f>
        <v>2.75E-2</v>
      </c>
      <c r="AX67" s="336">
        <f t="shared" si="3"/>
        <v>0</v>
      </c>
      <c r="AY67" s="260"/>
      <c r="AZ67" s="260">
        <f t="shared" si="27"/>
        <v>35.625662888887497</v>
      </c>
      <c r="BB67" s="260">
        <f t="shared" si="47"/>
        <v>5.7568216650132342</v>
      </c>
      <c r="BC67" s="260">
        <f>AZ67+SUM(BB65:BB67)</f>
        <v>53.279915994928082</v>
      </c>
    </row>
    <row r="68" spans="2:56" x14ac:dyDescent="0.35">
      <c r="B68" s="210">
        <f t="shared" si="9"/>
        <v>46326</v>
      </c>
      <c r="C68" s="210">
        <f t="shared" si="32"/>
        <v>46477</v>
      </c>
      <c r="D68" s="335">
        <f t="shared" si="28"/>
        <v>284.9299619732999</v>
      </c>
      <c r="E68" s="336">
        <f t="shared" si="4"/>
        <v>0</v>
      </c>
      <c r="F68" s="335">
        <f t="shared" si="10"/>
        <v>284.9299619732999</v>
      </c>
      <c r="G68" s="335">
        <f t="shared" si="11"/>
        <v>2.4562523982164062</v>
      </c>
      <c r="H68" s="339">
        <f t="shared" si="42"/>
        <v>0.10150000000000001</v>
      </c>
      <c r="I68" s="337">
        <f>IF(MOD(MONTH(B68),3)=0,(IF($B$4=1,0,SUMIF(Assumptions!$H$173:$U$173,'Debt repayment Schedule'!C68,Assumptions!$H$183:$U$183)/4)),0)</f>
        <v>0</v>
      </c>
      <c r="J68" s="336">
        <f t="shared" si="0"/>
        <v>2.4562523982164062</v>
      </c>
      <c r="K68" s="260"/>
      <c r="L68" s="338">
        <f t="shared" si="5"/>
        <v>46326</v>
      </c>
      <c r="M68" s="210">
        <f t="shared" si="34"/>
        <v>46477</v>
      </c>
      <c r="N68" s="335">
        <f t="shared" si="29"/>
        <v>15.564506589974984</v>
      </c>
      <c r="O68" s="1382">
        <f t="shared" si="6"/>
        <v>0</v>
      </c>
      <c r="P68" s="335">
        <f t="shared" si="40"/>
        <v>15.564506589974984</v>
      </c>
      <c r="Q68" s="335">
        <f t="shared" si="12"/>
        <v>0.134174575302346</v>
      </c>
      <c r="R68" s="339">
        <f t="shared" si="43"/>
        <v>0.10150000000000001</v>
      </c>
      <c r="S68" s="1282">
        <f>IF(MOD(MONTH(L68),3)=0,IF($B$4=1,0,SUMIF(Assumptions!$H$173:$U$173,'Debt repayment Schedule'!M68,Assumptions!$H$184:$U$184)/4),0)</f>
        <v>0</v>
      </c>
      <c r="T68" s="336">
        <f t="shared" si="1"/>
        <v>0.134174575302346</v>
      </c>
      <c r="U68" s="260"/>
      <c r="V68" s="210">
        <f t="shared" si="13"/>
        <v>46326</v>
      </c>
      <c r="W68" s="210">
        <f t="shared" si="36"/>
        <v>46477</v>
      </c>
      <c r="X68" s="335">
        <f t="shared" si="30"/>
        <v>350.04778291665036</v>
      </c>
      <c r="Y68" s="1382">
        <f t="shared" si="7"/>
        <v>0</v>
      </c>
      <c r="Z68" s="335">
        <f t="shared" si="41"/>
        <v>350.04778291665036</v>
      </c>
      <c r="AA68" s="335">
        <f t="shared" si="14"/>
        <v>3.0621988242544238</v>
      </c>
      <c r="AB68" s="339">
        <f t="shared" si="44"/>
        <v>0.10299999999999999</v>
      </c>
      <c r="AC68" s="337">
        <f>IF(MOD(MONTH(V68),3)=0,IF($B$4=1,0,SUMIF(Assumptions!$H$173:$U$173,'Debt repayment Schedule'!C68,Assumptions!$H$185:$U$185)/4),0)</f>
        <v>0</v>
      </c>
      <c r="AD68" s="336">
        <f t="shared" si="2"/>
        <v>3.0621988242544238</v>
      </c>
      <c r="AE68" s="260"/>
      <c r="AF68" s="210">
        <f t="shared" si="15"/>
        <v>46326</v>
      </c>
      <c r="AG68" s="210">
        <f t="shared" si="16"/>
        <v>46477</v>
      </c>
      <c r="AH68" s="335">
        <f t="shared" si="17"/>
        <v>29.58404003519999</v>
      </c>
      <c r="AI68" s="1382">
        <f t="shared" si="18"/>
        <v>0</v>
      </c>
      <c r="AJ68" s="335">
        <f t="shared" si="19"/>
        <v>29.58404003519999</v>
      </c>
      <c r="AK68" s="335">
        <f t="shared" si="20"/>
        <v>0</v>
      </c>
      <c r="AL68" s="339">
        <f t="shared" si="45"/>
        <v>0</v>
      </c>
      <c r="AM68" s="337">
        <f>IF(MOD(MONTH(AF68),3)=0,IF($B$4=1,0,SUMIF(Assumptions!$H$173:$U$173,'Debt repayment Schedule'!M68,Assumptions!$H$185:$U$185)/4),0)</f>
        <v>0</v>
      </c>
      <c r="AN68" s="336">
        <f t="shared" si="21"/>
        <v>0</v>
      </c>
      <c r="AO68" s="260"/>
      <c r="AP68" s="210">
        <f t="shared" si="22"/>
        <v>46326</v>
      </c>
      <c r="AQ68" s="210">
        <f t="shared" si="38"/>
        <v>46477</v>
      </c>
      <c r="AR68" s="335">
        <f t="shared" si="23"/>
        <v>0</v>
      </c>
      <c r="AS68" s="335">
        <f t="shared" si="24"/>
        <v>0</v>
      </c>
      <c r="AT68" s="616">
        <f t="shared" si="25"/>
        <v>0</v>
      </c>
      <c r="AU68" s="335">
        <f t="shared" si="26"/>
        <v>0</v>
      </c>
      <c r="AV68" s="339">
        <f t="shared" si="46"/>
        <v>0.10299999999999999</v>
      </c>
      <c r="AW68" s="337">
        <f>IF(MOD(MONTH(AP68),3)=0,IF($B$4=1,0,SUMIF(Assumptions!$H$173:$U$173,'Debt repayment Schedule'!W68,Assumptions!$H$185:$U$185)/4),0)</f>
        <v>0</v>
      </c>
      <c r="AX68" s="336">
        <f t="shared" si="3"/>
        <v>0</v>
      </c>
      <c r="AY68" s="260"/>
      <c r="AZ68" s="260">
        <f t="shared" si="27"/>
        <v>0</v>
      </c>
      <c r="BB68" s="260">
        <f t="shared" si="47"/>
        <v>5.652625797773176</v>
      </c>
      <c r="BC68" s="260"/>
    </row>
    <row r="69" spans="2:56" x14ac:dyDescent="0.35">
      <c r="B69" s="210">
        <f t="shared" si="9"/>
        <v>46356</v>
      </c>
      <c r="C69" s="210">
        <f t="shared" si="32"/>
        <v>46477</v>
      </c>
      <c r="D69" s="335">
        <f t="shared" si="28"/>
        <v>284.9299619732999</v>
      </c>
      <c r="E69" s="336">
        <f t="shared" si="4"/>
        <v>0</v>
      </c>
      <c r="F69" s="335">
        <f t="shared" si="10"/>
        <v>284.9299619732999</v>
      </c>
      <c r="G69" s="335">
        <f t="shared" si="11"/>
        <v>2.3770184498868443</v>
      </c>
      <c r="H69" s="339">
        <f t="shared" si="42"/>
        <v>0.10150000000000001</v>
      </c>
      <c r="I69" s="337">
        <f>IF(MOD(MONTH(B69),3)=0,(IF($B$4=1,0,SUMIF(Assumptions!$H$173:$U$173,'Debt repayment Schedule'!C69,Assumptions!$H$183:$U$183)/4)),0)</f>
        <v>0</v>
      </c>
      <c r="J69" s="336">
        <f t="shared" si="0"/>
        <v>2.3770184498868443</v>
      </c>
      <c r="K69" s="260"/>
      <c r="L69" s="338">
        <f t="shared" si="5"/>
        <v>46356</v>
      </c>
      <c r="M69" s="210">
        <f t="shared" si="34"/>
        <v>46477</v>
      </c>
      <c r="N69" s="335">
        <f t="shared" si="29"/>
        <v>15.564506589974984</v>
      </c>
      <c r="O69" s="1382">
        <f t="shared" si="6"/>
        <v>0</v>
      </c>
      <c r="P69" s="335">
        <f t="shared" si="40"/>
        <v>15.564506589974984</v>
      </c>
      <c r="Q69" s="335">
        <f t="shared" si="12"/>
        <v>0.12984636319581871</v>
      </c>
      <c r="R69" s="339">
        <f t="shared" si="43"/>
        <v>0.10150000000000001</v>
      </c>
      <c r="S69" s="1282">
        <f>IF(MOD(MONTH(L69),3)=0,IF($B$4=1,0,SUMIF(Assumptions!$H$173:$U$173,'Debt repayment Schedule'!M69,Assumptions!$H$184:$U$184)/4),0)</f>
        <v>0</v>
      </c>
      <c r="T69" s="336">
        <f t="shared" si="1"/>
        <v>0.12984636319581871</v>
      </c>
      <c r="U69" s="260"/>
      <c r="V69" s="210">
        <f t="shared" si="13"/>
        <v>46356</v>
      </c>
      <c r="W69" s="210">
        <f t="shared" si="36"/>
        <v>46477</v>
      </c>
      <c r="X69" s="335">
        <f t="shared" si="30"/>
        <v>350.04778291665036</v>
      </c>
      <c r="Y69" s="1382">
        <f t="shared" si="7"/>
        <v>0</v>
      </c>
      <c r="Z69" s="335">
        <f t="shared" si="41"/>
        <v>350.04778291665036</v>
      </c>
      <c r="AA69" s="335">
        <f t="shared" si="14"/>
        <v>2.9634182170204104</v>
      </c>
      <c r="AB69" s="339">
        <f t="shared" si="44"/>
        <v>0.10299999999999999</v>
      </c>
      <c r="AC69" s="337">
        <f>IF(MOD(MONTH(V69),3)=0,IF($B$4=1,0,SUMIF(Assumptions!$H$173:$U$173,'Debt repayment Schedule'!C69,Assumptions!$H$185:$U$185)/4),0)</f>
        <v>0</v>
      </c>
      <c r="AD69" s="336">
        <f t="shared" si="2"/>
        <v>2.9634182170204104</v>
      </c>
      <c r="AE69" s="260"/>
      <c r="AF69" s="210">
        <f t="shared" si="15"/>
        <v>46356</v>
      </c>
      <c r="AG69" s="210">
        <f t="shared" si="16"/>
        <v>46477</v>
      </c>
      <c r="AH69" s="335">
        <f t="shared" si="17"/>
        <v>29.58404003519999</v>
      </c>
      <c r="AI69" s="1382">
        <f t="shared" si="18"/>
        <v>0</v>
      </c>
      <c r="AJ69" s="335">
        <f t="shared" si="19"/>
        <v>29.58404003519999</v>
      </c>
      <c r="AK69" s="335">
        <f t="shared" si="20"/>
        <v>0</v>
      </c>
      <c r="AL69" s="339">
        <f t="shared" si="45"/>
        <v>0</v>
      </c>
      <c r="AM69" s="337">
        <f>IF(MOD(MONTH(AF69),3)=0,IF($B$4=1,0,SUMIF(Assumptions!$H$173:$U$173,'Debt repayment Schedule'!M69,Assumptions!$H$185:$U$185)/4),0)</f>
        <v>0</v>
      </c>
      <c r="AN69" s="336">
        <f t="shared" si="21"/>
        <v>0</v>
      </c>
      <c r="AO69" s="260"/>
      <c r="AP69" s="210">
        <f t="shared" si="22"/>
        <v>46356</v>
      </c>
      <c r="AQ69" s="210">
        <f t="shared" si="38"/>
        <v>46477</v>
      </c>
      <c r="AR69" s="335">
        <f t="shared" si="23"/>
        <v>0</v>
      </c>
      <c r="AS69" s="335">
        <f t="shared" si="24"/>
        <v>0</v>
      </c>
      <c r="AT69" s="616">
        <f t="shared" si="25"/>
        <v>0</v>
      </c>
      <c r="AU69" s="335">
        <f t="shared" si="26"/>
        <v>0</v>
      </c>
      <c r="AV69" s="339">
        <f t="shared" si="46"/>
        <v>0.10299999999999999</v>
      </c>
      <c r="AW69" s="337">
        <f>IF(MOD(MONTH(AP69),3)=0,IF($B$4=1,0,SUMIF(Assumptions!$H$173:$U$173,'Debt repayment Schedule'!W69,Assumptions!$H$185:$U$185)/4),0)</f>
        <v>0</v>
      </c>
      <c r="AX69" s="336">
        <f t="shared" si="3"/>
        <v>0</v>
      </c>
      <c r="AY69" s="260"/>
      <c r="AZ69" s="260">
        <f t="shared" si="27"/>
        <v>0</v>
      </c>
      <c r="BB69" s="260">
        <f t="shared" si="47"/>
        <v>5.470283030103074</v>
      </c>
      <c r="BC69" s="260"/>
    </row>
    <row r="70" spans="2:56" x14ac:dyDescent="0.35">
      <c r="B70" s="210">
        <f t="shared" si="9"/>
        <v>46387</v>
      </c>
      <c r="C70" s="210">
        <f t="shared" si="32"/>
        <v>46477</v>
      </c>
      <c r="D70" s="335">
        <f t="shared" si="28"/>
        <v>284.9299619732999</v>
      </c>
      <c r="E70" s="336">
        <f t="shared" si="4"/>
        <v>14.924902770029998</v>
      </c>
      <c r="F70" s="335">
        <f t="shared" si="10"/>
        <v>270.00505920326992</v>
      </c>
      <c r="G70" s="335">
        <f t="shared" si="11"/>
        <v>2.4562523982164062</v>
      </c>
      <c r="H70" s="339">
        <f t="shared" si="42"/>
        <v>0.10150000000000001</v>
      </c>
      <c r="I70" s="337">
        <f>IF(MOD(MONTH(B70),3)=0,(IF($B$4=1,0,SUMIF(Assumptions!$H$173:$U$173,'Debt repayment Schedule'!C70,Assumptions!$H$183:$U$183)/4)),0)</f>
        <v>2.75E-2</v>
      </c>
      <c r="J70" s="336">
        <f t="shared" si="0"/>
        <v>17.381155168246405</v>
      </c>
      <c r="K70" s="260"/>
      <c r="L70" s="338">
        <f t="shared" si="5"/>
        <v>46387</v>
      </c>
      <c r="M70" s="210">
        <f t="shared" si="34"/>
        <v>46477</v>
      </c>
      <c r="N70" s="335">
        <f t="shared" si="29"/>
        <v>15.564506589974984</v>
      </c>
      <c r="O70" s="1382">
        <f t="shared" si="6"/>
        <v>0.81528367852249994</v>
      </c>
      <c r="P70" s="335">
        <f t="shared" si="40"/>
        <v>14.749222911452485</v>
      </c>
      <c r="Q70" s="335">
        <f t="shared" si="12"/>
        <v>0.134174575302346</v>
      </c>
      <c r="R70" s="339">
        <f t="shared" si="43"/>
        <v>0.10150000000000001</v>
      </c>
      <c r="S70" s="1282">
        <f>IF(MOD(MONTH(L70),3)=0,IF($B$4=1,0,SUMIF(Assumptions!$H$173:$U$173,'Debt repayment Schedule'!M70,Assumptions!$H$184:$U$184)/4),0)</f>
        <v>2.75E-2</v>
      </c>
      <c r="T70" s="336">
        <f t="shared" si="1"/>
        <v>0.94945825382484594</v>
      </c>
      <c r="U70" s="260"/>
      <c r="V70" s="210">
        <f t="shared" si="13"/>
        <v>46387</v>
      </c>
      <c r="W70" s="210">
        <f t="shared" si="36"/>
        <v>46477</v>
      </c>
      <c r="X70" s="335">
        <f t="shared" si="30"/>
        <v>350.04778291665036</v>
      </c>
      <c r="Y70" s="1382">
        <f t="shared" si="7"/>
        <v>18.335836248014999</v>
      </c>
      <c r="Z70" s="335">
        <f t="shared" si="41"/>
        <v>331.71194666863539</v>
      </c>
      <c r="AA70" s="335">
        <f t="shared" si="14"/>
        <v>3.0621988242544238</v>
      </c>
      <c r="AB70" s="339">
        <f t="shared" si="44"/>
        <v>0.10299999999999999</v>
      </c>
      <c r="AC70" s="337">
        <f>IF(MOD(MONTH(V70),3)=0,IF($B$4=1,0,SUMIF(Assumptions!$H$173:$U$173,'Debt repayment Schedule'!C70,Assumptions!$H$185:$U$185)/4),0)</f>
        <v>2.75E-2</v>
      </c>
      <c r="AD70" s="336">
        <f t="shared" si="2"/>
        <v>21.398035072269423</v>
      </c>
      <c r="AE70" s="260"/>
      <c r="AF70" s="210">
        <f t="shared" si="15"/>
        <v>46387</v>
      </c>
      <c r="AG70" s="210">
        <f t="shared" si="16"/>
        <v>46477</v>
      </c>
      <c r="AH70" s="335">
        <f t="shared" si="17"/>
        <v>29.58404003519999</v>
      </c>
      <c r="AI70" s="1382">
        <f t="shared" si="18"/>
        <v>1.5496401923200001</v>
      </c>
      <c r="AJ70" s="335">
        <f t="shared" si="19"/>
        <v>28.034399842879992</v>
      </c>
      <c r="AK70" s="335">
        <f t="shared" si="20"/>
        <v>0</v>
      </c>
      <c r="AL70" s="339">
        <f t="shared" si="45"/>
        <v>0</v>
      </c>
      <c r="AM70" s="337">
        <f>IF(MOD(MONTH(AF70),3)=0,IF($B$4=1,0,SUMIF(Assumptions!$H$173:$U$173,'Debt repayment Schedule'!M70,Assumptions!$H$185:$U$185)/4),0)</f>
        <v>2.75E-2</v>
      </c>
      <c r="AN70" s="336">
        <f t="shared" si="21"/>
        <v>1.5496401923200001</v>
      </c>
      <c r="AO70" s="260"/>
      <c r="AP70" s="210">
        <f t="shared" si="22"/>
        <v>46387</v>
      </c>
      <c r="AQ70" s="210">
        <f t="shared" si="38"/>
        <v>46477</v>
      </c>
      <c r="AR70" s="335">
        <f t="shared" si="23"/>
        <v>0</v>
      </c>
      <c r="AS70" s="335">
        <f t="shared" si="24"/>
        <v>0</v>
      </c>
      <c r="AT70" s="616">
        <f t="shared" si="25"/>
        <v>0</v>
      </c>
      <c r="AU70" s="335">
        <f t="shared" si="26"/>
        <v>0</v>
      </c>
      <c r="AV70" s="339">
        <f t="shared" si="46"/>
        <v>0.10299999999999999</v>
      </c>
      <c r="AW70" s="337">
        <f>IF(MOD(MONTH(AP70),3)=0,IF($B$4=1,0,SUMIF(Assumptions!$H$173:$U$173,'Debt repayment Schedule'!W70,Assumptions!$H$185:$U$185)/4),0)</f>
        <v>2.75E-2</v>
      </c>
      <c r="AX70" s="336">
        <f t="shared" si="3"/>
        <v>0</v>
      </c>
      <c r="AY70" s="260"/>
      <c r="AZ70" s="260">
        <f t="shared" si="27"/>
        <v>35.625662888887497</v>
      </c>
      <c r="BB70" s="260">
        <f t="shared" si="47"/>
        <v>5.652625797773176</v>
      </c>
      <c r="BC70" s="260">
        <f>AZ70+SUM(BB68:BB70)</f>
        <v>52.401197514536925</v>
      </c>
    </row>
    <row r="71" spans="2:56" x14ac:dyDescent="0.35">
      <c r="B71" s="210">
        <f t="shared" si="9"/>
        <v>46418</v>
      </c>
      <c r="C71" s="210">
        <f t="shared" si="32"/>
        <v>46477</v>
      </c>
      <c r="D71" s="335">
        <f t="shared" si="28"/>
        <v>270.00505920326992</v>
      </c>
      <c r="E71" s="336">
        <f t="shared" si="4"/>
        <v>0</v>
      </c>
      <c r="F71" s="335">
        <f t="shared" si="10"/>
        <v>270.00505920326992</v>
      </c>
      <c r="G71" s="335">
        <f t="shared" si="11"/>
        <v>2.3275915583098326</v>
      </c>
      <c r="H71" s="339">
        <f t="shared" si="42"/>
        <v>0.10150000000000001</v>
      </c>
      <c r="I71" s="337">
        <f>IF(MOD(MONTH(B71),3)=0,(IF($B$4=1,0,SUMIF(Assumptions!$H$173:$U$173,'Debt repayment Schedule'!C71,Assumptions!$H$183:$U$183)/4)),0)</f>
        <v>0</v>
      </c>
      <c r="J71" s="336">
        <f t="shared" si="0"/>
        <v>2.3275915583098326</v>
      </c>
      <c r="K71" s="260"/>
      <c r="L71" s="338">
        <f t="shared" si="5"/>
        <v>46418</v>
      </c>
      <c r="M71" s="210">
        <f t="shared" si="34"/>
        <v>46477</v>
      </c>
      <c r="N71" s="335">
        <f t="shared" si="29"/>
        <v>14.749222911452485</v>
      </c>
      <c r="O71" s="1382">
        <f t="shared" si="6"/>
        <v>0</v>
      </c>
      <c r="P71" s="335">
        <f t="shared" si="40"/>
        <v>14.749222911452485</v>
      </c>
      <c r="Q71" s="335">
        <f t="shared" si="12"/>
        <v>0.12714638326269931</v>
      </c>
      <c r="R71" s="339">
        <f t="shared" si="43"/>
        <v>0.10150000000000001</v>
      </c>
      <c r="S71" s="1282">
        <f>IF(MOD(MONTH(L71),3)=0,IF($B$4=1,0,SUMIF(Assumptions!$H$173:$U$173,'Debt repayment Schedule'!M71,Assumptions!$H$184:$U$184)/4),0)</f>
        <v>0</v>
      </c>
      <c r="T71" s="336">
        <f t="shared" si="1"/>
        <v>0.12714638326269931</v>
      </c>
      <c r="U71" s="260"/>
      <c r="V71" s="210">
        <f t="shared" si="13"/>
        <v>46418</v>
      </c>
      <c r="W71" s="210">
        <f t="shared" si="36"/>
        <v>46477</v>
      </c>
      <c r="X71" s="335">
        <f t="shared" si="30"/>
        <v>331.71194666863539</v>
      </c>
      <c r="Y71" s="1382">
        <f t="shared" si="7"/>
        <v>0</v>
      </c>
      <c r="Z71" s="335">
        <f t="shared" si="41"/>
        <v>331.71194666863539</v>
      </c>
      <c r="AA71" s="335">
        <f t="shared" si="14"/>
        <v>2.9017979334601445</v>
      </c>
      <c r="AB71" s="339">
        <f t="shared" si="44"/>
        <v>0.10299999999999999</v>
      </c>
      <c r="AC71" s="337">
        <f>IF(MOD(MONTH(V71),3)=0,IF($B$4=1,0,SUMIF(Assumptions!$H$173:$U$173,'Debt repayment Schedule'!C71,Assumptions!$H$185:$U$185)/4),0)</f>
        <v>0</v>
      </c>
      <c r="AD71" s="336">
        <f t="shared" si="2"/>
        <v>2.9017979334601445</v>
      </c>
      <c r="AE71" s="260"/>
      <c r="AF71" s="210">
        <f t="shared" si="15"/>
        <v>46418</v>
      </c>
      <c r="AG71" s="210">
        <f t="shared" si="16"/>
        <v>46477</v>
      </c>
      <c r="AH71" s="335">
        <f t="shared" si="17"/>
        <v>28.034399842879992</v>
      </c>
      <c r="AI71" s="1382">
        <f t="shared" si="18"/>
        <v>0</v>
      </c>
      <c r="AJ71" s="335">
        <f t="shared" si="19"/>
        <v>28.034399842879992</v>
      </c>
      <c r="AK71" s="335">
        <f t="shared" si="20"/>
        <v>0</v>
      </c>
      <c r="AL71" s="339">
        <f t="shared" si="45"/>
        <v>0</v>
      </c>
      <c r="AM71" s="337">
        <f>IF(MOD(MONTH(AF71),3)=0,IF($B$4=1,0,SUMIF(Assumptions!$H$173:$U$173,'Debt repayment Schedule'!M71,Assumptions!$H$185:$U$185)/4),0)</f>
        <v>0</v>
      </c>
      <c r="AN71" s="336">
        <f t="shared" si="21"/>
        <v>0</v>
      </c>
      <c r="AO71" s="260"/>
      <c r="AP71" s="210">
        <f t="shared" si="22"/>
        <v>46418</v>
      </c>
      <c r="AQ71" s="210">
        <f t="shared" si="38"/>
        <v>46477</v>
      </c>
      <c r="AR71" s="335">
        <f t="shared" si="23"/>
        <v>0</v>
      </c>
      <c r="AS71" s="335">
        <f t="shared" si="24"/>
        <v>0</v>
      </c>
      <c r="AT71" s="616">
        <f t="shared" si="25"/>
        <v>0</v>
      </c>
      <c r="AU71" s="335">
        <f t="shared" si="26"/>
        <v>0</v>
      </c>
      <c r="AV71" s="339">
        <f t="shared" si="46"/>
        <v>0.10299999999999999</v>
      </c>
      <c r="AW71" s="337">
        <f>IF(MOD(MONTH(AP71),3)=0,IF($B$4=1,0,SUMIF(Assumptions!$H$173:$U$173,'Debt repayment Schedule'!W71,Assumptions!$H$185:$U$185)/4),0)</f>
        <v>0</v>
      </c>
      <c r="AX71" s="336">
        <f t="shared" si="3"/>
        <v>0</v>
      </c>
      <c r="AY71" s="260"/>
      <c r="AZ71" s="260">
        <f t="shared" si="27"/>
        <v>0</v>
      </c>
      <c r="BB71" s="260">
        <f t="shared" si="47"/>
        <v>5.3565358750326766</v>
      </c>
      <c r="BC71" s="260"/>
    </row>
    <row r="72" spans="2:56" x14ac:dyDescent="0.35">
      <c r="B72" s="210">
        <f t="shared" si="9"/>
        <v>46446</v>
      </c>
      <c r="C72" s="210">
        <f t="shared" si="32"/>
        <v>46477</v>
      </c>
      <c r="D72" s="335">
        <f t="shared" si="28"/>
        <v>270.00505920326992</v>
      </c>
      <c r="E72" s="336">
        <f t="shared" si="4"/>
        <v>0</v>
      </c>
      <c r="F72" s="335">
        <f t="shared" si="10"/>
        <v>270.00505920326992</v>
      </c>
      <c r="G72" s="335">
        <f t="shared" si="11"/>
        <v>2.1023407623443648</v>
      </c>
      <c r="H72" s="339">
        <f t="shared" si="42"/>
        <v>0.10150000000000001</v>
      </c>
      <c r="I72" s="337">
        <f>IF(MOD(MONTH(B72),3)=0,(IF($B$4=1,0,SUMIF(Assumptions!$H$173:$U$173,'Debt repayment Schedule'!C72,Assumptions!$H$183:$U$183)/4)),0)</f>
        <v>0</v>
      </c>
      <c r="J72" s="336">
        <f t="shared" si="0"/>
        <v>2.1023407623443648</v>
      </c>
      <c r="K72" s="260"/>
      <c r="L72" s="338">
        <f t="shared" si="5"/>
        <v>46446</v>
      </c>
      <c r="M72" s="210">
        <f t="shared" si="34"/>
        <v>46477</v>
      </c>
      <c r="N72" s="335">
        <f t="shared" si="29"/>
        <v>14.749222911452485</v>
      </c>
      <c r="O72" s="1382">
        <f t="shared" si="6"/>
        <v>0</v>
      </c>
      <c r="P72" s="335">
        <f t="shared" si="40"/>
        <v>14.749222911452485</v>
      </c>
      <c r="Q72" s="335">
        <f t="shared" si="12"/>
        <v>0.11484189455985744</v>
      </c>
      <c r="R72" s="339">
        <f t="shared" si="43"/>
        <v>0.10150000000000001</v>
      </c>
      <c r="S72" s="1282">
        <f>IF(MOD(MONTH(L72),3)=0,IF($B$4=1,0,SUMIF(Assumptions!$H$173:$U$173,'Debt repayment Schedule'!M72,Assumptions!$H$184:$U$184)/4),0)</f>
        <v>0</v>
      </c>
      <c r="T72" s="336">
        <f t="shared" si="1"/>
        <v>0.11484189455985744</v>
      </c>
      <c r="U72" s="260"/>
      <c r="V72" s="210">
        <f t="shared" si="13"/>
        <v>46446</v>
      </c>
      <c r="W72" s="210">
        <f t="shared" si="36"/>
        <v>46477</v>
      </c>
      <c r="X72" s="335">
        <f t="shared" si="30"/>
        <v>331.71194666863539</v>
      </c>
      <c r="Y72" s="1382">
        <f t="shared" si="7"/>
        <v>0</v>
      </c>
      <c r="Z72" s="335">
        <f t="shared" si="41"/>
        <v>331.71194666863539</v>
      </c>
      <c r="AA72" s="335">
        <f t="shared" si="14"/>
        <v>2.620978778609163</v>
      </c>
      <c r="AB72" s="339">
        <f t="shared" si="44"/>
        <v>0.10299999999999999</v>
      </c>
      <c r="AC72" s="337">
        <f>IF(MOD(MONTH(V72),3)=0,IF($B$4=1,0,SUMIF(Assumptions!$H$173:$U$173,'Debt repayment Schedule'!C72,Assumptions!$H$185:$U$185)/4),0)</f>
        <v>0</v>
      </c>
      <c r="AD72" s="336">
        <f t="shared" si="2"/>
        <v>2.620978778609163</v>
      </c>
      <c r="AE72" s="260"/>
      <c r="AF72" s="210">
        <f t="shared" si="15"/>
        <v>46446</v>
      </c>
      <c r="AG72" s="210">
        <f t="shared" si="16"/>
        <v>46477</v>
      </c>
      <c r="AH72" s="335">
        <f t="shared" si="17"/>
        <v>28.034399842879992</v>
      </c>
      <c r="AI72" s="1382">
        <f t="shared" si="18"/>
        <v>0</v>
      </c>
      <c r="AJ72" s="335">
        <f t="shared" si="19"/>
        <v>28.034399842879992</v>
      </c>
      <c r="AK72" s="335">
        <f t="shared" si="20"/>
        <v>0</v>
      </c>
      <c r="AL72" s="339">
        <f t="shared" si="45"/>
        <v>0</v>
      </c>
      <c r="AM72" s="337">
        <f>IF(MOD(MONTH(AF72),3)=0,IF($B$4=1,0,SUMIF(Assumptions!$H$173:$U$173,'Debt repayment Schedule'!M72,Assumptions!$H$185:$U$185)/4),0)</f>
        <v>0</v>
      </c>
      <c r="AN72" s="336">
        <f t="shared" si="21"/>
        <v>0</v>
      </c>
      <c r="AO72" s="260"/>
      <c r="AP72" s="210">
        <f t="shared" si="22"/>
        <v>46446</v>
      </c>
      <c r="AQ72" s="210">
        <f t="shared" si="38"/>
        <v>46477</v>
      </c>
      <c r="AR72" s="335">
        <f t="shared" si="23"/>
        <v>0</v>
      </c>
      <c r="AS72" s="335">
        <f t="shared" si="24"/>
        <v>0</v>
      </c>
      <c r="AT72" s="616">
        <f t="shared" si="25"/>
        <v>0</v>
      </c>
      <c r="AU72" s="335">
        <f t="shared" si="26"/>
        <v>0</v>
      </c>
      <c r="AV72" s="339">
        <f t="shared" si="46"/>
        <v>0.10299999999999999</v>
      </c>
      <c r="AW72" s="337">
        <f>IF(MOD(MONTH(AP72),3)=0,IF($B$4=1,0,SUMIF(Assumptions!$H$173:$U$173,'Debt repayment Schedule'!W72,Assumptions!$H$185:$U$185)/4),0)</f>
        <v>0</v>
      </c>
      <c r="AX72" s="336">
        <f t="shared" si="3"/>
        <v>0</v>
      </c>
      <c r="AY72" s="260"/>
      <c r="AZ72" s="260">
        <f t="shared" si="27"/>
        <v>0</v>
      </c>
      <c r="BB72" s="260">
        <f t="shared" si="47"/>
        <v>4.8381614355133848</v>
      </c>
      <c r="BC72" s="260"/>
    </row>
    <row r="73" spans="2:56" x14ac:dyDescent="0.35">
      <c r="B73" s="210">
        <f t="shared" si="9"/>
        <v>46477</v>
      </c>
      <c r="C73" s="210">
        <f t="shared" si="32"/>
        <v>46477</v>
      </c>
      <c r="D73" s="335">
        <f t="shared" si="28"/>
        <v>270.00505920326992</v>
      </c>
      <c r="E73" s="336">
        <f t="shared" si="4"/>
        <v>14.924902770029998</v>
      </c>
      <c r="F73" s="335">
        <f t="shared" si="10"/>
        <v>255.08015643323992</v>
      </c>
      <c r="G73" s="335">
        <f t="shared" si="11"/>
        <v>2.3275915583098326</v>
      </c>
      <c r="H73" s="339">
        <f t="shared" si="42"/>
        <v>0.10150000000000001</v>
      </c>
      <c r="I73" s="337">
        <f>IF(MOD(MONTH(B73),3)=0,(IF($B$4=1,0,SUMIF(Assumptions!$H$173:$U$173,'Debt repayment Schedule'!C73,Assumptions!$H$183:$U$183)/4)),0)</f>
        <v>2.75E-2</v>
      </c>
      <c r="J73" s="336">
        <f t="shared" si="0"/>
        <v>17.252494328339832</v>
      </c>
      <c r="K73" s="260"/>
      <c r="L73" s="338">
        <f t="shared" si="5"/>
        <v>46477</v>
      </c>
      <c r="M73" s="210">
        <f t="shared" si="34"/>
        <v>46477</v>
      </c>
      <c r="N73" s="335">
        <f t="shared" si="29"/>
        <v>14.749222911452485</v>
      </c>
      <c r="O73" s="1382">
        <f t="shared" si="6"/>
        <v>0.81528367852249994</v>
      </c>
      <c r="P73" s="335">
        <f t="shared" si="40"/>
        <v>13.933939232929985</v>
      </c>
      <c r="Q73" s="335">
        <f t="shared" si="12"/>
        <v>0.12714638326269931</v>
      </c>
      <c r="R73" s="339">
        <f t="shared" si="43"/>
        <v>0.10150000000000001</v>
      </c>
      <c r="S73" s="1282">
        <f>IF(MOD(MONTH(L73),3)=0,IF($B$4=1,0,SUMIF(Assumptions!$H$173:$U$173,'Debt repayment Schedule'!M73,Assumptions!$H$184:$U$184)/4),0)</f>
        <v>2.75E-2</v>
      </c>
      <c r="T73" s="336">
        <f t="shared" si="1"/>
        <v>0.94243006178519928</v>
      </c>
      <c r="U73" s="260"/>
      <c r="V73" s="210">
        <f t="shared" si="13"/>
        <v>46477</v>
      </c>
      <c r="W73" s="210">
        <f t="shared" si="36"/>
        <v>46477</v>
      </c>
      <c r="X73" s="335">
        <f t="shared" si="30"/>
        <v>331.71194666863539</v>
      </c>
      <c r="Y73" s="1382">
        <f t="shared" si="7"/>
        <v>18.335836248014999</v>
      </c>
      <c r="Z73" s="335">
        <f t="shared" si="41"/>
        <v>313.37611042062042</v>
      </c>
      <c r="AA73" s="335">
        <f t="shared" si="14"/>
        <v>2.9017979334601445</v>
      </c>
      <c r="AB73" s="339">
        <f t="shared" si="44"/>
        <v>0.10299999999999999</v>
      </c>
      <c r="AC73" s="337">
        <f>IF(MOD(MONTH(V73),3)=0,IF($B$4=1,0,SUMIF(Assumptions!$H$173:$U$173,'Debt repayment Schedule'!C73,Assumptions!$H$185:$U$185)/4),0)</f>
        <v>2.75E-2</v>
      </c>
      <c r="AD73" s="336">
        <f t="shared" si="2"/>
        <v>21.237634181475144</v>
      </c>
      <c r="AE73" s="260"/>
      <c r="AF73" s="210">
        <f t="shared" si="15"/>
        <v>46477</v>
      </c>
      <c r="AG73" s="210">
        <f t="shared" si="16"/>
        <v>46477</v>
      </c>
      <c r="AH73" s="335">
        <f t="shared" si="17"/>
        <v>28.034399842879992</v>
      </c>
      <c r="AI73" s="1382">
        <f t="shared" si="18"/>
        <v>1.5496401923200001</v>
      </c>
      <c r="AJ73" s="335">
        <f t="shared" si="19"/>
        <v>26.484759650559994</v>
      </c>
      <c r="AK73" s="335">
        <f t="shared" si="20"/>
        <v>0</v>
      </c>
      <c r="AL73" s="339">
        <f t="shared" si="45"/>
        <v>0</v>
      </c>
      <c r="AM73" s="337">
        <f>IF(MOD(MONTH(AF73),3)=0,IF($B$4=1,0,SUMIF(Assumptions!$H$173:$U$173,'Debt repayment Schedule'!M73,Assumptions!$H$185:$U$185)/4),0)</f>
        <v>2.75E-2</v>
      </c>
      <c r="AN73" s="336">
        <f t="shared" si="21"/>
        <v>1.5496401923200001</v>
      </c>
      <c r="AO73" s="260"/>
      <c r="AP73" s="210">
        <f t="shared" si="22"/>
        <v>46477</v>
      </c>
      <c r="AQ73" s="210">
        <f t="shared" si="38"/>
        <v>46477</v>
      </c>
      <c r="AR73" s="335">
        <f t="shared" si="23"/>
        <v>0</v>
      </c>
      <c r="AS73" s="335">
        <f t="shared" si="24"/>
        <v>0</v>
      </c>
      <c r="AT73" s="616">
        <f t="shared" si="25"/>
        <v>0</v>
      </c>
      <c r="AU73" s="335">
        <f t="shared" si="26"/>
        <v>0</v>
      </c>
      <c r="AV73" s="339">
        <f t="shared" si="46"/>
        <v>0.10299999999999999</v>
      </c>
      <c r="AW73" s="337">
        <f>IF(MOD(MONTH(AP73),3)=0,IF($B$4=1,0,SUMIF(Assumptions!$H$173:$U$173,'Debt repayment Schedule'!W73,Assumptions!$H$185:$U$185)/4),0)</f>
        <v>2.75E-2</v>
      </c>
      <c r="AX73" s="336">
        <f t="shared" si="3"/>
        <v>0</v>
      </c>
      <c r="AY73" s="260"/>
      <c r="AZ73" s="260">
        <f t="shared" si="27"/>
        <v>35.625662888887497</v>
      </c>
      <c r="BB73" s="260">
        <f t="shared" si="47"/>
        <v>5.3565358750326766</v>
      </c>
      <c r="BC73" s="260">
        <f>AZ73+SUM(BB71:BB73)</f>
        <v>51.176896074466235</v>
      </c>
      <c r="BD73" s="215">
        <f>BC76</f>
        <v>66.674003493057683</v>
      </c>
    </row>
    <row r="74" spans="2:56" x14ac:dyDescent="0.35">
      <c r="B74" s="210">
        <f t="shared" si="9"/>
        <v>46507</v>
      </c>
      <c r="C74" s="210">
        <f t="shared" si="32"/>
        <v>46843</v>
      </c>
      <c r="D74" s="335">
        <f t="shared" si="28"/>
        <v>255.08015643323992</v>
      </c>
      <c r="E74" s="336">
        <f t="shared" si="4"/>
        <v>0</v>
      </c>
      <c r="F74" s="335">
        <f t="shared" si="10"/>
        <v>255.08015643323992</v>
      </c>
      <c r="G74" s="335">
        <f t="shared" si="11"/>
        <v>2.1279974694225086</v>
      </c>
      <c r="H74" s="339">
        <f t="shared" si="42"/>
        <v>0.10150000000000001</v>
      </c>
      <c r="I74" s="337">
        <f>IF(MOD(MONTH(B74),3)=0,(IF($B$4=1,0,SUMIF(Assumptions!$H$173:$U$173,'Debt repayment Schedule'!C74,Assumptions!$H$183:$U$183)/4)),0)</f>
        <v>0</v>
      </c>
      <c r="J74" s="336">
        <f>E74+G74</f>
        <v>2.1279974694225086</v>
      </c>
      <c r="K74" s="260"/>
      <c r="L74" s="338">
        <f t="shared" si="5"/>
        <v>46507</v>
      </c>
      <c r="M74" s="210">
        <f t="shared" si="34"/>
        <v>46843</v>
      </c>
      <c r="N74" s="335">
        <f t="shared" si="29"/>
        <v>13.933939232929985</v>
      </c>
      <c r="O74" s="1382">
        <f t="shared" ref="O74:O136" si="48">$P$10*S74</f>
        <v>0</v>
      </c>
      <c r="P74" s="335">
        <f t="shared" si="40"/>
        <v>13.933939232929985</v>
      </c>
      <c r="Q74" s="335">
        <f t="shared" si="12"/>
        <v>0.11624341086101866</v>
      </c>
      <c r="R74" s="339">
        <f t="shared" si="43"/>
        <v>0.10150000000000001</v>
      </c>
      <c r="S74" s="1282">
        <f>IF(MOD(MONTH(L74),3)=0,IF($B$4=1,0,SUMIF(Assumptions!$H$173:$U$173,'Debt repayment Schedule'!M74,Assumptions!$H$184:$U$184)/4),0)</f>
        <v>0</v>
      </c>
      <c r="T74" s="336">
        <f t="shared" si="1"/>
        <v>0.11624341086101866</v>
      </c>
      <c r="U74" s="260"/>
      <c r="V74" s="210">
        <f t="shared" si="13"/>
        <v>46507</v>
      </c>
      <c r="W74" s="210">
        <f t="shared" si="36"/>
        <v>46843</v>
      </c>
      <c r="X74" s="335">
        <f t="shared" si="30"/>
        <v>313.37611042062042</v>
      </c>
      <c r="Y74" s="1382">
        <f t="shared" si="7"/>
        <v>0</v>
      </c>
      <c r="Z74" s="335">
        <f t="shared" si="41"/>
        <v>313.37611042062042</v>
      </c>
      <c r="AA74" s="335">
        <f t="shared" si="14"/>
        <v>2.6529648799992249</v>
      </c>
      <c r="AB74" s="339">
        <f t="shared" si="44"/>
        <v>0.10299999999999999</v>
      </c>
      <c r="AC74" s="337">
        <f>IF(MOD(MONTH(V74),3)=0,IF($B$4=1,0,SUMIF(Assumptions!$H$173:$U$173,'Debt repayment Schedule'!C74,Assumptions!$H$185:$U$185)/4),0)</f>
        <v>0</v>
      </c>
      <c r="AD74" s="336">
        <f>Y74+AA74</f>
        <v>2.6529648799992249</v>
      </c>
      <c r="AE74" s="260"/>
      <c r="AF74" s="210">
        <f t="shared" si="15"/>
        <v>46507</v>
      </c>
      <c r="AG74" s="210">
        <f t="shared" si="16"/>
        <v>46843</v>
      </c>
      <c r="AH74" s="335">
        <f t="shared" si="17"/>
        <v>26.484759650559994</v>
      </c>
      <c r="AI74" s="1382">
        <f t="shared" si="18"/>
        <v>0</v>
      </c>
      <c r="AJ74" s="335">
        <f t="shared" si="19"/>
        <v>26.484759650559994</v>
      </c>
      <c r="AK74" s="335">
        <f t="shared" si="20"/>
        <v>0</v>
      </c>
      <c r="AL74" s="339">
        <f t="shared" si="45"/>
        <v>0</v>
      </c>
      <c r="AM74" s="337">
        <f>IF(MOD(MONTH(AF74),3)=0,IF($B$4=1,0,SUMIF(Assumptions!$H$173:$U$173,'Debt repayment Schedule'!M74,Assumptions!$H$185:$U$185)/4),0)</f>
        <v>0</v>
      </c>
      <c r="AN74" s="336">
        <f t="shared" si="21"/>
        <v>0</v>
      </c>
      <c r="AO74" s="260"/>
      <c r="AP74" s="210">
        <f t="shared" si="22"/>
        <v>46507</v>
      </c>
      <c r="AQ74" s="210">
        <f t="shared" si="38"/>
        <v>46843</v>
      </c>
      <c r="AR74" s="335">
        <f t="shared" si="23"/>
        <v>0</v>
      </c>
      <c r="AS74" s="335">
        <f t="shared" si="24"/>
        <v>0</v>
      </c>
      <c r="AT74" s="616">
        <f t="shared" si="25"/>
        <v>0</v>
      </c>
      <c r="AU74" s="335">
        <f t="shared" si="26"/>
        <v>0</v>
      </c>
      <c r="AV74" s="339">
        <f t="shared" si="46"/>
        <v>0.10299999999999999</v>
      </c>
      <c r="AW74" s="337">
        <f>IF(MOD(MONTH(AP74),3)=0,IF($B$4=1,0,SUMIF(Assumptions!$H$173:$U$173,'Debt repayment Schedule'!W74,Assumptions!$H$185:$U$185)/4),0)</f>
        <v>0</v>
      </c>
      <c r="AX74" s="336">
        <f>AS74+AU74</f>
        <v>0</v>
      </c>
      <c r="AY74" s="260"/>
      <c r="AZ74" s="260">
        <f t="shared" si="27"/>
        <v>0</v>
      </c>
      <c r="BB74" s="260">
        <f t="shared" si="47"/>
        <v>4.8972057602827519</v>
      </c>
      <c r="BC74" s="260"/>
    </row>
    <row r="75" spans="2:56" x14ac:dyDescent="0.35">
      <c r="B75" s="210">
        <f t="shared" si="9"/>
        <v>46538</v>
      </c>
      <c r="C75" s="210">
        <f t="shared" si="32"/>
        <v>46843</v>
      </c>
      <c r="D75" s="335">
        <f t="shared" ref="D75:D136" si="49">F74</f>
        <v>255.08015643323992</v>
      </c>
      <c r="E75" s="336">
        <f t="shared" ref="E75:E136" si="50">$F$10*I75</f>
        <v>0</v>
      </c>
      <c r="F75" s="335">
        <f t="shared" ref="F75:F136" si="51">D75-E75</f>
        <v>255.08015643323992</v>
      </c>
      <c r="G75" s="335">
        <f t="shared" si="11"/>
        <v>2.1989307184032589</v>
      </c>
      <c r="H75" s="339">
        <f t="shared" si="42"/>
        <v>0.10150000000000001</v>
      </c>
      <c r="I75" s="337">
        <f>IF(MOD(MONTH(B75),3)=0,(IF($B$4=1,0,SUMIF(Assumptions!$H$173:$U$173,'Debt repayment Schedule'!C75,Assumptions!$H$183:$U$183)/4)),0)</f>
        <v>0</v>
      </c>
      <c r="J75" s="336">
        <f t="shared" ref="J75:J136" si="52">E75+G75</f>
        <v>2.1989307184032589</v>
      </c>
      <c r="K75" s="260"/>
      <c r="L75" s="338">
        <f t="shared" ref="L75:L136" si="53">B75</f>
        <v>46538</v>
      </c>
      <c r="M75" s="210">
        <f t="shared" si="34"/>
        <v>46843</v>
      </c>
      <c r="N75" s="335">
        <f t="shared" si="29"/>
        <v>13.933939232929985</v>
      </c>
      <c r="O75" s="1382">
        <f t="shared" si="48"/>
        <v>0</v>
      </c>
      <c r="P75" s="335">
        <f t="shared" si="40"/>
        <v>13.933939232929985</v>
      </c>
      <c r="Q75" s="335">
        <f t="shared" si="12"/>
        <v>0.1201181912230526</v>
      </c>
      <c r="R75" s="339">
        <f t="shared" si="43"/>
        <v>0.10150000000000001</v>
      </c>
      <c r="S75" s="1282">
        <f>IF(MOD(MONTH(L75),3)=0,IF($B$4=1,0,SUMIF(Assumptions!$H$173:$U$173,'Debt repayment Schedule'!M75,Assumptions!$H$184:$U$184)/4),0)</f>
        <v>0</v>
      </c>
      <c r="T75" s="336">
        <f t="shared" ref="T75:T136" si="54">O75+Q75</f>
        <v>0.1201181912230526</v>
      </c>
      <c r="U75" s="260"/>
      <c r="V75" s="210">
        <f t="shared" si="13"/>
        <v>46538</v>
      </c>
      <c r="W75" s="210">
        <f t="shared" si="36"/>
        <v>46843</v>
      </c>
      <c r="X75" s="335">
        <f t="shared" si="30"/>
        <v>313.37611042062042</v>
      </c>
      <c r="Y75" s="1382">
        <f t="shared" ref="Y75:Y136" si="55">$Z$10*AC75</f>
        <v>0</v>
      </c>
      <c r="Z75" s="335">
        <f t="shared" ref="Z75:Z136" si="56">X75-Y75</f>
        <v>313.37611042062042</v>
      </c>
      <c r="AA75" s="335">
        <f t="shared" si="14"/>
        <v>2.7413970426658656</v>
      </c>
      <c r="AB75" s="339">
        <f t="shared" si="44"/>
        <v>0.10299999999999999</v>
      </c>
      <c r="AC75" s="337">
        <f>IF(MOD(MONTH(V75),3)=0,IF($B$4=1,0,SUMIF(Assumptions!$H$173:$U$173,'Debt repayment Schedule'!C75,Assumptions!$H$185:$U$185)/4),0)</f>
        <v>0</v>
      </c>
      <c r="AD75" s="336">
        <f t="shared" ref="AD75:AD136" si="57">Y75+AA75</f>
        <v>2.7413970426658656</v>
      </c>
      <c r="AE75" s="260"/>
      <c r="AF75" s="210">
        <f t="shared" si="15"/>
        <v>46538</v>
      </c>
      <c r="AG75" s="210">
        <f t="shared" si="16"/>
        <v>46843</v>
      </c>
      <c r="AH75" s="335">
        <f t="shared" si="17"/>
        <v>26.484759650559994</v>
      </c>
      <c r="AI75" s="1382">
        <f t="shared" si="18"/>
        <v>0</v>
      </c>
      <c r="AJ75" s="335">
        <f t="shared" si="19"/>
        <v>26.484759650559994</v>
      </c>
      <c r="AK75" s="335">
        <f t="shared" si="20"/>
        <v>0</v>
      </c>
      <c r="AL75" s="339">
        <f t="shared" si="45"/>
        <v>0</v>
      </c>
      <c r="AM75" s="337">
        <f>IF(MOD(MONTH(AF75),3)=0,IF($B$4=1,0,SUMIF(Assumptions!$H$173:$U$173,'Debt repayment Schedule'!M75,Assumptions!$H$185:$U$185)/4),0)</f>
        <v>0</v>
      </c>
      <c r="AN75" s="336">
        <f t="shared" si="21"/>
        <v>0</v>
      </c>
      <c r="AO75" s="260"/>
      <c r="AP75" s="210">
        <f t="shared" si="22"/>
        <v>46538</v>
      </c>
      <c r="AQ75" s="210">
        <f t="shared" si="38"/>
        <v>46843</v>
      </c>
      <c r="AR75" s="335">
        <f t="shared" si="23"/>
        <v>0</v>
      </c>
      <c r="AS75" s="335">
        <f t="shared" si="24"/>
        <v>0</v>
      </c>
      <c r="AT75" s="616">
        <f t="shared" si="25"/>
        <v>0</v>
      </c>
      <c r="AU75" s="335">
        <f t="shared" si="26"/>
        <v>0</v>
      </c>
      <c r="AV75" s="339">
        <f t="shared" si="46"/>
        <v>0.10299999999999999</v>
      </c>
      <c r="AW75" s="337">
        <f>IF(MOD(MONTH(AP75),3)=0,IF($B$4=1,0,SUMIF(Assumptions!$H$173:$U$173,'Debt repayment Schedule'!W75,Assumptions!$H$185:$U$185)/4),0)</f>
        <v>0</v>
      </c>
      <c r="AX75" s="336"/>
      <c r="AY75" s="260"/>
      <c r="AZ75" s="260">
        <f t="shared" si="27"/>
        <v>0</v>
      </c>
      <c r="BB75" s="260">
        <f t="shared" si="47"/>
        <v>5.0604459522921772</v>
      </c>
    </row>
    <row r="76" spans="2:56" x14ac:dyDescent="0.35">
      <c r="B76" s="210">
        <f t="shared" ref="B76:B136" si="58">EOMONTH(B75,1)</f>
        <v>46568</v>
      </c>
      <c r="C76" s="210">
        <f t="shared" si="32"/>
        <v>46843</v>
      </c>
      <c r="D76" s="335">
        <f t="shared" si="49"/>
        <v>255.08015643323992</v>
      </c>
      <c r="E76" s="336">
        <f t="shared" si="50"/>
        <v>21.708949483679998</v>
      </c>
      <c r="F76" s="335">
        <f t="shared" si="51"/>
        <v>233.37120694955993</v>
      </c>
      <c r="G76" s="335">
        <f t="shared" ref="G76:G136" si="59">D76*H76*(B76-B75)/365</f>
        <v>2.1279974694225086</v>
      </c>
      <c r="H76" s="339">
        <f t="shared" si="42"/>
        <v>0.10150000000000001</v>
      </c>
      <c r="I76" s="337">
        <f>IF(MOD(MONTH(B76),3)=0,(IF($B$4=1,0,SUMIF(Assumptions!$H$173:$U$173,'Debt repayment Schedule'!C76,Assumptions!$H$183:$U$183)/4)),0)</f>
        <v>0.04</v>
      </c>
      <c r="J76" s="336">
        <f t="shared" si="52"/>
        <v>23.836946953102505</v>
      </c>
      <c r="K76" s="260"/>
      <c r="L76" s="338">
        <f t="shared" si="53"/>
        <v>46568</v>
      </c>
      <c r="M76" s="210">
        <f t="shared" si="34"/>
        <v>46843</v>
      </c>
      <c r="N76" s="335">
        <f t="shared" si="29"/>
        <v>13.933939232929985</v>
      </c>
      <c r="O76" s="1382">
        <f t="shared" si="48"/>
        <v>1.18586716876</v>
      </c>
      <c r="P76" s="335">
        <f t="shared" si="40"/>
        <v>12.748072064169985</v>
      </c>
      <c r="Q76" s="335">
        <f t="shared" ref="Q76:Q136" si="60">N76*R76*(L76-L75)/365</f>
        <v>0.11624341086101866</v>
      </c>
      <c r="R76" s="339">
        <f t="shared" si="43"/>
        <v>0.10150000000000001</v>
      </c>
      <c r="S76" s="1282">
        <f>IF(MOD(MONTH(L76),3)=0,IF($B$4=1,0,SUMIF(Assumptions!$H$173:$U$173,'Debt repayment Schedule'!M76,Assumptions!$H$184:$U$184)/4),0)</f>
        <v>0.04</v>
      </c>
      <c r="T76" s="336">
        <f t="shared" si="54"/>
        <v>1.3021105796210186</v>
      </c>
      <c r="U76" s="260"/>
      <c r="V76" s="210">
        <f t="shared" ref="V76:V136" si="61">EOMONTH(V75,1)</f>
        <v>46568</v>
      </c>
      <c r="W76" s="210">
        <f t="shared" si="36"/>
        <v>46843</v>
      </c>
      <c r="X76" s="335">
        <f t="shared" si="30"/>
        <v>313.37611042062042</v>
      </c>
      <c r="Y76" s="1382">
        <f t="shared" si="55"/>
        <v>26.670307269840002</v>
      </c>
      <c r="Z76" s="335">
        <f t="shared" si="56"/>
        <v>286.70580315078041</v>
      </c>
      <c r="AA76" s="335">
        <f t="shared" ref="AA76:AA136" si="62">X76*AB76*(V76-V75)/365</f>
        <v>2.6529648799992249</v>
      </c>
      <c r="AB76" s="339">
        <f t="shared" si="44"/>
        <v>0.10299999999999999</v>
      </c>
      <c r="AC76" s="337">
        <f>IF(MOD(MONTH(V76),3)=0,IF($B$4=1,0,SUMIF(Assumptions!$H$173:$U$173,'Debt repayment Schedule'!C76,Assumptions!$H$185:$U$185)/4),0)</f>
        <v>0.04</v>
      </c>
      <c r="AD76" s="336">
        <f t="shared" si="57"/>
        <v>29.323272149839227</v>
      </c>
      <c r="AE76" s="260"/>
      <c r="AF76" s="210">
        <f t="shared" ref="AF76:AF136" si="63">EOMONTH(AF75,1)</f>
        <v>46568</v>
      </c>
      <c r="AG76" s="210">
        <f t="shared" ref="AG76:AG136" si="64">DATE(IF(MONTH(AF76)&gt;3,YEAR(AF76)+1,YEAR(AF76)),3,31)</f>
        <v>46843</v>
      </c>
      <c r="AH76" s="335">
        <f t="shared" ref="AH76:AH136" si="65">AJ75</f>
        <v>26.484759650559994</v>
      </c>
      <c r="AI76" s="1382">
        <f t="shared" ref="AI76:AI136" si="66">$AJ$10*AM76</f>
        <v>2.2540220979200001</v>
      </c>
      <c r="AJ76" s="335">
        <f t="shared" ref="AJ76:AJ136" si="67">AH76-AI76</f>
        <v>24.230737552639994</v>
      </c>
      <c r="AK76" s="335">
        <f t="shared" ref="AK76:AK136" si="68">AJ76*AL76*(AF76-AF75)/365</f>
        <v>0</v>
      </c>
      <c r="AL76" s="339">
        <f t="shared" si="45"/>
        <v>0</v>
      </c>
      <c r="AM76" s="337">
        <f>IF(MOD(MONTH(AF76),3)=0,IF($B$4=1,0,SUMIF(Assumptions!$H$173:$U$173,'Debt repayment Schedule'!M76,Assumptions!$H$185:$U$185)/4),0)</f>
        <v>0.04</v>
      </c>
      <c r="AN76" s="336">
        <f t="shared" ref="AN76:AN136" si="69">AI76+AK76</f>
        <v>2.2540220979200001</v>
      </c>
      <c r="AO76" s="260"/>
      <c r="AP76" s="210">
        <f t="shared" ref="AP76:AP136" si="70">EOMONTH(AP75,1)</f>
        <v>46568</v>
      </c>
      <c r="AQ76" s="210">
        <f t="shared" si="38"/>
        <v>46843</v>
      </c>
      <c r="AR76" s="335">
        <f t="shared" ref="AR76:AR136" si="71">AT75</f>
        <v>0</v>
      </c>
      <c r="AS76" s="335">
        <f t="shared" ref="AS76:AS136" si="72">$AT$10*AW76</f>
        <v>0</v>
      </c>
      <c r="AT76" s="616">
        <f t="shared" ref="AT76:AT136" si="73">AR76-AS76</f>
        <v>0</v>
      </c>
      <c r="AU76" s="335">
        <f t="shared" ref="AU76:AU136" si="74">AR76*AV76*(AP76-AP75)/365</f>
        <v>0</v>
      </c>
      <c r="AV76" s="339">
        <f t="shared" si="46"/>
        <v>0.10299999999999999</v>
      </c>
      <c r="AW76" s="337">
        <f>IF(MOD(MONTH(AP76),3)=0,IF($B$4=1,0,SUMIF(Assumptions!$H$173:$U$173,'Debt repayment Schedule'!W76,Assumptions!$H$185:$U$185)/4),0)</f>
        <v>0.04</v>
      </c>
      <c r="AX76" s="336"/>
      <c r="AY76" s="260"/>
      <c r="AZ76" s="260">
        <f t="shared" ref="AZ76:AZ136" si="75">+E76+O76+Y76+AI76+AS76</f>
        <v>51.819146020200002</v>
      </c>
      <c r="BB76" s="260">
        <f t="shared" si="47"/>
        <v>4.8972057602827519</v>
      </c>
      <c r="BC76" s="260">
        <f>AZ76+SUM(BB74:BB76)</f>
        <v>66.674003493057683</v>
      </c>
    </row>
    <row r="77" spans="2:56" x14ac:dyDescent="0.35">
      <c r="B77" s="210">
        <f t="shared" si="58"/>
        <v>46599</v>
      </c>
      <c r="C77" s="210">
        <f t="shared" si="32"/>
        <v>46843</v>
      </c>
      <c r="D77" s="335">
        <f t="shared" si="49"/>
        <v>233.37120694955993</v>
      </c>
      <c r="E77" s="336">
        <f t="shared" si="50"/>
        <v>0</v>
      </c>
      <c r="F77" s="335">
        <f t="shared" si="51"/>
        <v>233.37120694955993</v>
      </c>
      <c r="G77" s="335">
        <f t="shared" si="59"/>
        <v>2.0117876785391515</v>
      </c>
      <c r="H77" s="339">
        <f t="shared" si="42"/>
        <v>0.10150000000000001</v>
      </c>
      <c r="I77" s="337">
        <f>IF(MOD(MONTH(B77),3)=0,(IF($B$4=1,0,SUMIF(Assumptions!$H$173:$U$173,'Debt repayment Schedule'!C77,Assumptions!$H$183:$U$183)/4)),0)</f>
        <v>0</v>
      </c>
      <c r="J77" s="336">
        <f t="shared" si="52"/>
        <v>2.0117876785391515</v>
      </c>
      <c r="K77" s="260"/>
      <c r="L77" s="338">
        <f t="shared" si="53"/>
        <v>46599</v>
      </c>
      <c r="M77" s="210">
        <f t="shared" si="34"/>
        <v>46843</v>
      </c>
      <c r="N77" s="335">
        <f t="shared" si="29"/>
        <v>12.748072064169985</v>
      </c>
      <c r="O77" s="1382">
        <f t="shared" si="48"/>
        <v>0</v>
      </c>
      <c r="P77" s="335">
        <f t="shared" si="40"/>
        <v>12.748072064169985</v>
      </c>
      <c r="Q77" s="335">
        <f t="shared" si="60"/>
        <v>0.10989536643811193</v>
      </c>
      <c r="R77" s="339">
        <f t="shared" si="43"/>
        <v>0.10150000000000001</v>
      </c>
      <c r="S77" s="1282">
        <f>IF(MOD(MONTH(L77),3)=0,IF($B$4=1,0,SUMIF(Assumptions!$H$173:$U$173,'Debt repayment Schedule'!M77,Assumptions!$H$184:$U$184)/4),0)</f>
        <v>0</v>
      </c>
      <c r="T77" s="336">
        <f t="shared" si="54"/>
        <v>0.10989536643811193</v>
      </c>
      <c r="U77" s="260"/>
      <c r="V77" s="210">
        <f t="shared" si="61"/>
        <v>46599</v>
      </c>
      <c r="W77" s="210">
        <f t="shared" si="36"/>
        <v>46843</v>
      </c>
      <c r="X77" s="335">
        <f t="shared" si="30"/>
        <v>286.70580315078041</v>
      </c>
      <c r="Y77" s="1382">
        <f t="shared" si="55"/>
        <v>0</v>
      </c>
      <c r="Z77" s="335">
        <f t="shared" si="56"/>
        <v>286.70580315078041</v>
      </c>
      <c r="AA77" s="335">
        <f t="shared" si="62"/>
        <v>2.5080866560560051</v>
      </c>
      <c r="AB77" s="339">
        <f t="shared" si="44"/>
        <v>0.10299999999999999</v>
      </c>
      <c r="AC77" s="337">
        <f>IF(MOD(MONTH(V77),3)=0,IF($B$4=1,0,SUMIF(Assumptions!$H$173:$U$173,'Debt repayment Schedule'!C77,Assumptions!$H$185:$U$185)/4),0)</f>
        <v>0</v>
      </c>
      <c r="AD77" s="336">
        <f t="shared" si="57"/>
        <v>2.5080866560560051</v>
      </c>
      <c r="AE77" s="260"/>
      <c r="AF77" s="210">
        <f t="shared" si="63"/>
        <v>46599</v>
      </c>
      <c r="AG77" s="210">
        <f t="shared" si="64"/>
        <v>46843</v>
      </c>
      <c r="AH77" s="335">
        <f t="shared" si="65"/>
        <v>24.230737552639994</v>
      </c>
      <c r="AI77" s="1382">
        <f t="shared" si="66"/>
        <v>0</v>
      </c>
      <c r="AJ77" s="335">
        <f t="shared" si="67"/>
        <v>24.230737552639994</v>
      </c>
      <c r="AK77" s="335">
        <f t="shared" si="68"/>
        <v>0</v>
      </c>
      <c r="AL77" s="339">
        <f t="shared" si="45"/>
        <v>0</v>
      </c>
      <c r="AM77" s="337">
        <f>IF(MOD(MONTH(AF77),3)=0,IF($B$4=1,0,SUMIF(Assumptions!$H$173:$U$173,'Debt repayment Schedule'!M77,Assumptions!$H$185:$U$185)/4),0)</f>
        <v>0</v>
      </c>
      <c r="AN77" s="336">
        <f t="shared" si="69"/>
        <v>0</v>
      </c>
      <c r="AO77" s="260"/>
      <c r="AP77" s="210">
        <f t="shared" si="70"/>
        <v>46599</v>
      </c>
      <c r="AQ77" s="210">
        <f t="shared" si="38"/>
        <v>46843</v>
      </c>
      <c r="AR77" s="335">
        <f t="shared" si="71"/>
        <v>0</v>
      </c>
      <c r="AS77" s="335">
        <f t="shared" si="72"/>
        <v>0</v>
      </c>
      <c r="AT77" s="616">
        <f t="shared" si="73"/>
        <v>0</v>
      </c>
      <c r="AU77" s="335">
        <f t="shared" si="74"/>
        <v>0</v>
      </c>
      <c r="AV77" s="339">
        <f t="shared" si="46"/>
        <v>0.10299999999999999</v>
      </c>
      <c r="AW77" s="337">
        <f>IF(MOD(MONTH(AP77),3)=0,IF($B$4=1,0,SUMIF(Assumptions!$H$173:$U$173,'Debt repayment Schedule'!W77,Assumptions!$H$185:$U$185)/4),0)</f>
        <v>0</v>
      </c>
      <c r="AX77" s="336"/>
      <c r="AY77" s="260"/>
      <c r="AZ77" s="260">
        <f t="shared" si="75"/>
        <v>0</v>
      </c>
      <c r="BB77" s="260">
        <f t="shared" si="47"/>
        <v>4.6297697010332683</v>
      </c>
    </row>
    <row r="78" spans="2:56" x14ac:dyDescent="0.35">
      <c r="B78" s="210">
        <f t="shared" si="58"/>
        <v>46630</v>
      </c>
      <c r="C78" s="210">
        <f t="shared" si="32"/>
        <v>46843</v>
      </c>
      <c r="D78" s="335">
        <f t="shared" si="49"/>
        <v>233.37120694955993</v>
      </c>
      <c r="E78" s="336">
        <f t="shared" si="50"/>
        <v>0</v>
      </c>
      <c r="F78" s="335">
        <f t="shared" si="51"/>
        <v>233.37120694955993</v>
      </c>
      <c r="G78" s="335">
        <f t="shared" si="59"/>
        <v>2.0117876785391515</v>
      </c>
      <c r="H78" s="339">
        <f t="shared" si="42"/>
        <v>0.10150000000000001</v>
      </c>
      <c r="I78" s="337">
        <f>IF(MOD(MONTH(B78),3)=0,(IF($B$4=1,0,SUMIF(Assumptions!$H$173:$U$173,'Debt repayment Schedule'!C78,Assumptions!$H$183:$U$183)/4)),0)</f>
        <v>0</v>
      </c>
      <c r="J78" s="336">
        <f t="shared" si="52"/>
        <v>2.0117876785391515</v>
      </c>
      <c r="K78" s="260"/>
      <c r="L78" s="338">
        <f t="shared" si="53"/>
        <v>46630</v>
      </c>
      <c r="M78" s="210">
        <f t="shared" si="34"/>
        <v>46843</v>
      </c>
      <c r="N78" s="335">
        <f t="shared" ref="N78:N136" si="76">P77</f>
        <v>12.748072064169985</v>
      </c>
      <c r="O78" s="1382">
        <f t="shared" si="48"/>
        <v>0</v>
      </c>
      <c r="P78" s="335">
        <f t="shared" si="40"/>
        <v>12.748072064169985</v>
      </c>
      <c r="Q78" s="335">
        <f t="shared" si="60"/>
        <v>0.10989536643811193</v>
      </c>
      <c r="R78" s="339">
        <f t="shared" si="43"/>
        <v>0.10150000000000001</v>
      </c>
      <c r="S78" s="1282">
        <f>IF(MOD(MONTH(L78),3)=0,IF($B$4=1,0,SUMIF(Assumptions!$H$173:$U$173,'Debt repayment Schedule'!M78,Assumptions!$H$184:$U$184)/4),0)</f>
        <v>0</v>
      </c>
      <c r="T78" s="336">
        <f t="shared" si="54"/>
        <v>0.10989536643811193</v>
      </c>
      <c r="U78" s="260"/>
      <c r="V78" s="210">
        <f t="shared" si="61"/>
        <v>46630</v>
      </c>
      <c r="W78" s="210">
        <f t="shared" si="36"/>
        <v>46843</v>
      </c>
      <c r="X78" s="335">
        <f t="shared" ref="X78:X136" si="77">Z77</f>
        <v>286.70580315078041</v>
      </c>
      <c r="Y78" s="1382">
        <f t="shared" si="55"/>
        <v>0</v>
      </c>
      <c r="Z78" s="335">
        <f t="shared" si="56"/>
        <v>286.70580315078041</v>
      </c>
      <c r="AA78" s="335">
        <f t="shared" si="62"/>
        <v>2.5080866560560051</v>
      </c>
      <c r="AB78" s="339">
        <f t="shared" si="44"/>
        <v>0.10299999999999999</v>
      </c>
      <c r="AC78" s="337">
        <f>IF(MOD(MONTH(V78),3)=0,IF($B$4=1,0,SUMIF(Assumptions!$H$173:$U$173,'Debt repayment Schedule'!C78,Assumptions!$H$185:$U$185)/4),0)</f>
        <v>0</v>
      </c>
      <c r="AD78" s="336">
        <f t="shared" si="57"/>
        <v>2.5080866560560051</v>
      </c>
      <c r="AE78" s="260"/>
      <c r="AF78" s="210">
        <f t="shared" si="63"/>
        <v>46630</v>
      </c>
      <c r="AG78" s="210">
        <f t="shared" si="64"/>
        <v>46843</v>
      </c>
      <c r="AH78" s="335">
        <f t="shared" si="65"/>
        <v>24.230737552639994</v>
      </c>
      <c r="AI78" s="1382">
        <f t="shared" si="66"/>
        <v>0</v>
      </c>
      <c r="AJ78" s="335">
        <f t="shared" si="67"/>
        <v>24.230737552639994</v>
      </c>
      <c r="AK78" s="335">
        <f t="shared" si="68"/>
        <v>0</v>
      </c>
      <c r="AL78" s="339">
        <f t="shared" si="45"/>
        <v>0</v>
      </c>
      <c r="AM78" s="337">
        <f>IF(MOD(MONTH(AF78),3)=0,IF($B$4=1,0,SUMIF(Assumptions!$H$173:$U$173,'Debt repayment Schedule'!M78,Assumptions!$H$185:$U$185)/4),0)</f>
        <v>0</v>
      </c>
      <c r="AN78" s="336">
        <f t="shared" si="69"/>
        <v>0</v>
      </c>
      <c r="AO78" s="260"/>
      <c r="AP78" s="210">
        <f t="shared" si="70"/>
        <v>46630</v>
      </c>
      <c r="AQ78" s="210">
        <f t="shared" si="38"/>
        <v>46843</v>
      </c>
      <c r="AR78" s="335">
        <f t="shared" si="71"/>
        <v>0</v>
      </c>
      <c r="AS78" s="335">
        <f t="shared" si="72"/>
        <v>0</v>
      </c>
      <c r="AT78" s="616">
        <f t="shared" si="73"/>
        <v>0</v>
      </c>
      <c r="AU78" s="335">
        <f t="shared" si="74"/>
        <v>0</v>
      </c>
      <c r="AV78" s="339">
        <f t="shared" si="46"/>
        <v>0.10299999999999999</v>
      </c>
      <c r="AW78" s="337">
        <f>IF(MOD(MONTH(AP78),3)=0,IF($B$4=1,0,SUMIF(Assumptions!$H$173:$U$173,'Debt repayment Schedule'!W78,Assumptions!$H$185:$U$185)/4),0)</f>
        <v>0</v>
      </c>
      <c r="AX78" s="336"/>
      <c r="AY78" s="260"/>
      <c r="AZ78" s="260">
        <f t="shared" si="75"/>
        <v>0</v>
      </c>
      <c r="BB78" s="260">
        <f t="shared" si="47"/>
        <v>4.6297697010332683</v>
      </c>
    </row>
    <row r="79" spans="2:56" x14ac:dyDescent="0.35">
      <c r="B79" s="210">
        <f t="shared" si="58"/>
        <v>46660</v>
      </c>
      <c r="C79" s="210">
        <f t="shared" ref="C79:C136" si="78">DATE(IF(MONTH(B79)&gt;3,YEAR(B79)+1,YEAR(B79)),3,31)</f>
        <v>46843</v>
      </c>
      <c r="D79" s="335">
        <f t="shared" si="49"/>
        <v>233.37120694955993</v>
      </c>
      <c r="E79" s="336">
        <f t="shared" si="50"/>
        <v>21.708949483679998</v>
      </c>
      <c r="F79" s="335">
        <f t="shared" si="51"/>
        <v>211.66225746587995</v>
      </c>
      <c r="G79" s="335">
        <f t="shared" si="59"/>
        <v>1.9468913018120824</v>
      </c>
      <c r="H79" s="339">
        <f t="shared" si="42"/>
        <v>0.10150000000000001</v>
      </c>
      <c r="I79" s="337">
        <f>IF(MOD(MONTH(B79),3)=0,(IF($B$4=1,0,SUMIF(Assumptions!$H$173:$U$173,'Debt repayment Schedule'!C79,Assumptions!$H$183:$U$183)/4)),0)</f>
        <v>0.04</v>
      </c>
      <c r="J79" s="336">
        <f t="shared" si="52"/>
        <v>23.655840785492082</v>
      </c>
      <c r="K79" s="260"/>
      <c r="L79" s="338">
        <f t="shared" si="53"/>
        <v>46660</v>
      </c>
      <c r="M79" s="210">
        <f t="shared" ref="M79:M136" si="79">DATE(IF(MONTH(L79)&gt;3,YEAR(L79)+1,YEAR(L79)),3,31)</f>
        <v>46843</v>
      </c>
      <c r="N79" s="335">
        <f t="shared" si="76"/>
        <v>12.748072064169985</v>
      </c>
      <c r="O79" s="1382">
        <f t="shared" si="48"/>
        <v>1.18586716876</v>
      </c>
      <c r="P79" s="335">
        <f t="shared" si="40"/>
        <v>11.562204895409986</v>
      </c>
      <c r="Q79" s="335">
        <f t="shared" si="60"/>
        <v>0.10635035461752769</v>
      </c>
      <c r="R79" s="339">
        <f t="shared" si="43"/>
        <v>0.10150000000000001</v>
      </c>
      <c r="S79" s="1282">
        <f>IF(MOD(MONTH(L79),3)=0,IF($B$4=1,0,SUMIF(Assumptions!$H$173:$U$173,'Debt repayment Schedule'!M79,Assumptions!$H$184:$U$184)/4),0)</f>
        <v>0.04</v>
      </c>
      <c r="T79" s="336">
        <f t="shared" si="54"/>
        <v>1.2922175233775277</v>
      </c>
      <c r="U79" s="260"/>
      <c r="V79" s="210">
        <f t="shared" si="61"/>
        <v>46660</v>
      </c>
      <c r="W79" s="210">
        <f t="shared" ref="W79:W136" si="80">DATE(IF(MONTH(V79)&gt;3,YEAR(V79)+1,YEAR(V79)),3,31)</f>
        <v>46843</v>
      </c>
      <c r="X79" s="335">
        <f t="shared" si="77"/>
        <v>286.70580315078041</v>
      </c>
      <c r="Y79" s="1382">
        <f t="shared" si="55"/>
        <v>26.670307269840002</v>
      </c>
      <c r="Z79" s="335">
        <f t="shared" si="56"/>
        <v>260.0354958809404</v>
      </c>
      <c r="AA79" s="335">
        <f t="shared" si="62"/>
        <v>2.4271806348929079</v>
      </c>
      <c r="AB79" s="339">
        <f t="shared" si="44"/>
        <v>0.10299999999999999</v>
      </c>
      <c r="AC79" s="337">
        <f>IF(MOD(MONTH(V79),3)=0,IF($B$4=1,0,SUMIF(Assumptions!$H$173:$U$173,'Debt repayment Schedule'!C79,Assumptions!$H$185:$U$185)/4),0)</f>
        <v>0.04</v>
      </c>
      <c r="AD79" s="336">
        <f t="shared" si="57"/>
        <v>29.097487904732908</v>
      </c>
      <c r="AE79" s="260"/>
      <c r="AF79" s="210">
        <f t="shared" si="63"/>
        <v>46660</v>
      </c>
      <c r="AG79" s="210">
        <f t="shared" si="64"/>
        <v>46843</v>
      </c>
      <c r="AH79" s="335">
        <f t="shared" si="65"/>
        <v>24.230737552639994</v>
      </c>
      <c r="AI79" s="1382">
        <f t="shared" si="66"/>
        <v>2.2540220979200001</v>
      </c>
      <c r="AJ79" s="335">
        <f t="shared" si="67"/>
        <v>21.976715454719994</v>
      </c>
      <c r="AK79" s="335">
        <f t="shared" si="68"/>
        <v>0</v>
      </c>
      <c r="AL79" s="339">
        <f t="shared" si="45"/>
        <v>0</v>
      </c>
      <c r="AM79" s="337">
        <f>IF(MOD(MONTH(AF79),3)=0,IF($B$4=1,0,SUMIF(Assumptions!$H$173:$U$173,'Debt repayment Schedule'!M79,Assumptions!$H$185:$U$185)/4),0)</f>
        <v>0.04</v>
      </c>
      <c r="AN79" s="336">
        <f t="shared" si="69"/>
        <v>2.2540220979200001</v>
      </c>
      <c r="AO79" s="260"/>
      <c r="AP79" s="210">
        <f t="shared" si="70"/>
        <v>46660</v>
      </c>
      <c r="AQ79" s="210">
        <f t="shared" ref="AQ79:AQ136" si="81">DATE(IF(MONTH(AP79)&gt;3,YEAR(AP79)+1,YEAR(AP79)),3,31)</f>
        <v>46843</v>
      </c>
      <c r="AR79" s="335">
        <f t="shared" si="71"/>
        <v>0</v>
      </c>
      <c r="AS79" s="335">
        <f t="shared" si="72"/>
        <v>0</v>
      </c>
      <c r="AT79" s="616">
        <f t="shared" si="73"/>
        <v>0</v>
      </c>
      <c r="AU79" s="335">
        <f t="shared" si="74"/>
        <v>0</v>
      </c>
      <c r="AV79" s="339">
        <f t="shared" si="46"/>
        <v>0.10299999999999999</v>
      </c>
      <c r="AW79" s="337">
        <f>IF(MOD(MONTH(AP79),3)=0,IF($B$4=1,0,SUMIF(Assumptions!$H$173:$U$173,'Debt repayment Schedule'!W79,Assumptions!$H$185:$U$185)/4),0)</f>
        <v>0.04</v>
      </c>
      <c r="AX79" s="336"/>
      <c r="AY79" s="260"/>
      <c r="AZ79" s="260">
        <f t="shared" si="75"/>
        <v>51.819146020200002</v>
      </c>
      <c r="BB79" s="260">
        <f t="shared" si="47"/>
        <v>4.480422291322518</v>
      </c>
      <c r="BC79" s="260">
        <f>AZ79+SUM(BB77:BB79)</f>
        <v>65.559107713589057</v>
      </c>
    </row>
    <row r="80" spans="2:56" x14ac:dyDescent="0.35">
      <c r="B80" s="210">
        <f t="shared" si="58"/>
        <v>46691</v>
      </c>
      <c r="C80" s="210">
        <f t="shared" si="78"/>
        <v>46843</v>
      </c>
      <c r="D80" s="335">
        <f t="shared" si="49"/>
        <v>211.66225746587995</v>
      </c>
      <c r="E80" s="336">
        <f t="shared" si="50"/>
        <v>0</v>
      </c>
      <c r="F80" s="335">
        <f t="shared" si="51"/>
        <v>211.66225746587995</v>
      </c>
      <c r="G80" s="335">
        <f t="shared" si="59"/>
        <v>1.8246446386750446</v>
      </c>
      <c r="H80" s="339">
        <f t="shared" si="42"/>
        <v>0.10150000000000001</v>
      </c>
      <c r="I80" s="337">
        <f>IF(MOD(MONTH(B80),3)=0,(IF($B$4=1,0,SUMIF(Assumptions!$H$173:$U$173,'Debt repayment Schedule'!C80,Assumptions!$H$183:$U$183)/4)),0)</f>
        <v>0</v>
      </c>
      <c r="J80" s="336">
        <f t="shared" si="52"/>
        <v>1.8246446386750446</v>
      </c>
      <c r="K80" s="260"/>
      <c r="L80" s="338">
        <f t="shared" si="53"/>
        <v>46691</v>
      </c>
      <c r="M80" s="210">
        <f t="shared" si="79"/>
        <v>46843</v>
      </c>
      <c r="N80" s="335">
        <f t="shared" si="76"/>
        <v>11.562204895409986</v>
      </c>
      <c r="O80" s="1382">
        <f t="shared" si="48"/>
        <v>0</v>
      </c>
      <c r="P80" s="335">
        <f t="shared" ref="P80:P136" si="82">N80-O80</f>
        <v>11.562204895409986</v>
      </c>
      <c r="Q80" s="335">
        <f t="shared" si="60"/>
        <v>9.9672541653171312E-2</v>
      </c>
      <c r="R80" s="339">
        <f t="shared" si="43"/>
        <v>0.10150000000000001</v>
      </c>
      <c r="S80" s="1282">
        <f>IF(MOD(MONTH(L80),3)=0,IF($B$4=1,0,SUMIF(Assumptions!$H$173:$U$173,'Debt repayment Schedule'!M80,Assumptions!$H$184:$U$184)/4),0)</f>
        <v>0</v>
      </c>
      <c r="T80" s="336">
        <f t="shared" si="54"/>
        <v>9.9672541653171312E-2</v>
      </c>
      <c r="U80" s="260"/>
      <c r="V80" s="210">
        <f t="shared" si="61"/>
        <v>46691</v>
      </c>
      <c r="W80" s="210">
        <f t="shared" si="80"/>
        <v>46843</v>
      </c>
      <c r="X80" s="335">
        <f t="shared" si="77"/>
        <v>260.0354958809404</v>
      </c>
      <c r="Y80" s="1382">
        <f t="shared" si="55"/>
        <v>0</v>
      </c>
      <c r="Z80" s="335">
        <f t="shared" si="56"/>
        <v>260.0354958809404</v>
      </c>
      <c r="AA80" s="335">
        <f t="shared" si="62"/>
        <v>2.2747762694461442</v>
      </c>
      <c r="AB80" s="339">
        <f t="shared" si="44"/>
        <v>0.10299999999999999</v>
      </c>
      <c r="AC80" s="337">
        <f>IF(MOD(MONTH(V80),3)=0,IF($B$4=1,0,SUMIF(Assumptions!$H$173:$U$173,'Debt repayment Schedule'!C80,Assumptions!$H$185:$U$185)/4),0)</f>
        <v>0</v>
      </c>
      <c r="AD80" s="336">
        <f t="shared" si="57"/>
        <v>2.2747762694461442</v>
      </c>
      <c r="AE80" s="260"/>
      <c r="AF80" s="210">
        <f t="shared" si="63"/>
        <v>46691</v>
      </c>
      <c r="AG80" s="210">
        <f t="shared" si="64"/>
        <v>46843</v>
      </c>
      <c r="AH80" s="335">
        <f t="shared" si="65"/>
        <v>21.976715454719994</v>
      </c>
      <c r="AI80" s="1382">
        <f t="shared" si="66"/>
        <v>0</v>
      </c>
      <c r="AJ80" s="335">
        <f t="shared" si="67"/>
        <v>21.976715454719994</v>
      </c>
      <c r="AK80" s="335">
        <f t="shared" si="68"/>
        <v>0</v>
      </c>
      <c r="AL80" s="339">
        <f t="shared" si="45"/>
        <v>0</v>
      </c>
      <c r="AM80" s="337">
        <f>IF(MOD(MONTH(AF80),3)=0,IF($B$4=1,0,SUMIF(Assumptions!$H$173:$U$173,'Debt repayment Schedule'!M80,Assumptions!$H$185:$U$185)/4),0)</f>
        <v>0</v>
      </c>
      <c r="AN80" s="336">
        <f t="shared" si="69"/>
        <v>0</v>
      </c>
      <c r="AO80" s="260"/>
      <c r="AP80" s="210">
        <f t="shared" si="70"/>
        <v>46691</v>
      </c>
      <c r="AQ80" s="210">
        <f t="shared" si="81"/>
        <v>46843</v>
      </c>
      <c r="AR80" s="335">
        <f t="shared" si="71"/>
        <v>0</v>
      </c>
      <c r="AS80" s="335">
        <f t="shared" si="72"/>
        <v>0</v>
      </c>
      <c r="AT80" s="616">
        <f t="shared" si="73"/>
        <v>0</v>
      </c>
      <c r="AU80" s="335">
        <f t="shared" si="74"/>
        <v>0</v>
      </c>
      <c r="AV80" s="339">
        <f t="shared" si="46"/>
        <v>0.10299999999999999</v>
      </c>
      <c r="AW80" s="337">
        <f>IF(MOD(MONTH(AP80),3)=0,IF($B$4=1,0,SUMIF(Assumptions!$H$173:$U$173,'Debt repayment Schedule'!W80,Assumptions!$H$185:$U$185)/4),0)</f>
        <v>0</v>
      </c>
      <c r="AX80" s="336"/>
      <c r="AY80" s="260"/>
      <c r="AZ80" s="260">
        <f t="shared" si="75"/>
        <v>0</v>
      </c>
      <c r="BB80" s="260">
        <f t="shared" si="47"/>
        <v>4.1990934497743604</v>
      </c>
    </row>
    <row r="81" spans="2:56" x14ac:dyDescent="0.35">
      <c r="B81" s="210">
        <f t="shared" si="58"/>
        <v>46721</v>
      </c>
      <c r="C81" s="210">
        <f t="shared" si="78"/>
        <v>46843</v>
      </c>
      <c r="D81" s="335">
        <f t="shared" si="49"/>
        <v>211.66225746587995</v>
      </c>
      <c r="E81" s="336">
        <f t="shared" si="50"/>
        <v>0</v>
      </c>
      <c r="F81" s="335">
        <f t="shared" si="51"/>
        <v>211.66225746587995</v>
      </c>
      <c r="G81" s="335">
        <f t="shared" si="59"/>
        <v>1.7657851342016562</v>
      </c>
      <c r="H81" s="339">
        <f t="shared" si="42"/>
        <v>0.10150000000000001</v>
      </c>
      <c r="I81" s="337">
        <f>IF(MOD(MONTH(B81),3)=0,(IF($B$4=1,0,SUMIF(Assumptions!$H$173:$U$173,'Debt repayment Schedule'!C81,Assumptions!$H$183:$U$183)/4)),0)</f>
        <v>0</v>
      </c>
      <c r="J81" s="336">
        <f t="shared" si="52"/>
        <v>1.7657851342016562</v>
      </c>
      <c r="K81" s="260"/>
      <c r="L81" s="338">
        <f t="shared" si="53"/>
        <v>46721</v>
      </c>
      <c r="M81" s="210">
        <f t="shared" si="79"/>
        <v>46843</v>
      </c>
      <c r="N81" s="335">
        <f t="shared" si="76"/>
        <v>11.562204895409986</v>
      </c>
      <c r="O81" s="1382">
        <f t="shared" si="48"/>
        <v>0</v>
      </c>
      <c r="P81" s="335">
        <f t="shared" si="82"/>
        <v>11.562204895409986</v>
      </c>
      <c r="Q81" s="335">
        <f t="shared" si="60"/>
        <v>9.6457298374036743E-2</v>
      </c>
      <c r="R81" s="339">
        <f t="shared" si="43"/>
        <v>0.10150000000000001</v>
      </c>
      <c r="S81" s="1282">
        <f>IF(MOD(MONTH(L81),3)=0,IF($B$4=1,0,SUMIF(Assumptions!$H$173:$U$173,'Debt repayment Schedule'!M81,Assumptions!$H$184:$U$184)/4),0)</f>
        <v>0</v>
      </c>
      <c r="T81" s="336">
        <f t="shared" si="54"/>
        <v>9.6457298374036743E-2</v>
      </c>
      <c r="U81" s="260"/>
      <c r="V81" s="210">
        <f t="shared" si="61"/>
        <v>46721</v>
      </c>
      <c r="W81" s="210">
        <f t="shared" si="80"/>
        <v>46843</v>
      </c>
      <c r="X81" s="335">
        <f t="shared" si="77"/>
        <v>260.0354958809404</v>
      </c>
      <c r="Y81" s="1382">
        <f t="shared" si="55"/>
        <v>0</v>
      </c>
      <c r="Z81" s="335">
        <f t="shared" si="56"/>
        <v>260.0354958809404</v>
      </c>
      <c r="AA81" s="335">
        <f t="shared" si="62"/>
        <v>2.2013963897865914</v>
      </c>
      <c r="AB81" s="339">
        <f t="shared" si="44"/>
        <v>0.10299999999999999</v>
      </c>
      <c r="AC81" s="337">
        <f>IF(MOD(MONTH(V81),3)=0,IF($B$4=1,0,SUMIF(Assumptions!$H$173:$U$173,'Debt repayment Schedule'!C81,Assumptions!$H$185:$U$185)/4),0)</f>
        <v>0</v>
      </c>
      <c r="AD81" s="336">
        <f t="shared" si="57"/>
        <v>2.2013963897865914</v>
      </c>
      <c r="AE81" s="260"/>
      <c r="AF81" s="210">
        <f t="shared" si="63"/>
        <v>46721</v>
      </c>
      <c r="AG81" s="210">
        <f t="shared" si="64"/>
        <v>46843</v>
      </c>
      <c r="AH81" s="335">
        <f t="shared" si="65"/>
        <v>21.976715454719994</v>
      </c>
      <c r="AI81" s="1382">
        <f t="shared" si="66"/>
        <v>0</v>
      </c>
      <c r="AJ81" s="335">
        <f t="shared" si="67"/>
        <v>21.976715454719994</v>
      </c>
      <c r="AK81" s="335">
        <f t="shared" si="68"/>
        <v>0</v>
      </c>
      <c r="AL81" s="339">
        <f t="shared" si="45"/>
        <v>0</v>
      </c>
      <c r="AM81" s="337">
        <f>IF(MOD(MONTH(AF81),3)=0,IF($B$4=1,0,SUMIF(Assumptions!$H$173:$U$173,'Debt repayment Schedule'!M81,Assumptions!$H$185:$U$185)/4),0)</f>
        <v>0</v>
      </c>
      <c r="AN81" s="336">
        <f t="shared" si="69"/>
        <v>0</v>
      </c>
      <c r="AO81" s="260"/>
      <c r="AP81" s="210">
        <f t="shared" si="70"/>
        <v>46721</v>
      </c>
      <c r="AQ81" s="210">
        <f t="shared" si="81"/>
        <v>46843</v>
      </c>
      <c r="AR81" s="335">
        <f t="shared" si="71"/>
        <v>0</v>
      </c>
      <c r="AS81" s="335">
        <f t="shared" si="72"/>
        <v>0</v>
      </c>
      <c r="AT81" s="616">
        <f t="shared" si="73"/>
        <v>0</v>
      </c>
      <c r="AU81" s="335">
        <f t="shared" si="74"/>
        <v>0</v>
      </c>
      <c r="AV81" s="339">
        <f t="shared" si="46"/>
        <v>0.10299999999999999</v>
      </c>
      <c r="AW81" s="337">
        <f>IF(MOD(MONTH(AP81),3)=0,IF($B$4=1,0,SUMIF(Assumptions!$H$173:$U$173,'Debt repayment Schedule'!W81,Assumptions!$H$185:$U$185)/4),0)</f>
        <v>0</v>
      </c>
      <c r="AX81" s="336"/>
      <c r="AY81" s="260"/>
      <c r="AZ81" s="260">
        <f t="shared" si="75"/>
        <v>0</v>
      </c>
      <c r="BB81" s="260">
        <f t="shared" si="47"/>
        <v>4.0636388223622841</v>
      </c>
    </row>
    <row r="82" spans="2:56" x14ac:dyDescent="0.35">
      <c r="B82" s="210">
        <f t="shared" si="58"/>
        <v>46752</v>
      </c>
      <c r="C82" s="210">
        <f t="shared" si="78"/>
        <v>46843</v>
      </c>
      <c r="D82" s="335">
        <f t="shared" si="49"/>
        <v>211.66225746587995</v>
      </c>
      <c r="E82" s="336">
        <f t="shared" si="50"/>
        <v>21.708949483679998</v>
      </c>
      <c r="F82" s="335">
        <f t="shared" si="51"/>
        <v>189.95330798219996</v>
      </c>
      <c r="G82" s="335">
        <f t="shared" si="59"/>
        <v>1.8246446386750446</v>
      </c>
      <c r="H82" s="339">
        <f t="shared" si="42"/>
        <v>0.10150000000000001</v>
      </c>
      <c r="I82" s="337">
        <f>IF(MOD(MONTH(B82),3)=0,(IF($B$4=1,0,SUMIF(Assumptions!$H$173:$U$173,'Debt repayment Schedule'!C82,Assumptions!$H$183:$U$183)/4)),0)</f>
        <v>0.04</v>
      </c>
      <c r="J82" s="336">
        <f t="shared" si="52"/>
        <v>23.533594122355041</v>
      </c>
      <c r="K82" s="260"/>
      <c r="L82" s="338">
        <f t="shared" si="53"/>
        <v>46752</v>
      </c>
      <c r="M82" s="210">
        <f t="shared" si="79"/>
        <v>46843</v>
      </c>
      <c r="N82" s="335">
        <f t="shared" si="76"/>
        <v>11.562204895409986</v>
      </c>
      <c r="O82" s="1382">
        <f t="shared" si="48"/>
        <v>1.18586716876</v>
      </c>
      <c r="P82" s="335">
        <f t="shared" si="82"/>
        <v>10.376337726649986</v>
      </c>
      <c r="Q82" s="335">
        <f t="shared" si="60"/>
        <v>9.9672541653171312E-2</v>
      </c>
      <c r="R82" s="339">
        <f t="shared" si="43"/>
        <v>0.10150000000000001</v>
      </c>
      <c r="S82" s="1282">
        <f>IF(MOD(MONTH(L82),3)=0,IF($B$4=1,0,SUMIF(Assumptions!$H$173:$U$173,'Debt repayment Schedule'!M82,Assumptions!$H$184:$U$184)/4),0)</f>
        <v>0.04</v>
      </c>
      <c r="T82" s="336">
        <f t="shared" si="54"/>
        <v>1.2855397104131714</v>
      </c>
      <c r="U82" s="260"/>
      <c r="V82" s="210">
        <f t="shared" si="61"/>
        <v>46752</v>
      </c>
      <c r="W82" s="210">
        <f t="shared" si="80"/>
        <v>46843</v>
      </c>
      <c r="X82" s="335">
        <f t="shared" si="77"/>
        <v>260.0354958809404</v>
      </c>
      <c r="Y82" s="1382">
        <f t="shared" si="55"/>
        <v>26.670307269840002</v>
      </c>
      <c r="Z82" s="335">
        <f t="shared" si="56"/>
        <v>233.36518861110039</v>
      </c>
      <c r="AA82" s="335">
        <f t="shared" si="62"/>
        <v>2.2747762694461442</v>
      </c>
      <c r="AB82" s="339">
        <f t="shared" si="44"/>
        <v>0.10299999999999999</v>
      </c>
      <c r="AC82" s="337">
        <f>IF(MOD(MONTH(V82),3)=0,IF($B$4=1,0,SUMIF(Assumptions!$H$173:$U$173,'Debt repayment Schedule'!C82,Assumptions!$H$185:$U$185)/4),0)</f>
        <v>0.04</v>
      </c>
      <c r="AD82" s="336">
        <f t="shared" si="57"/>
        <v>28.945083539286145</v>
      </c>
      <c r="AE82" s="260"/>
      <c r="AF82" s="210">
        <f t="shared" si="63"/>
        <v>46752</v>
      </c>
      <c r="AG82" s="210">
        <f t="shared" si="64"/>
        <v>46843</v>
      </c>
      <c r="AH82" s="335">
        <f t="shared" si="65"/>
        <v>21.976715454719994</v>
      </c>
      <c r="AI82" s="1382">
        <f t="shared" si="66"/>
        <v>2.2540220979200001</v>
      </c>
      <c r="AJ82" s="335">
        <f t="shared" si="67"/>
        <v>19.722693356799994</v>
      </c>
      <c r="AK82" s="335">
        <f t="shared" si="68"/>
        <v>0</v>
      </c>
      <c r="AL82" s="339">
        <f t="shared" si="45"/>
        <v>0</v>
      </c>
      <c r="AM82" s="337">
        <f>IF(MOD(MONTH(AF82),3)=0,IF($B$4=1,0,SUMIF(Assumptions!$H$173:$U$173,'Debt repayment Schedule'!M82,Assumptions!$H$185:$U$185)/4),0)</f>
        <v>0.04</v>
      </c>
      <c r="AN82" s="336">
        <f t="shared" si="69"/>
        <v>2.2540220979200001</v>
      </c>
      <c r="AO82" s="260"/>
      <c r="AP82" s="210">
        <f t="shared" si="70"/>
        <v>46752</v>
      </c>
      <c r="AQ82" s="210">
        <f t="shared" si="81"/>
        <v>46843</v>
      </c>
      <c r="AR82" s="335">
        <f t="shared" si="71"/>
        <v>0</v>
      </c>
      <c r="AS82" s="335">
        <f t="shared" si="72"/>
        <v>0</v>
      </c>
      <c r="AT82" s="616">
        <f t="shared" si="73"/>
        <v>0</v>
      </c>
      <c r="AU82" s="335">
        <f t="shared" si="74"/>
        <v>0</v>
      </c>
      <c r="AV82" s="339">
        <f t="shared" si="46"/>
        <v>0.10299999999999999</v>
      </c>
      <c r="AW82" s="337">
        <f>IF(MOD(MONTH(AP82),3)=0,IF($B$4=1,0,SUMIF(Assumptions!$H$173:$U$173,'Debt repayment Schedule'!W82,Assumptions!$H$185:$U$185)/4),0)</f>
        <v>0.04</v>
      </c>
      <c r="AX82" s="336"/>
      <c r="AY82" s="260"/>
      <c r="AZ82" s="260">
        <f t="shared" si="75"/>
        <v>51.819146020200002</v>
      </c>
      <c r="BB82" s="260">
        <f t="shared" si="47"/>
        <v>4.1990934497743604</v>
      </c>
      <c r="BC82" s="260">
        <f>AZ82+SUM(BB80:BB82)</f>
        <v>64.280971742111007</v>
      </c>
      <c r="BD82" s="215"/>
    </row>
    <row r="83" spans="2:56" x14ac:dyDescent="0.35">
      <c r="B83" s="210">
        <f t="shared" si="58"/>
        <v>46783</v>
      </c>
      <c r="C83" s="210">
        <f t="shared" si="78"/>
        <v>46843</v>
      </c>
      <c r="D83" s="335">
        <f t="shared" si="49"/>
        <v>189.95330798219996</v>
      </c>
      <c r="E83" s="336">
        <f t="shared" si="50"/>
        <v>0</v>
      </c>
      <c r="F83" s="335">
        <f t="shared" si="51"/>
        <v>189.95330798219996</v>
      </c>
      <c r="G83" s="335">
        <f t="shared" si="59"/>
        <v>1.6375015988109376</v>
      </c>
      <c r="H83" s="339">
        <f t="shared" si="42"/>
        <v>0.10150000000000001</v>
      </c>
      <c r="I83" s="337">
        <f>IF(MOD(MONTH(B83),3)=0,(IF($B$4=1,0,SUMIF(Assumptions!$H$173:$U$173,'Debt repayment Schedule'!C83,Assumptions!$H$183:$U$183)/4)),0)</f>
        <v>0</v>
      </c>
      <c r="J83" s="336">
        <f t="shared" si="52"/>
        <v>1.6375015988109376</v>
      </c>
      <c r="K83" s="260"/>
      <c r="L83" s="338">
        <f t="shared" si="53"/>
        <v>46783</v>
      </c>
      <c r="M83" s="210">
        <f t="shared" si="79"/>
        <v>46843</v>
      </c>
      <c r="N83" s="335">
        <f t="shared" si="76"/>
        <v>10.376337726649986</v>
      </c>
      <c r="O83" s="1382">
        <f t="shared" si="48"/>
        <v>0</v>
      </c>
      <c r="P83" s="335">
        <f t="shared" si="82"/>
        <v>10.376337726649986</v>
      </c>
      <c r="Q83" s="335">
        <f t="shared" si="60"/>
        <v>8.9449716868230653E-2</v>
      </c>
      <c r="R83" s="339">
        <f t="shared" si="43"/>
        <v>0.10150000000000001</v>
      </c>
      <c r="S83" s="1282">
        <f>IF(MOD(MONTH(L83),3)=0,IF($B$4=1,0,SUMIF(Assumptions!$H$173:$U$173,'Debt repayment Schedule'!M83,Assumptions!$H$184:$U$184)/4),0)</f>
        <v>0</v>
      </c>
      <c r="T83" s="336">
        <f t="shared" si="54"/>
        <v>8.9449716868230653E-2</v>
      </c>
      <c r="U83" s="260"/>
      <c r="V83" s="210">
        <f t="shared" si="61"/>
        <v>46783</v>
      </c>
      <c r="W83" s="210">
        <f t="shared" si="80"/>
        <v>46843</v>
      </c>
      <c r="X83" s="335">
        <f t="shared" si="77"/>
        <v>233.36518861110039</v>
      </c>
      <c r="Y83" s="1382">
        <f t="shared" si="55"/>
        <v>0</v>
      </c>
      <c r="Z83" s="335">
        <f t="shared" si="56"/>
        <v>233.36518861110039</v>
      </c>
      <c r="AA83" s="335">
        <f t="shared" si="62"/>
        <v>2.0414658828362837</v>
      </c>
      <c r="AB83" s="339">
        <f t="shared" si="44"/>
        <v>0.10299999999999999</v>
      </c>
      <c r="AC83" s="337">
        <f>IF(MOD(MONTH(V83),3)=0,IF($B$4=1,0,SUMIF(Assumptions!$H$173:$U$173,'Debt repayment Schedule'!C83,Assumptions!$H$185:$U$185)/4),0)</f>
        <v>0</v>
      </c>
      <c r="AD83" s="336">
        <f t="shared" si="57"/>
        <v>2.0414658828362837</v>
      </c>
      <c r="AE83" s="260"/>
      <c r="AF83" s="210">
        <f t="shared" si="63"/>
        <v>46783</v>
      </c>
      <c r="AG83" s="210">
        <f t="shared" si="64"/>
        <v>46843</v>
      </c>
      <c r="AH83" s="335">
        <f t="shared" si="65"/>
        <v>19.722693356799994</v>
      </c>
      <c r="AI83" s="1382">
        <f t="shared" si="66"/>
        <v>0</v>
      </c>
      <c r="AJ83" s="335">
        <f t="shared" si="67"/>
        <v>19.722693356799994</v>
      </c>
      <c r="AK83" s="335">
        <f t="shared" si="68"/>
        <v>0</v>
      </c>
      <c r="AL83" s="339">
        <f t="shared" si="45"/>
        <v>0</v>
      </c>
      <c r="AM83" s="337">
        <f>IF(MOD(MONTH(AF83),3)=0,IF($B$4=1,0,SUMIF(Assumptions!$H$173:$U$173,'Debt repayment Schedule'!M83,Assumptions!$H$185:$U$185)/4),0)</f>
        <v>0</v>
      </c>
      <c r="AN83" s="336">
        <f t="shared" si="69"/>
        <v>0</v>
      </c>
      <c r="AO83" s="260"/>
      <c r="AP83" s="210">
        <f t="shared" si="70"/>
        <v>46783</v>
      </c>
      <c r="AQ83" s="210">
        <f t="shared" si="81"/>
        <v>46843</v>
      </c>
      <c r="AR83" s="335">
        <f t="shared" si="71"/>
        <v>0</v>
      </c>
      <c r="AS83" s="335">
        <f t="shared" si="72"/>
        <v>0</v>
      </c>
      <c r="AT83" s="616">
        <f t="shared" si="73"/>
        <v>0</v>
      </c>
      <c r="AU83" s="335">
        <f t="shared" si="74"/>
        <v>0</v>
      </c>
      <c r="AV83" s="339">
        <f t="shared" si="46"/>
        <v>0.10299999999999999</v>
      </c>
      <c r="AW83" s="337">
        <f>IF(MOD(MONTH(AP83),3)=0,IF($B$4=1,0,SUMIF(Assumptions!$H$173:$U$173,'Debt repayment Schedule'!W83,Assumptions!$H$185:$U$185)/4),0)</f>
        <v>0</v>
      </c>
      <c r="AX83" s="336"/>
      <c r="AY83" s="260"/>
      <c r="AZ83" s="260">
        <f t="shared" si="75"/>
        <v>0</v>
      </c>
      <c r="BB83" s="260">
        <f t="shared" si="47"/>
        <v>3.768417198515452</v>
      </c>
    </row>
    <row r="84" spans="2:56" x14ac:dyDescent="0.35">
      <c r="B84" s="210">
        <f t="shared" si="58"/>
        <v>46812</v>
      </c>
      <c r="C84" s="210">
        <f t="shared" si="78"/>
        <v>46843</v>
      </c>
      <c r="D84" s="335">
        <f t="shared" si="49"/>
        <v>189.95330798219996</v>
      </c>
      <c r="E84" s="336">
        <f t="shared" si="50"/>
        <v>0</v>
      </c>
      <c r="F84" s="335">
        <f t="shared" si="51"/>
        <v>189.95330798219996</v>
      </c>
      <c r="G84" s="335">
        <f t="shared" si="59"/>
        <v>1.5318563343715221</v>
      </c>
      <c r="H84" s="339">
        <f t="shared" si="42"/>
        <v>0.10150000000000001</v>
      </c>
      <c r="I84" s="337">
        <f>IF(MOD(MONTH(B84),3)=0,(IF($B$4=1,0,SUMIF(Assumptions!$H$173:$U$173,'Debt repayment Schedule'!C84,Assumptions!$H$183:$U$183)/4)),0)</f>
        <v>0</v>
      </c>
      <c r="J84" s="336">
        <f t="shared" si="52"/>
        <v>1.5318563343715221</v>
      </c>
      <c r="K84" s="260"/>
      <c r="L84" s="338">
        <f t="shared" si="53"/>
        <v>46812</v>
      </c>
      <c r="M84" s="210">
        <f t="shared" si="79"/>
        <v>46843</v>
      </c>
      <c r="N84" s="335">
        <f t="shared" si="76"/>
        <v>10.376337726649986</v>
      </c>
      <c r="O84" s="1382">
        <f t="shared" si="48"/>
        <v>0</v>
      </c>
      <c r="P84" s="335">
        <f t="shared" si="82"/>
        <v>10.376337726649986</v>
      </c>
      <c r="Q84" s="335">
        <f t="shared" si="60"/>
        <v>8.3678767392860925E-2</v>
      </c>
      <c r="R84" s="339">
        <f t="shared" si="43"/>
        <v>0.10150000000000001</v>
      </c>
      <c r="S84" s="1282">
        <f>IF(MOD(MONTH(L84),3)=0,IF($B$4=1,0,SUMIF(Assumptions!$H$173:$U$173,'Debt repayment Schedule'!M84,Assumptions!$H$184:$U$184)/4),0)</f>
        <v>0</v>
      </c>
      <c r="T84" s="336">
        <f t="shared" si="54"/>
        <v>8.3678767392860925E-2</v>
      </c>
      <c r="U84" s="260"/>
      <c r="V84" s="210">
        <f t="shared" si="61"/>
        <v>46812</v>
      </c>
      <c r="W84" s="210">
        <f t="shared" si="80"/>
        <v>46843</v>
      </c>
      <c r="X84" s="335">
        <f t="shared" si="77"/>
        <v>233.36518861110039</v>
      </c>
      <c r="Y84" s="1382">
        <f t="shared" si="55"/>
        <v>0</v>
      </c>
      <c r="Z84" s="335">
        <f t="shared" si="56"/>
        <v>233.36518861110039</v>
      </c>
      <c r="AA84" s="335">
        <f t="shared" si="62"/>
        <v>1.9097584065242652</v>
      </c>
      <c r="AB84" s="339">
        <f t="shared" si="44"/>
        <v>0.10299999999999999</v>
      </c>
      <c r="AC84" s="337">
        <f>IF(MOD(MONTH(V84),3)=0,IF($B$4=1,0,SUMIF(Assumptions!$H$173:$U$173,'Debt repayment Schedule'!C84,Assumptions!$H$185:$U$185)/4),0)</f>
        <v>0</v>
      </c>
      <c r="AD84" s="336">
        <f t="shared" si="57"/>
        <v>1.9097584065242652</v>
      </c>
      <c r="AE84" s="260"/>
      <c r="AF84" s="210">
        <f t="shared" si="63"/>
        <v>46812</v>
      </c>
      <c r="AG84" s="210">
        <f t="shared" si="64"/>
        <v>46843</v>
      </c>
      <c r="AH84" s="335">
        <f t="shared" si="65"/>
        <v>19.722693356799994</v>
      </c>
      <c r="AI84" s="1382">
        <f t="shared" si="66"/>
        <v>0</v>
      </c>
      <c r="AJ84" s="335">
        <f t="shared" si="67"/>
        <v>19.722693356799994</v>
      </c>
      <c r="AK84" s="335">
        <f t="shared" si="68"/>
        <v>0</v>
      </c>
      <c r="AL84" s="339">
        <f t="shared" si="45"/>
        <v>0</v>
      </c>
      <c r="AM84" s="337">
        <f>IF(MOD(MONTH(AF84),3)=0,IF($B$4=1,0,SUMIF(Assumptions!$H$173:$U$173,'Debt repayment Schedule'!M84,Assumptions!$H$185:$U$185)/4),0)</f>
        <v>0</v>
      </c>
      <c r="AN84" s="336">
        <f t="shared" si="69"/>
        <v>0</v>
      </c>
      <c r="AO84" s="260"/>
      <c r="AP84" s="210">
        <f t="shared" si="70"/>
        <v>46812</v>
      </c>
      <c r="AQ84" s="210">
        <f t="shared" si="81"/>
        <v>46843</v>
      </c>
      <c r="AR84" s="335">
        <f t="shared" si="71"/>
        <v>0</v>
      </c>
      <c r="AS84" s="335">
        <f t="shared" si="72"/>
        <v>0</v>
      </c>
      <c r="AT84" s="616">
        <f t="shared" si="73"/>
        <v>0</v>
      </c>
      <c r="AU84" s="335">
        <f t="shared" si="74"/>
        <v>0</v>
      </c>
      <c r="AV84" s="339">
        <f t="shared" si="46"/>
        <v>0.10299999999999999</v>
      </c>
      <c r="AW84" s="337">
        <f>IF(MOD(MONTH(AP84),3)=0,IF($B$4=1,0,SUMIF(Assumptions!$H$173:$U$173,'Debt repayment Schedule'!W84,Assumptions!$H$185:$U$185)/4),0)</f>
        <v>0</v>
      </c>
      <c r="AX84" s="336"/>
      <c r="AY84" s="260"/>
      <c r="AZ84" s="260">
        <f t="shared" si="75"/>
        <v>0</v>
      </c>
      <c r="BB84" s="260">
        <f t="shared" si="47"/>
        <v>3.5252935082886481</v>
      </c>
    </row>
    <row r="85" spans="2:56" x14ac:dyDescent="0.35">
      <c r="B85" s="210">
        <f t="shared" si="58"/>
        <v>46843</v>
      </c>
      <c r="C85" s="210">
        <f t="shared" si="78"/>
        <v>46843</v>
      </c>
      <c r="D85" s="335">
        <f t="shared" si="49"/>
        <v>189.95330798219996</v>
      </c>
      <c r="E85" s="336">
        <f t="shared" si="50"/>
        <v>21.708949483679998</v>
      </c>
      <c r="F85" s="335">
        <f t="shared" si="51"/>
        <v>168.24435849851997</v>
      </c>
      <c r="G85" s="335">
        <f t="shared" si="59"/>
        <v>1.6375015988109376</v>
      </c>
      <c r="H85" s="339">
        <f t="shared" ref="H85:H136" si="83">H84</f>
        <v>0.10150000000000001</v>
      </c>
      <c r="I85" s="337">
        <f>IF(MOD(MONTH(B85),3)=0,(IF($B$4=1,0,SUMIF(Assumptions!$H$173:$U$173,'Debt repayment Schedule'!C85,Assumptions!$H$183:$U$183)/4)),0)</f>
        <v>0.04</v>
      </c>
      <c r="J85" s="336">
        <f t="shared" si="52"/>
        <v>23.346451082490937</v>
      </c>
      <c r="K85" s="260"/>
      <c r="L85" s="338">
        <f t="shared" si="53"/>
        <v>46843</v>
      </c>
      <c r="M85" s="210">
        <f t="shared" si="79"/>
        <v>46843</v>
      </c>
      <c r="N85" s="335">
        <f t="shared" si="76"/>
        <v>10.376337726649986</v>
      </c>
      <c r="O85" s="1382">
        <f t="shared" si="48"/>
        <v>1.18586716876</v>
      </c>
      <c r="P85" s="335">
        <f t="shared" si="82"/>
        <v>9.1904705578899861</v>
      </c>
      <c r="Q85" s="335">
        <f t="shared" si="60"/>
        <v>8.9449716868230653E-2</v>
      </c>
      <c r="R85" s="339">
        <f t="shared" ref="R85:R136" si="84">R84</f>
        <v>0.10150000000000001</v>
      </c>
      <c r="S85" s="1282">
        <f>IF(MOD(MONTH(L85),3)=0,IF($B$4=1,0,SUMIF(Assumptions!$H$173:$U$173,'Debt repayment Schedule'!M85,Assumptions!$H$184:$U$184)/4),0)</f>
        <v>0.04</v>
      </c>
      <c r="T85" s="336">
        <f t="shared" si="54"/>
        <v>1.2753168856282306</v>
      </c>
      <c r="U85" s="260"/>
      <c r="V85" s="210">
        <f t="shared" si="61"/>
        <v>46843</v>
      </c>
      <c r="W85" s="210">
        <f t="shared" si="80"/>
        <v>46843</v>
      </c>
      <c r="X85" s="335">
        <f t="shared" si="77"/>
        <v>233.36518861110039</v>
      </c>
      <c r="Y85" s="1382">
        <f t="shared" si="55"/>
        <v>26.670307269840002</v>
      </c>
      <c r="Z85" s="335">
        <f t="shared" si="56"/>
        <v>206.69488134126038</v>
      </c>
      <c r="AA85" s="335">
        <f t="shared" si="62"/>
        <v>2.0414658828362837</v>
      </c>
      <c r="AB85" s="339">
        <f t="shared" ref="AB85:AB136" si="85">AB84</f>
        <v>0.10299999999999999</v>
      </c>
      <c r="AC85" s="337">
        <f>IF(MOD(MONTH(V85),3)=0,IF($B$4=1,0,SUMIF(Assumptions!$H$173:$U$173,'Debt repayment Schedule'!C85,Assumptions!$H$185:$U$185)/4),0)</f>
        <v>0.04</v>
      </c>
      <c r="AD85" s="336">
        <f t="shared" si="57"/>
        <v>28.711773152676287</v>
      </c>
      <c r="AE85" s="260"/>
      <c r="AF85" s="210">
        <f t="shared" si="63"/>
        <v>46843</v>
      </c>
      <c r="AG85" s="210">
        <f t="shared" si="64"/>
        <v>46843</v>
      </c>
      <c r="AH85" s="335">
        <f t="shared" si="65"/>
        <v>19.722693356799994</v>
      </c>
      <c r="AI85" s="1382">
        <f t="shared" si="66"/>
        <v>2.2540220979200001</v>
      </c>
      <c r="AJ85" s="335">
        <f t="shared" si="67"/>
        <v>17.468671258879994</v>
      </c>
      <c r="AK85" s="335">
        <f t="shared" si="68"/>
        <v>0</v>
      </c>
      <c r="AL85" s="339">
        <f t="shared" ref="AL85:AL136" si="86">AL84</f>
        <v>0</v>
      </c>
      <c r="AM85" s="337">
        <f>IF(MOD(MONTH(AF85),3)=0,IF($B$4=1,0,SUMIF(Assumptions!$H$173:$U$173,'Debt repayment Schedule'!M85,Assumptions!$H$185:$U$185)/4),0)</f>
        <v>0.04</v>
      </c>
      <c r="AN85" s="336">
        <f t="shared" si="69"/>
        <v>2.2540220979200001</v>
      </c>
      <c r="AO85" s="260"/>
      <c r="AP85" s="210">
        <f t="shared" si="70"/>
        <v>46843</v>
      </c>
      <c r="AQ85" s="210">
        <f t="shared" si="81"/>
        <v>46843</v>
      </c>
      <c r="AR85" s="335">
        <f t="shared" si="71"/>
        <v>0</v>
      </c>
      <c r="AS85" s="335">
        <f t="shared" si="72"/>
        <v>0</v>
      </c>
      <c r="AT85" s="616">
        <f t="shared" si="73"/>
        <v>0</v>
      </c>
      <c r="AU85" s="335">
        <f t="shared" si="74"/>
        <v>0</v>
      </c>
      <c r="AV85" s="339">
        <f t="shared" ref="AV85:AV136" si="87">AV84</f>
        <v>0.10299999999999999</v>
      </c>
      <c r="AW85" s="337">
        <f>IF(MOD(MONTH(AP85),3)=0,IF($B$4=1,0,SUMIF(Assumptions!$H$173:$U$173,'Debt repayment Schedule'!W85,Assumptions!$H$185:$U$185)/4),0)</f>
        <v>0.04</v>
      </c>
      <c r="AX85" s="336"/>
      <c r="AY85" s="260"/>
      <c r="AZ85" s="260">
        <f t="shared" si="75"/>
        <v>51.819146020200002</v>
      </c>
      <c r="BB85" s="260">
        <f t="shared" si="47"/>
        <v>3.768417198515452</v>
      </c>
      <c r="BC85" s="260">
        <f>AZ85+SUM(BB83:BB85)</f>
        <v>62.881273925519551</v>
      </c>
      <c r="BD85" s="215">
        <f>BC88</f>
        <v>61.617030736340176</v>
      </c>
    </row>
    <row r="86" spans="2:56" x14ac:dyDescent="0.35">
      <c r="B86" s="210">
        <f t="shared" si="58"/>
        <v>46873</v>
      </c>
      <c r="C86" s="210">
        <f t="shared" si="78"/>
        <v>47208</v>
      </c>
      <c r="D86" s="335">
        <f t="shared" si="49"/>
        <v>168.24435849851997</v>
      </c>
      <c r="E86" s="336">
        <f t="shared" si="50"/>
        <v>0</v>
      </c>
      <c r="F86" s="335">
        <f t="shared" si="51"/>
        <v>168.24435849851997</v>
      </c>
      <c r="G86" s="335">
        <f t="shared" si="59"/>
        <v>1.4035727989808036</v>
      </c>
      <c r="H86" s="339">
        <f t="shared" si="83"/>
        <v>0.10150000000000001</v>
      </c>
      <c r="I86" s="337">
        <f>IF(MOD(MONTH(B86),3)=0,(IF($B$4=1,0,SUMIF(Assumptions!$H$173:$U$173,'Debt repayment Schedule'!C86,Assumptions!$H$183:$U$183)/4)),0)</f>
        <v>0</v>
      </c>
      <c r="J86" s="336">
        <f t="shared" si="52"/>
        <v>1.4035727989808036</v>
      </c>
      <c r="K86" s="260"/>
      <c r="L86" s="338">
        <f t="shared" si="53"/>
        <v>46873</v>
      </c>
      <c r="M86" s="210">
        <f t="shared" si="79"/>
        <v>47208</v>
      </c>
      <c r="N86" s="335">
        <f t="shared" si="76"/>
        <v>9.1904705578899861</v>
      </c>
      <c r="O86" s="1382">
        <f t="shared" si="48"/>
        <v>0</v>
      </c>
      <c r="P86" s="335">
        <f t="shared" si="82"/>
        <v>9.1904705578899861</v>
      </c>
      <c r="Q86" s="335">
        <f t="shared" si="60"/>
        <v>7.6671185887054821E-2</v>
      </c>
      <c r="R86" s="339">
        <f t="shared" si="84"/>
        <v>0.10150000000000001</v>
      </c>
      <c r="S86" s="1282">
        <f>IF(MOD(MONTH(L86),3)=0,IF($B$4=1,0,SUMIF(Assumptions!$H$173:$U$173,'Debt repayment Schedule'!M86,Assumptions!$H$184:$U$184)/4),0)</f>
        <v>0</v>
      </c>
      <c r="T86" s="336">
        <f t="shared" si="54"/>
        <v>7.6671185887054821E-2</v>
      </c>
      <c r="U86" s="260"/>
      <c r="V86" s="210">
        <f t="shared" si="61"/>
        <v>46873</v>
      </c>
      <c r="W86" s="210">
        <f t="shared" si="80"/>
        <v>47208</v>
      </c>
      <c r="X86" s="335">
        <f t="shared" si="77"/>
        <v>206.69488134126038</v>
      </c>
      <c r="Y86" s="1382">
        <f t="shared" si="55"/>
        <v>0</v>
      </c>
      <c r="Z86" s="335">
        <f t="shared" si="56"/>
        <v>206.69488134126038</v>
      </c>
      <c r="AA86" s="335">
        <f t="shared" si="62"/>
        <v>1.7498278995739576</v>
      </c>
      <c r="AB86" s="339">
        <f t="shared" si="85"/>
        <v>0.10299999999999999</v>
      </c>
      <c r="AC86" s="337">
        <f>IF(MOD(MONTH(V86),3)=0,IF($B$4=1,0,SUMIF(Assumptions!$H$173:$U$173,'Debt repayment Schedule'!C86,Assumptions!$H$185:$U$185)/4),0)</f>
        <v>0</v>
      </c>
      <c r="AD86" s="336">
        <f t="shared" si="57"/>
        <v>1.7498278995739576</v>
      </c>
      <c r="AE86" s="260"/>
      <c r="AF86" s="210">
        <f t="shared" si="63"/>
        <v>46873</v>
      </c>
      <c r="AG86" s="210">
        <f t="shared" si="64"/>
        <v>47208</v>
      </c>
      <c r="AH86" s="335">
        <f t="shared" si="65"/>
        <v>17.468671258879994</v>
      </c>
      <c r="AI86" s="1382">
        <f t="shared" si="66"/>
        <v>0</v>
      </c>
      <c r="AJ86" s="335">
        <f t="shared" si="67"/>
        <v>17.468671258879994</v>
      </c>
      <c r="AK86" s="335">
        <f t="shared" si="68"/>
        <v>0</v>
      </c>
      <c r="AL86" s="339">
        <f t="shared" si="86"/>
        <v>0</v>
      </c>
      <c r="AM86" s="337">
        <f>IF(MOD(MONTH(AF86),3)=0,IF($B$4=1,0,SUMIF(Assumptions!$H$173:$U$173,'Debt repayment Schedule'!M86,Assumptions!$H$185:$U$185)/4),0)</f>
        <v>0</v>
      </c>
      <c r="AN86" s="336">
        <f t="shared" si="69"/>
        <v>0</v>
      </c>
      <c r="AO86" s="260"/>
      <c r="AP86" s="210">
        <f t="shared" si="70"/>
        <v>46873</v>
      </c>
      <c r="AQ86" s="210">
        <f t="shared" si="81"/>
        <v>47208</v>
      </c>
      <c r="AR86" s="335">
        <f t="shared" si="71"/>
        <v>0</v>
      </c>
      <c r="AS86" s="335">
        <f t="shared" si="72"/>
        <v>0</v>
      </c>
      <c r="AT86" s="616">
        <f t="shared" si="73"/>
        <v>0</v>
      </c>
      <c r="AU86" s="335">
        <f t="shared" si="74"/>
        <v>0</v>
      </c>
      <c r="AV86" s="339">
        <f t="shared" si="87"/>
        <v>0.10299999999999999</v>
      </c>
      <c r="AW86" s="337">
        <f>IF(MOD(MONTH(AP86),3)=0,IF($B$4=1,0,SUMIF(Assumptions!$H$173:$U$173,'Debt repayment Schedule'!W86,Assumptions!$H$185:$U$185)/4),0)</f>
        <v>0</v>
      </c>
      <c r="AX86" s="336"/>
      <c r="AY86" s="260"/>
      <c r="AZ86" s="260">
        <f t="shared" si="75"/>
        <v>0</v>
      </c>
      <c r="BB86" s="260">
        <f t="shared" si="47"/>
        <v>3.2300718844418159</v>
      </c>
    </row>
    <row r="87" spans="2:56" x14ac:dyDescent="0.35">
      <c r="B87" s="210">
        <f t="shared" si="58"/>
        <v>46904</v>
      </c>
      <c r="C87" s="210">
        <f t="shared" si="78"/>
        <v>47208</v>
      </c>
      <c r="D87" s="335">
        <f t="shared" si="49"/>
        <v>168.24435849851997</v>
      </c>
      <c r="E87" s="336">
        <f t="shared" si="50"/>
        <v>0</v>
      </c>
      <c r="F87" s="335">
        <f t="shared" si="51"/>
        <v>168.24435849851997</v>
      </c>
      <c r="G87" s="335">
        <f t="shared" si="59"/>
        <v>1.4503585589468304</v>
      </c>
      <c r="H87" s="339">
        <f t="shared" si="83"/>
        <v>0.10150000000000001</v>
      </c>
      <c r="I87" s="337">
        <f>IF(MOD(MONTH(B87),3)=0,(IF($B$4=1,0,SUMIF(Assumptions!$H$173:$U$173,'Debt repayment Schedule'!C87,Assumptions!$H$183:$U$183)/4)),0)</f>
        <v>0</v>
      </c>
      <c r="J87" s="336">
        <f t="shared" si="52"/>
        <v>1.4503585589468304</v>
      </c>
      <c r="K87" s="260"/>
      <c r="L87" s="338">
        <f t="shared" si="53"/>
        <v>46904</v>
      </c>
      <c r="M87" s="210">
        <f t="shared" si="79"/>
        <v>47208</v>
      </c>
      <c r="N87" s="335">
        <f t="shared" si="76"/>
        <v>9.1904705578899861</v>
      </c>
      <c r="O87" s="1382">
        <f t="shared" si="48"/>
        <v>0</v>
      </c>
      <c r="P87" s="335">
        <f t="shared" si="82"/>
        <v>9.1904705578899861</v>
      </c>
      <c r="Q87" s="335">
        <f t="shared" si="60"/>
        <v>7.9226892083289979E-2</v>
      </c>
      <c r="R87" s="339">
        <f t="shared" si="84"/>
        <v>0.10150000000000001</v>
      </c>
      <c r="S87" s="1282">
        <f>IF(MOD(MONTH(L87),3)=0,IF($B$4=1,0,SUMIF(Assumptions!$H$173:$U$173,'Debt repayment Schedule'!M87,Assumptions!$H$184:$U$184)/4),0)</f>
        <v>0</v>
      </c>
      <c r="T87" s="336">
        <f t="shared" si="54"/>
        <v>7.9226892083289979E-2</v>
      </c>
      <c r="U87" s="260"/>
      <c r="V87" s="210">
        <f t="shared" si="61"/>
        <v>46904</v>
      </c>
      <c r="W87" s="210">
        <f t="shared" si="80"/>
        <v>47208</v>
      </c>
      <c r="X87" s="335">
        <f t="shared" si="77"/>
        <v>206.69488134126038</v>
      </c>
      <c r="Y87" s="1382">
        <f t="shared" si="55"/>
        <v>0</v>
      </c>
      <c r="Z87" s="335">
        <f t="shared" si="56"/>
        <v>206.69488134126038</v>
      </c>
      <c r="AA87" s="335">
        <f t="shared" si="62"/>
        <v>1.8081554962264228</v>
      </c>
      <c r="AB87" s="339">
        <f t="shared" si="85"/>
        <v>0.10299999999999999</v>
      </c>
      <c r="AC87" s="337">
        <f>IF(MOD(MONTH(V87),3)=0,IF($B$4=1,0,SUMIF(Assumptions!$H$173:$U$173,'Debt repayment Schedule'!C87,Assumptions!$H$185:$U$185)/4),0)</f>
        <v>0</v>
      </c>
      <c r="AD87" s="336">
        <f t="shared" si="57"/>
        <v>1.8081554962264228</v>
      </c>
      <c r="AE87" s="260"/>
      <c r="AF87" s="210">
        <f t="shared" si="63"/>
        <v>46904</v>
      </c>
      <c r="AG87" s="210">
        <f t="shared" si="64"/>
        <v>47208</v>
      </c>
      <c r="AH87" s="335">
        <f t="shared" si="65"/>
        <v>17.468671258879994</v>
      </c>
      <c r="AI87" s="1382">
        <f t="shared" si="66"/>
        <v>0</v>
      </c>
      <c r="AJ87" s="335">
        <f t="shared" si="67"/>
        <v>17.468671258879994</v>
      </c>
      <c r="AK87" s="335">
        <f t="shared" si="68"/>
        <v>0</v>
      </c>
      <c r="AL87" s="339">
        <f t="shared" si="86"/>
        <v>0</v>
      </c>
      <c r="AM87" s="337">
        <f>IF(MOD(MONTH(AF87),3)=0,IF($B$4=1,0,SUMIF(Assumptions!$H$173:$U$173,'Debt repayment Schedule'!M87,Assumptions!$H$185:$U$185)/4),0)</f>
        <v>0</v>
      </c>
      <c r="AN87" s="336">
        <f t="shared" si="69"/>
        <v>0</v>
      </c>
      <c r="AO87" s="260"/>
      <c r="AP87" s="210">
        <f t="shared" si="70"/>
        <v>46904</v>
      </c>
      <c r="AQ87" s="210">
        <f t="shared" si="81"/>
        <v>47208</v>
      </c>
      <c r="AR87" s="335">
        <f t="shared" si="71"/>
        <v>0</v>
      </c>
      <c r="AS87" s="335">
        <f t="shared" si="72"/>
        <v>0</v>
      </c>
      <c r="AT87" s="616">
        <f t="shared" si="73"/>
        <v>0</v>
      </c>
      <c r="AU87" s="335">
        <f t="shared" si="74"/>
        <v>0</v>
      </c>
      <c r="AV87" s="339">
        <f t="shared" si="87"/>
        <v>0.10299999999999999</v>
      </c>
      <c r="AW87" s="337">
        <f>IF(MOD(MONTH(AP87),3)=0,IF($B$4=1,0,SUMIF(Assumptions!$H$173:$U$173,'Debt repayment Schedule'!W87,Assumptions!$H$185:$U$185)/4),0)</f>
        <v>0</v>
      </c>
      <c r="AX87" s="336"/>
      <c r="AY87" s="260"/>
      <c r="AZ87" s="260">
        <f t="shared" si="75"/>
        <v>0</v>
      </c>
      <c r="BB87" s="260">
        <f t="shared" si="47"/>
        <v>3.3377409472565431</v>
      </c>
    </row>
    <row r="88" spans="2:56" x14ac:dyDescent="0.35">
      <c r="B88" s="210">
        <f t="shared" si="58"/>
        <v>46934</v>
      </c>
      <c r="C88" s="210">
        <f t="shared" si="78"/>
        <v>47208</v>
      </c>
      <c r="D88" s="335">
        <f t="shared" si="49"/>
        <v>168.24435849851997</v>
      </c>
      <c r="E88" s="336">
        <f t="shared" si="50"/>
        <v>21.708949483679998</v>
      </c>
      <c r="F88" s="335">
        <f t="shared" si="51"/>
        <v>146.53540901483998</v>
      </c>
      <c r="G88" s="335">
        <f t="shared" si="59"/>
        <v>1.4035727989808036</v>
      </c>
      <c r="H88" s="339">
        <f t="shared" si="83"/>
        <v>0.10150000000000001</v>
      </c>
      <c r="I88" s="337">
        <f>IF(MOD(MONTH(B88),3)=0,(IF($B$4=1,0,SUMIF(Assumptions!$H$173:$U$173,'Debt repayment Schedule'!C88,Assumptions!$H$183:$U$183)/4)),0)</f>
        <v>0.04</v>
      </c>
      <c r="J88" s="336">
        <f t="shared" si="52"/>
        <v>23.112522282660802</v>
      </c>
      <c r="K88" s="260"/>
      <c r="L88" s="338">
        <f t="shared" si="53"/>
        <v>46934</v>
      </c>
      <c r="M88" s="210">
        <f t="shared" si="79"/>
        <v>47208</v>
      </c>
      <c r="N88" s="335">
        <f t="shared" si="76"/>
        <v>9.1904705578899861</v>
      </c>
      <c r="O88" s="1382">
        <f t="shared" si="48"/>
        <v>1.18586716876</v>
      </c>
      <c r="P88" s="335">
        <f t="shared" si="82"/>
        <v>8.0046033891299864</v>
      </c>
      <c r="Q88" s="335">
        <f t="shared" si="60"/>
        <v>7.6671185887054821E-2</v>
      </c>
      <c r="R88" s="339">
        <f t="shared" si="84"/>
        <v>0.10150000000000001</v>
      </c>
      <c r="S88" s="1282">
        <f>IF(MOD(MONTH(L88),3)=0,IF($B$4=1,0,SUMIF(Assumptions!$H$173:$U$173,'Debt repayment Schedule'!M88,Assumptions!$H$184:$U$184)/4),0)</f>
        <v>0.04</v>
      </c>
      <c r="T88" s="336">
        <f t="shared" si="54"/>
        <v>1.2625383546470548</v>
      </c>
      <c r="U88" s="260"/>
      <c r="V88" s="210">
        <f t="shared" si="61"/>
        <v>46934</v>
      </c>
      <c r="W88" s="210">
        <f t="shared" si="80"/>
        <v>47208</v>
      </c>
      <c r="X88" s="335">
        <f t="shared" si="77"/>
        <v>206.69488134126038</v>
      </c>
      <c r="Y88" s="1382">
        <f t="shared" si="55"/>
        <v>26.670307269840002</v>
      </c>
      <c r="Z88" s="335">
        <f t="shared" si="56"/>
        <v>180.02457407142037</v>
      </c>
      <c r="AA88" s="335">
        <f t="shared" si="62"/>
        <v>1.7498278995739576</v>
      </c>
      <c r="AB88" s="339">
        <f t="shared" si="85"/>
        <v>0.10299999999999999</v>
      </c>
      <c r="AC88" s="337">
        <f>IF(MOD(MONTH(V88),3)=0,IF($B$4=1,0,SUMIF(Assumptions!$H$173:$U$173,'Debt repayment Schedule'!C88,Assumptions!$H$185:$U$185)/4),0)</f>
        <v>0.04</v>
      </c>
      <c r="AD88" s="336">
        <f t="shared" si="57"/>
        <v>28.42013516941396</v>
      </c>
      <c r="AE88" s="260"/>
      <c r="AF88" s="210">
        <f t="shared" si="63"/>
        <v>46934</v>
      </c>
      <c r="AG88" s="210">
        <f t="shared" si="64"/>
        <v>47208</v>
      </c>
      <c r="AH88" s="335">
        <f t="shared" si="65"/>
        <v>17.468671258879994</v>
      </c>
      <c r="AI88" s="1382">
        <f t="shared" si="66"/>
        <v>2.2540220979200001</v>
      </c>
      <c r="AJ88" s="335">
        <f t="shared" si="67"/>
        <v>15.214649160959993</v>
      </c>
      <c r="AK88" s="335">
        <f t="shared" si="68"/>
        <v>0</v>
      </c>
      <c r="AL88" s="339">
        <f t="shared" si="86"/>
        <v>0</v>
      </c>
      <c r="AM88" s="337">
        <f>IF(MOD(MONTH(AF88),3)=0,IF($B$4=1,0,SUMIF(Assumptions!$H$173:$U$173,'Debt repayment Schedule'!M88,Assumptions!$H$185:$U$185)/4),0)</f>
        <v>0.04</v>
      </c>
      <c r="AN88" s="336">
        <f t="shared" si="69"/>
        <v>2.2540220979200001</v>
      </c>
      <c r="AO88" s="260"/>
      <c r="AP88" s="210">
        <f t="shared" si="70"/>
        <v>46934</v>
      </c>
      <c r="AQ88" s="210">
        <f t="shared" si="81"/>
        <v>47208</v>
      </c>
      <c r="AR88" s="335">
        <f t="shared" si="71"/>
        <v>0</v>
      </c>
      <c r="AS88" s="335">
        <f t="shared" si="72"/>
        <v>0</v>
      </c>
      <c r="AT88" s="616">
        <f t="shared" si="73"/>
        <v>0</v>
      </c>
      <c r="AU88" s="335">
        <f t="shared" si="74"/>
        <v>0</v>
      </c>
      <c r="AV88" s="339">
        <f t="shared" si="87"/>
        <v>0.10299999999999999</v>
      </c>
      <c r="AW88" s="337">
        <f>IF(MOD(MONTH(AP88),3)=0,IF($B$4=1,0,SUMIF(Assumptions!$H$173:$U$173,'Debt repayment Schedule'!W88,Assumptions!$H$185:$U$185)/4),0)</f>
        <v>0.04</v>
      </c>
      <c r="AX88" s="336"/>
      <c r="AY88" s="260"/>
      <c r="AZ88" s="260">
        <f t="shared" si="75"/>
        <v>51.819146020200002</v>
      </c>
      <c r="BB88" s="260">
        <f t="shared" si="47"/>
        <v>3.2300718844418159</v>
      </c>
      <c r="BC88" s="260">
        <f>AZ88+SUM(BB86:BB88)</f>
        <v>61.617030736340176</v>
      </c>
    </row>
    <row r="89" spans="2:56" x14ac:dyDescent="0.35">
      <c r="B89" s="210">
        <f t="shared" si="58"/>
        <v>46965</v>
      </c>
      <c r="C89" s="210">
        <f t="shared" si="78"/>
        <v>47208</v>
      </c>
      <c r="D89" s="335">
        <f t="shared" si="49"/>
        <v>146.53540901483998</v>
      </c>
      <c r="E89" s="336">
        <f t="shared" si="50"/>
        <v>0</v>
      </c>
      <c r="F89" s="335">
        <f t="shared" si="51"/>
        <v>146.53540901483998</v>
      </c>
      <c r="G89" s="335">
        <f t="shared" si="59"/>
        <v>1.2632155190827234</v>
      </c>
      <c r="H89" s="339">
        <f t="shared" si="83"/>
        <v>0.10150000000000001</v>
      </c>
      <c r="I89" s="337">
        <f>IF(MOD(MONTH(B89),3)=0,(IF($B$4=1,0,SUMIF(Assumptions!$H$173:$U$173,'Debt repayment Schedule'!C89,Assumptions!$H$183:$U$183)/4)),0)</f>
        <v>0</v>
      </c>
      <c r="J89" s="336">
        <f t="shared" si="52"/>
        <v>1.2632155190827234</v>
      </c>
      <c r="K89" s="260"/>
      <c r="L89" s="338">
        <f t="shared" si="53"/>
        <v>46965</v>
      </c>
      <c r="M89" s="210">
        <f t="shared" si="79"/>
        <v>47208</v>
      </c>
      <c r="N89" s="335">
        <f t="shared" si="76"/>
        <v>8.0046033891299864</v>
      </c>
      <c r="O89" s="1382">
        <f t="shared" si="48"/>
        <v>0</v>
      </c>
      <c r="P89" s="335">
        <f t="shared" si="82"/>
        <v>8.0046033891299864</v>
      </c>
      <c r="Q89" s="335">
        <f t="shared" si="60"/>
        <v>6.9004067298349334E-2</v>
      </c>
      <c r="R89" s="339">
        <f t="shared" si="84"/>
        <v>0.10150000000000001</v>
      </c>
      <c r="S89" s="1282">
        <f>IF(MOD(MONTH(L89),3)=0,IF($B$4=1,0,SUMIF(Assumptions!$H$173:$U$173,'Debt repayment Schedule'!M89,Assumptions!$H$184:$U$184)/4),0)</f>
        <v>0</v>
      </c>
      <c r="T89" s="336">
        <f t="shared" si="54"/>
        <v>6.9004067298349334E-2</v>
      </c>
      <c r="U89" s="260"/>
      <c r="V89" s="210">
        <f t="shared" si="61"/>
        <v>46965</v>
      </c>
      <c r="W89" s="210">
        <f t="shared" si="80"/>
        <v>47208</v>
      </c>
      <c r="X89" s="335">
        <f t="shared" si="77"/>
        <v>180.02457407142037</v>
      </c>
      <c r="Y89" s="1382">
        <f t="shared" si="55"/>
        <v>0</v>
      </c>
      <c r="Z89" s="335">
        <f t="shared" si="56"/>
        <v>180.02457407142037</v>
      </c>
      <c r="AA89" s="335">
        <f t="shared" si="62"/>
        <v>1.5748451096165621</v>
      </c>
      <c r="AB89" s="339">
        <f t="shared" si="85"/>
        <v>0.10299999999999999</v>
      </c>
      <c r="AC89" s="337">
        <f>IF(MOD(MONTH(V89),3)=0,IF($B$4=1,0,SUMIF(Assumptions!$H$173:$U$173,'Debt repayment Schedule'!C89,Assumptions!$H$185:$U$185)/4),0)</f>
        <v>0</v>
      </c>
      <c r="AD89" s="336">
        <f t="shared" si="57"/>
        <v>1.5748451096165621</v>
      </c>
      <c r="AE89" s="260"/>
      <c r="AF89" s="210">
        <f t="shared" si="63"/>
        <v>46965</v>
      </c>
      <c r="AG89" s="210">
        <f t="shared" si="64"/>
        <v>47208</v>
      </c>
      <c r="AH89" s="335">
        <f t="shared" si="65"/>
        <v>15.214649160959993</v>
      </c>
      <c r="AI89" s="1382">
        <f t="shared" si="66"/>
        <v>0</v>
      </c>
      <c r="AJ89" s="335">
        <f t="shared" si="67"/>
        <v>15.214649160959993</v>
      </c>
      <c r="AK89" s="335">
        <f t="shared" si="68"/>
        <v>0</v>
      </c>
      <c r="AL89" s="339">
        <f t="shared" si="86"/>
        <v>0</v>
      </c>
      <c r="AM89" s="337">
        <f>IF(MOD(MONTH(AF89),3)=0,IF($B$4=1,0,SUMIF(Assumptions!$H$173:$U$173,'Debt repayment Schedule'!M89,Assumptions!$H$185:$U$185)/4),0)</f>
        <v>0</v>
      </c>
      <c r="AN89" s="336">
        <f t="shared" si="69"/>
        <v>0</v>
      </c>
      <c r="AO89" s="260"/>
      <c r="AP89" s="210">
        <f t="shared" si="70"/>
        <v>46965</v>
      </c>
      <c r="AQ89" s="210">
        <f t="shared" si="81"/>
        <v>47208</v>
      </c>
      <c r="AR89" s="335">
        <f t="shared" si="71"/>
        <v>0</v>
      </c>
      <c r="AS89" s="335">
        <f t="shared" si="72"/>
        <v>0</v>
      </c>
      <c r="AT89" s="616">
        <f t="shared" si="73"/>
        <v>0</v>
      </c>
      <c r="AU89" s="335">
        <f t="shared" si="74"/>
        <v>0</v>
      </c>
      <c r="AV89" s="339">
        <f t="shared" si="87"/>
        <v>0.10299999999999999</v>
      </c>
      <c r="AW89" s="337">
        <f>IF(MOD(MONTH(AP89),3)=0,IF($B$4=1,0,SUMIF(Assumptions!$H$173:$U$173,'Debt repayment Schedule'!W89,Assumptions!$H$185:$U$185)/4),0)</f>
        <v>0</v>
      </c>
      <c r="AX89" s="336"/>
      <c r="AY89" s="260"/>
      <c r="AZ89" s="260">
        <f t="shared" si="75"/>
        <v>0</v>
      </c>
      <c r="BB89" s="260">
        <f t="shared" si="47"/>
        <v>2.9070646959976347</v>
      </c>
    </row>
    <row r="90" spans="2:56" x14ac:dyDescent="0.35">
      <c r="B90" s="210">
        <f t="shared" si="58"/>
        <v>46996</v>
      </c>
      <c r="C90" s="210">
        <f t="shared" si="78"/>
        <v>47208</v>
      </c>
      <c r="D90" s="335">
        <f t="shared" si="49"/>
        <v>146.53540901483998</v>
      </c>
      <c r="E90" s="336">
        <f t="shared" si="50"/>
        <v>0</v>
      </c>
      <c r="F90" s="335">
        <f t="shared" si="51"/>
        <v>146.53540901483998</v>
      </c>
      <c r="G90" s="335">
        <f t="shared" si="59"/>
        <v>1.2632155190827234</v>
      </c>
      <c r="H90" s="339">
        <f t="shared" si="83"/>
        <v>0.10150000000000001</v>
      </c>
      <c r="I90" s="337">
        <f>IF(MOD(MONTH(B90),3)=0,(IF($B$4=1,0,SUMIF(Assumptions!$H$173:$U$173,'Debt repayment Schedule'!C90,Assumptions!$H$183:$U$183)/4)),0)</f>
        <v>0</v>
      </c>
      <c r="J90" s="336">
        <f t="shared" si="52"/>
        <v>1.2632155190827234</v>
      </c>
      <c r="K90" s="260"/>
      <c r="L90" s="338">
        <f t="shared" si="53"/>
        <v>46996</v>
      </c>
      <c r="M90" s="210">
        <f t="shared" si="79"/>
        <v>47208</v>
      </c>
      <c r="N90" s="335">
        <f t="shared" si="76"/>
        <v>8.0046033891299864</v>
      </c>
      <c r="O90" s="1382">
        <f t="shared" si="48"/>
        <v>0</v>
      </c>
      <c r="P90" s="335">
        <f t="shared" si="82"/>
        <v>8.0046033891299864</v>
      </c>
      <c r="Q90" s="335">
        <f t="shared" si="60"/>
        <v>6.9004067298349334E-2</v>
      </c>
      <c r="R90" s="339">
        <f t="shared" si="84"/>
        <v>0.10150000000000001</v>
      </c>
      <c r="S90" s="1282">
        <f>IF(MOD(MONTH(L90),3)=0,IF($B$4=1,0,SUMIF(Assumptions!$H$173:$U$173,'Debt repayment Schedule'!M90,Assumptions!$H$184:$U$184)/4),0)</f>
        <v>0</v>
      </c>
      <c r="T90" s="336">
        <f t="shared" si="54"/>
        <v>6.9004067298349334E-2</v>
      </c>
      <c r="U90" s="260"/>
      <c r="V90" s="210">
        <f t="shared" si="61"/>
        <v>46996</v>
      </c>
      <c r="W90" s="210">
        <f t="shared" si="80"/>
        <v>47208</v>
      </c>
      <c r="X90" s="335">
        <f t="shared" si="77"/>
        <v>180.02457407142037</v>
      </c>
      <c r="Y90" s="1382">
        <f t="shared" si="55"/>
        <v>0</v>
      </c>
      <c r="Z90" s="335">
        <f t="shared" si="56"/>
        <v>180.02457407142037</v>
      </c>
      <c r="AA90" s="335">
        <f t="shared" si="62"/>
        <v>1.5748451096165621</v>
      </c>
      <c r="AB90" s="339">
        <f t="shared" si="85"/>
        <v>0.10299999999999999</v>
      </c>
      <c r="AC90" s="337">
        <f>IF(MOD(MONTH(V90),3)=0,IF($B$4=1,0,SUMIF(Assumptions!$H$173:$U$173,'Debt repayment Schedule'!C90,Assumptions!$H$185:$U$185)/4),0)</f>
        <v>0</v>
      </c>
      <c r="AD90" s="336">
        <f t="shared" si="57"/>
        <v>1.5748451096165621</v>
      </c>
      <c r="AE90" s="260"/>
      <c r="AF90" s="210">
        <f t="shared" si="63"/>
        <v>46996</v>
      </c>
      <c r="AG90" s="210">
        <f t="shared" si="64"/>
        <v>47208</v>
      </c>
      <c r="AH90" s="335">
        <f t="shared" si="65"/>
        <v>15.214649160959993</v>
      </c>
      <c r="AI90" s="1382">
        <f t="shared" si="66"/>
        <v>0</v>
      </c>
      <c r="AJ90" s="335">
        <f t="shared" si="67"/>
        <v>15.214649160959993</v>
      </c>
      <c r="AK90" s="335">
        <f t="shared" si="68"/>
        <v>0</v>
      </c>
      <c r="AL90" s="339">
        <f t="shared" si="86"/>
        <v>0</v>
      </c>
      <c r="AM90" s="337">
        <f>IF(MOD(MONTH(AF90),3)=0,IF($B$4=1,0,SUMIF(Assumptions!$H$173:$U$173,'Debt repayment Schedule'!M90,Assumptions!$H$185:$U$185)/4),0)</f>
        <v>0</v>
      </c>
      <c r="AN90" s="336">
        <f t="shared" si="69"/>
        <v>0</v>
      </c>
      <c r="AO90" s="260"/>
      <c r="AP90" s="210">
        <f t="shared" si="70"/>
        <v>46996</v>
      </c>
      <c r="AQ90" s="210">
        <f t="shared" si="81"/>
        <v>47208</v>
      </c>
      <c r="AR90" s="335">
        <f t="shared" si="71"/>
        <v>0</v>
      </c>
      <c r="AS90" s="335">
        <f t="shared" si="72"/>
        <v>0</v>
      </c>
      <c r="AT90" s="616">
        <f t="shared" si="73"/>
        <v>0</v>
      </c>
      <c r="AU90" s="335">
        <f t="shared" si="74"/>
        <v>0</v>
      </c>
      <c r="AV90" s="339">
        <f t="shared" si="87"/>
        <v>0.10299999999999999</v>
      </c>
      <c r="AW90" s="337">
        <f>IF(MOD(MONTH(AP90),3)=0,IF($B$4=1,0,SUMIF(Assumptions!$H$173:$U$173,'Debt repayment Schedule'!W90,Assumptions!$H$185:$U$185)/4),0)</f>
        <v>0</v>
      </c>
      <c r="AX90" s="336"/>
      <c r="AY90" s="260"/>
      <c r="AZ90" s="260">
        <f t="shared" si="75"/>
        <v>0</v>
      </c>
      <c r="BB90" s="260">
        <f t="shared" si="47"/>
        <v>2.9070646959976347</v>
      </c>
    </row>
    <row r="91" spans="2:56" x14ac:dyDescent="0.35">
      <c r="B91" s="210">
        <f t="shared" si="58"/>
        <v>47026</v>
      </c>
      <c r="C91" s="210">
        <f t="shared" si="78"/>
        <v>47208</v>
      </c>
      <c r="D91" s="335">
        <f t="shared" si="49"/>
        <v>146.53540901483998</v>
      </c>
      <c r="E91" s="336">
        <f t="shared" si="50"/>
        <v>21.708949483679998</v>
      </c>
      <c r="F91" s="335">
        <f t="shared" si="51"/>
        <v>124.82645953115998</v>
      </c>
      <c r="G91" s="335">
        <f t="shared" si="59"/>
        <v>1.2224666313703774</v>
      </c>
      <c r="H91" s="339">
        <f t="shared" si="83"/>
        <v>0.10150000000000001</v>
      </c>
      <c r="I91" s="337">
        <f>IF(MOD(MONTH(B91),3)=0,(IF($B$4=1,0,SUMIF(Assumptions!$H$173:$U$173,'Debt repayment Schedule'!C91,Assumptions!$H$183:$U$183)/4)),0)</f>
        <v>0.04</v>
      </c>
      <c r="J91" s="336">
        <f t="shared" si="52"/>
        <v>22.931416115050375</v>
      </c>
      <c r="K91" s="260"/>
      <c r="L91" s="338">
        <f t="shared" si="53"/>
        <v>47026</v>
      </c>
      <c r="M91" s="210">
        <f t="shared" si="79"/>
        <v>47208</v>
      </c>
      <c r="N91" s="335">
        <f t="shared" si="76"/>
        <v>8.0046033891299864</v>
      </c>
      <c r="O91" s="1382">
        <f t="shared" si="48"/>
        <v>1.18586716876</v>
      </c>
      <c r="P91" s="335">
        <f t="shared" si="82"/>
        <v>6.8187362203699866</v>
      </c>
      <c r="Q91" s="335">
        <f t="shared" si="60"/>
        <v>6.6778129643563874E-2</v>
      </c>
      <c r="R91" s="339">
        <f t="shared" si="84"/>
        <v>0.10150000000000001</v>
      </c>
      <c r="S91" s="1282">
        <f>IF(MOD(MONTH(L91),3)=0,IF($B$4=1,0,SUMIF(Assumptions!$H$173:$U$173,'Debt repayment Schedule'!M91,Assumptions!$H$184:$U$184)/4),0)</f>
        <v>0.04</v>
      </c>
      <c r="T91" s="336">
        <f t="shared" si="54"/>
        <v>1.2526452984035639</v>
      </c>
      <c r="U91" s="260"/>
      <c r="V91" s="210">
        <f t="shared" si="61"/>
        <v>47026</v>
      </c>
      <c r="W91" s="210">
        <f t="shared" si="80"/>
        <v>47208</v>
      </c>
      <c r="X91" s="335">
        <f t="shared" si="77"/>
        <v>180.02457407142037</v>
      </c>
      <c r="Y91" s="1382">
        <f t="shared" si="55"/>
        <v>26.670307269840002</v>
      </c>
      <c r="Z91" s="335">
        <f t="shared" si="56"/>
        <v>153.35426680158037</v>
      </c>
      <c r="AA91" s="335">
        <f t="shared" si="62"/>
        <v>1.524043654467641</v>
      </c>
      <c r="AB91" s="339">
        <f t="shared" si="85"/>
        <v>0.10299999999999999</v>
      </c>
      <c r="AC91" s="337">
        <f>IF(MOD(MONTH(V91),3)=0,IF($B$4=1,0,SUMIF(Assumptions!$H$173:$U$173,'Debt repayment Schedule'!C91,Assumptions!$H$185:$U$185)/4),0)</f>
        <v>0.04</v>
      </c>
      <c r="AD91" s="336">
        <f t="shared" si="57"/>
        <v>28.194350924307642</v>
      </c>
      <c r="AE91" s="260"/>
      <c r="AF91" s="210">
        <f t="shared" si="63"/>
        <v>47026</v>
      </c>
      <c r="AG91" s="210">
        <f t="shared" si="64"/>
        <v>47208</v>
      </c>
      <c r="AH91" s="335">
        <f t="shared" si="65"/>
        <v>15.214649160959993</v>
      </c>
      <c r="AI91" s="1382">
        <f t="shared" si="66"/>
        <v>2.2540220979200001</v>
      </c>
      <c r="AJ91" s="335">
        <f t="shared" si="67"/>
        <v>12.960627063039993</v>
      </c>
      <c r="AK91" s="335">
        <f t="shared" si="68"/>
        <v>0</v>
      </c>
      <c r="AL91" s="339">
        <f t="shared" si="86"/>
        <v>0</v>
      </c>
      <c r="AM91" s="337">
        <f>IF(MOD(MONTH(AF91),3)=0,IF($B$4=1,0,SUMIF(Assumptions!$H$173:$U$173,'Debt repayment Schedule'!M91,Assumptions!$H$185:$U$185)/4),0)</f>
        <v>0.04</v>
      </c>
      <c r="AN91" s="336">
        <f t="shared" si="69"/>
        <v>2.2540220979200001</v>
      </c>
      <c r="AO91" s="260"/>
      <c r="AP91" s="210">
        <f t="shared" si="70"/>
        <v>47026</v>
      </c>
      <c r="AQ91" s="210">
        <f t="shared" si="81"/>
        <v>47208</v>
      </c>
      <c r="AR91" s="335">
        <f t="shared" si="71"/>
        <v>0</v>
      </c>
      <c r="AS91" s="335">
        <f t="shared" si="72"/>
        <v>0</v>
      </c>
      <c r="AT91" s="616">
        <f t="shared" si="73"/>
        <v>0</v>
      </c>
      <c r="AU91" s="335">
        <f t="shared" si="74"/>
        <v>0</v>
      </c>
      <c r="AV91" s="339">
        <f t="shared" si="87"/>
        <v>0.10299999999999999</v>
      </c>
      <c r="AW91" s="337">
        <f>IF(MOD(MONTH(AP91),3)=0,IF($B$4=1,0,SUMIF(Assumptions!$H$173:$U$173,'Debt repayment Schedule'!W91,Assumptions!$H$185:$U$185)/4),0)</f>
        <v>0.04</v>
      </c>
      <c r="AX91" s="336"/>
      <c r="AY91" s="260"/>
      <c r="AZ91" s="260">
        <f t="shared" si="75"/>
        <v>51.819146020200002</v>
      </c>
      <c r="BB91" s="260">
        <f t="shared" si="47"/>
        <v>2.8132884154815825</v>
      </c>
      <c r="BC91" s="260">
        <f>AZ91+SUM(BB89:BB91)</f>
        <v>60.446563827676854</v>
      </c>
    </row>
    <row r="92" spans="2:56" x14ac:dyDescent="0.35">
      <c r="B92" s="210">
        <f t="shared" si="58"/>
        <v>47057</v>
      </c>
      <c r="C92" s="210">
        <f t="shared" si="78"/>
        <v>47208</v>
      </c>
      <c r="D92" s="335">
        <f t="shared" si="49"/>
        <v>124.82645953115998</v>
      </c>
      <c r="E92" s="336">
        <f t="shared" si="50"/>
        <v>0</v>
      </c>
      <c r="F92" s="335">
        <f t="shared" si="51"/>
        <v>124.82645953115998</v>
      </c>
      <c r="G92" s="335">
        <f t="shared" si="59"/>
        <v>1.0760724792186163</v>
      </c>
      <c r="H92" s="339">
        <f t="shared" si="83"/>
        <v>0.10150000000000001</v>
      </c>
      <c r="I92" s="337">
        <f>IF(MOD(MONTH(B92),3)=0,(IF($B$4=1,0,SUMIF(Assumptions!$H$173:$U$173,'Debt repayment Schedule'!C92,Assumptions!$H$183:$U$183)/4)),0)</f>
        <v>0</v>
      </c>
      <c r="J92" s="336">
        <f t="shared" si="52"/>
        <v>1.0760724792186163</v>
      </c>
      <c r="K92" s="260"/>
      <c r="L92" s="338">
        <f t="shared" si="53"/>
        <v>47057</v>
      </c>
      <c r="M92" s="210">
        <f t="shared" si="79"/>
        <v>47208</v>
      </c>
      <c r="N92" s="335">
        <f t="shared" si="76"/>
        <v>6.8187362203699866</v>
      </c>
      <c r="O92" s="1382">
        <f t="shared" si="48"/>
        <v>0</v>
      </c>
      <c r="P92" s="335">
        <f t="shared" si="82"/>
        <v>6.8187362203699866</v>
      </c>
      <c r="Q92" s="335">
        <f t="shared" si="60"/>
        <v>5.8781242513408674E-2</v>
      </c>
      <c r="R92" s="339">
        <f t="shared" si="84"/>
        <v>0.10150000000000001</v>
      </c>
      <c r="S92" s="1282">
        <f>IF(MOD(MONTH(L92),3)=0,IF($B$4=1,0,SUMIF(Assumptions!$H$173:$U$173,'Debt repayment Schedule'!M92,Assumptions!$H$184:$U$184)/4),0)</f>
        <v>0</v>
      </c>
      <c r="T92" s="336">
        <f t="shared" si="54"/>
        <v>5.8781242513408674E-2</v>
      </c>
      <c r="U92" s="260"/>
      <c r="V92" s="210">
        <f t="shared" si="61"/>
        <v>47057</v>
      </c>
      <c r="W92" s="210">
        <f t="shared" si="80"/>
        <v>47208</v>
      </c>
      <c r="X92" s="335">
        <f t="shared" si="77"/>
        <v>153.35426680158037</v>
      </c>
      <c r="Y92" s="1382">
        <f t="shared" si="55"/>
        <v>0</v>
      </c>
      <c r="Z92" s="335">
        <f t="shared" si="56"/>
        <v>153.35426680158037</v>
      </c>
      <c r="AA92" s="335">
        <f t="shared" si="62"/>
        <v>1.3415347230067016</v>
      </c>
      <c r="AB92" s="339">
        <f t="shared" si="85"/>
        <v>0.10299999999999999</v>
      </c>
      <c r="AC92" s="337">
        <f>IF(MOD(MONTH(V92),3)=0,IF($B$4=1,0,SUMIF(Assumptions!$H$173:$U$173,'Debt repayment Schedule'!C92,Assumptions!$H$185:$U$185)/4),0)</f>
        <v>0</v>
      </c>
      <c r="AD92" s="336">
        <f t="shared" si="57"/>
        <v>1.3415347230067016</v>
      </c>
      <c r="AE92" s="260"/>
      <c r="AF92" s="210">
        <f t="shared" si="63"/>
        <v>47057</v>
      </c>
      <c r="AG92" s="210">
        <f t="shared" si="64"/>
        <v>47208</v>
      </c>
      <c r="AH92" s="335">
        <f t="shared" si="65"/>
        <v>12.960627063039993</v>
      </c>
      <c r="AI92" s="1382">
        <f t="shared" si="66"/>
        <v>0</v>
      </c>
      <c r="AJ92" s="335">
        <f t="shared" si="67"/>
        <v>12.960627063039993</v>
      </c>
      <c r="AK92" s="335">
        <f t="shared" si="68"/>
        <v>0</v>
      </c>
      <c r="AL92" s="339">
        <f t="shared" si="86"/>
        <v>0</v>
      </c>
      <c r="AM92" s="337">
        <f>IF(MOD(MONTH(AF92),3)=0,IF($B$4=1,0,SUMIF(Assumptions!$H$173:$U$173,'Debt repayment Schedule'!M92,Assumptions!$H$185:$U$185)/4),0)</f>
        <v>0</v>
      </c>
      <c r="AN92" s="336">
        <f t="shared" si="69"/>
        <v>0</v>
      </c>
      <c r="AO92" s="260"/>
      <c r="AP92" s="210">
        <f t="shared" si="70"/>
        <v>47057</v>
      </c>
      <c r="AQ92" s="210">
        <f t="shared" si="81"/>
        <v>47208</v>
      </c>
      <c r="AR92" s="335">
        <f t="shared" si="71"/>
        <v>0</v>
      </c>
      <c r="AS92" s="335">
        <f t="shared" si="72"/>
        <v>0</v>
      </c>
      <c r="AT92" s="616">
        <f t="shared" si="73"/>
        <v>0</v>
      </c>
      <c r="AU92" s="335">
        <f t="shared" si="74"/>
        <v>0</v>
      </c>
      <c r="AV92" s="339">
        <f t="shared" si="87"/>
        <v>0.10299999999999999</v>
      </c>
      <c r="AW92" s="337">
        <f>IF(MOD(MONTH(AP92),3)=0,IF($B$4=1,0,SUMIF(Assumptions!$H$173:$U$173,'Debt repayment Schedule'!W92,Assumptions!$H$185:$U$185)/4),0)</f>
        <v>0</v>
      </c>
      <c r="AX92" s="336"/>
      <c r="AY92" s="260"/>
      <c r="AZ92" s="260">
        <f t="shared" si="75"/>
        <v>0</v>
      </c>
      <c r="BB92" s="260">
        <f t="shared" si="47"/>
        <v>2.4763884447387268</v>
      </c>
    </row>
    <row r="93" spans="2:56" x14ac:dyDescent="0.35">
      <c r="B93" s="210">
        <f t="shared" si="58"/>
        <v>47087</v>
      </c>
      <c r="C93" s="210">
        <f t="shared" si="78"/>
        <v>47208</v>
      </c>
      <c r="D93" s="335">
        <f t="shared" si="49"/>
        <v>124.82645953115998</v>
      </c>
      <c r="E93" s="336">
        <f t="shared" si="50"/>
        <v>0</v>
      </c>
      <c r="F93" s="335">
        <f t="shared" si="51"/>
        <v>124.82645953115998</v>
      </c>
      <c r="G93" s="335">
        <f t="shared" si="59"/>
        <v>1.0413604637599512</v>
      </c>
      <c r="H93" s="339">
        <f t="shared" si="83"/>
        <v>0.10150000000000001</v>
      </c>
      <c r="I93" s="337">
        <f>IF(MOD(MONTH(B93),3)=0,(IF($B$4=1,0,SUMIF(Assumptions!$H$173:$U$173,'Debt repayment Schedule'!C93,Assumptions!$H$183:$U$183)/4)),0)</f>
        <v>0</v>
      </c>
      <c r="J93" s="336">
        <f t="shared" si="52"/>
        <v>1.0413604637599512</v>
      </c>
      <c r="K93" s="260"/>
      <c r="L93" s="338">
        <f t="shared" si="53"/>
        <v>47087</v>
      </c>
      <c r="M93" s="210">
        <f t="shared" si="79"/>
        <v>47208</v>
      </c>
      <c r="N93" s="335">
        <f t="shared" si="76"/>
        <v>6.8187362203699866</v>
      </c>
      <c r="O93" s="1382">
        <f t="shared" si="48"/>
        <v>0</v>
      </c>
      <c r="P93" s="335">
        <f t="shared" si="82"/>
        <v>6.8187362203699866</v>
      </c>
      <c r="Q93" s="335">
        <f t="shared" si="60"/>
        <v>5.6885073400072907E-2</v>
      </c>
      <c r="R93" s="339">
        <f t="shared" si="84"/>
        <v>0.10150000000000001</v>
      </c>
      <c r="S93" s="1282">
        <f>IF(MOD(MONTH(L93),3)=0,IF($B$4=1,0,SUMIF(Assumptions!$H$173:$U$173,'Debt repayment Schedule'!M93,Assumptions!$H$184:$U$184)/4),0)</f>
        <v>0</v>
      </c>
      <c r="T93" s="336">
        <f t="shared" si="54"/>
        <v>5.6885073400072907E-2</v>
      </c>
      <c r="U93" s="260"/>
      <c r="V93" s="210">
        <f t="shared" si="61"/>
        <v>47087</v>
      </c>
      <c r="W93" s="210">
        <f t="shared" si="80"/>
        <v>47208</v>
      </c>
      <c r="X93" s="335">
        <f t="shared" si="77"/>
        <v>153.35426680158037</v>
      </c>
      <c r="Y93" s="1382">
        <f t="shared" si="55"/>
        <v>0</v>
      </c>
      <c r="Z93" s="335">
        <f t="shared" si="56"/>
        <v>153.35426680158037</v>
      </c>
      <c r="AA93" s="335">
        <f t="shared" si="62"/>
        <v>1.2982594093613242</v>
      </c>
      <c r="AB93" s="339">
        <f t="shared" si="85"/>
        <v>0.10299999999999999</v>
      </c>
      <c r="AC93" s="337">
        <f>IF(MOD(MONTH(V93),3)=0,IF($B$4=1,0,SUMIF(Assumptions!$H$173:$U$173,'Debt repayment Schedule'!C93,Assumptions!$H$185:$U$185)/4),0)</f>
        <v>0</v>
      </c>
      <c r="AD93" s="336">
        <f t="shared" si="57"/>
        <v>1.2982594093613242</v>
      </c>
      <c r="AE93" s="260"/>
      <c r="AF93" s="210">
        <f t="shared" si="63"/>
        <v>47087</v>
      </c>
      <c r="AG93" s="210">
        <f t="shared" si="64"/>
        <v>47208</v>
      </c>
      <c r="AH93" s="335">
        <f t="shared" si="65"/>
        <v>12.960627063039993</v>
      </c>
      <c r="AI93" s="1382">
        <f t="shared" si="66"/>
        <v>0</v>
      </c>
      <c r="AJ93" s="335">
        <f t="shared" si="67"/>
        <v>12.960627063039993</v>
      </c>
      <c r="AK93" s="335">
        <f t="shared" si="68"/>
        <v>0</v>
      </c>
      <c r="AL93" s="339">
        <f t="shared" si="86"/>
        <v>0</v>
      </c>
      <c r="AM93" s="337">
        <f>IF(MOD(MONTH(AF93),3)=0,IF($B$4=1,0,SUMIF(Assumptions!$H$173:$U$173,'Debt repayment Schedule'!M93,Assumptions!$H$185:$U$185)/4),0)</f>
        <v>0</v>
      </c>
      <c r="AN93" s="336">
        <f t="shared" si="69"/>
        <v>0</v>
      </c>
      <c r="AO93" s="260"/>
      <c r="AP93" s="210">
        <f t="shared" si="70"/>
        <v>47087</v>
      </c>
      <c r="AQ93" s="210">
        <f t="shared" si="81"/>
        <v>47208</v>
      </c>
      <c r="AR93" s="335">
        <f t="shared" si="71"/>
        <v>0</v>
      </c>
      <c r="AS93" s="335">
        <f t="shared" si="72"/>
        <v>0</v>
      </c>
      <c r="AT93" s="616">
        <f t="shared" si="73"/>
        <v>0</v>
      </c>
      <c r="AU93" s="335">
        <f t="shared" si="74"/>
        <v>0</v>
      </c>
      <c r="AV93" s="339">
        <f t="shared" si="87"/>
        <v>0.10299999999999999</v>
      </c>
      <c r="AW93" s="337">
        <f>IF(MOD(MONTH(AP93),3)=0,IF($B$4=1,0,SUMIF(Assumptions!$H$173:$U$173,'Debt repayment Schedule'!W93,Assumptions!$H$185:$U$185)/4),0)</f>
        <v>0</v>
      </c>
      <c r="AX93" s="336"/>
      <c r="AY93" s="260"/>
      <c r="AZ93" s="260">
        <f t="shared" si="75"/>
        <v>0</v>
      </c>
      <c r="BB93" s="260">
        <f t="shared" si="47"/>
        <v>2.3965049465213486</v>
      </c>
    </row>
    <row r="94" spans="2:56" x14ac:dyDescent="0.35">
      <c r="B94" s="210">
        <f t="shared" si="58"/>
        <v>47118</v>
      </c>
      <c r="C94" s="210">
        <f t="shared" si="78"/>
        <v>47208</v>
      </c>
      <c r="D94" s="335">
        <f t="shared" si="49"/>
        <v>124.82645953115998</v>
      </c>
      <c r="E94" s="336">
        <f t="shared" si="50"/>
        <v>21.708949483679998</v>
      </c>
      <c r="F94" s="335">
        <f t="shared" si="51"/>
        <v>103.11751004747998</v>
      </c>
      <c r="G94" s="335">
        <f t="shared" si="59"/>
        <v>1.0760724792186163</v>
      </c>
      <c r="H94" s="339">
        <f t="shared" si="83"/>
        <v>0.10150000000000001</v>
      </c>
      <c r="I94" s="337">
        <f>IF(MOD(MONTH(B94),3)=0,(IF($B$4=1,0,SUMIF(Assumptions!$H$173:$U$173,'Debt repayment Schedule'!C94,Assumptions!$H$183:$U$183)/4)),0)</f>
        <v>0.04</v>
      </c>
      <c r="J94" s="336">
        <f t="shared" si="52"/>
        <v>22.785021962898615</v>
      </c>
      <c r="K94" s="260"/>
      <c r="L94" s="338">
        <f t="shared" si="53"/>
        <v>47118</v>
      </c>
      <c r="M94" s="210">
        <f t="shared" si="79"/>
        <v>47208</v>
      </c>
      <c r="N94" s="335">
        <f t="shared" si="76"/>
        <v>6.8187362203699866</v>
      </c>
      <c r="O94" s="1382">
        <f t="shared" si="48"/>
        <v>1.18586716876</v>
      </c>
      <c r="P94" s="335">
        <f t="shared" si="82"/>
        <v>5.6328690516099869</v>
      </c>
      <c r="Q94" s="335">
        <f t="shared" si="60"/>
        <v>5.8781242513408674E-2</v>
      </c>
      <c r="R94" s="339">
        <f t="shared" si="84"/>
        <v>0.10150000000000001</v>
      </c>
      <c r="S94" s="1282">
        <f>IF(MOD(MONTH(L94),3)=0,IF($B$4=1,0,SUMIF(Assumptions!$H$173:$U$173,'Debt repayment Schedule'!M94,Assumptions!$H$184:$U$184)/4),0)</f>
        <v>0.04</v>
      </c>
      <c r="T94" s="336">
        <f t="shared" si="54"/>
        <v>1.2446484112734086</v>
      </c>
      <c r="U94" s="260"/>
      <c r="V94" s="210">
        <f t="shared" si="61"/>
        <v>47118</v>
      </c>
      <c r="W94" s="210">
        <f t="shared" si="80"/>
        <v>47208</v>
      </c>
      <c r="X94" s="335">
        <f t="shared" si="77"/>
        <v>153.35426680158037</v>
      </c>
      <c r="Y94" s="1382">
        <f t="shared" si="55"/>
        <v>26.670307269840002</v>
      </c>
      <c r="Z94" s="335">
        <f t="shared" si="56"/>
        <v>126.68395953174036</v>
      </c>
      <c r="AA94" s="335">
        <f t="shared" si="62"/>
        <v>1.3415347230067016</v>
      </c>
      <c r="AB94" s="339">
        <f t="shared" si="85"/>
        <v>0.10299999999999999</v>
      </c>
      <c r="AC94" s="337">
        <f>IF(MOD(MONTH(V94),3)=0,IF($B$4=1,0,SUMIF(Assumptions!$H$173:$U$173,'Debt repayment Schedule'!C94,Assumptions!$H$185:$U$185)/4),0)</f>
        <v>0.04</v>
      </c>
      <c r="AD94" s="336">
        <f t="shared" si="57"/>
        <v>28.011841992846705</v>
      </c>
      <c r="AE94" s="260"/>
      <c r="AF94" s="210">
        <f t="shared" si="63"/>
        <v>47118</v>
      </c>
      <c r="AG94" s="210">
        <f t="shared" si="64"/>
        <v>47208</v>
      </c>
      <c r="AH94" s="335">
        <f t="shared" si="65"/>
        <v>12.960627063039993</v>
      </c>
      <c r="AI94" s="1382">
        <f t="shared" si="66"/>
        <v>2.2540220979200001</v>
      </c>
      <c r="AJ94" s="335">
        <f t="shared" si="67"/>
        <v>10.706604965119993</v>
      </c>
      <c r="AK94" s="335">
        <f t="shared" si="68"/>
        <v>0</v>
      </c>
      <c r="AL94" s="339">
        <f t="shared" si="86"/>
        <v>0</v>
      </c>
      <c r="AM94" s="337">
        <f>IF(MOD(MONTH(AF94),3)=0,IF($B$4=1,0,SUMIF(Assumptions!$H$173:$U$173,'Debt repayment Schedule'!M94,Assumptions!$H$185:$U$185)/4),0)</f>
        <v>0.04</v>
      </c>
      <c r="AN94" s="336">
        <f t="shared" si="69"/>
        <v>2.2540220979200001</v>
      </c>
      <c r="AO94" s="260"/>
      <c r="AP94" s="210">
        <f t="shared" si="70"/>
        <v>47118</v>
      </c>
      <c r="AQ94" s="210">
        <f t="shared" si="81"/>
        <v>47208</v>
      </c>
      <c r="AR94" s="335">
        <f t="shared" si="71"/>
        <v>0</v>
      </c>
      <c r="AS94" s="335">
        <f t="shared" si="72"/>
        <v>0</v>
      </c>
      <c r="AT94" s="616">
        <f t="shared" si="73"/>
        <v>0</v>
      </c>
      <c r="AU94" s="335">
        <f t="shared" si="74"/>
        <v>0</v>
      </c>
      <c r="AV94" s="339">
        <f t="shared" si="87"/>
        <v>0.10299999999999999</v>
      </c>
      <c r="AW94" s="337">
        <f>IF(MOD(MONTH(AP94),3)=0,IF($B$4=1,0,SUMIF(Assumptions!$H$173:$U$173,'Debt repayment Schedule'!W94,Assumptions!$H$185:$U$185)/4),0)</f>
        <v>0.04</v>
      </c>
      <c r="AX94" s="336"/>
      <c r="AY94" s="260"/>
      <c r="AZ94" s="260">
        <f t="shared" si="75"/>
        <v>51.819146020200002</v>
      </c>
      <c r="BB94" s="260">
        <f t="shared" si="47"/>
        <v>2.4763884447387268</v>
      </c>
      <c r="BC94" s="260">
        <f>AZ94+SUM(BB92:BB94)</f>
        <v>59.168427856198804</v>
      </c>
      <c r="BD94" s="215"/>
    </row>
    <row r="95" spans="2:56" x14ac:dyDescent="0.35">
      <c r="B95" s="210">
        <f t="shared" si="58"/>
        <v>47149</v>
      </c>
      <c r="C95" s="210">
        <f t="shared" si="78"/>
        <v>47208</v>
      </c>
      <c r="D95" s="335">
        <f t="shared" si="49"/>
        <v>103.11751004747998</v>
      </c>
      <c r="E95" s="336">
        <f t="shared" si="50"/>
        <v>0</v>
      </c>
      <c r="F95" s="335">
        <f t="shared" si="51"/>
        <v>103.11751004747998</v>
      </c>
      <c r="G95" s="335">
        <f t="shared" si="59"/>
        <v>0.88892943935450897</v>
      </c>
      <c r="H95" s="339">
        <f t="shared" si="83"/>
        <v>0.10150000000000001</v>
      </c>
      <c r="I95" s="337">
        <f>IF(MOD(MONTH(B95),3)=0,(IF($B$4=1,0,SUMIF(Assumptions!$H$173:$U$173,'Debt repayment Schedule'!C95,Assumptions!$H$183:$U$183)/4)),0)</f>
        <v>0</v>
      </c>
      <c r="J95" s="336">
        <f t="shared" si="52"/>
        <v>0.88892943935450897</v>
      </c>
      <c r="K95" s="260"/>
      <c r="L95" s="338">
        <f t="shared" si="53"/>
        <v>47149</v>
      </c>
      <c r="M95" s="210">
        <f t="shared" si="79"/>
        <v>47208</v>
      </c>
      <c r="N95" s="335">
        <f t="shared" si="76"/>
        <v>5.6328690516099869</v>
      </c>
      <c r="O95" s="1382">
        <f t="shared" si="48"/>
        <v>0</v>
      </c>
      <c r="P95" s="335">
        <f t="shared" si="82"/>
        <v>5.6328690516099869</v>
      </c>
      <c r="Q95" s="335">
        <f t="shared" si="60"/>
        <v>4.8558417728468008E-2</v>
      </c>
      <c r="R95" s="339">
        <f t="shared" si="84"/>
        <v>0.10150000000000001</v>
      </c>
      <c r="S95" s="1282">
        <f>IF(MOD(MONTH(L95),3)=0,IF($B$4=1,0,SUMIF(Assumptions!$H$173:$U$173,'Debt repayment Schedule'!M95,Assumptions!$H$184:$U$184)/4),0)</f>
        <v>0</v>
      </c>
      <c r="T95" s="336">
        <f t="shared" si="54"/>
        <v>4.8558417728468008E-2</v>
      </c>
      <c r="U95" s="260"/>
      <c r="V95" s="210">
        <f t="shared" si="61"/>
        <v>47149</v>
      </c>
      <c r="W95" s="210">
        <f t="shared" si="80"/>
        <v>47208</v>
      </c>
      <c r="X95" s="335">
        <f t="shared" si="77"/>
        <v>126.68395953174036</v>
      </c>
      <c r="Y95" s="1382">
        <f t="shared" si="55"/>
        <v>0</v>
      </c>
      <c r="Z95" s="335">
        <f t="shared" si="56"/>
        <v>126.68395953174036</v>
      </c>
      <c r="AA95" s="335">
        <f t="shared" si="62"/>
        <v>1.1082243363968409</v>
      </c>
      <c r="AB95" s="339">
        <f t="shared" si="85"/>
        <v>0.10299999999999999</v>
      </c>
      <c r="AC95" s="337">
        <f>IF(MOD(MONTH(V95),3)=0,IF($B$4=1,0,SUMIF(Assumptions!$H$173:$U$173,'Debt repayment Schedule'!C95,Assumptions!$H$185:$U$185)/4),0)</f>
        <v>0</v>
      </c>
      <c r="AD95" s="336">
        <f t="shared" si="57"/>
        <v>1.1082243363968409</v>
      </c>
      <c r="AE95" s="260"/>
      <c r="AF95" s="210">
        <f t="shared" si="63"/>
        <v>47149</v>
      </c>
      <c r="AG95" s="210">
        <f t="shared" si="64"/>
        <v>47208</v>
      </c>
      <c r="AH95" s="335">
        <f t="shared" si="65"/>
        <v>10.706604965119993</v>
      </c>
      <c r="AI95" s="1382">
        <f t="shared" si="66"/>
        <v>0</v>
      </c>
      <c r="AJ95" s="335">
        <f t="shared" si="67"/>
        <v>10.706604965119993</v>
      </c>
      <c r="AK95" s="335">
        <f t="shared" si="68"/>
        <v>0</v>
      </c>
      <c r="AL95" s="339">
        <f t="shared" si="86"/>
        <v>0</v>
      </c>
      <c r="AM95" s="337">
        <f>IF(MOD(MONTH(AF95),3)=0,IF($B$4=1,0,SUMIF(Assumptions!$H$173:$U$173,'Debt repayment Schedule'!M95,Assumptions!$H$185:$U$185)/4),0)</f>
        <v>0</v>
      </c>
      <c r="AN95" s="336">
        <f t="shared" si="69"/>
        <v>0</v>
      </c>
      <c r="AO95" s="260"/>
      <c r="AP95" s="210">
        <f t="shared" si="70"/>
        <v>47149</v>
      </c>
      <c r="AQ95" s="210">
        <f t="shared" si="81"/>
        <v>47208</v>
      </c>
      <c r="AR95" s="335">
        <f t="shared" si="71"/>
        <v>0</v>
      </c>
      <c r="AS95" s="335">
        <f t="shared" si="72"/>
        <v>0</v>
      </c>
      <c r="AT95" s="616">
        <f t="shared" si="73"/>
        <v>0</v>
      </c>
      <c r="AU95" s="335">
        <f t="shared" si="74"/>
        <v>0</v>
      </c>
      <c r="AV95" s="339">
        <f t="shared" si="87"/>
        <v>0.10299999999999999</v>
      </c>
      <c r="AW95" s="337">
        <f>IF(MOD(MONTH(AP95),3)=0,IF($B$4=1,0,SUMIF(Assumptions!$H$173:$U$173,'Debt repayment Schedule'!W95,Assumptions!$H$185:$U$185)/4),0)</f>
        <v>0</v>
      </c>
      <c r="AX95" s="336"/>
      <c r="AY95" s="260"/>
      <c r="AZ95" s="260">
        <f t="shared" si="75"/>
        <v>0</v>
      </c>
      <c r="BB95" s="260">
        <f t="shared" si="47"/>
        <v>2.0457121934798179</v>
      </c>
    </row>
    <row r="96" spans="2:56" x14ac:dyDescent="0.35">
      <c r="B96" s="210">
        <f t="shared" si="58"/>
        <v>47177</v>
      </c>
      <c r="C96" s="210">
        <f t="shared" si="78"/>
        <v>47208</v>
      </c>
      <c r="D96" s="335">
        <f t="shared" si="49"/>
        <v>103.11751004747998</v>
      </c>
      <c r="E96" s="336">
        <f t="shared" si="50"/>
        <v>0</v>
      </c>
      <c r="F96" s="335">
        <f t="shared" si="51"/>
        <v>103.11751004747998</v>
      </c>
      <c r="G96" s="335">
        <f t="shared" si="59"/>
        <v>0.80290400973955645</v>
      </c>
      <c r="H96" s="339">
        <f t="shared" si="83"/>
        <v>0.10150000000000001</v>
      </c>
      <c r="I96" s="337">
        <f>IF(MOD(MONTH(B96),3)=0,(IF($B$4=1,0,SUMIF(Assumptions!$H$173:$U$173,'Debt repayment Schedule'!C96,Assumptions!$H$183:$U$183)/4)),0)</f>
        <v>0</v>
      </c>
      <c r="J96" s="336">
        <f t="shared" si="52"/>
        <v>0.80290400973955645</v>
      </c>
      <c r="K96" s="260"/>
      <c r="L96" s="338">
        <f t="shared" si="53"/>
        <v>47177</v>
      </c>
      <c r="M96" s="210">
        <f t="shared" si="79"/>
        <v>47208</v>
      </c>
      <c r="N96" s="335">
        <f t="shared" si="76"/>
        <v>5.6328690516099869</v>
      </c>
      <c r="O96" s="1382">
        <f t="shared" si="48"/>
        <v>0</v>
      </c>
      <c r="P96" s="335">
        <f t="shared" si="82"/>
        <v>5.6328690516099869</v>
      </c>
      <c r="Q96" s="335">
        <f t="shared" si="60"/>
        <v>4.3859216012809815E-2</v>
      </c>
      <c r="R96" s="339">
        <f t="shared" si="84"/>
        <v>0.10150000000000001</v>
      </c>
      <c r="S96" s="1282">
        <f>IF(MOD(MONTH(L96),3)=0,IF($B$4=1,0,SUMIF(Assumptions!$H$173:$U$173,'Debt repayment Schedule'!M96,Assumptions!$H$184:$U$184)/4),0)</f>
        <v>0</v>
      </c>
      <c r="T96" s="336">
        <f t="shared" si="54"/>
        <v>4.3859216012809815E-2</v>
      </c>
      <c r="U96" s="260"/>
      <c r="V96" s="210">
        <f t="shared" si="61"/>
        <v>47177</v>
      </c>
      <c r="W96" s="210">
        <f t="shared" si="80"/>
        <v>47208</v>
      </c>
      <c r="X96" s="335">
        <f t="shared" si="77"/>
        <v>126.68395953174036</v>
      </c>
      <c r="Y96" s="1382">
        <f t="shared" si="55"/>
        <v>0</v>
      </c>
      <c r="Z96" s="335">
        <f t="shared" si="56"/>
        <v>126.68395953174036</v>
      </c>
      <c r="AA96" s="335">
        <f t="shared" si="62"/>
        <v>1.0009768199713402</v>
      </c>
      <c r="AB96" s="339">
        <f t="shared" si="85"/>
        <v>0.10299999999999999</v>
      </c>
      <c r="AC96" s="337">
        <f>IF(MOD(MONTH(V96),3)=0,IF($B$4=1,0,SUMIF(Assumptions!$H$173:$U$173,'Debt repayment Schedule'!C96,Assumptions!$H$185:$U$185)/4),0)</f>
        <v>0</v>
      </c>
      <c r="AD96" s="336">
        <f t="shared" si="57"/>
        <v>1.0009768199713402</v>
      </c>
      <c r="AE96" s="260"/>
      <c r="AF96" s="210">
        <f t="shared" si="63"/>
        <v>47177</v>
      </c>
      <c r="AG96" s="210">
        <f t="shared" si="64"/>
        <v>47208</v>
      </c>
      <c r="AH96" s="335">
        <f t="shared" si="65"/>
        <v>10.706604965119993</v>
      </c>
      <c r="AI96" s="1382">
        <f t="shared" si="66"/>
        <v>0</v>
      </c>
      <c r="AJ96" s="335">
        <f t="shared" si="67"/>
        <v>10.706604965119993</v>
      </c>
      <c r="AK96" s="335">
        <f t="shared" si="68"/>
        <v>0</v>
      </c>
      <c r="AL96" s="339">
        <f t="shared" si="86"/>
        <v>0</v>
      </c>
      <c r="AM96" s="337">
        <f>IF(MOD(MONTH(AF96),3)=0,IF($B$4=1,0,SUMIF(Assumptions!$H$173:$U$173,'Debt repayment Schedule'!M96,Assumptions!$H$185:$U$185)/4),0)</f>
        <v>0</v>
      </c>
      <c r="AN96" s="336">
        <f t="shared" si="69"/>
        <v>0</v>
      </c>
      <c r="AO96" s="260"/>
      <c r="AP96" s="210">
        <f t="shared" si="70"/>
        <v>47177</v>
      </c>
      <c r="AQ96" s="210">
        <f t="shared" si="81"/>
        <v>47208</v>
      </c>
      <c r="AR96" s="335">
        <f t="shared" si="71"/>
        <v>0</v>
      </c>
      <c r="AS96" s="335">
        <f t="shared" si="72"/>
        <v>0</v>
      </c>
      <c r="AT96" s="616">
        <f t="shared" si="73"/>
        <v>0</v>
      </c>
      <c r="AU96" s="335">
        <f t="shared" si="74"/>
        <v>0</v>
      </c>
      <c r="AV96" s="339">
        <f t="shared" si="87"/>
        <v>0.10299999999999999</v>
      </c>
      <c r="AW96" s="337">
        <f>IF(MOD(MONTH(AP96),3)=0,IF($B$4=1,0,SUMIF(Assumptions!$H$173:$U$173,'Debt repayment Schedule'!W96,Assumptions!$H$185:$U$185)/4),0)</f>
        <v>0</v>
      </c>
      <c r="AX96" s="336"/>
      <c r="AY96" s="260"/>
      <c r="AZ96" s="260">
        <f t="shared" si="75"/>
        <v>0</v>
      </c>
      <c r="BB96" s="260">
        <f t="shared" si="47"/>
        <v>1.8477400457237065</v>
      </c>
    </row>
    <row r="97" spans="2:56" x14ac:dyDescent="0.35">
      <c r="B97" s="210">
        <f t="shared" si="58"/>
        <v>47208</v>
      </c>
      <c r="C97" s="210">
        <f t="shared" si="78"/>
        <v>47208</v>
      </c>
      <c r="D97" s="335">
        <f t="shared" si="49"/>
        <v>103.11751004747998</v>
      </c>
      <c r="E97" s="336">
        <f t="shared" si="50"/>
        <v>21.708949483679998</v>
      </c>
      <c r="F97" s="335">
        <f t="shared" si="51"/>
        <v>81.408560563799981</v>
      </c>
      <c r="G97" s="335">
        <f t="shared" si="59"/>
        <v>0.88892943935450897</v>
      </c>
      <c r="H97" s="339">
        <f t="shared" si="83"/>
        <v>0.10150000000000001</v>
      </c>
      <c r="I97" s="337">
        <f>IF(MOD(MONTH(B97),3)=0,(IF($B$4=1,0,SUMIF(Assumptions!$H$173:$U$173,'Debt repayment Schedule'!C97,Assumptions!$H$183:$U$183)/4)),0)</f>
        <v>0.04</v>
      </c>
      <c r="J97" s="336">
        <f t="shared" si="52"/>
        <v>22.597878923034507</v>
      </c>
      <c r="K97" s="260"/>
      <c r="L97" s="338">
        <f t="shared" si="53"/>
        <v>47208</v>
      </c>
      <c r="M97" s="210">
        <f t="shared" si="79"/>
        <v>47208</v>
      </c>
      <c r="N97" s="335">
        <f t="shared" si="76"/>
        <v>5.6328690516099869</v>
      </c>
      <c r="O97" s="1382">
        <f t="shared" si="48"/>
        <v>1.18586716876</v>
      </c>
      <c r="P97" s="335">
        <f t="shared" si="82"/>
        <v>4.4470018828499871</v>
      </c>
      <c r="Q97" s="335">
        <f t="shared" si="60"/>
        <v>4.8558417728468008E-2</v>
      </c>
      <c r="R97" s="339">
        <f t="shared" si="84"/>
        <v>0.10150000000000001</v>
      </c>
      <c r="S97" s="1282">
        <f>IF(MOD(MONTH(L97),3)=0,IF($B$4=1,0,SUMIF(Assumptions!$H$173:$U$173,'Debt repayment Schedule'!M97,Assumptions!$H$184:$U$184)/4),0)</f>
        <v>0.04</v>
      </c>
      <c r="T97" s="336">
        <f t="shared" si="54"/>
        <v>1.2344255864884679</v>
      </c>
      <c r="U97" s="260"/>
      <c r="V97" s="210">
        <f t="shared" si="61"/>
        <v>47208</v>
      </c>
      <c r="W97" s="210">
        <f t="shared" si="80"/>
        <v>47208</v>
      </c>
      <c r="X97" s="335">
        <f t="shared" si="77"/>
        <v>126.68395953174036</v>
      </c>
      <c r="Y97" s="1382">
        <f t="shared" si="55"/>
        <v>26.670307269840002</v>
      </c>
      <c r="Z97" s="335">
        <f t="shared" si="56"/>
        <v>100.01365226190035</v>
      </c>
      <c r="AA97" s="335">
        <f t="shared" si="62"/>
        <v>1.1082243363968409</v>
      </c>
      <c r="AB97" s="339">
        <f t="shared" si="85"/>
        <v>0.10299999999999999</v>
      </c>
      <c r="AC97" s="337">
        <f>IF(MOD(MONTH(V97),3)=0,IF($B$4=1,0,SUMIF(Assumptions!$H$173:$U$173,'Debt repayment Schedule'!C97,Assumptions!$H$185:$U$185)/4),0)</f>
        <v>0.04</v>
      </c>
      <c r="AD97" s="336">
        <f t="shared" si="57"/>
        <v>27.778531606236843</v>
      </c>
      <c r="AE97" s="260"/>
      <c r="AF97" s="210">
        <f t="shared" si="63"/>
        <v>47208</v>
      </c>
      <c r="AG97" s="210">
        <f t="shared" si="64"/>
        <v>47208</v>
      </c>
      <c r="AH97" s="335">
        <f t="shared" si="65"/>
        <v>10.706604965119993</v>
      </c>
      <c r="AI97" s="1382">
        <f t="shared" si="66"/>
        <v>2.2540220979200001</v>
      </c>
      <c r="AJ97" s="335">
        <f t="shared" si="67"/>
        <v>8.4525828671999932</v>
      </c>
      <c r="AK97" s="335">
        <f t="shared" si="68"/>
        <v>0</v>
      </c>
      <c r="AL97" s="339">
        <f t="shared" si="86"/>
        <v>0</v>
      </c>
      <c r="AM97" s="337">
        <f>IF(MOD(MONTH(AF97),3)=0,IF($B$4=1,0,SUMIF(Assumptions!$H$173:$U$173,'Debt repayment Schedule'!M97,Assumptions!$H$185:$U$185)/4),0)</f>
        <v>0.04</v>
      </c>
      <c r="AN97" s="336">
        <f t="shared" si="69"/>
        <v>2.2540220979200001</v>
      </c>
      <c r="AO97" s="260"/>
      <c r="AP97" s="210">
        <f t="shared" si="70"/>
        <v>47208</v>
      </c>
      <c r="AQ97" s="210">
        <f t="shared" si="81"/>
        <v>47208</v>
      </c>
      <c r="AR97" s="335">
        <f t="shared" si="71"/>
        <v>0</v>
      </c>
      <c r="AS97" s="335">
        <f t="shared" si="72"/>
        <v>0</v>
      </c>
      <c r="AT97" s="616">
        <f t="shared" si="73"/>
        <v>0</v>
      </c>
      <c r="AU97" s="335">
        <f t="shared" si="74"/>
        <v>0</v>
      </c>
      <c r="AV97" s="339">
        <f t="shared" si="87"/>
        <v>0.10299999999999999</v>
      </c>
      <c r="AW97" s="337">
        <f>IF(MOD(MONTH(AP97),3)=0,IF($B$4=1,0,SUMIF(Assumptions!$H$173:$U$173,'Debt repayment Schedule'!W97,Assumptions!$H$185:$U$185)/4),0)</f>
        <v>0.04</v>
      </c>
      <c r="AX97" s="336"/>
      <c r="AY97" s="260"/>
      <c r="AZ97" s="260">
        <f t="shared" si="75"/>
        <v>51.819146020200002</v>
      </c>
      <c r="BB97" s="260">
        <f t="shared" si="47"/>
        <v>2.0457121934798179</v>
      </c>
      <c r="BC97" s="260">
        <f>AZ97+SUM(BB95:BB97)</f>
        <v>57.758310452883343</v>
      </c>
      <c r="BD97" s="215">
        <f>BC100</f>
        <v>53.321361353360139</v>
      </c>
    </row>
    <row r="98" spans="2:56" x14ac:dyDescent="0.35">
      <c r="B98" s="210">
        <f t="shared" si="58"/>
        <v>47238</v>
      </c>
      <c r="C98" s="210">
        <f t="shared" si="78"/>
        <v>47573</v>
      </c>
      <c r="D98" s="335">
        <f t="shared" si="49"/>
        <v>81.408560563799981</v>
      </c>
      <c r="E98" s="336">
        <f t="shared" si="50"/>
        <v>0</v>
      </c>
      <c r="F98" s="335">
        <f t="shared" si="51"/>
        <v>81.408560563799981</v>
      </c>
      <c r="G98" s="335">
        <f t="shared" si="59"/>
        <v>0.67914812853909856</v>
      </c>
      <c r="H98" s="339">
        <f t="shared" si="83"/>
        <v>0.10150000000000001</v>
      </c>
      <c r="I98" s="337">
        <f>IF(MOD(MONTH(B98),3)=0,(IF($B$4=1,0,SUMIF(Assumptions!$H$173:$U$173,'Debt repayment Schedule'!C98,Assumptions!$H$183:$U$183)/4)),0)</f>
        <v>0</v>
      </c>
      <c r="J98" s="336">
        <f t="shared" si="52"/>
        <v>0.67914812853909856</v>
      </c>
      <c r="K98" s="260"/>
      <c r="L98" s="338">
        <f t="shared" si="53"/>
        <v>47238</v>
      </c>
      <c r="M98" s="210">
        <f t="shared" si="79"/>
        <v>47573</v>
      </c>
      <c r="N98" s="335">
        <f t="shared" si="76"/>
        <v>4.4470018828499871</v>
      </c>
      <c r="O98" s="1382">
        <f t="shared" si="48"/>
        <v>0</v>
      </c>
      <c r="P98" s="335">
        <f t="shared" si="82"/>
        <v>4.4470018828499871</v>
      </c>
      <c r="Q98" s="335">
        <f t="shared" si="60"/>
        <v>3.7098960913090992E-2</v>
      </c>
      <c r="R98" s="339">
        <f t="shared" si="84"/>
        <v>0.10150000000000001</v>
      </c>
      <c r="S98" s="1282">
        <f>IF(MOD(MONTH(L98),3)=0,IF($B$4=1,0,SUMIF(Assumptions!$H$173:$U$173,'Debt repayment Schedule'!M98,Assumptions!$H$184:$U$184)/4),0)</f>
        <v>0</v>
      </c>
      <c r="T98" s="336">
        <f t="shared" si="54"/>
        <v>3.7098960913090992E-2</v>
      </c>
      <c r="U98" s="260"/>
      <c r="V98" s="210">
        <f t="shared" si="61"/>
        <v>47238</v>
      </c>
      <c r="W98" s="210">
        <f t="shared" si="80"/>
        <v>47573</v>
      </c>
      <c r="X98" s="335">
        <f t="shared" si="77"/>
        <v>100.01365226190035</v>
      </c>
      <c r="Y98" s="1382">
        <f t="shared" si="55"/>
        <v>0</v>
      </c>
      <c r="Z98" s="335">
        <f t="shared" si="56"/>
        <v>100.01365226190035</v>
      </c>
      <c r="AA98" s="335">
        <f t="shared" si="62"/>
        <v>0.84669091914869066</v>
      </c>
      <c r="AB98" s="339">
        <f t="shared" si="85"/>
        <v>0.10299999999999999</v>
      </c>
      <c r="AC98" s="337">
        <f>IF(MOD(MONTH(V98),3)=0,IF($B$4=1,0,SUMIF(Assumptions!$H$173:$U$173,'Debt repayment Schedule'!C98,Assumptions!$H$185:$U$185)/4),0)</f>
        <v>0</v>
      </c>
      <c r="AD98" s="336">
        <f t="shared" si="57"/>
        <v>0.84669091914869066</v>
      </c>
      <c r="AE98" s="260"/>
      <c r="AF98" s="210">
        <f t="shared" si="63"/>
        <v>47238</v>
      </c>
      <c r="AG98" s="210">
        <f t="shared" si="64"/>
        <v>47573</v>
      </c>
      <c r="AH98" s="335">
        <f t="shared" si="65"/>
        <v>8.4525828671999932</v>
      </c>
      <c r="AI98" s="1382">
        <f t="shared" si="66"/>
        <v>0</v>
      </c>
      <c r="AJ98" s="335">
        <f t="shared" si="67"/>
        <v>8.4525828671999932</v>
      </c>
      <c r="AK98" s="335">
        <f t="shared" si="68"/>
        <v>0</v>
      </c>
      <c r="AL98" s="339">
        <f t="shared" si="86"/>
        <v>0</v>
      </c>
      <c r="AM98" s="337">
        <f>IF(MOD(MONTH(AF98),3)=0,IF($B$4=1,0,SUMIF(Assumptions!$H$173:$U$173,'Debt repayment Schedule'!M98,Assumptions!$H$185:$U$185)/4),0)</f>
        <v>0</v>
      </c>
      <c r="AN98" s="336">
        <f t="shared" si="69"/>
        <v>0</v>
      </c>
      <c r="AO98" s="260"/>
      <c r="AP98" s="210">
        <f t="shared" si="70"/>
        <v>47238</v>
      </c>
      <c r="AQ98" s="210">
        <f t="shared" si="81"/>
        <v>47573</v>
      </c>
      <c r="AR98" s="335">
        <f t="shared" si="71"/>
        <v>0</v>
      </c>
      <c r="AS98" s="335">
        <f t="shared" si="72"/>
        <v>0</v>
      </c>
      <c r="AT98" s="616">
        <f t="shared" si="73"/>
        <v>0</v>
      </c>
      <c r="AU98" s="335">
        <f t="shared" si="74"/>
        <v>0</v>
      </c>
      <c r="AV98" s="339">
        <f t="shared" si="87"/>
        <v>0.10299999999999999</v>
      </c>
      <c r="AW98" s="337">
        <f>IF(MOD(MONTH(AP98),3)=0,IF($B$4=1,0,SUMIF(Assumptions!$H$173:$U$173,'Debt repayment Schedule'!W98,Assumptions!$H$185:$U$185)/4),0)</f>
        <v>0</v>
      </c>
      <c r="AX98" s="336"/>
      <c r="AY98" s="260"/>
      <c r="AZ98" s="260">
        <f t="shared" si="75"/>
        <v>0</v>
      </c>
      <c r="BB98" s="260">
        <f t="shared" si="47"/>
        <v>1.5629380086008802</v>
      </c>
    </row>
    <row r="99" spans="2:56" x14ac:dyDescent="0.35">
      <c r="B99" s="210">
        <f t="shared" si="58"/>
        <v>47269</v>
      </c>
      <c r="C99" s="210">
        <f t="shared" si="78"/>
        <v>47573</v>
      </c>
      <c r="D99" s="335">
        <f t="shared" si="49"/>
        <v>81.408560563799981</v>
      </c>
      <c r="E99" s="336">
        <f t="shared" si="50"/>
        <v>0</v>
      </c>
      <c r="F99" s="335">
        <f t="shared" si="51"/>
        <v>81.408560563799981</v>
      </c>
      <c r="G99" s="335">
        <f t="shared" si="59"/>
        <v>0.70178639949040189</v>
      </c>
      <c r="H99" s="339">
        <f t="shared" si="83"/>
        <v>0.10150000000000001</v>
      </c>
      <c r="I99" s="337">
        <f>IF(MOD(MONTH(B99),3)=0,(IF($B$4=1,0,SUMIF(Assumptions!$H$173:$U$173,'Debt repayment Schedule'!C99,Assumptions!$H$183:$U$183)/4)),0)</f>
        <v>0</v>
      </c>
      <c r="J99" s="336">
        <f t="shared" si="52"/>
        <v>0.70178639949040189</v>
      </c>
      <c r="K99" s="260"/>
      <c r="L99" s="338">
        <f t="shared" si="53"/>
        <v>47269</v>
      </c>
      <c r="M99" s="210">
        <f t="shared" si="79"/>
        <v>47573</v>
      </c>
      <c r="N99" s="335">
        <f t="shared" si="76"/>
        <v>4.4470018828499871</v>
      </c>
      <c r="O99" s="1382">
        <f t="shared" si="48"/>
        <v>0</v>
      </c>
      <c r="P99" s="335">
        <f t="shared" si="82"/>
        <v>4.4470018828499871</v>
      </c>
      <c r="Q99" s="335">
        <f t="shared" si="60"/>
        <v>3.8335592943527362E-2</v>
      </c>
      <c r="R99" s="339">
        <f t="shared" si="84"/>
        <v>0.10150000000000001</v>
      </c>
      <c r="S99" s="1282">
        <f>IF(MOD(MONTH(L99),3)=0,IF($B$4=1,0,SUMIF(Assumptions!$H$173:$U$173,'Debt repayment Schedule'!M99,Assumptions!$H$184:$U$184)/4),0)</f>
        <v>0</v>
      </c>
      <c r="T99" s="336">
        <f t="shared" si="54"/>
        <v>3.8335592943527362E-2</v>
      </c>
      <c r="U99" s="260"/>
      <c r="V99" s="210">
        <f t="shared" si="61"/>
        <v>47269</v>
      </c>
      <c r="W99" s="210">
        <f t="shared" si="80"/>
        <v>47573</v>
      </c>
      <c r="X99" s="335">
        <f t="shared" si="77"/>
        <v>100.01365226190035</v>
      </c>
      <c r="Y99" s="1382">
        <f t="shared" si="55"/>
        <v>0</v>
      </c>
      <c r="Z99" s="335">
        <f t="shared" si="56"/>
        <v>100.01365226190035</v>
      </c>
      <c r="AA99" s="335">
        <f t="shared" si="62"/>
        <v>0.87491394978698034</v>
      </c>
      <c r="AB99" s="339">
        <f t="shared" si="85"/>
        <v>0.10299999999999999</v>
      </c>
      <c r="AC99" s="337">
        <f>IF(MOD(MONTH(V99),3)=0,IF($B$4=1,0,SUMIF(Assumptions!$H$173:$U$173,'Debt repayment Schedule'!C99,Assumptions!$H$185:$U$185)/4),0)</f>
        <v>0</v>
      </c>
      <c r="AD99" s="336">
        <f t="shared" si="57"/>
        <v>0.87491394978698034</v>
      </c>
      <c r="AE99" s="260"/>
      <c r="AF99" s="210">
        <f t="shared" si="63"/>
        <v>47269</v>
      </c>
      <c r="AG99" s="210">
        <f t="shared" si="64"/>
        <v>47573</v>
      </c>
      <c r="AH99" s="335">
        <f t="shared" si="65"/>
        <v>8.4525828671999932</v>
      </c>
      <c r="AI99" s="1382">
        <f t="shared" si="66"/>
        <v>0</v>
      </c>
      <c r="AJ99" s="335">
        <f t="shared" si="67"/>
        <v>8.4525828671999932</v>
      </c>
      <c r="AK99" s="335">
        <f t="shared" si="68"/>
        <v>0</v>
      </c>
      <c r="AL99" s="339">
        <f t="shared" si="86"/>
        <v>0</v>
      </c>
      <c r="AM99" s="337">
        <f>IF(MOD(MONTH(AF99),3)=0,IF($B$4=1,0,SUMIF(Assumptions!$H$173:$U$173,'Debt repayment Schedule'!M99,Assumptions!$H$185:$U$185)/4),0)</f>
        <v>0</v>
      </c>
      <c r="AN99" s="336">
        <f t="shared" si="69"/>
        <v>0</v>
      </c>
      <c r="AO99" s="260"/>
      <c r="AP99" s="210">
        <f t="shared" si="70"/>
        <v>47269</v>
      </c>
      <c r="AQ99" s="210">
        <f t="shared" si="81"/>
        <v>47573</v>
      </c>
      <c r="AR99" s="335">
        <f t="shared" si="71"/>
        <v>0</v>
      </c>
      <c r="AS99" s="335">
        <f t="shared" si="72"/>
        <v>0</v>
      </c>
      <c r="AT99" s="616">
        <f t="shared" si="73"/>
        <v>0</v>
      </c>
      <c r="AU99" s="335">
        <f t="shared" si="74"/>
        <v>0</v>
      </c>
      <c r="AV99" s="339">
        <f t="shared" si="87"/>
        <v>0.10299999999999999</v>
      </c>
      <c r="AW99" s="337">
        <f>IF(MOD(MONTH(AP99),3)=0,IF($B$4=1,0,SUMIF(Assumptions!$H$173:$U$173,'Debt repayment Schedule'!W99,Assumptions!$H$185:$U$185)/4),0)</f>
        <v>0</v>
      </c>
      <c r="AX99" s="336"/>
      <c r="AY99" s="260"/>
      <c r="AZ99" s="260">
        <f t="shared" si="75"/>
        <v>0</v>
      </c>
      <c r="BB99" s="260">
        <f t="shared" si="47"/>
        <v>1.6150359422209095</v>
      </c>
    </row>
    <row r="100" spans="2:56" x14ac:dyDescent="0.35">
      <c r="B100" s="210">
        <f t="shared" si="58"/>
        <v>47299</v>
      </c>
      <c r="C100" s="210">
        <f t="shared" si="78"/>
        <v>47573</v>
      </c>
      <c r="D100" s="335">
        <f t="shared" si="49"/>
        <v>81.408560563799981</v>
      </c>
      <c r="E100" s="336">
        <f t="shared" si="50"/>
        <v>20.352140140949988</v>
      </c>
      <c r="F100" s="335">
        <f t="shared" si="51"/>
        <v>61.056420422849996</v>
      </c>
      <c r="G100" s="335">
        <f t="shared" si="59"/>
        <v>0.67914812853909856</v>
      </c>
      <c r="H100" s="339">
        <f t="shared" si="83"/>
        <v>0.10150000000000001</v>
      </c>
      <c r="I100" s="337">
        <f>IF(MOD(MONTH(B100),3)=0,(IF($B$4=1,0,SUMIF(Assumptions!$H$173:$U$173,'Debt repayment Schedule'!C100,Assumptions!$H$183:$U$183)/4)),0)</f>
        <v>3.7499999999999978E-2</v>
      </c>
      <c r="J100" s="336">
        <f t="shared" si="52"/>
        <v>21.031288269489085</v>
      </c>
      <c r="K100" s="260"/>
      <c r="L100" s="338">
        <f t="shared" si="53"/>
        <v>47299</v>
      </c>
      <c r="M100" s="210">
        <f t="shared" si="79"/>
        <v>47573</v>
      </c>
      <c r="N100" s="335">
        <f t="shared" si="76"/>
        <v>4.4470018828499871</v>
      </c>
      <c r="O100" s="1382">
        <f t="shared" si="48"/>
        <v>1.1117504707124992</v>
      </c>
      <c r="P100" s="335">
        <f t="shared" si="82"/>
        <v>3.3352514121374881</v>
      </c>
      <c r="Q100" s="335">
        <f t="shared" si="60"/>
        <v>3.7098960913090992E-2</v>
      </c>
      <c r="R100" s="339">
        <f t="shared" si="84"/>
        <v>0.10150000000000001</v>
      </c>
      <c r="S100" s="1282">
        <f>IF(MOD(MONTH(L100),3)=0,IF($B$4=1,0,SUMIF(Assumptions!$H$173:$U$173,'Debt repayment Schedule'!M100,Assumptions!$H$184:$U$184)/4),0)</f>
        <v>3.7499999999999978E-2</v>
      </c>
      <c r="T100" s="336">
        <f t="shared" si="54"/>
        <v>1.1488494316255902</v>
      </c>
      <c r="U100" s="260"/>
      <c r="V100" s="210">
        <f t="shared" si="61"/>
        <v>47299</v>
      </c>
      <c r="W100" s="210">
        <f t="shared" si="80"/>
        <v>47573</v>
      </c>
      <c r="X100" s="335">
        <f t="shared" si="77"/>
        <v>100.01365226190035</v>
      </c>
      <c r="Y100" s="1382">
        <f t="shared" si="55"/>
        <v>25.003413065474984</v>
      </c>
      <c r="Z100" s="335">
        <f t="shared" si="56"/>
        <v>75.01023919642536</v>
      </c>
      <c r="AA100" s="335">
        <f t="shared" si="62"/>
        <v>0.84669091914869066</v>
      </c>
      <c r="AB100" s="339">
        <f t="shared" si="85"/>
        <v>0.10299999999999999</v>
      </c>
      <c r="AC100" s="337">
        <f>IF(MOD(MONTH(V100),3)=0,IF($B$4=1,0,SUMIF(Assumptions!$H$173:$U$173,'Debt repayment Schedule'!C100,Assumptions!$H$185:$U$185)/4),0)</f>
        <v>3.7499999999999978E-2</v>
      </c>
      <c r="AD100" s="336">
        <f t="shared" si="57"/>
        <v>25.850103984623676</v>
      </c>
      <c r="AE100" s="260"/>
      <c r="AF100" s="210">
        <f t="shared" si="63"/>
        <v>47299</v>
      </c>
      <c r="AG100" s="210">
        <f t="shared" si="64"/>
        <v>47573</v>
      </c>
      <c r="AH100" s="335">
        <f t="shared" si="65"/>
        <v>8.4525828671999932</v>
      </c>
      <c r="AI100" s="1382">
        <f t="shared" si="66"/>
        <v>2.1131457167999987</v>
      </c>
      <c r="AJ100" s="335">
        <f t="shared" si="67"/>
        <v>6.3394371503999949</v>
      </c>
      <c r="AK100" s="335">
        <f t="shared" si="68"/>
        <v>0</v>
      </c>
      <c r="AL100" s="339">
        <f t="shared" si="86"/>
        <v>0</v>
      </c>
      <c r="AM100" s="337">
        <f>IF(MOD(MONTH(AF100),3)=0,IF($B$4=1,0,SUMIF(Assumptions!$H$173:$U$173,'Debt repayment Schedule'!M100,Assumptions!$H$185:$U$185)/4),0)</f>
        <v>3.7499999999999978E-2</v>
      </c>
      <c r="AN100" s="336">
        <f t="shared" si="69"/>
        <v>2.1131457167999987</v>
      </c>
      <c r="AO100" s="260"/>
      <c r="AP100" s="210">
        <f t="shared" si="70"/>
        <v>47299</v>
      </c>
      <c r="AQ100" s="210">
        <f t="shared" si="81"/>
        <v>47573</v>
      </c>
      <c r="AR100" s="335">
        <f t="shared" si="71"/>
        <v>0</v>
      </c>
      <c r="AS100" s="335">
        <f t="shared" si="72"/>
        <v>0</v>
      </c>
      <c r="AT100" s="616">
        <f t="shared" si="73"/>
        <v>0</v>
      </c>
      <c r="AU100" s="335">
        <f t="shared" si="74"/>
        <v>0</v>
      </c>
      <c r="AV100" s="339">
        <f t="shared" si="87"/>
        <v>0.10299999999999999</v>
      </c>
      <c r="AW100" s="337">
        <f>IF(MOD(MONTH(AP100),3)=0,IF($B$4=1,0,SUMIF(Assumptions!$H$173:$U$173,'Debt repayment Schedule'!W100,Assumptions!$H$185:$U$185)/4),0)</f>
        <v>3.7499999999999978E-2</v>
      </c>
      <c r="AX100" s="336"/>
      <c r="AY100" s="260"/>
      <c r="AZ100" s="260">
        <f t="shared" si="75"/>
        <v>48.580449393937471</v>
      </c>
      <c r="BB100" s="260">
        <f t="shared" si="47"/>
        <v>1.5629380086008802</v>
      </c>
      <c r="BC100" s="260">
        <f>AZ100+SUM(BB98:BB100)</f>
        <v>53.321361353360139</v>
      </c>
    </row>
    <row r="101" spans="2:56" x14ac:dyDescent="0.35">
      <c r="B101" s="210">
        <f t="shared" si="58"/>
        <v>47330</v>
      </c>
      <c r="C101" s="210">
        <f t="shared" si="78"/>
        <v>47573</v>
      </c>
      <c r="D101" s="335">
        <f t="shared" si="49"/>
        <v>61.056420422849996</v>
      </c>
      <c r="E101" s="336">
        <f t="shared" si="50"/>
        <v>0</v>
      </c>
      <c r="F101" s="335">
        <f t="shared" si="51"/>
        <v>61.056420422849996</v>
      </c>
      <c r="G101" s="335">
        <f t="shared" si="59"/>
        <v>0.52633979961780142</v>
      </c>
      <c r="H101" s="339">
        <f t="shared" si="83"/>
        <v>0.10150000000000001</v>
      </c>
      <c r="I101" s="337">
        <f>IF(MOD(MONTH(B101),3)=0,(IF($B$4=1,0,SUMIF(Assumptions!$H$173:$U$173,'Debt repayment Schedule'!C101,Assumptions!$H$183:$U$183)/4)),0)</f>
        <v>0</v>
      </c>
      <c r="J101" s="336">
        <f t="shared" si="52"/>
        <v>0.52633979961780142</v>
      </c>
      <c r="K101" s="260"/>
      <c r="L101" s="338">
        <f t="shared" si="53"/>
        <v>47330</v>
      </c>
      <c r="M101" s="210">
        <f t="shared" si="79"/>
        <v>47573</v>
      </c>
      <c r="N101" s="335">
        <f t="shared" si="76"/>
        <v>3.3352514121374881</v>
      </c>
      <c r="O101" s="1382">
        <f t="shared" si="48"/>
        <v>0</v>
      </c>
      <c r="P101" s="335">
        <f t="shared" si="82"/>
        <v>3.3352514121374881</v>
      </c>
      <c r="Q101" s="335">
        <f t="shared" si="60"/>
        <v>2.8751694707645499E-2</v>
      </c>
      <c r="R101" s="339">
        <f t="shared" si="84"/>
        <v>0.10150000000000001</v>
      </c>
      <c r="S101" s="1282">
        <f>IF(MOD(MONTH(L101),3)=0,IF($B$4=1,0,SUMIF(Assumptions!$H$173:$U$173,'Debt repayment Schedule'!M101,Assumptions!$H$184:$U$184)/4),0)</f>
        <v>0</v>
      </c>
      <c r="T101" s="336">
        <f t="shared" si="54"/>
        <v>2.8751694707645499E-2</v>
      </c>
      <c r="U101" s="260"/>
      <c r="V101" s="210">
        <f t="shared" si="61"/>
        <v>47330</v>
      </c>
      <c r="W101" s="210">
        <f t="shared" si="80"/>
        <v>47573</v>
      </c>
      <c r="X101" s="335">
        <f t="shared" si="77"/>
        <v>75.01023919642536</v>
      </c>
      <c r="Y101" s="1382">
        <f t="shared" si="55"/>
        <v>0</v>
      </c>
      <c r="Z101" s="335">
        <f t="shared" si="56"/>
        <v>75.01023919642536</v>
      </c>
      <c r="AA101" s="335">
        <f t="shared" si="62"/>
        <v>0.65618546234023611</v>
      </c>
      <c r="AB101" s="339">
        <f t="shared" si="85"/>
        <v>0.10299999999999999</v>
      </c>
      <c r="AC101" s="337">
        <f>IF(MOD(MONTH(V101),3)=0,IF($B$4=1,0,SUMIF(Assumptions!$H$173:$U$173,'Debt repayment Schedule'!C101,Assumptions!$H$185:$U$185)/4),0)</f>
        <v>0</v>
      </c>
      <c r="AD101" s="336">
        <f t="shared" si="57"/>
        <v>0.65618546234023611</v>
      </c>
      <c r="AE101" s="260"/>
      <c r="AF101" s="210">
        <f t="shared" si="63"/>
        <v>47330</v>
      </c>
      <c r="AG101" s="210">
        <f t="shared" si="64"/>
        <v>47573</v>
      </c>
      <c r="AH101" s="335">
        <f t="shared" si="65"/>
        <v>6.3394371503999949</v>
      </c>
      <c r="AI101" s="1382">
        <f t="shared" si="66"/>
        <v>0</v>
      </c>
      <c r="AJ101" s="335">
        <f t="shared" si="67"/>
        <v>6.3394371503999949</v>
      </c>
      <c r="AK101" s="335">
        <f t="shared" si="68"/>
        <v>0</v>
      </c>
      <c r="AL101" s="339">
        <f t="shared" si="86"/>
        <v>0</v>
      </c>
      <c r="AM101" s="337">
        <f>IF(MOD(MONTH(AF101),3)=0,IF($B$4=1,0,SUMIF(Assumptions!$H$173:$U$173,'Debt repayment Schedule'!M101,Assumptions!$H$185:$U$185)/4),0)</f>
        <v>0</v>
      </c>
      <c r="AN101" s="336">
        <f t="shared" si="69"/>
        <v>0</v>
      </c>
      <c r="AO101" s="260"/>
      <c r="AP101" s="210">
        <f t="shared" si="70"/>
        <v>47330</v>
      </c>
      <c r="AQ101" s="210">
        <f t="shared" si="81"/>
        <v>47573</v>
      </c>
      <c r="AR101" s="335">
        <f t="shared" si="71"/>
        <v>0</v>
      </c>
      <c r="AS101" s="335">
        <f t="shared" si="72"/>
        <v>0</v>
      </c>
      <c r="AT101" s="616">
        <f t="shared" si="73"/>
        <v>0</v>
      </c>
      <c r="AU101" s="335">
        <f t="shared" si="74"/>
        <v>0</v>
      </c>
      <c r="AV101" s="339">
        <f t="shared" si="87"/>
        <v>0.10299999999999999</v>
      </c>
      <c r="AW101" s="337">
        <f>IF(MOD(MONTH(AP101),3)=0,IF($B$4=1,0,SUMIF(Assumptions!$H$173:$U$173,'Debt repayment Schedule'!W101,Assumptions!$H$185:$U$185)/4),0)</f>
        <v>0</v>
      </c>
      <c r="AX101" s="336"/>
      <c r="AY101" s="260"/>
      <c r="AZ101" s="260">
        <f t="shared" si="75"/>
        <v>0</v>
      </c>
      <c r="BB101" s="260">
        <f t="shared" si="47"/>
        <v>1.2112769566656829</v>
      </c>
    </row>
    <row r="102" spans="2:56" x14ac:dyDescent="0.35">
      <c r="B102" s="210">
        <f t="shared" si="58"/>
        <v>47361</v>
      </c>
      <c r="C102" s="210">
        <f t="shared" si="78"/>
        <v>47573</v>
      </c>
      <c r="D102" s="335">
        <f t="shared" si="49"/>
        <v>61.056420422849996</v>
      </c>
      <c r="E102" s="336">
        <f t="shared" si="50"/>
        <v>0</v>
      </c>
      <c r="F102" s="335">
        <f t="shared" si="51"/>
        <v>61.056420422849996</v>
      </c>
      <c r="G102" s="335">
        <f t="shared" si="59"/>
        <v>0.52633979961780142</v>
      </c>
      <c r="H102" s="339">
        <f t="shared" si="83"/>
        <v>0.10150000000000001</v>
      </c>
      <c r="I102" s="337">
        <f>IF(MOD(MONTH(B102),3)=0,(IF($B$4=1,0,SUMIF(Assumptions!$H$173:$U$173,'Debt repayment Schedule'!C102,Assumptions!$H$183:$U$183)/4)),0)</f>
        <v>0</v>
      </c>
      <c r="J102" s="336">
        <f t="shared" si="52"/>
        <v>0.52633979961780142</v>
      </c>
      <c r="K102" s="260"/>
      <c r="L102" s="338">
        <f t="shared" si="53"/>
        <v>47361</v>
      </c>
      <c r="M102" s="210">
        <f t="shared" si="79"/>
        <v>47573</v>
      </c>
      <c r="N102" s="335">
        <f t="shared" si="76"/>
        <v>3.3352514121374881</v>
      </c>
      <c r="O102" s="1382">
        <f t="shared" si="48"/>
        <v>0</v>
      </c>
      <c r="P102" s="335">
        <f t="shared" si="82"/>
        <v>3.3352514121374881</v>
      </c>
      <c r="Q102" s="335">
        <f t="shared" si="60"/>
        <v>2.8751694707645499E-2</v>
      </c>
      <c r="R102" s="339">
        <f t="shared" si="84"/>
        <v>0.10150000000000001</v>
      </c>
      <c r="S102" s="1282">
        <f>IF(MOD(MONTH(L102),3)=0,IF($B$4=1,0,SUMIF(Assumptions!$H$173:$U$173,'Debt repayment Schedule'!M102,Assumptions!$H$184:$U$184)/4),0)</f>
        <v>0</v>
      </c>
      <c r="T102" s="336">
        <f t="shared" si="54"/>
        <v>2.8751694707645499E-2</v>
      </c>
      <c r="U102" s="260"/>
      <c r="V102" s="210">
        <f t="shared" si="61"/>
        <v>47361</v>
      </c>
      <c r="W102" s="210">
        <f t="shared" si="80"/>
        <v>47573</v>
      </c>
      <c r="X102" s="335">
        <f t="shared" si="77"/>
        <v>75.01023919642536</v>
      </c>
      <c r="Y102" s="1382">
        <f t="shared" si="55"/>
        <v>0</v>
      </c>
      <c r="Z102" s="335">
        <f t="shared" si="56"/>
        <v>75.01023919642536</v>
      </c>
      <c r="AA102" s="335">
        <f t="shared" si="62"/>
        <v>0.65618546234023611</v>
      </c>
      <c r="AB102" s="339">
        <f t="shared" si="85"/>
        <v>0.10299999999999999</v>
      </c>
      <c r="AC102" s="337">
        <f>IF(MOD(MONTH(V102),3)=0,IF($B$4=1,0,SUMIF(Assumptions!$H$173:$U$173,'Debt repayment Schedule'!C102,Assumptions!$H$185:$U$185)/4),0)</f>
        <v>0</v>
      </c>
      <c r="AD102" s="336">
        <f t="shared" si="57"/>
        <v>0.65618546234023611</v>
      </c>
      <c r="AE102" s="260"/>
      <c r="AF102" s="210">
        <f t="shared" si="63"/>
        <v>47361</v>
      </c>
      <c r="AG102" s="210">
        <f t="shared" si="64"/>
        <v>47573</v>
      </c>
      <c r="AH102" s="335">
        <f t="shared" si="65"/>
        <v>6.3394371503999949</v>
      </c>
      <c r="AI102" s="1382">
        <f t="shared" si="66"/>
        <v>0</v>
      </c>
      <c r="AJ102" s="335">
        <f t="shared" si="67"/>
        <v>6.3394371503999949</v>
      </c>
      <c r="AK102" s="335">
        <f t="shared" si="68"/>
        <v>0</v>
      </c>
      <c r="AL102" s="339">
        <f t="shared" si="86"/>
        <v>0</v>
      </c>
      <c r="AM102" s="337">
        <f>IF(MOD(MONTH(AF102),3)=0,IF($B$4=1,0,SUMIF(Assumptions!$H$173:$U$173,'Debt repayment Schedule'!M102,Assumptions!$H$185:$U$185)/4),0)</f>
        <v>0</v>
      </c>
      <c r="AN102" s="336">
        <f t="shared" si="69"/>
        <v>0</v>
      </c>
      <c r="AO102" s="260"/>
      <c r="AP102" s="210">
        <f t="shared" si="70"/>
        <v>47361</v>
      </c>
      <c r="AQ102" s="210">
        <f t="shared" si="81"/>
        <v>47573</v>
      </c>
      <c r="AR102" s="335">
        <f t="shared" si="71"/>
        <v>0</v>
      </c>
      <c r="AS102" s="335">
        <f t="shared" si="72"/>
        <v>0</v>
      </c>
      <c r="AT102" s="616">
        <f t="shared" si="73"/>
        <v>0</v>
      </c>
      <c r="AU102" s="335">
        <f t="shared" si="74"/>
        <v>0</v>
      </c>
      <c r="AV102" s="339">
        <f t="shared" si="87"/>
        <v>0.10299999999999999</v>
      </c>
      <c r="AW102" s="337">
        <f>IF(MOD(MONTH(AP102),3)=0,IF($B$4=1,0,SUMIF(Assumptions!$H$173:$U$173,'Debt repayment Schedule'!W102,Assumptions!$H$185:$U$185)/4),0)</f>
        <v>0</v>
      </c>
      <c r="AX102" s="336"/>
      <c r="AY102" s="260"/>
      <c r="AZ102" s="260">
        <f t="shared" si="75"/>
        <v>0</v>
      </c>
      <c r="BB102" s="260">
        <f t="shared" si="47"/>
        <v>1.2112769566656829</v>
      </c>
    </row>
    <row r="103" spans="2:56" x14ac:dyDescent="0.35">
      <c r="B103" s="210">
        <f t="shared" si="58"/>
        <v>47391</v>
      </c>
      <c r="C103" s="210">
        <f t="shared" si="78"/>
        <v>47573</v>
      </c>
      <c r="D103" s="335">
        <f t="shared" si="49"/>
        <v>61.056420422849996</v>
      </c>
      <c r="E103" s="336">
        <f t="shared" si="50"/>
        <v>20.352140140949988</v>
      </c>
      <c r="F103" s="335">
        <f t="shared" si="51"/>
        <v>40.704280281900012</v>
      </c>
      <c r="G103" s="335">
        <f t="shared" si="59"/>
        <v>0.50936109640432392</v>
      </c>
      <c r="H103" s="339">
        <f t="shared" si="83"/>
        <v>0.10150000000000001</v>
      </c>
      <c r="I103" s="337">
        <f>IF(MOD(MONTH(B103),3)=0,(IF($B$4=1,0,SUMIF(Assumptions!$H$173:$U$173,'Debt repayment Schedule'!C103,Assumptions!$H$183:$U$183)/4)),0)</f>
        <v>3.7499999999999978E-2</v>
      </c>
      <c r="J103" s="336">
        <f t="shared" si="52"/>
        <v>20.861501237354311</v>
      </c>
      <c r="K103" s="260"/>
      <c r="L103" s="338">
        <f t="shared" si="53"/>
        <v>47391</v>
      </c>
      <c r="M103" s="210">
        <f t="shared" si="79"/>
        <v>47573</v>
      </c>
      <c r="N103" s="335">
        <f t="shared" si="76"/>
        <v>3.3352514121374881</v>
      </c>
      <c r="O103" s="1382">
        <f t="shared" si="48"/>
        <v>1.1117504707124992</v>
      </c>
      <c r="P103" s="335">
        <f t="shared" si="82"/>
        <v>2.2235009414249891</v>
      </c>
      <c r="Q103" s="335">
        <f t="shared" si="60"/>
        <v>2.7824220684818227E-2</v>
      </c>
      <c r="R103" s="339">
        <f t="shared" si="84"/>
        <v>0.10150000000000001</v>
      </c>
      <c r="S103" s="1282">
        <f>IF(MOD(MONTH(L103),3)=0,IF($B$4=1,0,SUMIF(Assumptions!$H$173:$U$173,'Debt repayment Schedule'!M103,Assumptions!$H$184:$U$184)/4),0)</f>
        <v>3.7499999999999978E-2</v>
      </c>
      <c r="T103" s="336">
        <f t="shared" si="54"/>
        <v>1.1395746913973175</v>
      </c>
      <c r="U103" s="260"/>
      <c r="V103" s="210">
        <f t="shared" si="61"/>
        <v>47391</v>
      </c>
      <c r="W103" s="210">
        <f t="shared" si="80"/>
        <v>47573</v>
      </c>
      <c r="X103" s="335">
        <f t="shared" si="77"/>
        <v>75.01023919642536</v>
      </c>
      <c r="Y103" s="1382">
        <f t="shared" si="55"/>
        <v>25.003413065474984</v>
      </c>
      <c r="Z103" s="335">
        <f t="shared" si="56"/>
        <v>50.006826130950373</v>
      </c>
      <c r="AA103" s="335">
        <f t="shared" si="62"/>
        <v>0.63501818936151877</v>
      </c>
      <c r="AB103" s="339">
        <f t="shared" si="85"/>
        <v>0.10299999999999999</v>
      </c>
      <c r="AC103" s="337">
        <f>IF(MOD(MONTH(V103),3)=0,IF($B$4=1,0,SUMIF(Assumptions!$H$173:$U$173,'Debt repayment Schedule'!C103,Assumptions!$H$185:$U$185)/4),0)</f>
        <v>3.7499999999999978E-2</v>
      </c>
      <c r="AD103" s="336">
        <f t="shared" si="57"/>
        <v>25.638431254836501</v>
      </c>
      <c r="AE103" s="260"/>
      <c r="AF103" s="210">
        <f t="shared" si="63"/>
        <v>47391</v>
      </c>
      <c r="AG103" s="210">
        <f t="shared" si="64"/>
        <v>47573</v>
      </c>
      <c r="AH103" s="335">
        <f t="shared" si="65"/>
        <v>6.3394371503999949</v>
      </c>
      <c r="AI103" s="1382">
        <f t="shared" si="66"/>
        <v>2.1131457167999987</v>
      </c>
      <c r="AJ103" s="335">
        <f t="shared" si="67"/>
        <v>4.2262914335999966</v>
      </c>
      <c r="AK103" s="335">
        <f t="shared" si="68"/>
        <v>0</v>
      </c>
      <c r="AL103" s="339">
        <f t="shared" si="86"/>
        <v>0</v>
      </c>
      <c r="AM103" s="337">
        <f>IF(MOD(MONTH(AF103),3)=0,IF($B$4=1,0,SUMIF(Assumptions!$H$173:$U$173,'Debt repayment Schedule'!M103,Assumptions!$H$185:$U$185)/4),0)</f>
        <v>3.7499999999999978E-2</v>
      </c>
      <c r="AN103" s="336">
        <f t="shared" si="69"/>
        <v>2.1131457167999987</v>
      </c>
      <c r="AO103" s="260"/>
      <c r="AP103" s="210">
        <f t="shared" si="70"/>
        <v>47391</v>
      </c>
      <c r="AQ103" s="210">
        <f t="shared" si="81"/>
        <v>47573</v>
      </c>
      <c r="AR103" s="335">
        <f t="shared" si="71"/>
        <v>0</v>
      </c>
      <c r="AS103" s="335">
        <f t="shared" si="72"/>
        <v>0</v>
      </c>
      <c r="AT103" s="616">
        <f t="shared" si="73"/>
        <v>0</v>
      </c>
      <c r="AU103" s="335">
        <f t="shared" si="74"/>
        <v>0</v>
      </c>
      <c r="AV103" s="339">
        <f t="shared" si="87"/>
        <v>0.10299999999999999</v>
      </c>
      <c r="AW103" s="337">
        <f>IF(MOD(MONTH(AP103),3)=0,IF($B$4=1,0,SUMIF(Assumptions!$H$173:$U$173,'Debt repayment Schedule'!W103,Assumptions!$H$185:$U$185)/4),0)</f>
        <v>3.7499999999999978E-2</v>
      </c>
      <c r="AX103" s="336"/>
      <c r="AY103" s="260"/>
      <c r="AZ103" s="260">
        <f t="shared" si="75"/>
        <v>48.580449393937471</v>
      </c>
      <c r="BB103" s="260">
        <f t="shared" si="47"/>
        <v>1.1722035064506611</v>
      </c>
      <c r="BC103" s="260">
        <f>AZ103+SUM(BB101:BB103)</f>
        <v>52.175206813719498</v>
      </c>
    </row>
    <row r="104" spans="2:56" x14ac:dyDescent="0.35">
      <c r="B104" s="210">
        <f t="shared" si="58"/>
        <v>47422</v>
      </c>
      <c r="C104" s="210">
        <f t="shared" si="78"/>
        <v>47573</v>
      </c>
      <c r="D104" s="335">
        <f t="shared" si="49"/>
        <v>40.704280281900012</v>
      </c>
      <c r="E104" s="336">
        <f t="shared" si="50"/>
        <v>0</v>
      </c>
      <c r="F104" s="335">
        <f t="shared" si="51"/>
        <v>40.704280281900012</v>
      </c>
      <c r="G104" s="335">
        <f t="shared" si="59"/>
        <v>0.35089319974520111</v>
      </c>
      <c r="H104" s="339">
        <f t="shared" si="83"/>
        <v>0.10150000000000001</v>
      </c>
      <c r="I104" s="337">
        <f>IF(MOD(MONTH(B104),3)=0,(IF($B$4=1,0,SUMIF(Assumptions!$H$173:$U$173,'Debt repayment Schedule'!C104,Assumptions!$H$183:$U$183)/4)),0)</f>
        <v>0</v>
      </c>
      <c r="J104" s="336">
        <f t="shared" si="52"/>
        <v>0.35089319974520111</v>
      </c>
      <c r="K104" s="260"/>
      <c r="L104" s="338">
        <f t="shared" si="53"/>
        <v>47422</v>
      </c>
      <c r="M104" s="210">
        <f t="shared" si="79"/>
        <v>47573</v>
      </c>
      <c r="N104" s="335">
        <f t="shared" si="76"/>
        <v>2.2235009414249891</v>
      </c>
      <c r="O104" s="1382">
        <f t="shared" si="48"/>
        <v>0</v>
      </c>
      <c r="P104" s="335">
        <f t="shared" si="82"/>
        <v>2.2235009414249891</v>
      </c>
      <c r="Q104" s="335">
        <f t="shared" si="60"/>
        <v>1.9167796471763639E-2</v>
      </c>
      <c r="R104" s="339">
        <f t="shared" si="84"/>
        <v>0.10150000000000001</v>
      </c>
      <c r="S104" s="1282">
        <f>IF(MOD(MONTH(L104),3)=0,IF($B$4=1,0,SUMIF(Assumptions!$H$173:$U$173,'Debt repayment Schedule'!M104,Assumptions!$H$184:$U$184)/4),0)</f>
        <v>0</v>
      </c>
      <c r="T104" s="336">
        <f t="shared" si="54"/>
        <v>1.9167796471763639E-2</v>
      </c>
      <c r="U104" s="260"/>
      <c r="V104" s="210">
        <f t="shared" si="61"/>
        <v>47422</v>
      </c>
      <c r="W104" s="210">
        <f t="shared" si="80"/>
        <v>47573</v>
      </c>
      <c r="X104" s="335">
        <f t="shared" si="77"/>
        <v>50.006826130950373</v>
      </c>
      <c r="Y104" s="1382">
        <f t="shared" si="55"/>
        <v>0</v>
      </c>
      <c r="Z104" s="335">
        <f t="shared" si="56"/>
        <v>50.006826130950373</v>
      </c>
      <c r="AA104" s="335">
        <f t="shared" si="62"/>
        <v>0.43745697489349189</v>
      </c>
      <c r="AB104" s="339">
        <f t="shared" si="85"/>
        <v>0.10299999999999999</v>
      </c>
      <c r="AC104" s="337">
        <f>IF(MOD(MONTH(V104),3)=0,IF($B$4=1,0,SUMIF(Assumptions!$H$173:$U$173,'Debt repayment Schedule'!C104,Assumptions!$H$185:$U$185)/4),0)</f>
        <v>0</v>
      </c>
      <c r="AD104" s="336">
        <f t="shared" si="57"/>
        <v>0.43745697489349189</v>
      </c>
      <c r="AE104" s="260"/>
      <c r="AF104" s="210">
        <f t="shared" si="63"/>
        <v>47422</v>
      </c>
      <c r="AG104" s="210">
        <f t="shared" si="64"/>
        <v>47573</v>
      </c>
      <c r="AH104" s="335">
        <f t="shared" si="65"/>
        <v>4.2262914335999966</v>
      </c>
      <c r="AI104" s="1382">
        <f t="shared" si="66"/>
        <v>0</v>
      </c>
      <c r="AJ104" s="335">
        <f t="shared" si="67"/>
        <v>4.2262914335999966</v>
      </c>
      <c r="AK104" s="335">
        <f t="shared" si="68"/>
        <v>0</v>
      </c>
      <c r="AL104" s="339">
        <f t="shared" si="86"/>
        <v>0</v>
      </c>
      <c r="AM104" s="337">
        <f>IF(MOD(MONTH(AF104),3)=0,IF($B$4=1,0,SUMIF(Assumptions!$H$173:$U$173,'Debt repayment Schedule'!M104,Assumptions!$H$185:$U$185)/4),0)</f>
        <v>0</v>
      </c>
      <c r="AN104" s="336">
        <f t="shared" si="69"/>
        <v>0</v>
      </c>
      <c r="AO104" s="260"/>
      <c r="AP104" s="210">
        <f t="shared" si="70"/>
        <v>47422</v>
      </c>
      <c r="AQ104" s="210">
        <f t="shared" si="81"/>
        <v>47573</v>
      </c>
      <c r="AR104" s="335">
        <f t="shared" si="71"/>
        <v>0</v>
      </c>
      <c r="AS104" s="335">
        <f t="shared" si="72"/>
        <v>0</v>
      </c>
      <c r="AT104" s="616">
        <f t="shared" si="73"/>
        <v>0</v>
      </c>
      <c r="AU104" s="335">
        <f t="shared" si="74"/>
        <v>0</v>
      </c>
      <c r="AV104" s="339">
        <f t="shared" si="87"/>
        <v>0.10299999999999999</v>
      </c>
      <c r="AW104" s="337">
        <f>IF(MOD(MONTH(AP104),3)=0,IF($B$4=1,0,SUMIF(Assumptions!$H$173:$U$173,'Debt repayment Schedule'!W104,Assumptions!$H$185:$U$185)/4),0)</f>
        <v>0</v>
      </c>
      <c r="AX104" s="336"/>
      <c r="AY104" s="260"/>
      <c r="AZ104" s="260">
        <f t="shared" si="75"/>
        <v>0</v>
      </c>
      <c r="BB104" s="260">
        <f t="shared" si="47"/>
        <v>0.80751797111045664</v>
      </c>
    </row>
    <row r="105" spans="2:56" x14ac:dyDescent="0.35">
      <c r="B105" s="210">
        <f t="shared" si="58"/>
        <v>47452</v>
      </c>
      <c r="C105" s="210">
        <f t="shared" si="78"/>
        <v>47573</v>
      </c>
      <c r="D105" s="335">
        <f t="shared" si="49"/>
        <v>40.704280281900012</v>
      </c>
      <c r="E105" s="336">
        <f t="shared" si="50"/>
        <v>0</v>
      </c>
      <c r="F105" s="335">
        <f t="shared" si="51"/>
        <v>40.704280281900012</v>
      </c>
      <c r="G105" s="335">
        <f t="shared" si="59"/>
        <v>0.33957406426954939</v>
      </c>
      <c r="H105" s="339">
        <f t="shared" si="83"/>
        <v>0.10150000000000001</v>
      </c>
      <c r="I105" s="337">
        <f>IF(MOD(MONTH(B105),3)=0,(IF($B$4=1,0,SUMIF(Assumptions!$H$173:$U$173,'Debt repayment Schedule'!C105,Assumptions!$H$183:$U$183)/4)),0)</f>
        <v>0</v>
      </c>
      <c r="J105" s="336">
        <f t="shared" si="52"/>
        <v>0.33957406426954939</v>
      </c>
      <c r="K105" s="260"/>
      <c r="L105" s="338">
        <f t="shared" si="53"/>
        <v>47452</v>
      </c>
      <c r="M105" s="210">
        <f t="shared" si="79"/>
        <v>47573</v>
      </c>
      <c r="N105" s="335">
        <f t="shared" si="76"/>
        <v>2.2235009414249891</v>
      </c>
      <c r="O105" s="1382">
        <f t="shared" si="48"/>
        <v>0</v>
      </c>
      <c r="P105" s="335">
        <f t="shared" si="82"/>
        <v>2.2235009414249891</v>
      </c>
      <c r="Q105" s="335">
        <f t="shared" si="60"/>
        <v>1.8549480456545458E-2</v>
      </c>
      <c r="R105" s="339">
        <f t="shared" si="84"/>
        <v>0.10150000000000001</v>
      </c>
      <c r="S105" s="1282">
        <f>IF(MOD(MONTH(L105),3)=0,IF($B$4=1,0,SUMIF(Assumptions!$H$173:$U$173,'Debt repayment Schedule'!M105,Assumptions!$H$184:$U$184)/4),0)</f>
        <v>0</v>
      </c>
      <c r="T105" s="336">
        <f t="shared" si="54"/>
        <v>1.8549480456545458E-2</v>
      </c>
      <c r="U105" s="260"/>
      <c r="V105" s="210">
        <f t="shared" si="61"/>
        <v>47452</v>
      </c>
      <c r="W105" s="210">
        <f t="shared" si="80"/>
        <v>47573</v>
      </c>
      <c r="X105" s="335">
        <f t="shared" si="77"/>
        <v>50.006826130950373</v>
      </c>
      <c r="Y105" s="1382">
        <f t="shared" si="55"/>
        <v>0</v>
      </c>
      <c r="Z105" s="335">
        <f t="shared" si="56"/>
        <v>50.006826130950373</v>
      </c>
      <c r="AA105" s="335">
        <f t="shared" si="62"/>
        <v>0.42334545957434699</v>
      </c>
      <c r="AB105" s="339">
        <f t="shared" si="85"/>
        <v>0.10299999999999999</v>
      </c>
      <c r="AC105" s="337">
        <f>IF(MOD(MONTH(V105),3)=0,IF($B$4=1,0,SUMIF(Assumptions!$H$173:$U$173,'Debt repayment Schedule'!C105,Assumptions!$H$185:$U$185)/4),0)</f>
        <v>0</v>
      </c>
      <c r="AD105" s="336">
        <f t="shared" si="57"/>
        <v>0.42334545957434699</v>
      </c>
      <c r="AE105" s="260"/>
      <c r="AF105" s="210">
        <f t="shared" si="63"/>
        <v>47452</v>
      </c>
      <c r="AG105" s="210">
        <f t="shared" si="64"/>
        <v>47573</v>
      </c>
      <c r="AH105" s="335">
        <f t="shared" si="65"/>
        <v>4.2262914335999966</v>
      </c>
      <c r="AI105" s="1382">
        <f t="shared" si="66"/>
        <v>0</v>
      </c>
      <c r="AJ105" s="335">
        <f t="shared" si="67"/>
        <v>4.2262914335999966</v>
      </c>
      <c r="AK105" s="335">
        <f t="shared" si="68"/>
        <v>0</v>
      </c>
      <c r="AL105" s="339">
        <f t="shared" si="86"/>
        <v>0</v>
      </c>
      <c r="AM105" s="337">
        <f>IF(MOD(MONTH(AF105),3)=0,IF($B$4=1,0,SUMIF(Assumptions!$H$173:$U$173,'Debt repayment Schedule'!M105,Assumptions!$H$185:$U$185)/4),0)</f>
        <v>0</v>
      </c>
      <c r="AN105" s="336">
        <f t="shared" si="69"/>
        <v>0</v>
      </c>
      <c r="AO105" s="260"/>
      <c r="AP105" s="210">
        <f t="shared" si="70"/>
        <v>47452</v>
      </c>
      <c r="AQ105" s="210">
        <f t="shared" si="81"/>
        <v>47573</v>
      </c>
      <c r="AR105" s="335">
        <f t="shared" si="71"/>
        <v>0</v>
      </c>
      <c r="AS105" s="335">
        <f t="shared" si="72"/>
        <v>0</v>
      </c>
      <c r="AT105" s="616">
        <f t="shared" si="73"/>
        <v>0</v>
      </c>
      <c r="AU105" s="335">
        <f t="shared" si="74"/>
        <v>0</v>
      </c>
      <c r="AV105" s="339">
        <f t="shared" si="87"/>
        <v>0.10299999999999999</v>
      </c>
      <c r="AW105" s="337">
        <f>IF(MOD(MONTH(AP105),3)=0,IF($B$4=1,0,SUMIF(Assumptions!$H$173:$U$173,'Debt repayment Schedule'!W105,Assumptions!$H$185:$U$185)/4),0)</f>
        <v>0</v>
      </c>
      <c r="AX105" s="336"/>
      <c r="AY105" s="260"/>
      <c r="AZ105" s="260">
        <f t="shared" si="75"/>
        <v>0</v>
      </c>
      <c r="BB105" s="260">
        <f t="shared" si="47"/>
        <v>0.78146900430044186</v>
      </c>
    </row>
    <row r="106" spans="2:56" x14ac:dyDescent="0.35">
      <c r="B106" s="210">
        <f t="shared" si="58"/>
        <v>47483</v>
      </c>
      <c r="C106" s="210">
        <f t="shared" si="78"/>
        <v>47573</v>
      </c>
      <c r="D106" s="335">
        <f t="shared" si="49"/>
        <v>40.704280281900012</v>
      </c>
      <c r="E106" s="336">
        <f t="shared" si="50"/>
        <v>20.352140140949988</v>
      </c>
      <c r="F106" s="335">
        <f t="shared" si="51"/>
        <v>20.352140140950024</v>
      </c>
      <c r="G106" s="335">
        <f t="shared" si="59"/>
        <v>0.35089319974520111</v>
      </c>
      <c r="H106" s="339">
        <f t="shared" si="83"/>
        <v>0.10150000000000001</v>
      </c>
      <c r="I106" s="337">
        <f>IF(MOD(MONTH(B106),3)=0,(IF($B$4=1,0,SUMIF(Assumptions!$H$173:$U$173,'Debt repayment Schedule'!C106,Assumptions!$H$183:$U$183)/4)),0)</f>
        <v>3.7499999999999978E-2</v>
      </c>
      <c r="J106" s="336">
        <f t="shared" si="52"/>
        <v>20.703033340695189</v>
      </c>
      <c r="K106" s="260"/>
      <c r="L106" s="338">
        <f t="shared" si="53"/>
        <v>47483</v>
      </c>
      <c r="M106" s="210">
        <f t="shared" si="79"/>
        <v>47573</v>
      </c>
      <c r="N106" s="335">
        <f t="shared" si="76"/>
        <v>2.2235009414249891</v>
      </c>
      <c r="O106" s="1382">
        <f t="shared" si="48"/>
        <v>1.1117504707124992</v>
      </c>
      <c r="P106" s="335">
        <f t="shared" si="82"/>
        <v>1.1117504707124899</v>
      </c>
      <c r="Q106" s="335">
        <f t="shared" si="60"/>
        <v>1.9167796471763639E-2</v>
      </c>
      <c r="R106" s="339">
        <f t="shared" si="84"/>
        <v>0.10150000000000001</v>
      </c>
      <c r="S106" s="1282">
        <f>IF(MOD(MONTH(L106),3)=0,IF($B$4=1,0,SUMIF(Assumptions!$H$173:$U$173,'Debt repayment Schedule'!M106,Assumptions!$H$184:$U$184)/4),0)</f>
        <v>3.7499999999999978E-2</v>
      </c>
      <c r="T106" s="336">
        <f t="shared" si="54"/>
        <v>1.1309182671842628</v>
      </c>
      <c r="U106" s="260"/>
      <c r="V106" s="210">
        <f t="shared" si="61"/>
        <v>47483</v>
      </c>
      <c r="W106" s="210">
        <f t="shared" si="80"/>
        <v>47573</v>
      </c>
      <c r="X106" s="335">
        <f t="shared" si="77"/>
        <v>50.006826130950373</v>
      </c>
      <c r="Y106" s="1382">
        <f t="shared" si="55"/>
        <v>25.003413065474984</v>
      </c>
      <c r="Z106" s="335">
        <f t="shared" si="56"/>
        <v>25.003413065475389</v>
      </c>
      <c r="AA106" s="335">
        <f t="shared" si="62"/>
        <v>0.43745697489349189</v>
      </c>
      <c r="AB106" s="339">
        <f t="shared" si="85"/>
        <v>0.10299999999999999</v>
      </c>
      <c r="AC106" s="337">
        <f>IF(MOD(MONTH(V106),3)=0,IF($B$4=1,0,SUMIF(Assumptions!$H$173:$U$173,'Debt repayment Schedule'!C106,Assumptions!$H$185:$U$185)/4),0)</f>
        <v>3.7499999999999978E-2</v>
      </c>
      <c r="AD106" s="336">
        <f t="shared" si="57"/>
        <v>25.440870040368477</v>
      </c>
      <c r="AE106" s="260"/>
      <c r="AF106" s="210">
        <f t="shared" si="63"/>
        <v>47483</v>
      </c>
      <c r="AG106" s="210">
        <f t="shared" si="64"/>
        <v>47573</v>
      </c>
      <c r="AH106" s="335">
        <f t="shared" si="65"/>
        <v>4.2262914335999966</v>
      </c>
      <c r="AI106" s="1382">
        <f t="shared" si="66"/>
        <v>2.1131457167999987</v>
      </c>
      <c r="AJ106" s="335">
        <f t="shared" si="67"/>
        <v>2.1131457167999979</v>
      </c>
      <c r="AK106" s="335">
        <f t="shared" si="68"/>
        <v>0</v>
      </c>
      <c r="AL106" s="339">
        <f t="shared" si="86"/>
        <v>0</v>
      </c>
      <c r="AM106" s="337">
        <f>IF(MOD(MONTH(AF106),3)=0,IF($B$4=1,0,SUMIF(Assumptions!$H$173:$U$173,'Debt repayment Schedule'!M106,Assumptions!$H$185:$U$185)/4),0)</f>
        <v>3.7499999999999978E-2</v>
      </c>
      <c r="AN106" s="336">
        <f t="shared" si="69"/>
        <v>2.1131457167999987</v>
      </c>
      <c r="AO106" s="260"/>
      <c r="AP106" s="210">
        <f t="shared" si="70"/>
        <v>47483</v>
      </c>
      <c r="AQ106" s="210">
        <f t="shared" si="81"/>
        <v>47573</v>
      </c>
      <c r="AR106" s="335">
        <f t="shared" si="71"/>
        <v>0</v>
      </c>
      <c r="AS106" s="335">
        <f t="shared" si="72"/>
        <v>0</v>
      </c>
      <c r="AT106" s="616">
        <f t="shared" si="73"/>
        <v>0</v>
      </c>
      <c r="AU106" s="335">
        <f t="shared" si="74"/>
        <v>0</v>
      </c>
      <c r="AV106" s="339">
        <f t="shared" si="87"/>
        <v>0.10299999999999999</v>
      </c>
      <c r="AW106" s="337">
        <f>IF(MOD(MONTH(AP106),3)=0,IF($B$4=1,0,SUMIF(Assumptions!$H$173:$U$173,'Debt repayment Schedule'!W106,Assumptions!$H$185:$U$185)/4),0)</f>
        <v>3.7499999999999978E-2</v>
      </c>
      <c r="AX106" s="336"/>
      <c r="AY106" s="260"/>
      <c r="AZ106" s="260">
        <f t="shared" si="75"/>
        <v>48.580449393937471</v>
      </c>
      <c r="BB106" s="260">
        <f t="shared" si="47"/>
        <v>0.80751797111045664</v>
      </c>
      <c r="BC106" s="260">
        <f>AZ106+SUM(BB104:BB106)</f>
        <v>50.976954340458825</v>
      </c>
      <c r="BD106" s="215"/>
    </row>
    <row r="107" spans="2:56" x14ac:dyDescent="0.35">
      <c r="B107" s="210">
        <f t="shared" si="58"/>
        <v>47514</v>
      </c>
      <c r="C107" s="210">
        <f t="shared" si="78"/>
        <v>47573</v>
      </c>
      <c r="D107" s="335">
        <f t="shared" si="49"/>
        <v>20.352140140950024</v>
      </c>
      <c r="E107" s="336">
        <f t="shared" si="50"/>
        <v>0</v>
      </c>
      <c r="F107" s="335">
        <f t="shared" si="51"/>
        <v>20.352140140950024</v>
      </c>
      <c r="G107" s="335">
        <f t="shared" si="59"/>
        <v>0.17544659987260067</v>
      </c>
      <c r="H107" s="339">
        <f t="shared" si="83"/>
        <v>0.10150000000000001</v>
      </c>
      <c r="I107" s="337">
        <f>IF(MOD(MONTH(B107),3)=0,(IF($B$4=1,0,SUMIF(Assumptions!$H$173:$U$173,'Debt repayment Schedule'!C107,Assumptions!$H$183:$U$183)/4)),0)</f>
        <v>0</v>
      </c>
      <c r="J107" s="336">
        <f t="shared" si="52"/>
        <v>0.17544659987260067</v>
      </c>
      <c r="K107" s="260"/>
      <c r="L107" s="338">
        <f t="shared" si="53"/>
        <v>47514</v>
      </c>
      <c r="M107" s="210">
        <f t="shared" si="79"/>
        <v>47573</v>
      </c>
      <c r="N107" s="335">
        <f t="shared" si="76"/>
        <v>1.1117504707124899</v>
      </c>
      <c r="O107" s="1382">
        <f t="shared" si="48"/>
        <v>0</v>
      </c>
      <c r="P107" s="335">
        <f t="shared" si="82"/>
        <v>1.1117504707124899</v>
      </c>
      <c r="Q107" s="335">
        <f t="shared" si="60"/>
        <v>9.5838982358817798E-3</v>
      </c>
      <c r="R107" s="339">
        <f t="shared" si="84"/>
        <v>0.10150000000000001</v>
      </c>
      <c r="S107" s="1282">
        <f>IF(MOD(MONTH(L107),3)=0,IF($B$4=1,0,SUMIF(Assumptions!$H$173:$U$173,'Debt repayment Schedule'!M107,Assumptions!$H$184:$U$184)/4),0)</f>
        <v>0</v>
      </c>
      <c r="T107" s="336">
        <f t="shared" si="54"/>
        <v>9.5838982358817798E-3</v>
      </c>
      <c r="U107" s="260"/>
      <c r="V107" s="210">
        <f t="shared" si="61"/>
        <v>47514</v>
      </c>
      <c r="W107" s="210">
        <f t="shared" si="80"/>
        <v>47573</v>
      </c>
      <c r="X107" s="335">
        <f t="shared" si="77"/>
        <v>25.003413065475389</v>
      </c>
      <c r="Y107" s="1382">
        <f t="shared" si="55"/>
        <v>0</v>
      </c>
      <c r="Z107" s="335">
        <f t="shared" si="56"/>
        <v>25.003413065475389</v>
      </c>
      <c r="AA107" s="335">
        <f t="shared" si="62"/>
        <v>0.21872848744674769</v>
      </c>
      <c r="AB107" s="339">
        <f t="shared" si="85"/>
        <v>0.10299999999999999</v>
      </c>
      <c r="AC107" s="337">
        <f>IF(MOD(MONTH(V107),3)=0,IF($B$4=1,0,SUMIF(Assumptions!$H$173:$U$173,'Debt repayment Schedule'!C107,Assumptions!$H$185:$U$185)/4),0)</f>
        <v>0</v>
      </c>
      <c r="AD107" s="336">
        <f t="shared" si="57"/>
        <v>0.21872848744674769</v>
      </c>
      <c r="AE107" s="260"/>
      <c r="AF107" s="210">
        <f t="shared" si="63"/>
        <v>47514</v>
      </c>
      <c r="AG107" s="210">
        <f t="shared" si="64"/>
        <v>47573</v>
      </c>
      <c r="AH107" s="335">
        <f t="shared" si="65"/>
        <v>2.1131457167999979</v>
      </c>
      <c r="AI107" s="1382">
        <f t="shared" si="66"/>
        <v>0</v>
      </c>
      <c r="AJ107" s="335">
        <f t="shared" si="67"/>
        <v>2.1131457167999979</v>
      </c>
      <c r="AK107" s="335">
        <f t="shared" si="68"/>
        <v>0</v>
      </c>
      <c r="AL107" s="339">
        <f t="shared" si="86"/>
        <v>0</v>
      </c>
      <c r="AM107" s="337">
        <f>IF(MOD(MONTH(AF107),3)=0,IF($B$4=1,0,SUMIF(Assumptions!$H$173:$U$173,'Debt repayment Schedule'!M107,Assumptions!$H$185:$U$185)/4),0)</f>
        <v>0</v>
      </c>
      <c r="AN107" s="336">
        <f t="shared" si="69"/>
        <v>0</v>
      </c>
      <c r="AO107" s="260"/>
      <c r="AP107" s="210">
        <f t="shared" si="70"/>
        <v>47514</v>
      </c>
      <c r="AQ107" s="210">
        <f t="shared" si="81"/>
        <v>47573</v>
      </c>
      <c r="AR107" s="335">
        <f t="shared" si="71"/>
        <v>0</v>
      </c>
      <c r="AS107" s="335">
        <f t="shared" si="72"/>
        <v>0</v>
      </c>
      <c r="AT107" s="616">
        <f t="shared" si="73"/>
        <v>0</v>
      </c>
      <c r="AU107" s="335">
        <f t="shared" si="74"/>
        <v>0</v>
      </c>
      <c r="AV107" s="339">
        <f t="shared" si="87"/>
        <v>0.10299999999999999</v>
      </c>
      <c r="AW107" s="337">
        <f>IF(MOD(MONTH(AP107),3)=0,IF($B$4=1,0,SUMIF(Assumptions!$H$173:$U$173,'Debt repayment Schedule'!W107,Assumptions!$H$185:$U$185)/4),0)</f>
        <v>0</v>
      </c>
      <c r="AX107" s="336"/>
      <c r="AY107" s="260"/>
      <c r="AZ107" s="260">
        <f t="shared" si="75"/>
        <v>0</v>
      </c>
      <c r="BB107" s="260">
        <f t="shared" ref="BB107:BB109" si="88">+G107+Q107+AA107+AK107+AU107</f>
        <v>0.40375898555523015</v>
      </c>
    </row>
    <row r="108" spans="2:56" x14ac:dyDescent="0.35">
      <c r="B108" s="210">
        <f t="shared" si="58"/>
        <v>47542</v>
      </c>
      <c r="C108" s="210">
        <f t="shared" si="78"/>
        <v>47573</v>
      </c>
      <c r="D108" s="335">
        <f t="shared" si="49"/>
        <v>20.352140140950024</v>
      </c>
      <c r="E108" s="336">
        <f t="shared" si="50"/>
        <v>0</v>
      </c>
      <c r="F108" s="335">
        <f t="shared" si="51"/>
        <v>20.352140140950024</v>
      </c>
      <c r="G108" s="335">
        <f t="shared" si="59"/>
        <v>0.1584678966591232</v>
      </c>
      <c r="H108" s="339">
        <f t="shared" si="83"/>
        <v>0.10150000000000001</v>
      </c>
      <c r="I108" s="337">
        <f>IF(MOD(MONTH(B108),3)=0,(IF($B$4=1,0,SUMIF(Assumptions!$H$173:$U$173,'Debt repayment Schedule'!C108,Assumptions!$H$183:$U$183)/4)),0)</f>
        <v>0</v>
      </c>
      <c r="J108" s="336">
        <f t="shared" si="52"/>
        <v>0.1584678966591232</v>
      </c>
      <c r="K108" s="260"/>
      <c r="L108" s="338">
        <f t="shared" si="53"/>
        <v>47542</v>
      </c>
      <c r="M108" s="210">
        <f t="shared" si="79"/>
        <v>47573</v>
      </c>
      <c r="N108" s="335">
        <f t="shared" si="76"/>
        <v>1.1117504707124899</v>
      </c>
      <c r="O108" s="1382">
        <f t="shared" si="48"/>
        <v>0</v>
      </c>
      <c r="P108" s="335">
        <f t="shared" si="82"/>
        <v>1.1117504707124899</v>
      </c>
      <c r="Q108" s="335">
        <f t="shared" si="60"/>
        <v>8.6564242130545109E-3</v>
      </c>
      <c r="R108" s="339">
        <f t="shared" si="84"/>
        <v>0.10150000000000001</v>
      </c>
      <c r="S108" s="1282">
        <f>IF(MOD(MONTH(L108),3)=0,IF($B$4=1,0,SUMIF(Assumptions!$H$173:$U$173,'Debt repayment Schedule'!M108,Assumptions!$H$184:$U$184)/4),0)</f>
        <v>0</v>
      </c>
      <c r="T108" s="336">
        <f t="shared" si="54"/>
        <v>8.6564242130545109E-3</v>
      </c>
      <c r="U108" s="260"/>
      <c r="V108" s="210">
        <f t="shared" si="61"/>
        <v>47542</v>
      </c>
      <c r="W108" s="210">
        <f t="shared" si="80"/>
        <v>47573</v>
      </c>
      <c r="X108" s="335">
        <f t="shared" si="77"/>
        <v>25.003413065475389</v>
      </c>
      <c r="Y108" s="1382">
        <f t="shared" si="55"/>
        <v>0</v>
      </c>
      <c r="Z108" s="335">
        <f t="shared" si="56"/>
        <v>25.003413065475389</v>
      </c>
      <c r="AA108" s="335">
        <f t="shared" si="62"/>
        <v>0.19756121446803021</v>
      </c>
      <c r="AB108" s="339">
        <f t="shared" si="85"/>
        <v>0.10299999999999999</v>
      </c>
      <c r="AC108" s="337">
        <f>IF(MOD(MONTH(V108),3)=0,IF($B$4=1,0,SUMIF(Assumptions!$H$173:$U$173,'Debt repayment Schedule'!C108,Assumptions!$H$185:$U$185)/4),0)</f>
        <v>0</v>
      </c>
      <c r="AD108" s="336">
        <f t="shared" si="57"/>
        <v>0.19756121446803021</v>
      </c>
      <c r="AE108" s="260"/>
      <c r="AF108" s="210">
        <f t="shared" si="63"/>
        <v>47542</v>
      </c>
      <c r="AG108" s="210">
        <f t="shared" si="64"/>
        <v>47573</v>
      </c>
      <c r="AH108" s="335">
        <f t="shared" si="65"/>
        <v>2.1131457167999979</v>
      </c>
      <c r="AI108" s="1382">
        <f t="shared" si="66"/>
        <v>0</v>
      </c>
      <c r="AJ108" s="335">
        <f t="shared" si="67"/>
        <v>2.1131457167999979</v>
      </c>
      <c r="AK108" s="335">
        <f t="shared" si="68"/>
        <v>0</v>
      </c>
      <c r="AL108" s="339">
        <f t="shared" si="86"/>
        <v>0</v>
      </c>
      <c r="AM108" s="337">
        <f>IF(MOD(MONTH(AF108),3)=0,IF($B$4=1,0,SUMIF(Assumptions!$H$173:$U$173,'Debt repayment Schedule'!M108,Assumptions!$H$185:$U$185)/4),0)</f>
        <v>0</v>
      </c>
      <c r="AN108" s="336">
        <f t="shared" si="69"/>
        <v>0</v>
      </c>
      <c r="AO108" s="260"/>
      <c r="AP108" s="210">
        <f t="shared" si="70"/>
        <v>47542</v>
      </c>
      <c r="AQ108" s="210">
        <f t="shared" si="81"/>
        <v>47573</v>
      </c>
      <c r="AR108" s="335">
        <f t="shared" si="71"/>
        <v>0</v>
      </c>
      <c r="AS108" s="335">
        <f t="shared" si="72"/>
        <v>0</v>
      </c>
      <c r="AT108" s="616">
        <f t="shared" si="73"/>
        <v>0</v>
      </c>
      <c r="AU108" s="335">
        <f t="shared" si="74"/>
        <v>0</v>
      </c>
      <c r="AV108" s="339">
        <f t="shared" si="87"/>
        <v>0.10299999999999999</v>
      </c>
      <c r="AW108" s="337">
        <f>IF(MOD(MONTH(AP108),3)=0,IF($B$4=1,0,SUMIF(Assumptions!$H$173:$U$173,'Debt repayment Schedule'!W108,Assumptions!$H$185:$U$185)/4),0)</f>
        <v>0</v>
      </c>
      <c r="AX108" s="336"/>
      <c r="AY108" s="260"/>
      <c r="AZ108" s="260">
        <f t="shared" si="75"/>
        <v>0</v>
      </c>
      <c r="BB108" s="260">
        <f t="shared" si="88"/>
        <v>0.36468553534020792</v>
      </c>
    </row>
    <row r="109" spans="2:56" x14ac:dyDescent="0.35">
      <c r="B109" s="210">
        <f t="shared" si="58"/>
        <v>47573</v>
      </c>
      <c r="C109" s="210">
        <f t="shared" si="78"/>
        <v>47573</v>
      </c>
      <c r="D109" s="335">
        <f t="shared" si="49"/>
        <v>20.352140140950024</v>
      </c>
      <c r="E109" s="336">
        <f t="shared" si="50"/>
        <v>20.352140140949988</v>
      </c>
      <c r="F109" s="335">
        <f t="shared" si="51"/>
        <v>3.5527136788005009E-14</v>
      </c>
      <c r="G109" s="335">
        <f t="shared" si="59"/>
        <v>0.17544659987260067</v>
      </c>
      <c r="H109" s="339">
        <f t="shared" si="83"/>
        <v>0.10150000000000001</v>
      </c>
      <c r="I109" s="337">
        <f>IF(MOD(MONTH(B109),3)=0,(IF($B$4=1,0,SUMIF(Assumptions!$H$173:$U$173,'Debt repayment Schedule'!C109,Assumptions!$H$183:$U$183)/4)),0)</f>
        <v>3.7499999999999978E-2</v>
      </c>
      <c r="J109" s="336">
        <f t="shared" si="52"/>
        <v>20.527586740822588</v>
      </c>
      <c r="K109" s="260"/>
      <c r="L109" s="338">
        <f t="shared" si="53"/>
        <v>47573</v>
      </c>
      <c r="M109" s="210">
        <f t="shared" si="79"/>
        <v>47573</v>
      </c>
      <c r="N109" s="335">
        <f t="shared" si="76"/>
        <v>1.1117504707124899</v>
      </c>
      <c r="O109" s="1382">
        <f t="shared" si="48"/>
        <v>1.1117504707124992</v>
      </c>
      <c r="P109" s="335">
        <f t="shared" si="82"/>
        <v>-9.3258734068513149E-15</v>
      </c>
      <c r="Q109" s="335">
        <f t="shared" si="60"/>
        <v>9.5838982358817798E-3</v>
      </c>
      <c r="R109" s="339">
        <f t="shared" si="84"/>
        <v>0.10150000000000001</v>
      </c>
      <c r="S109" s="1282">
        <f>IF(MOD(MONTH(L109),3)=0,IF($B$4=1,0,SUMIF(Assumptions!$H$173:$U$173,'Debt repayment Schedule'!M109,Assumptions!$H$184:$U$184)/4),0)</f>
        <v>3.7499999999999978E-2</v>
      </c>
      <c r="T109" s="336">
        <f t="shared" si="54"/>
        <v>1.121334368948381</v>
      </c>
      <c r="U109" s="260"/>
      <c r="V109" s="210">
        <f t="shared" si="61"/>
        <v>47573</v>
      </c>
      <c r="W109" s="210">
        <f t="shared" si="80"/>
        <v>47573</v>
      </c>
      <c r="X109" s="335">
        <f t="shared" si="77"/>
        <v>25.003413065475389</v>
      </c>
      <c r="Y109" s="1382">
        <f t="shared" si="55"/>
        <v>25.003413065474984</v>
      </c>
      <c r="Z109" s="335">
        <f t="shared" si="56"/>
        <v>4.0500935938325711E-13</v>
      </c>
      <c r="AA109" s="335">
        <f t="shared" si="62"/>
        <v>0.21872848744674769</v>
      </c>
      <c r="AB109" s="339">
        <f t="shared" si="85"/>
        <v>0.10299999999999999</v>
      </c>
      <c r="AC109" s="337">
        <f>IF(MOD(MONTH(V109),3)=0,IF($B$4=1,0,SUMIF(Assumptions!$H$173:$U$173,'Debt repayment Schedule'!C109,Assumptions!$H$185:$U$185)/4),0)</f>
        <v>3.7499999999999978E-2</v>
      </c>
      <c r="AD109" s="336">
        <f t="shared" si="57"/>
        <v>25.22214155292173</v>
      </c>
      <c r="AE109" s="260"/>
      <c r="AF109" s="210">
        <f t="shared" si="63"/>
        <v>47573</v>
      </c>
      <c r="AG109" s="210">
        <f t="shared" si="64"/>
        <v>47573</v>
      </c>
      <c r="AH109" s="335">
        <f t="shared" si="65"/>
        <v>2.1131457167999979</v>
      </c>
      <c r="AI109" s="1382">
        <f t="shared" si="66"/>
        <v>2.1131457167999987</v>
      </c>
      <c r="AJ109" s="335">
        <f t="shared" si="67"/>
        <v>0</v>
      </c>
      <c r="AK109" s="335">
        <f t="shared" si="68"/>
        <v>0</v>
      </c>
      <c r="AL109" s="339">
        <f t="shared" si="86"/>
        <v>0</v>
      </c>
      <c r="AM109" s="337">
        <f>IF(MOD(MONTH(AF109),3)=0,IF($B$4=1,0,SUMIF(Assumptions!$H$173:$U$173,'Debt repayment Schedule'!M109,Assumptions!$H$185:$U$185)/4),0)</f>
        <v>3.7499999999999978E-2</v>
      </c>
      <c r="AN109" s="336">
        <f t="shared" si="69"/>
        <v>2.1131457167999987</v>
      </c>
      <c r="AO109" s="260"/>
      <c r="AP109" s="210">
        <f t="shared" si="70"/>
        <v>47573</v>
      </c>
      <c r="AQ109" s="210">
        <f t="shared" si="81"/>
        <v>47573</v>
      </c>
      <c r="AR109" s="335">
        <f t="shared" si="71"/>
        <v>0</v>
      </c>
      <c r="AS109" s="335">
        <f t="shared" si="72"/>
        <v>0</v>
      </c>
      <c r="AT109" s="616">
        <f t="shared" si="73"/>
        <v>0</v>
      </c>
      <c r="AU109" s="335">
        <f t="shared" si="74"/>
        <v>0</v>
      </c>
      <c r="AV109" s="339">
        <f t="shared" si="87"/>
        <v>0.10299999999999999</v>
      </c>
      <c r="AW109" s="337">
        <f>IF(MOD(MONTH(AP109),3)=0,IF($B$4=1,0,SUMIF(Assumptions!$H$173:$U$173,'Debt repayment Schedule'!W109,Assumptions!$H$185:$U$185)/4),0)</f>
        <v>3.7499999999999978E-2</v>
      </c>
      <c r="AX109" s="336"/>
      <c r="AY109" s="260"/>
      <c r="AZ109" s="260">
        <f t="shared" si="75"/>
        <v>48.580449393937471</v>
      </c>
      <c r="BB109" s="260">
        <f t="shared" si="88"/>
        <v>0.40375898555523015</v>
      </c>
      <c r="BC109" s="260">
        <f>AZ109+SUM(BB107:BB109)</f>
        <v>49.752652900388142</v>
      </c>
    </row>
    <row r="110" spans="2:56" x14ac:dyDescent="0.35">
      <c r="B110" s="210">
        <f t="shared" si="58"/>
        <v>47603</v>
      </c>
      <c r="C110" s="210">
        <f t="shared" si="78"/>
        <v>47938</v>
      </c>
      <c r="D110" s="335">
        <f t="shared" si="49"/>
        <v>3.5527136788005009E-14</v>
      </c>
      <c r="E110" s="336">
        <f t="shared" si="50"/>
        <v>0</v>
      </c>
      <c r="F110" s="335">
        <f t="shared" si="51"/>
        <v>3.5527136788005009E-14</v>
      </c>
      <c r="G110" s="335">
        <f t="shared" si="59"/>
        <v>2.9638392197116508E-16</v>
      </c>
      <c r="H110" s="339">
        <f t="shared" si="83"/>
        <v>0.10150000000000001</v>
      </c>
      <c r="I110" s="337">
        <f>IF(MOD(MONTH(B110),3)=0,(IF($B$4=1,0,SUMIF(Assumptions!$H$173:$U$173,'Debt repayment Schedule'!C110,Assumptions!$H$183:$U$183)/4)),0)</f>
        <v>0</v>
      </c>
      <c r="J110" s="336">
        <f t="shared" si="52"/>
        <v>2.9638392197116508E-16</v>
      </c>
      <c r="K110" s="260"/>
      <c r="L110" s="338">
        <f t="shared" si="53"/>
        <v>47603</v>
      </c>
      <c r="M110" s="210">
        <f t="shared" si="79"/>
        <v>47938</v>
      </c>
      <c r="N110" s="335">
        <f t="shared" si="76"/>
        <v>-9.3258734068513149E-15</v>
      </c>
      <c r="O110" s="1382">
        <f t="shared" si="48"/>
        <v>0</v>
      </c>
      <c r="P110" s="335">
        <f t="shared" si="82"/>
        <v>-9.3258734068513149E-15</v>
      </c>
      <c r="Q110" s="335">
        <f t="shared" si="60"/>
        <v>-7.7800779517430831E-17</v>
      </c>
      <c r="R110" s="339">
        <f t="shared" si="84"/>
        <v>0.10150000000000001</v>
      </c>
      <c r="S110" s="1282">
        <f>IF(MOD(MONTH(L110),3)=0,IF($B$4=1,0,SUMIF(Assumptions!$H$173:$U$173,'Debt repayment Schedule'!M110,Assumptions!$H$184:$U$184)/4),0)</f>
        <v>0</v>
      </c>
      <c r="T110" s="336">
        <f t="shared" si="54"/>
        <v>-7.7800779517430831E-17</v>
      </c>
      <c r="U110" s="260"/>
      <c r="V110" s="210">
        <f t="shared" si="61"/>
        <v>47603</v>
      </c>
      <c r="W110" s="210">
        <f t="shared" si="80"/>
        <v>47938</v>
      </c>
      <c r="X110" s="335">
        <f t="shared" si="77"/>
        <v>4.0500935938325711E-13</v>
      </c>
      <c r="Y110" s="1382">
        <f t="shared" si="55"/>
        <v>0</v>
      </c>
      <c r="Z110" s="335">
        <f t="shared" si="56"/>
        <v>4.0500935938325711E-13</v>
      </c>
      <c r="AA110" s="335">
        <f t="shared" si="62"/>
        <v>3.4287093712171628E-15</v>
      </c>
      <c r="AB110" s="339">
        <f t="shared" si="85"/>
        <v>0.10299999999999999</v>
      </c>
      <c r="AC110" s="337">
        <f>IF(MOD(MONTH(V110),3)=0,IF($B$4=1,0,SUMIF(Assumptions!$H$173:$U$173,'Debt repayment Schedule'!C110,Assumptions!$H$185:$U$185)/4),0)</f>
        <v>0</v>
      </c>
      <c r="AD110" s="336">
        <f t="shared" si="57"/>
        <v>3.4287093712171628E-15</v>
      </c>
      <c r="AE110" s="260"/>
      <c r="AF110" s="210">
        <f t="shared" si="63"/>
        <v>47603</v>
      </c>
      <c r="AG110" s="210">
        <f t="shared" si="64"/>
        <v>47938</v>
      </c>
      <c r="AH110" s="335">
        <f t="shared" si="65"/>
        <v>0</v>
      </c>
      <c r="AI110" s="1382">
        <f t="shared" si="66"/>
        <v>0</v>
      </c>
      <c r="AJ110" s="335">
        <f t="shared" si="67"/>
        <v>0</v>
      </c>
      <c r="AK110" s="335">
        <f t="shared" si="68"/>
        <v>0</v>
      </c>
      <c r="AL110" s="339">
        <f t="shared" si="86"/>
        <v>0</v>
      </c>
      <c r="AM110" s="337">
        <f>IF(MOD(MONTH(AF110),3)=0,IF($B$4=1,0,SUMIF(Assumptions!$H$173:$U$173,'Debt repayment Schedule'!M110,Assumptions!$H$185:$U$185)/4),0)</f>
        <v>0</v>
      </c>
      <c r="AN110" s="336">
        <f t="shared" si="69"/>
        <v>0</v>
      </c>
      <c r="AO110" s="260"/>
      <c r="AP110" s="210">
        <f t="shared" si="70"/>
        <v>47603</v>
      </c>
      <c r="AQ110" s="210">
        <f t="shared" si="81"/>
        <v>47938</v>
      </c>
      <c r="AR110" s="335">
        <f t="shared" si="71"/>
        <v>0</v>
      </c>
      <c r="AS110" s="335">
        <f t="shared" si="72"/>
        <v>0</v>
      </c>
      <c r="AT110" s="616">
        <f t="shared" si="73"/>
        <v>0</v>
      </c>
      <c r="AU110" s="335">
        <f t="shared" si="74"/>
        <v>0</v>
      </c>
      <c r="AV110" s="339">
        <f t="shared" si="87"/>
        <v>0.10299999999999999</v>
      </c>
      <c r="AW110" s="337">
        <f>IF(MOD(MONTH(AP110),3)=0,IF($B$4=1,0,SUMIF(Assumptions!$H$173:$U$173,'Debt repayment Schedule'!W110,Assumptions!$H$185:$U$185)/4),0)</f>
        <v>0</v>
      </c>
      <c r="AX110" s="336"/>
      <c r="AY110" s="260"/>
      <c r="AZ110" s="260">
        <f t="shared" si="75"/>
        <v>0</v>
      </c>
      <c r="BB110" s="260"/>
    </row>
    <row r="111" spans="2:56" x14ac:dyDescent="0.35">
      <c r="B111" s="210">
        <f t="shared" si="58"/>
        <v>47634</v>
      </c>
      <c r="C111" s="210">
        <f t="shared" si="78"/>
        <v>47938</v>
      </c>
      <c r="D111" s="335">
        <f t="shared" si="49"/>
        <v>3.5527136788005009E-14</v>
      </c>
      <c r="E111" s="336">
        <f t="shared" si="50"/>
        <v>0</v>
      </c>
      <c r="F111" s="335">
        <f t="shared" si="51"/>
        <v>3.5527136788005009E-14</v>
      </c>
      <c r="G111" s="335">
        <f t="shared" si="59"/>
        <v>3.0626338603687059E-16</v>
      </c>
      <c r="H111" s="339">
        <f t="shared" si="83"/>
        <v>0.10150000000000001</v>
      </c>
      <c r="I111" s="337">
        <f>IF(MOD(MONTH(B111),3)=0,(IF($B$4=1,0,SUMIF(Assumptions!$H$173:$U$173,'Debt repayment Schedule'!C111,Assumptions!$H$183:$U$183)/4)),0)</f>
        <v>0</v>
      </c>
      <c r="J111" s="336">
        <f t="shared" si="52"/>
        <v>3.0626338603687059E-16</v>
      </c>
      <c r="K111" s="260"/>
      <c r="L111" s="338">
        <f t="shared" si="53"/>
        <v>47634</v>
      </c>
      <c r="M111" s="210">
        <f t="shared" si="79"/>
        <v>47938</v>
      </c>
      <c r="N111" s="335">
        <f t="shared" si="76"/>
        <v>-9.3258734068513149E-15</v>
      </c>
      <c r="O111" s="1382">
        <f t="shared" si="48"/>
        <v>0</v>
      </c>
      <c r="P111" s="335">
        <f t="shared" si="82"/>
        <v>-9.3258734068513149E-15</v>
      </c>
      <c r="Q111" s="335">
        <f t="shared" si="60"/>
        <v>-8.0394138834678516E-17</v>
      </c>
      <c r="R111" s="339">
        <f t="shared" si="84"/>
        <v>0.10150000000000001</v>
      </c>
      <c r="S111" s="1282">
        <f>IF(MOD(MONTH(L111),3)=0,IF($B$4=1,0,SUMIF(Assumptions!$H$173:$U$173,'Debt repayment Schedule'!M111,Assumptions!$H$184:$U$184)/4),0)</f>
        <v>0</v>
      </c>
      <c r="T111" s="336">
        <f t="shared" si="54"/>
        <v>-8.0394138834678516E-17</v>
      </c>
      <c r="U111" s="260"/>
      <c r="V111" s="210">
        <f t="shared" si="61"/>
        <v>47634</v>
      </c>
      <c r="W111" s="210">
        <f t="shared" si="80"/>
        <v>47938</v>
      </c>
      <c r="X111" s="335">
        <f t="shared" si="77"/>
        <v>4.0500935938325711E-13</v>
      </c>
      <c r="Y111" s="1382">
        <f t="shared" si="55"/>
        <v>0</v>
      </c>
      <c r="Z111" s="335">
        <f t="shared" si="56"/>
        <v>4.0500935938325711E-13</v>
      </c>
      <c r="AA111" s="335">
        <f t="shared" si="62"/>
        <v>3.5429996835910678E-15</v>
      </c>
      <c r="AB111" s="339">
        <f t="shared" si="85"/>
        <v>0.10299999999999999</v>
      </c>
      <c r="AC111" s="337">
        <f>IF(MOD(MONTH(V111),3)=0,IF($B$4=1,0,SUMIF(Assumptions!$H$173:$U$173,'Debt repayment Schedule'!C111,Assumptions!$H$185:$U$185)/4),0)</f>
        <v>0</v>
      </c>
      <c r="AD111" s="336">
        <f t="shared" si="57"/>
        <v>3.5429996835910678E-15</v>
      </c>
      <c r="AE111" s="260"/>
      <c r="AF111" s="210">
        <f t="shared" si="63"/>
        <v>47634</v>
      </c>
      <c r="AG111" s="210">
        <f t="shared" si="64"/>
        <v>47938</v>
      </c>
      <c r="AH111" s="335">
        <f t="shared" si="65"/>
        <v>0</v>
      </c>
      <c r="AI111" s="1382">
        <f t="shared" si="66"/>
        <v>0</v>
      </c>
      <c r="AJ111" s="335">
        <f t="shared" si="67"/>
        <v>0</v>
      </c>
      <c r="AK111" s="335">
        <f t="shared" si="68"/>
        <v>0</v>
      </c>
      <c r="AL111" s="339">
        <f t="shared" si="86"/>
        <v>0</v>
      </c>
      <c r="AM111" s="337">
        <f>IF(MOD(MONTH(AF111),3)=0,IF($B$4=1,0,SUMIF(Assumptions!$H$173:$U$173,'Debt repayment Schedule'!M111,Assumptions!$H$185:$U$185)/4),0)</f>
        <v>0</v>
      </c>
      <c r="AN111" s="336">
        <f t="shared" si="69"/>
        <v>0</v>
      </c>
      <c r="AO111" s="260"/>
      <c r="AP111" s="210">
        <f t="shared" si="70"/>
        <v>47634</v>
      </c>
      <c r="AQ111" s="210">
        <f t="shared" si="81"/>
        <v>47938</v>
      </c>
      <c r="AR111" s="335">
        <f t="shared" si="71"/>
        <v>0</v>
      </c>
      <c r="AS111" s="335">
        <f t="shared" si="72"/>
        <v>0</v>
      </c>
      <c r="AT111" s="616">
        <f t="shared" si="73"/>
        <v>0</v>
      </c>
      <c r="AU111" s="335">
        <f t="shared" si="74"/>
        <v>0</v>
      </c>
      <c r="AV111" s="339">
        <f t="shared" si="87"/>
        <v>0.10299999999999999</v>
      </c>
      <c r="AW111" s="337">
        <f>IF(MOD(MONTH(AP111),3)=0,IF($B$4=1,0,SUMIF(Assumptions!$H$173:$U$173,'Debt repayment Schedule'!W111,Assumptions!$H$185:$U$185)/4),0)</f>
        <v>0</v>
      </c>
      <c r="AX111" s="336"/>
      <c r="AY111" s="260"/>
      <c r="AZ111" s="260">
        <f t="shared" si="75"/>
        <v>0</v>
      </c>
      <c r="BB111" s="260"/>
    </row>
    <row r="112" spans="2:56" x14ac:dyDescent="0.35">
      <c r="B112" s="210">
        <f t="shared" si="58"/>
        <v>47664</v>
      </c>
      <c r="C112" s="210">
        <f t="shared" si="78"/>
        <v>47938</v>
      </c>
      <c r="D112" s="335">
        <f t="shared" si="49"/>
        <v>3.5527136788005009E-14</v>
      </c>
      <c r="E112" s="336">
        <f t="shared" si="50"/>
        <v>0</v>
      </c>
      <c r="F112" s="335">
        <f t="shared" si="51"/>
        <v>3.5527136788005009E-14</v>
      </c>
      <c r="G112" s="335">
        <f t="shared" si="59"/>
        <v>2.9638392197116508E-16</v>
      </c>
      <c r="H112" s="339">
        <f t="shared" si="83"/>
        <v>0.10150000000000001</v>
      </c>
      <c r="I112" s="337">
        <f>IF(MOD(MONTH(B112),3)=0,(IF($B$4=1,0,SUMIF(Assumptions!$H$173:$U$173,'Debt repayment Schedule'!C112,Assumptions!$H$183:$U$183)/4)),0)</f>
        <v>0</v>
      </c>
      <c r="J112" s="336">
        <f t="shared" si="52"/>
        <v>2.9638392197116508E-16</v>
      </c>
      <c r="K112" s="260"/>
      <c r="L112" s="338">
        <f t="shared" si="53"/>
        <v>47664</v>
      </c>
      <c r="M112" s="210">
        <f t="shared" si="79"/>
        <v>47938</v>
      </c>
      <c r="N112" s="335">
        <f t="shared" si="76"/>
        <v>-9.3258734068513149E-15</v>
      </c>
      <c r="O112" s="1382">
        <f t="shared" si="48"/>
        <v>0</v>
      </c>
      <c r="P112" s="335">
        <f t="shared" si="82"/>
        <v>-9.3258734068513149E-15</v>
      </c>
      <c r="Q112" s="335">
        <f t="shared" si="60"/>
        <v>-7.7800779517430831E-17</v>
      </c>
      <c r="R112" s="339">
        <f t="shared" si="84"/>
        <v>0.10150000000000001</v>
      </c>
      <c r="S112" s="1282">
        <f>IF(MOD(MONTH(L112),3)=0,IF($B$4=1,0,SUMIF(Assumptions!$H$173:$U$173,'Debt repayment Schedule'!M112,Assumptions!$H$184:$U$184)/4),0)</f>
        <v>0</v>
      </c>
      <c r="T112" s="336">
        <f t="shared" si="54"/>
        <v>-7.7800779517430831E-17</v>
      </c>
      <c r="U112" s="260"/>
      <c r="V112" s="210">
        <f t="shared" si="61"/>
        <v>47664</v>
      </c>
      <c r="W112" s="210">
        <f t="shared" si="80"/>
        <v>47938</v>
      </c>
      <c r="X112" s="335">
        <f t="shared" si="77"/>
        <v>4.0500935938325711E-13</v>
      </c>
      <c r="Y112" s="1382">
        <f t="shared" si="55"/>
        <v>0</v>
      </c>
      <c r="Z112" s="335">
        <f t="shared" si="56"/>
        <v>4.0500935938325711E-13</v>
      </c>
      <c r="AA112" s="335">
        <f t="shared" si="62"/>
        <v>3.4287093712171628E-15</v>
      </c>
      <c r="AB112" s="339">
        <f t="shared" si="85"/>
        <v>0.10299999999999999</v>
      </c>
      <c r="AC112" s="337">
        <f>IF(MOD(MONTH(V112),3)=0,IF($B$4=1,0,SUMIF(Assumptions!$H$173:$U$173,'Debt repayment Schedule'!C112,Assumptions!$H$185:$U$185)/4),0)</f>
        <v>0</v>
      </c>
      <c r="AD112" s="336">
        <f t="shared" si="57"/>
        <v>3.4287093712171628E-15</v>
      </c>
      <c r="AE112" s="260"/>
      <c r="AF112" s="210">
        <f t="shared" si="63"/>
        <v>47664</v>
      </c>
      <c r="AG112" s="210">
        <f t="shared" si="64"/>
        <v>47938</v>
      </c>
      <c r="AH112" s="335">
        <f t="shared" si="65"/>
        <v>0</v>
      </c>
      <c r="AI112" s="1382">
        <f t="shared" si="66"/>
        <v>0</v>
      </c>
      <c r="AJ112" s="335">
        <f t="shared" si="67"/>
        <v>0</v>
      </c>
      <c r="AK112" s="335">
        <f t="shared" si="68"/>
        <v>0</v>
      </c>
      <c r="AL112" s="339">
        <f t="shared" si="86"/>
        <v>0</v>
      </c>
      <c r="AM112" s="337">
        <f>IF(MOD(MONTH(AF112),3)=0,IF($B$4=1,0,SUMIF(Assumptions!$H$173:$U$173,'Debt repayment Schedule'!M112,Assumptions!$H$185:$U$185)/4),0)</f>
        <v>0</v>
      </c>
      <c r="AN112" s="336">
        <f t="shared" si="69"/>
        <v>0</v>
      </c>
      <c r="AO112" s="260"/>
      <c r="AP112" s="210">
        <f t="shared" si="70"/>
        <v>47664</v>
      </c>
      <c r="AQ112" s="210">
        <f t="shared" si="81"/>
        <v>47938</v>
      </c>
      <c r="AR112" s="335">
        <f t="shared" si="71"/>
        <v>0</v>
      </c>
      <c r="AS112" s="335">
        <f t="shared" si="72"/>
        <v>0</v>
      </c>
      <c r="AT112" s="616">
        <f t="shared" si="73"/>
        <v>0</v>
      </c>
      <c r="AU112" s="335">
        <f t="shared" si="74"/>
        <v>0</v>
      </c>
      <c r="AV112" s="339">
        <f t="shared" si="87"/>
        <v>0.10299999999999999</v>
      </c>
      <c r="AW112" s="337">
        <f>IF(MOD(MONTH(AP112),3)=0,IF($B$4=1,0,SUMIF(Assumptions!$H$173:$U$173,'Debt repayment Schedule'!W112,Assumptions!$H$185:$U$185)/4),0)</f>
        <v>0</v>
      </c>
      <c r="AX112" s="336"/>
      <c r="AY112" s="260"/>
      <c r="AZ112" s="260">
        <f t="shared" si="75"/>
        <v>0</v>
      </c>
      <c r="BB112" s="260"/>
    </row>
    <row r="113" spans="2:54" x14ac:dyDescent="0.35">
      <c r="B113" s="210">
        <f t="shared" si="58"/>
        <v>47695</v>
      </c>
      <c r="C113" s="210">
        <f t="shared" si="78"/>
        <v>47938</v>
      </c>
      <c r="D113" s="335">
        <f t="shared" si="49"/>
        <v>3.5527136788005009E-14</v>
      </c>
      <c r="E113" s="336">
        <f t="shared" si="50"/>
        <v>0</v>
      </c>
      <c r="F113" s="335">
        <f t="shared" si="51"/>
        <v>3.5527136788005009E-14</v>
      </c>
      <c r="G113" s="335">
        <f t="shared" si="59"/>
        <v>3.0626338603687059E-16</v>
      </c>
      <c r="H113" s="339">
        <f t="shared" si="83"/>
        <v>0.10150000000000001</v>
      </c>
      <c r="I113" s="337">
        <f>IF(MOD(MONTH(B113),3)=0,(IF($B$4=1,0,SUMIF(Assumptions!$H$173:$U$173,'Debt repayment Schedule'!C113,Assumptions!$H$183:$U$183)/4)),0)</f>
        <v>0</v>
      </c>
      <c r="J113" s="336">
        <f t="shared" si="52"/>
        <v>3.0626338603687059E-16</v>
      </c>
      <c r="K113" s="260"/>
      <c r="L113" s="338">
        <f t="shared" si="53"/>
        <v>47695</v>
      </c>
      <c r="M113" s="210">
        <f t="shared" si="79"/>
        <v>47938</v>
      </c>
      <c r="N113" s="335">
        <f t="shared" si="76"/>
        <v>-9.3258734068513149E-15</v>
      </c>
      <c r="O113" s="1382">
        <f t="shared" si="48"/>
        <v>0</v>
      </c>
      <c r="P113" s="335">
        <f t="shared" si="82"/>
        <v>-9.3258734068513149E-15</v>
      </c>
      <c r="Q113" s="335">
        <f t="shared" si="60"/>
        <v>-8.0394138834678516E-17</v>
      </c>
      <c r="R113" s="339">
        <f t="shared" si="84"/>
        <v>0.10150000000000001</v>
      </c>
      <c r="S113" s="1282">
        <f>IF(MOD(MONTH(L113),3)=0,IF($B$4=1,0,SUMIF(Assumptions!$H$173:$U$173,'Debt repayment Schedule'!M113,Assumptions!$H$184:$U$184)/4),0)</f>
        <v>0</v>
      </c>
      <c r="T113" s="336">
        <f t="shared" si="54"/>
        <v>-8.0394138834678516E-17</v>
      </c>
      <c r="U113" s="260"/>
      <c r="V113" s="210">
        <f t="shared" si="61"/>
        <v>47695</v>
      </c>
      <c r="W113" s="210">
        <f t="shared" si="80"/>
        <v>47938</v>
      </c>
      <c r="X113" s="335">
        <f t="shared" si="77"/>
        <v>4.0500935938325711E-13</v>
      </c>
      <c r="Y113" s="1382">
        <f t="shared" si="55"/>
        <v>0</v>
      </c>
      <c r="Z113" s="335">
        <f t="shared" si="56"/>
        <v>4.0500935938325711E-13</v>
      </c>
      <c r="AA113" s="335">
        <f t="shared" si="62"/>
        <v>3.5429996835910678E-15</v>
      </c>
      <c r="AB113" s="339">
        <f t="shared" si="85"/>
        <v>0.10299999999999999</v>
      </c>
      <c r="AC113" s="337">
        <f>IF(MOD(MONTH(V113),3)=0,IF($B$4=1,0,SUMIF(Assumptions!$H$173:$U$173,'Debt repayment Schedule'!C113,Assumptions!$H$185:$U$185)/4),0)</f>
        <v>0</v>
      </c>
      <c r="AD113" s="336">
        <f t="shared" si="57"/>
        <v>3.5429996835910678E-15</v>
      </c>
      <c r="AE113" s="260"/>
      <c r="AF113" s="210">
        <f t="shared" si="63"/>
        <v>47695</v>
      </c>
      <c r="AG113" s="210">
        <f t="shared" si="64"/>
        <v>47938</v>
      </c>
      <c r="AH113" s="335">
        <f t="shared" si="65"/>
        <v>0</v>
      </c>
      <c r="AI113" s="1382">
        <f t="shared" si="66"/>
        <v>0</v>
      </c>
      <c r="AJ113" s="335">
        <f t="shared" si="67"/>
        <v>0</v>
      </c>
      <c r="AK113" s="335">
        <f t="shared" si="68"/>
        <v>0</v>
      </c>
      <c r="AL113" s="339">
        <f t="shared" si="86"/>
        <v>0</v>
      </c>
      <c r="AM113" s="337">
        <f>IF(MOD(MONTH(AF113),3)=0,IF($B$4=1,0,SUMIF(Assumptions!$H$173:$U$173,'Debt repayment Schedule'!M113,Assumptions!$H$185:$U$185)/4),0)</f>
        <v>0</v>
      </c>
      <c r="AN113" s="336">
        <f t="shared" si="69"/>
        <v>0</v>
      </c>
      <c r="AO113" s="260"/>
      <c r="AP113" s="210">
        <f t="shared" si="70"/>
        <v>47695</v>
      </c>
      <c r="AQ113" s="210">
        <f t="shared" si="81"/>
        <v>47938</v>
      </c>
      <c r="AR113" s="335">
        <f t="shared" si="71"/>
        <v>0</v>
      </c>
      <c r="AS113" s="335">
        <f t="shared" si="72"/>
        <v>0</v>
      </c>
      <c r="AT113" s="616">
        <f t="shared" si="73"/>
        <v>0</v>
      </c>
      <c r="AU113" s="335">
        <f t="shared" si="74"/>
        <v>0</v>
      </c>
      <c r="AV113" s="339">
        <f t="shared" si="87"/>
        <v>0.10299999999999999</v>
      </c>
      <c r="AW113" s="337">
        <f>IF(MOD(MONTH(AP113),3)=0,IF($B$4=1,0,SUMIF(Assumptions!$H$173:$U$173,'Debt repayment Schedule'!W113,Assumptions!$H$185:$U$185)/4),0)</f>
        <v>0</v>
      </c>
      <c r="AX113" s="336"/>
      <c r="AY113" s="260"/>
      <c r="AZ113" s="260">
        <f t="shared" si="75"/>
        <v>0</v>
      </c>
      <c r="BB113" s="260"/>
    </row>
    <row r="114" spans="2:54" x14ac:dyDescent="0.35">
      <c r="B114" s="210">
        <f t="shared" si="58"/>
        <v>47726</v>
      </c>
      <c r="C114" s="210">
        <f t="shared" si="78"/>
        <v>47938</v>
      </c>
      <c r="D114" s="335">
        <f t="shared" si="49"/>
        <v>3.5527136788005009E-14</v>
      </c>
      <c r="E114" s="336">
        <f t="shared" si="50"/>
        <v>0</v>
      </c>
      <c r="F114" s="335">
        <f t="shared" si="51"/>
        <v>3.5527136788005009E-14</v>
      </c>
      <c r="G114" s="335">
        <f t="shared" si="59"/>
        <v>3.0626338603687059E-16</v>
      </c>
      <c r="H114" s="339">
        <f t="shared" si="83"/>
        <v>0.10150000000000001</v>
      </c>
      <c r="I114" s="337">
        <f>IF(MOD(MONTH(B114),3)=0,(IF($B$4=1,0,SUMIF(Assumptions!$H$173:$U$173,'Debt repayment Schedule'!C114,Assumptions!$H$183:$U$183)/4)),0)</f>
        <v>0</v>
      </c>
      <c r="J114" s="336">
        <f t="shared" si="52"/>
        <v>3.0626338603687059E-16</v>
      </c>
      <c r="K114" s="260"/>
      <c r="L114" s="338">
        <f t="shared" si="53"/>
        <v>47726</v>
      </c>
      <c r="M114" s="210">
        <f t="shared" si="79"/>
        <v>47938</v>
      </c>
      <c r="N114" s="335">
        <f t="shared" si="76"/>
        <v>-9.3258734068513149E-15</v>
      </c>
      <c r="O114" s="1382">
        <f t="shared" si="48"/>
        <v>0</v>
      </c>
      <c r="P114" s="335">
        <f t="shared" si="82"/>
        <v>-9.3258734068513149E-15</v>
      </c>
      <c r="Q114" s="335">
        <f t="shared" si="60"/>
        <v>-8.0394138834678516E-17</v>
      </c>
      <c r="R114" s="339">
        <f t="shared" si="84"/>
        <v>0.10150000000000001</v>
      </c>
      <c r="S114" s="1282">
        <f>IF(MOD(MONTH(L114),3)=0,IF($B$4=1,0,SUMIF(Assumptions!$H$173:$U$173,'Debt repayment Schedule'!M114,Assumptions!$H$184:$U$184)/4),0)</f>
        <v>0</v>
      </c>
      <c r="T114" s="336">
        <f t="shared" si="54"/>
        <v>-8.0394138834678516E-17</v>
      </c>
      <c r="U114" s="260"/>
      <c r="V114" s="210">
        <f t="shared" si="61"/>
        <v>47726</v>
      </c>
      <c r="W114" s="210">
        <f t="shared" si="80"/>
        <v>47938</v>
      </c>
      <c r="X114" s="335">
        <f t="shared" si="77"/>
        <v>4.0500935938325711E-13</v>
      </c>
      <c r="Y114" s="1382">
        <f t="shared" si="55"/>
        <v>0</v>
      </c>
      <c r="Z114" s="335">
        <f t="shared" si="56"/>
        <v>4.0500935938325711E-13</v>
      </c>
      <c r="AA114" s="335">
        <f t="shared" si="62"/>
        <v>3.5429996835910678E-15</v>
      </c>
      <c r="AB114" s="339">
        <f t="shared" si="85"/>
        <v>0.10299999999999999</v>
      </c>
      <c r="AC114" s="337">
        <f>IF(MOD(MONTH(V114),3)=0,IF($B$4=1,0,SUMIF(Assumptions!$H$173:$U$173,'Debt repayment Schedule'!C114,Assumptions!$H$185:$U$185)/4),0)</f>
        <v>0</v>
      </c>
      <c r="AD114" s="336">
        <f t="shared" si="57"/>
        <v>3.5429996835910678E-15</v>
      </c>
      <c r="AE114" s="260"/>
      <c r="AF114" s="210">
        <f t="shared" si="63"/>
        <v>47726</v>
      </c>
      <c r="AG114" s="210">
        <f t="shared" si="64"/>
        <v>47938</v>
      </c>
      <c r="AH114" s="335">
        <f t="shared" si="65"/>
        <v>0</v>
      </c>
      <c r="AI114" s="1382">
        <f t="shared" si="66"/>
        <v>0</v>
      </c>
      <c r="AJ114" s="335">
        <f t="shared" si="67"/>
        <v>0</v>
      </c>
      <c r="AK114" s="335">
        <f t="shared" si="68"/>
        <v>0</v>
      </c>
      <c r="AL114" s="339">
        <f t="shared" si="86"/>
        <v>0</v>
      </c>
      <c r="AM114" s="337">
        <f>IF(MOD(MONTH(AF114),3)=0,IF($B$4=1,0,SUMIF(Assumptions!$H$173:$U$173,'Debt repayment Schedule'!M114,Assumptions!$H$185:$U$185)/4),0)</f>
        <v>0</v>
      </c>
      <c r="AN114" s="336">
        <f t="shared" si="69"/>
        <v>0</v>
      </c>
      <c r="AO114" s="260"/>
      <c r="AP114" s="210">
        <f t="shared" si="70"/>
        <v>47726</v>
      </c>
      <c r="AQ114" s="210">
        <f t="shared" si="81"/>
        <v>47938</v>
      </c>
      <c r="AR114" s="335">
        <f t="shared" si="71"/>
        <v>0</v>
      </c>
      <c r="AS114" s="335">
        <f t="shared" si="72"/>
        <v>0</v>
      </c>
      <c r="AT114" s="616">
        <f t="shared" si="73"/>
        <v>0</v>
      </c>
      <c r="AU114" s="335">
        <f t="shared" si="74"/>
        <v>0</v>
      </c>
      <c r="AV114" s="339">
        <f t="shared" si="87"/>
        <v>0.10299999999999999</v>
      </c>
      <c r="AW114" s="337">
        <f>IF(MOD(MONTH(AP114),3)=0,IF($B$4=1,0,SUMIF(Assumptions!$H$173:$U$173,'Debt repayment Schedule'!W114,Assumptions!$H$185:$U$185)/4),0)</f>
        <v>0</v>
      </c>
      <c r="AX114" s="336"/>
      <c r="AY114" s="260"/>
      <c r="AZ114" s="260">
        <f t="shared" si="75"/>
        <v>0</v>
      </c>
      <c r="BB114" s="260"/>
    </row>
    <row r="115" spans="2:54" x14ac:dyDescent="0.35">
      <c r="B115" s="210">
        <f t="shared" si="58"/>
        <v>47756</v>
      </c>
      <c r="C115" s="210">
        <f t="shared" si="78"/>
        <v>47938</v>
      </c>
      <c r="D115" s="335">
        <f t="shared" si="49"/>
        <v>3.5527136788005009E-14</v>
      </c>
      <c r="E115" s="336">
        <f t="shared" si="50"/>
        <v>0</v>
      </c>
      <c r="F115" s="335">
        <f t="shared" si="51"/>
        <v>3.5527136788005009E-14</v>
      </c>
      <c r="G115" s="335">
        <f t="shared" si="59"/>
        <v>2.9638392197116508E-16</v>
      </c>
      <c r="H115" s="339">
        <f t="shared" si="83"/>
        <v>0.10150000000000001</v>
      </c>
      <c r="I115" s="337">
        <f>IF(MOD(MONTH(B115),3)=0,(IF($B$4=1,0,SUMIF(Assumptions!$H$173:$U$173,'Debt repayment Schedule'!C115,Assumptions!$H$183:$U$183)/4)),0)</f>
        <v>0</v>
      </c>
      <c r="J115" s="336">
        <f t="shared" si="52"/>
        <v>2.9638392197116508E-16</v>
      </c>
      <c r="K115" s="260"/>
      <c r="L115" s="338">
        <f t="shared" si="53"/>
        <v>47756</v>
      </c>
      <c r="M115" s="210">
        <f t="shared" si="79"/>
        <v>47938</v>
      </c>
      <c r="N115" s="335">
        <f t="shared" si="76"/>
        <v>-9.3258734068513149E-15</v>
      </c>
      <c r="O115" s="1382">
        <f t="shared" si="48"/>
        <v>0</v>
      </c>
      <c r="P115" s="335">
        <f t="shared" si="82"/>
        <v>-9.3258734068513149E-15</v>
      </c>
      <c r="Q115" s="335">
        <f t="shared" si="60"/>
        <v>-7.7800779517430831E-17</v>
      </c>
      <c r="R115" s="339">
        <f t="shared" si="84"/>
        <v>0.10150000000000001</v>
      </c>
      <c r="S115" s="1282">
        <f>IF(MOD(MONTH(L115),3)=0,IF($B$4=1,0,SUMIF(Assumptions!$H$173:$U$173,'Debt repayment Schedule'!M115,Assumptions!$H$184:$U$184)/4),0)</f>
        <v>0</v>
      </c>
      <c r="T115" s="336">
        <f t="shared" si="54"/>
        <v>-7.7800779517430831E-17</v>
      </c>
      <c r="U115" s="260"/>
      <c r="V115" s="210">
        <f t="shared" si="61"/>
        <v>47756</v>
      </c>
      <c r="W115" s="210">
        <f t="shared" si="80"/>
        <v>47938</v>
      </c>
      <c r="X115" s="335">
        <f t="shared" si="77"/>
        <v>4.0500935938325711E-13</v>
      </c>
      <c r="Y115" s="1382">
        <f t="shared" si="55"/>
        <v>0</v>
      </c>
      <c r="Z115" s="335">
        <f t="shared" si="56"/>
        <v>4.0500935938325711E-13</v>
      </c>
      <c r="AA115" s="335">
        <f t="shared" si="62"/>
        <v>3.4287093712171628E-15</v>
      </c>
      <c r="AB115" s="339">
        <f t="shared" si="85"/>
        <v>0.10299999999999999</v>
      </c>
      <c r="AC115" s="337">
        <f>IF(MOD(MONTH(V115),3)=0,IF($B$4=1,0,SUMIF(Assumptions!$H$173:$U$173,'Debt repayment Schedule'!C115,Assumptions!$H$185:$U$185)/4),0)</f>
        <v>0</v>
      </c>
      <c r="AD115" s="336">
        <f t="shared" si="57"/>
        <v>3.4287093712171628E-15</v>
      </c>
      <c r="AE115" s="260"/>
      <c r="AF115" s="210">
        <f t="shared" si="63"/>
        <v>47756</v>
      </c>
      <c r="AG115" s="210">
        <f t="shared" si="64"/>
        <v>47938</v>
      </c>
      <c r="AH115" s="335">
        <f t="shared" si="65"/>
        <v>0</v>
      </c>
      <c r="AI115" s="1382">
        <f t="shared" si="66"/>
        <v>0</v>
      </c>
      <c r="AJ115" s="335">
        <f t="shared" si="67"/>
        <v>0</v>
      </c>
      <c r="AK115" s="335">
        <f t="shared" si="68"/>
        <v>0</v>
      </c>
      <c r="AL115" s="339">
        <f t="shared" si="86"/>
        <v>0</v>
      </c>
      <c r="AM115" s="337">
        <f>IF(MOD(MONTH(AF115),3)=0,IF($B$4=1,0,SUMIF(Assumptions!$H$173:$U$173,'Debt repayment Schedule'!M115,Assumptions!$H$185:$U$185)/4),0)</f>
        <v>0</v>
      </c>
      <c r="AN115" s="336">
        <f t="shared" si="69"/>
        <v>0</v>
      </c>
      <c r="AO115" s="260"/>
      <c r="AP115" s="210">
        <f t="shared" si="70"/>
        <v>47756</v>
      </c>
      <c r="AQ115" s="210">
        <f t="shared" si="81"/>
        <v>47938</v>
      </c>
      <c r="AR115" s="335">
        <f t="shared" si="71"/>
        <v>0</v>
      </c>
      <c r="AS115" s="335">
        <f t="shared" si="72"/>
        <v>0</v>
      </c>
      <c r="AT115" s="616">
        <f t="shared" si="73"/>
        <v>0</v>
      </c>
      <c r="AU115" s="335">
        <f t="shared" si="74"/>
        <v>0</v>
      </c>
      <c r="AV115" s="339">
        <f t="shared" si="87"/>
        <v>0.10299999999999999</v>
      </c>
      <c r="AW115" s="337">
        <f>IF(MOD(MONTH(AP115),3)=0,IF($B$4=1,0,SUMIF(Assumptions!$H$173:$U$173,'Debt repayment Schedule'!W115,Assumptions!$H$185:$U$185)/4),0)</f>
        <v>0</v>
      </c>
      <c r="AX115" s="336"/>
      <c r="AY115" s="260"/>
      <c r="AZ115" s="260">
        <f t="shared" si="75"/>
        <v>0</v>
      </c>
      <c r="BB115" s="260"/>
    </row>
    <row r="116" spans="2:54" x14ac:dyDescent="0.35">
      <c r="B116" s="210">
        <f t="shared" si="58"/>
        <v>47787</v>
      </c>
      <c r="C116" s="210">
        <f t="shared" si="78"/>
        <v>47938</v>
      </c>
      <c r="D116" s="335">
        <f t="shared" si="49"/>
        <v>3.5527136788005009E-14</v>
      </c>
      <c r="E116" s="336">
        <f t="shared" si="50"/>
        <v>0</v>
      </c>
      <c r="F116" s="335">
        <f t="shared" si="51"/>
        <v>3.5527136788005009E-14</v>
      </c>
      <c r="G116" s="335">
        <f t="shared" si="59"/>
        <v>3.0626338603687059E-16</v>
      </c>
      <c r="H116" s="339">
        <f t="shared" si="83"/>
        <v>0.10150000000000001</v>
      </c>
      <c r="I116" s="337">
        <f>IF(MOD(MONTH(B116),3)=0,(IF($B$4=1,0,SUMIF(Assumptions!$H$173:$U$173,'Debt repayment Schedule'!C116,Assumptions!$H$183:$U$183)/4)),0)</f>
        <v>0</v>
      </c>
      <c r="J116" s="336">
        <f t="shared" si="52"/>
        <v>3.0626338603687059E-16</v>
      </c>
      <c r="K116" s="260"/>
      <c r="L116" s="338">
        <f t="shared" si="53"/>
        <v>47787</v>
      </c>
      <c r="M116" s="210">
        <f t="shared" si="79"/>
        <v>47938</v>
      </c>
      <c r="N116" s="335">
        <f t="shared" si="76"/>
        <v>-9.3258734068513149E-15</v>
      </c>
      <c r="O116" s="1382">
        <f t="shared" si="48"/>
        <v>0</v>
      </c>
      <c r="P116" s="335">
        <f t="shared" si="82"/>
        <v>-9.3258734068513149E-15</v>
      </c>
      <c r="Q116" s="335">
        <f t="shared" si="60"/>
        <v>-8.0394138834678516E-17</v>
      </c>
      <c r="R116" s="339">
        <f t="shared" si="84"/>
        <v>0.10150000000000001</v>
      </c>
      <c r="S116" s="1282">
        <f>IF(MOD(MONTH(L116),3)=0,IF($B$4=1,0,SUMIF(Assumptions!$H$173:$U$173,'Debt repayment Schedule'!M116,Assumptions!$H$184:$U$184)/4),0)</f>
        <v>0</v>
      </c>
      <c r="T116" s="336">
        <f t="shared" si="54"/>
        <v>-8.0394138834678516E-17</v>
      </c>
      <c r="U116" s="260"/>
      <c r="V116" s="210">
        <f t="shared" si="61"/>
        <v>47787</v>
      </c>
      <c r="W116" s="210">
        <f t="shared" si="80"/>
        <v>47938</v>
      </c>
      <c r="X116" s="335">
        <f t="shared" si="77"/>
        <v>4.0500935938325711E-13</v>
      </c>
      <c r="Y116" s="1382">
        <f t="shared" si="55"/>
        <v>0</v>
      </c>
      <c r="Z116" s="335">
        <f t="shared" si="56"/>
        <v>4.0500935938325711E-13</v>
      </c>
      <c r="AA116" s="335">
        <f t="shared" si="62"/>
        <v>3.5429996835910678E-15</v>
      </c>
      <c r="AB116" s="339">
        <f t="shared" si="85"/>
        <v>0.10299999999999999</v>
      </c>
      <c r="AC116" s="337">
        <f>IF(MOD(MONTH(V116),3)=0,IF($B$4=1,0,SUMIF(Assumptions!$H$173:$U$173,'Debt repayment Schedule'!C116,Assumptions!$H$185:$U$185)/4),0)</f>
        <v>0</v>
      </c>
      <c r="AD116" s="336">
        <f t="shared" si="57"/>
        <v>3.5429996835910678E-15</v>
      </c>
      <c r="AE116" s="260"/>
      <c r="AF116" s="210">
        <f t="shared" si="63"/>
        <v>47787</v>
      </c>
      <c r="AG116" s="210">
        <f t="shared" si="64"/>
        <v>47938</v>
      </c>
      <c r="AH116" s="335">
        <f t="shared" si="65"/>
        <v>0</v>
      </c>
      <c r="AI116" s="1382">
        <f t="shared" si="66"/>
        <v>0</v>
      </c>
      <c r="AJ116" s="335">
        <f t="shared" si="67"/>
        <v>0</v>
      </c>
      <c r="AK116" s="335">
        <f t="shared" si="68"/>
        <v>0</v>
      </c>
      <c r="AL116" s="339">
        <f t="shared" si="86"/>
        <v>0</v>
      </c>
      <c r="AM116" s="337">
        <f>IF(MOD(MONTH(AF116),3)=0,IF($B$4=1,0,SUMIF(Assumptions!$H$173:$U$173,'Debt repayment Schedule'!M116,Assumptions!$H$185:$U$185)/4),0)</f>
        <v>0</v>
      </c>
      <c r="AN116" s="336">
        <f t="shared" si="69"/>
        <v>0</v>
      </c>
      <c r="AO116" s="260"/>
      <c r="AP116" s="210">
        <f t="shared" si="70"/>
        <v>47787</v>
      </c>
      <c r="AQ116" s="210">
        <f t="shared" si="81"/>
        <v>47938</v>
      </c>
      <c r="AR116" s="335">
        <f t="shared" si="71"/>
        <v>0</v>
      </c>
      <c r="AS116" s="335">
        <f t="shared" si="72"/>
        <v>0</v>
      </c>
      <c r="AT116" s="616">
        <f t="shared" si="73"/>
        <v>0</v>
      </c>
      <c r="AU116" s="335">
        <f t="shared" si="74"/>
        <v>0</v>
      </c>
      <c r="AV116" s="339">
        <f t="shared" si="87"/>
        <v>0.10299999999999999</v>
      </c>
      <c r="AW116" s="337">
        <f>IF(MOD(MONTH(AP116),3)=0,IF($B$4=1,0,SUMIF(Assumptions!$H$173:$U$173,'Debt repayment Schedule'!W116,Assumptions!$H$185:$U$185)/4),0)</f>
        <v>0</v>
      </c>
      <c r="AX116" s="336"/>
      <c r="AY116" s="260"/>
      <c r="AZ116" s="260">
        <f t="shared" si="75"/>
        <v>0</v>
      </c>
      <c r="BB116" s="260"/>
    </row>
    <row r="117" spans="2:54" x14ac:dyDescent="0.35">
      <c r="B117" s="210">
        <f t="shared" si="58"/>
        <v>47817</v>
      </c>
      <c r="C117" s="210">
        <f t="shared" si="78"/>
        <v>47938</v>
      </c>
      <c r="D117" s="335">
        <f t="shared" si="49"/>
        <v>3.5527136788005009E-14</v>
      </c>
      <c r="E117" s="336">
        <f t="shared" si="50"/>
        <v>0</v>
      </c>
      <c r="F117" s="335">
        <f t="shared" si="51"/>
        <v>3.5527136788005009E-14</v>
      </c>
      <c r="G117" s="335">
        <f t="shared" si="59"/>
        <v>2.9638392197116508E-16</v>
      </c>
      <c r="H117" s="339">
        <f t="shared" si="83"/>
        <v>0.10150000000000001</v>
      </c>
      <c r="I117" s="337">
        <f>IF(MOD(MONTH(B117),3)=0,(IF($B$4=1,0,SUMIF(Assumptions!$H$173:$U$173,'Debt repayment Schedule'!C117,Assumptions!$H$183:$U$183)/4)),0)</f>
        <v>0</v>
      </c>
      <c r="J117" s="336">
        <f t="shared" si="52"/>
        <v>2.9638392197116508E-16</v>
      </c>
      <c r="K117" s="260"/>
      <c r="L117" s="338">
        <f t="shared" si="53"/>
        <v>47817</v>
      </c>
      <c r="M117" s="210">
        <f t="shared" si="79"/>
        <v>47938</v>
      </c>
      <c r="N117" s="335">
        <f t="shared" si="76"/>
        <v>-9.3258734068513149E-15</v>
      </c>
      <c r="O117" s="1382">
        <f t="shared" si="48"/>
        <v>0</v>
      </c>
      <c r="P117" s="335">
        <f t="shared" si="82"/>
        <v>-9.3258734068513149E-15</v>
      </c>
      <c r="Q117" s="335">
        <f t="shared" si="60"/>
        <v>-7.7800779517430831E-17</v>
      </c>
      <c r="R117" s="339">
        <f t="shared" si="84"/>
        <v>0.10150000000000001</v>
      </c>
      <c r="S117" s="1282">
        <f>IF(MOD(MONTH(L117),3)=0,IF($B$4=1,0,SUMIF(Assumptions!$H$173:$U$173,'Debt repayment Schedule'!M117,Assumptions!$H$184:$U$184)/4),0)</f>
        <v>0</v>
      </c>
      <c r="T117" s="336">
        <f t="shared" si="54"/>
        <v>-7.7800779517430831E-17</v>
      </c>
      <c r="U117" s="260"/>
      <c r="V117" s="210">
        <f t="shared" si="61"/>
        <v>47817</v>
      </c>
      <c r="W117" s="210">
        <f t="shared" si="80"/>
        <v>47938</v>
      </c>
      <c r="X117" s="335">
        <f t="shared" si="77"/>
        <v>4.0500935938325711E-13</v>
      </c>
      <c r="Y117" s="1382">
        <f t="shared" si="55"/>
        <v>0</v>
      </c>
      <c r="Z117" s="335">
        <f t="shared" si="56"/>
        <v>4.0500935938325711E-13</v>
      </c>
      <c r="AA117" s="335">
        <f t="shared" si="62"/>
        <v>3.4287093712171628E-15</v>
      </c>
      <c r="AB117" s="339">
        <f t="shared" si="85"/>
        <v>0.10299999999999999</v>
      </c>
      <c r="AC117" s="337">
        <f>IF(MOD(MONTH(V117),3)=0,IF($B$4=1,0,SUMIF(Assumptions!$H$173:$U$173,'Debt repayment Schedule'!C117,Assumptions!$H$185:$U$185)/4),0)</f>
        <v>0</v>
      </c>
      <c r="AD117" s="336">
        <f t="shared" si="57"/>
        <v>3.4287093712171628E-15</v>
      </c>
      <c r="AE117" s="260"/>
      <c r="AF117" s="210">
        <f t="shared" si="63"/>
        <v>47817</v>
      </c>
      <c r="AG117" s="210">
        <f t="shared" si="64"/>
        <v>47938</v>
      </c>
      <c r="AH117" s="335">
        <f t="shared" si="65"/>
        <v>0</v>
      </c>
      <c r="AI117" s="1382">
        <f t="shared" si="66"/>
        <v>0</v>
      </c>
      <c r="AJ117" s="335">
        <f t="shared" si="67"/>
        <v>0</v>
      </c>
      <c r="AK117" s="335">
        <f t="shared" si="68"/>
        <v>0</v>
      </c>
      <c r="AL117" s="339">
        <f t="shared" si="86"/>
        <v>0</v>
      </c>
      <c r="AM117" s="337">
        <f>IF(MOD(MONTH(AF117),3)=0,IF($B$4=1,0,SUMIF(Assumptions!$H$173:$U$173,'Debt repayment Schedule'!M117,Assumptions!$H$185:$U$185)/4),0)</f>
        <v>0</v>
      </c>
      <c r="AN117" s="336">
        <f t="shared" si="69"/>
        <v>0</v>
      </c>
      <c r="AO117" s="260"/>
      <c r="AP117" s="210">
        <f t="shared" si="70"/>
        <v>47817</v>
      </c>
      <c r="AQ117" s="210">
        <f t="shared" si="81"/>
        <v>47938</v>
      </c>
      <c r="AR117" s="335">
        <f t="shared" si="71"/>
        <v>0</v>
      </c>
      <c r="AS117" s="335">
        <f t="shared" si="72"/>
        <v>0</v>
      </c>
      <c r="AT117" s="616">
        <f t="shared" si="73"/>
        <v>0</v>
      </c>
      <c r="AU117" s="335">
        <f t="shared" si="74"/>
        <v>0</v>
      </c>
      <c r="AV117" s="339">
        <f t="shared" si="87"/>
        <v>0.10299999999999999</v>
      </c>
      <c r="AW117" s="337">
        <f>IF(MOD(MONTH(AP117),3)=0,IF($B$4=1,0,SUMIF(Assumptions!$H$173:$U$173,'Debt repayment Schedule'!W117,Assumptions!$H$185:$U$185)/4),0)</f>
        <v>0</v>
      </c>
      <c r="AX117" s="336"/>
      <c r="AY117" s="260"/>
      <c r="AZ117" s="260">
        <f t="shared" si="75"/>
        <v>0</v>
      </c>
      <c r="BB117" s="260"/>
    </row>
    <row r="118" spans="2:54" x14ac:dyDescent="0.35">
      <c r="B118" s="210">
        <f t="shared" si="58"/>
        <v>47848</v>
      </c>
      <c r="C118" s="210">
        <f t="shared" si="78"/>
        <v>47938</v>
      </c>
      <c r="D118" s="335">
        <f t="shared" si="49"/>
        <v>3.5527136788005009E-14</v>
      </c>
      <c r="E118" s="336">
        <f t="shared" si="50"/>
        <v>0</v>
      </c>
      <c r="F118" s="335">
        <f t="shared" si="51"/>
        <v>3.5527136788005009E-14</v>
      </c>
      <c r="G118" s="335">
        <f t="shared" si="59"/>
        <v>3.0626338603687059E-16</v>
      </c>
      <c r="H118" s="339">
        <f t="shared" si="83"/>
        <v>0.10150000000000001</v>
      </c>
      <c r="I118" s="337">
        <f>IF(MOD(MONTH(B118),3)=0,(IF($B$4=1,0,SUMIF(Assumptions!$H$173:$U$173,'Debt repayment Schedule'!C118,Assumptions!$H$183:$U$183)/4)),0)</f>
        <v>0</v>
      </c>
      <c r="J118" s="336">
        <f t="shared" si="52"/>
        <v>3.0626338603687059E-16</v>
      </c>
      <c r="K118" s="260"/>
      <c r="L118" s="338">
        <f t="shared" si="53"/>
        <v>47848</v>
      </c>
      <c r="M118" s="210">
        <f t="shared" si="79"/>
        <v>47938</v>
      </c>
      <c r="N118" s="335">
        <f t="shared" si="76"/>
        <v>-9.3258734068513149E-15</v>
      </c>
      <c r="O118" s="1382">
        <f t="shared" si="48"/>
        <v>0</v>
      </c>
      <c r="P118" s="335">
        <f t="shared" si="82"/>
        <v>-9.3258734068513149E-15</v>
      </c>
      <c r="Q118" s="335">
        <f t="shared" si="60"/>
        <v>-8.0394138834678516E-17</v>
      </c>
      <c r="R118" s="339">
        <f t="shared" si="84"/>
        <v>0.10150000000000001</v>
      </c>
      <c r="S118" s="1282">
        <f>IF(MOD(MONTH(L118),3)=0,IF($B$4=1,0,SUMIF(Assumptions!$H$173:$U$173,'Debt repayment Schedule'!M118,Assumptions!$H$184:$U$184)/4),0)</f>
        <v>0</v>
      </c>
      <c r="T118" s="336">
        <f t="shared" si="54"/>
        <v>-8.0394138834678516E-17</v>
      </c>
      <c r="U118" s="260"/>
      <c r="V118" s="210">
        <f t="shared" si="61"/>
        <v>47848</v>
      </c>
      <c r="W118" s="210">
        <f t="shared" si="80"/>
        <v>47938</v>
      </c>
      <c r="X118" s="335">
        <f t="shared" si="77"/>
        <v>4.0500935938325711E-13</v>
      </c>
      <c r="Y118" s="1382">
        <f t="shared" si="55"/>
        <v>0</v>
      </c>
      <c r="Z118" s="335">
        <f t="shared" si="56"/>
        <v>4.0500935938325711E-13</v>
      </c>
      <c r="AA118" s="335">
        <f t="shared" si="62"/>
        <v>3.5429996835910678E-15</v>
      </c>
      <c r="AB118" s="339">
        <f t="shared" si="85"/>
        <v>0.10299999999999999</v>
      </c>
      <c r="AC118" s="337">
        <f>IF(MOD(MONTH(V118),3)=0,IF($B$4=1,0,SUMIF(Assumptions!$H$173:$U$173,'Debt repayment Schedule'!C118,Assumptions!$H$185:$U$185)/4),0)</f>
        <v>0</v>
      </c>
      <c r="AD118" s="336">
        <f t="shared" si="57"/>
        <v>3.5429996835910678E-15</v>
      </c>
      <c r="AE118" s="260"/>
      <c r="AF118" s="210">
        <f t="shared" si="63"/>
        <v>47848</v>
      </c>
      <c r="AG118" s="210">
        <f t="shared" si="64"/>
        <v>47938</v>
      </c>
      <c r="AH118" s="335">
        <f t="shared" si="65"/>
        <v>0</v>
      </c>
      <c r="AI118" s="1382">
        <f t="shared" si="66"/>
        <v>0</v>
      </c>
      <c r="AJ118" s="335">
        <f t="shared" si="67"/>
        <v>0</v>
      </c>
      <c r="AK118" s="335">
        <f t="shared" si="68"/>
        <v>0</v>
      </c>
      <c r="AL118" s="339">
        <f t="shared" si="86"/>
        <v>0</v>
      </c>
      <c r="AM118" s="337">
        <f>IF(MOD(MONTH(AF118),3)=0,IF($B$4=1,0,SUMIF(Assumptions!$H$173:$U$173,'Debt repayment Schedule'!M118,Assumptions!$H$185:$U$185)/4),0)</f>
        <v>0</v>
      </c>
      <c r="AN118" s="336">
        <f t="shared" si="69"/>
        <v>0</v>
      </c>
      <c r="AO118" s="260"/>
      <c r="AP118" s="210">
        <f t="shared" si="70"/>
        <v>47848</v>
      </c>
      <c r="AQ118" s="210">
        <f t="shared" si="81"/>
        <v>47938</v>
      </c>
      <c r="AR118" s="335">
        <f t="shared" si="71"/>
        <v>0</v>
      </c>
      <c r="AS118" s="335">
        <f t="shared" si="72"/>
        <v>0</v>
      </c>
      <c r="AT118" s="616">
        <f t="shared" si="73"/>
        <v>0</v>
      </c>
      <c r="AU118" s="335">
        <f t="shared" si="74"/>
        <v>0</v>
      </c>
      <c r="AV118" s="339">
        <f t="shared" si="87"/>
        <v>0.10299999999999999</v>
      </c>
      <c r="AW118" s="337">
        <f>IF(MOD(MONTH(AP118),3)=0,IF($B$4=1,0,SUMIF(Assumptions!$H$173:$U$173,'Debt repayment Schedule'!W118,Assumptions!$H$185:$U$185)/4),0)</f>
        <v>0</v>
      </c>
      <c r="AX118" s="336"/>
      <c r="AY118" s="260"/>
      <c r="AZ118" s="260">
        <f t="shared" si="75"/>
        <v>0</v>
      </c>
      <c r="BB118" s="260"/>
    </row>
    <row r="119" spans="2:54" x14ac:dyDescent="0.35">
      <c r="B119" s="210">
        <f t="shared" si="58"/>
        <v>47879</v>
      </c>
      <c r="C119" s="210">
        <f t="shared" si="78"/>
        <v>47938</v>
      </c>
      <c r="D119" s="335">
        <f t="shared" si="49"/>
        <v>3.5527136788005009E-14</v>
      </c>
      <c r="E119" s="336">
        <f t="shared" si="50"/>
        <v>0</v>
      </c>
      <c r="F119" s="335">
        <f t="shared" si="51"/>
        <v>3.5527136788005009E-14</v>
      </c>
      <c r="G119" s="335">
        <f t="shared" si="59"/>
        <v>3.0626338603687059E-16</v>
      </c>
      <c r="H119" s="339">
        <f t="shared" si="83"/>
        <v>0.10150000000000001</v>
      </c>
      <c r="I119" s="337">
        <f>IF(MOD(MONTH(B119),3)=0,(IF($B$4=1,0,SUMIF(Assumptions!$H$173:$U$173,'Debt repayment Schedule'!C119,Assumptions!$H$183:$U$183)/4)),0)</f>
        <v>0</v>
      </c>
      <c r="J119" s="336">
        <f t="shared" si="52"/>
        <v>3.0626338603687059E-16</v>
      </c>
      <c r="K119" s="260"/>
      <c r="L119" s="338">
        <f t="shared" si="53"/>
        <v>47879</v>
      </c>
      <c r="M119" s="210">
        <f t="shared" si="79"/>
        <v>47938</v>
      </c>
      <c r="N119" s="335">
        <f t="shared" si="76"/>
        <v>-9.3258734068513149E-15</v>
      </c>
      <c r="O119" s="1382">
        <f t="shared" si="48"/>
        <v>0</v>
      </c>
      <c r="P119" s="335">
        <f t="shared" si="82"/>
        <v>-9.3258734068513149E-15</v>
      </c>
      <c r="Q119" s="335">
        <f t="shared" si="60"/>
        <v>-8.0394138834678516E-17</v>
      </c>
      <c r="R119" s="339">
        <f t="shared" si="84"/>
        <v>0.10150000000000001</v>
      </c>
      <c r="S119" s="1282">
        <f>IF(MOD(MONTH(L119),3)=0,IF($B$4=1,0,SUMIF(Assumptions!$H$173:$U$173,'Debt repayment Schedule'!M119,Assumptions!$H$184:$U$184)/4),0)</f>
        <v>0</v>
      </c>
      <c r="T119" s="336">
        <f t="shared" si="54"/>
        <v>-8.0394138834678516E-17</v>
      </c>
      <c r="U119" s="260"/>
      <c r="V119" s="210">
        <f t="shared" si="61"/>
        <v>47879</v>
      </c>
      <c r="W119" s="210">
        <f t="shared" si="80"/>
        <v>47938</v>
      </c>
      <c r="X119" s="335">
        <f t="shared" si="77"/>
        <v>4.0500935938325711E-13</v>
      </c>
      <c r="Y119" s="1382">
        <f t="shared" si="55"/>
        <v>0</v>
      </c>
      <c r="Z119" s="335">
        <f t="shared" si="56"/>
        <v>4.0500935938325711E-13</v>
      </c>
      <c r="AA119" s="335">
        <f t="shared" si="62"/>
        <v>3.5429996835910678E-15</v>
      </c>
      <c r="AB119" s="339">
        <f t="shared" si="85"/>
        <v>0.10299999999999999</v>
      </c>
      <c r="AC119" s="337">
        <f>IF(MOD(MONTH(V119),3)=0,IF($B$4=1,0,SUMIF(Assumptions!$H$173:$U$173,'Debt repayment Schedule'!C119,Assumptions!$H$185:$U$185)/4),0)</f>
        <v>0</v>
      </c>
      <c r="AD119" s="336">
        <f t="shared" si="57"/>
        <v>3.5429996835910678E-15</v>
      </c>
      <c r="AE119" s="260"/>
      <c r="AF119" s="210">
        <f t="shared" si="63"/>
        <v>47879</v>
      </c>
      <c r="AG119" s="210">
        <f t="shared" si="64"/>
        <v>47938</v>
      </c>
      <c r="AH119" s="335">
        <f t="shared" si="65"/>
        <v>0</v>
      </c>
      <c r="AI119" s="1382">
        <f t="shared" si="66"/>
        <v>0</v>
      </c>
      <c r="AJ119" s="335">
        <f t="shared" si="67"/>
        <v>0</v>
      </c>
      <c r="AK119" s="335">
        <f t="shared" si="68"/>
        <v>0</v>
      </c>
      <c r="AL119" s="339">
        <f t="shared" si="86"/>
        <v>0</v>
      </c>
      <c r="AM119" s="337">
        <f>IF(MOD(MONTH(AF119),3)=0,IF($B$4=1,0,SUMIF(Assumptions!$H$173:$U$173,'Debt repayment Schedule'!M119,Assumptions!$H$185:$U$185)/4),0)</f>
        <v>0</v>
      </c>
      <c r="AN119" s="336">
        <f t="shared" si="69"/>
        <v>0</v>
      </c>
      <c r="AO119" s="260"/>
      <c r="AP119" s="210">
        <f t="shared" si="70"/>
        <v>47879</v>
      </c>
      <c r="AQ119" s="210">
        <f t="shared" si="81"/>
        <v>47938</v>
      </c>
      <c r="AR119" s="335">
        <f t="shared" si="71"/>
        <v>0</v>
      </c>
      <c r="AS119" s="335">
        <f t="shared" si="72"/>
        <v>0</v>
      </c>
      <c r="AT119" s="616">
        <f t="shared" si="73"/>
        <v>0</v>
      </c>
      <c r="AU119" s="335">
        <f t="shared" si="74"/>
        <v>0</v>
      </c>
      <c r="AV119" s="339">
        <f t="shared" si="87"/>
        <v>0.10299999999999999</v>
      </c>
      <c r="AW119" s="337">
        <f>IF(MOD(MONTH(AP119),3)=0,IF($B$4=1,0,SUMIF(Assumptions!$H$173:$U$173,'Debt repayment Schedule'!W119,Assumptions!$H$185:$U$185)/4),0)</f>
        <v>0</v>
      </c>
      <c r="AX119" s="336"/>
      <c r="AY119" s="260"/>
      <c r="AZ119" s="260">
        <f t="shared" si="75"/>
        <v>0</v>
      </c>
      <c r="BB119" s="260"/>
    </row>
    <row r="120" spans="2:54" x14ac:dyDescent="0.35">
      <c r="B120" s="210">
        <f t="shared" si="58"/>
        <v>47907</v>
      </c>
      <c r="C120" s="210">
        <f t="shared" si="78"/>
        <v>47938</v>
      </c>
      <c r="D120" s="335">
        <f t="shared" si="49"/>
        <v>3.5527136788005009E-14</v>
      </c>
      <c r="E120" s="336">
        <f t="shared" si="50"/>
        <v>0</v>
      </c>
      <c r="F120" s="335">
        <f t="shared" si="51"/>
        <v>3.5527136788005009E-14</v>
      </c>
      <c r="G120" s="335">
        <f t="shared" si="59"/>
        <v>2.7662499383975411E-16</v>
      </c>
      <c r="H120" s="339">
        <f t="shared" si="83"/>
        <v>0.10150000000000001</v>
      </c>
      <c r="I120" s="337">
        <f>IF(MOD(MONTH(B120),3)=0,(IF($B$4=1,0,SUMIF(Assumptions!$H$173:$U$173,'Debt repayment Schedule'!C120,Assumptions!$H$183:$U$183)/4)),0)</f>
        <v>0</v>
      </c>
      <c r="J120" s="336">
        <f t="shared" si="52"/>
        <v>2.7662499383975411E-16</v>
      </c>
      <c r="K120" s="260"/>
      <c r="L120" s="338">
        <f t="shared" si="53"/>
        <v>47907</v>
      </c>
      <c r="M120" s="210">
        <f t="shared" si="79"/>
        <v>47938</v>
      </c>
      <c r="N120" s="335">
        <f t="shared" si="76"/>
        <v>-9.3258734068513149E-15</v>
      </c>
      <c r="O120" s="1382">
        <f t="shared" si="48"/>
        <v>0</v>
      </c>
      <c r="P120" s="335">
        <f t="shared" si="82"/>
        <v>-9.3258734068513149E-15</v>
      </c>
      <c r="Q120" s="335">
        <f t="shared" si="60"/>
        <v>-7.2614060882935447E-17</v>
      </c>
      <c r="R120" s="339">
        <f t="shared" si="84"/>
        <v>0.10150000000000001</v>
      </c>
      <c r="S120" s="1282">
        <f>IF(MOD(MONTH(L120),3)=0,IF($B$4=1,0,SUMIF(Assumptions!$H$173:$U$173,'Debt repayment Schedule'!M120,Assumptions!$H$184:$U$184)/4),0)</f>
        <v>0</v>
      </c>
      <c r="T120" s="336">
        <f t="shared" si="54"/>
        <v>-7.2614060882935447E-17</v>
      </c>
      <c r="U120" s="260"/>
      <c r="V120" s="210">
        <f t="shared" si="61"/>
        <v>47907</v>
      </c>
      <c r="W120" s="210">
        <f t="shared" si="80"/>
        <v>47938</v>
      </c>
      <c r="X120" s="335">
        <f t="shared" si="77"/>
        <v>4.0500935938325711E-13</v>
      </c>
      <c r="Y120" s="1382">
        <f t="shared" si="55"/>
        <v>0</v>
      </c>
      <c r="Z120" s="335">
        <f t="shared" si="56"/>
        <v>4.0500935938325711E-13</v>
      </c>
      <c r="AA120" s="335">
        <f t="shared" si="62"/>
        <v>3.2001287464693517E-15</v>
      </c>
      <c r="AB120" s="339">
        <f t="shared" si="85"/>
        <v>0.10299999999999999</v>
      </c>
      <c r="AC120" s="337">
        <f>IF(MOD(MONTH(V120),3)=0,IF($B$4=1,0,SUMIF(Assumptions!$H$173:$U$173,'Debt repayment Schedule'!C120,Assumptions!$H$185:$U$185)/4),0)</f>
        <v>0</v>
      </c>
      <c r="AD120" s="336">
        <f t="shared" si="57"/>
        <v>3.2001287464693517E-15</v>
      </c>
      <c r="AE120" s="260"/>
      <c r="AF120" s="210">
        <f t="shared" si="63"/>
        <v>47907</v>
      </c>
      <c r="AG120" s="210">
        <f t="shared" si="64"/>
        <v>47938</v>
      </c>
      <c r="AH120" s="335">
        <f t="shared" si="65"/>
        <v>0</v>
      </c>
      <c r="AI120" s="1382">
        <f t="shared" si="66"/>
        <v>0</v>
      </c>
      <c r="AJ120" s="335">
        <f t="shared" si="67"/>
        <v>0</v>
      </c>
      <c r="AK120" s="335">
        <f t="shared" si="68"/>
        <v>0</v>
      </c>
      <c r="AL120" s="339">
        <f t="shared" si="86"/>
        <v>0</v>
      </c>
      <c r="AM120" s="337">
        <f>IF(MOD(MONTH(AF120),3)=0,IF($B$4=1,0,SUMIF(Assumptions!$H$173:$U$173,'Debt repayment Schedule'!M120,Assumptions!$H$185:$U$185)/4),0)</f>
        <v>0</v>
      </c>
      <c r="AN120" s="336">
        <f t="shared" si="69"/>
        <v>0</v>
      </c>
      <c r="AO120" s="260"/>
      <c r="AP120" s="210">
        <f t="shared" si="70"/>
        <v>47907</v>
      </c>
      <c r="AQ120" s="210">
        <f t="shared" si="81"/>
        <v>47938</v>
      </c>
      <c r="AR120" s="335">
        <f t="shared" si="71"/>
        <v>0</v>
      </c>
      <c r="AS120" s="335">
        <f t="shared" si="72"/>
        <v>0</v>
      </c>
      <c r="AT120" s="616">
        <f t="shared" si="73"/>
        <v>0</v>
      </c>
      <c r="AU120" s="335">
        <f t="shared" si="74"/>
        <v>0</v>
      </c>
      <c r="AV120" s="339">
        <f t="shared" si="87"/>
        <v>0.10299999999999999</v>
      </c>
      <c r="AW120" s="337">
        <f>IF(MOD(MONTH(AP120),3)=0,IF($B$4=1,0,SUMIF(Assumptions!$H$173:$U$173,'Debt repayment Schedule'!W120,Assumptions!$H$185:$U$185)/4),0)</f>
        <v>0</v>
      </c>
      <c r="AX120" s="336"/>
      <c r="AY120" s="260"/>
      <c r="AZ120" s="260">
        <f t="shared" si="75"/>
        <v>0</v>
      </c>
      <c r="BB120" s="260"/>
    </row>
    <row r="121" spans="2:54" x14ac:dyDescent="0.35">
      <c r="B121" s="210">
        <f t="shared" si="58"/>
        <v>47938</v>
      </c>
      <c r="C121" s="210">
        <f t="shared" si="78"/>
        <v>47938</v>
      </c>
      <c r="D121" s="335">
        <f t="shared" si="49"/>
        <v>3.5527136788005009E-14</v>
      </c>
      <c r="E121" s="336">
        <f t="shared" si="50"/>
        <v>0</v>
      </c>
      <c r="F121" s="335">
        <f t="shared" si="51"/>
        <v>3.5527136788005009E-14</v>
      </c>
      <c r="G121" s="335">
        <f t="shared" si="59"/>
        <v>3.0626338603687059E-16</v>
      </c>
      <c r="H121" s="339">
        <f t="shared" si="83"/>
        <v>0.10150000000000001</v>
      </c>
      <c r="I121" s="337">
        <f>IF(MOD(MONTH(B121),3)=0,(IF($B$4=1,0,SUMIF(Assumptions!$H$173:$U$173,'Debt repayment Schedule'!C121,Assumptions!$H$183:$U$183)/4)),0)</f>
        <v>0</v>
      </c>
      <c r="J121" s="336">
        <f t="shared" si="52"/>
        <v>3.0626338603687059E-16</v>
      </c>
      <c r="K121" s="260"/>
      <c r="L121" s="338">
        <f t="shared" si="53"/>
        <v>47938</v>
      </c>
      <c r="M121" s="210">
        <f t="shared" si="79"/>
        <v>47938</v>
      </c>
      <c r="N121" s="335">
        <f t="shared" si="76"/>
        <v>-9.3258734068513149E-15</v>
      </c>
      <c r="O121" s="1382">
        <f t="shared" si="48"/>
        <v>0</v>
      </c>
      <c r="P121" s="335">
        <f t="shared" si="82"/>
        <v>-9.3258734068513149E-15</v>
      </c>
      <c r="Q121" s="335">
        <f t="shared" si="60"/>
        <v>-8.0394138834678516E-17</v>
      </c>
      <c r="R121" s="339">
        <f t="shared" si="84"/>
        <v>0.10150000000000001</v>
      </c>
      <c r="S121" s="1282">
        <f>IF(MOD(MONTH(L121),3)=0,IF($B$4=1,0,SUMIF(Assumptions!$H$173:$U$173,'Debt repayment Schedule'!M121,Assumptions!$H$184:$U$184)/4),0)</f>
        <v>0</v>
      </c>
      <c r="T121" s="336">
        <f t="shared" si="54"/>
        <v>-8.0394138834678516E-17</v>
      </c>
      <c r="U121" s="260"/>
      <c r="V121" s="210">
        <f t="shared" si="61"/>
        <v>47938</v>
      </c>
      <c r="W121" s="210">
        <f t="shared" si="80"/>
        <v>47938</v>
      </c>
      <c r="X121" s="335">
        <f t="shared" si="77"/>
        <v>4.0500935938325711E-13</v>
      </c>
      <c r="Y121" s="1382">
        <f t="shared" si="55"/>
        <v>0</v>
      </c>
      <c r="Z121" s="335">
        <f t="shared" si="56"/>
        <v>4.0500935938325711E-13</v>
      </c>
      <c r="AA121" s="335">
        <f t="shared" si="62"/>
        <v>3.5429996835910678E-15</v>
      </c>
      <c r="AB121" s="339">
        <f t="shared" si="85"/>
        <v>0.10299999999999999</v>
      </c>
      <c r="AC121" s="337">
        <f>IF(MOD(MONTH(V121),3)=0,IF($B$4=1,0,SUMIF(Assumptions!$H$173:$U$173,'Debt repayment Schedule'!C121,Assumptions!$H$185:$U$185)/4),0)</f>
        <v>0</v>
      </c>
      <c r="AD121" s="336">
        <f t="shared" si="57"/>
        <v>3.5429996835910678E-15</v>
      </c>
      <c r="AE121" s="260"/>
      <c r="AF121" s="210">
        <f t="shared" si="63"/>
        <v>47938</v>
      </c>
      <c r="AG121" s="210">
        <f t="shared" si="64"/>
        <v>47938</v>
      </c>
      <c r="AH121" s="335">
        <f t="shared" si="65"/>
        <v>0</v>
      </c>
      <c r="AI121" s="1382">
        <f t="shared" si="66"/>
        <v>0</v>
      </c>
      <c r="AJ121" s="335">
        <f t="shared" si="67"/>
        <v>0</v>
      </c>
      <c r="AK121" s="335">
        <f t="shared" si="68"/>
        <v>0</v>
      </c>
      <c r="AL121" s="339">
        <f t="shared" si="86"/>
        <v>0</v>
      </c>
      <c r="AM121" s="337">
        <f>IF(MOD(MONTH(AF121),3)=0,IF($B$4=1,0,SUMIF(Assumptions!$H$173:$U$173,'Debt repayment Schedule'!M121,Assumptions!$H$185:$U$185)/4),0)</f>
        <v>0</v>
      </c>
      <c r="AN121" s="336">
        <f t="shared" si="69"/>
        <v>0</v>
      </c>
      <c r="AO121" s="260"/>
      <c r="AP121" s="210">
        <f t="shared" si="70"/>
        <v>47938</v>
      </c>
      <c r="AQ121" s="210">
        <f t="shared" si="81"/>
        <v>47938</v>
      </c>
      <c r="AR121" s="335">
        <f t="shared" si="71"/>
        <v>0</v>
      </c>
      <c r="AS121" s="335">
        <f t="shared" si="72"/>
        <v>0</v>
      </c>
      <c r="AT121" s="616">
        <f t="shared" si="73"/>
        <v>0</v>
      </c>
      <c r="AU121" s="335">
        <f t="shared" si="74"/>
        <v>0</v>
      </c>
      <c r="AV121" s="339">
        <f t="shared" si="87"/>
        <v>0.10299999999999999</v>
      </c>
      <c r="AW121" s="337">
        <f>IF(MOD(MONTH(AP121),3)=0,IF($B$4=1,0,SUMIF(Assumptions!$H$173:$U$173,'Debt repayment Schedule'!W121,Assumptions!$H$185:$U$185)/4),0)</f>
        <v>0</v>
      </c>
      <c r="AX121" s="336"/>
      <c r="AY121" s="260"/>
      <c r="AZ121" s="260">
        <f t="shared" si="75"/>
        <v>0</v>
      </c>
      <c r="BB121" s="260"/>
    </row>
    <row r="122" spans="2:54" x14ac:dyDescent="0.35">
      <c r="B122" s="210">
        <f t="shared" si="58"/>
        <v>47968</v>
      </c>
      <c r="C122" s="210">
        <f t="shared" si="78"/>
        <v>48304</v>
      </c>
      <c r="D122" s="335">
        <f t="shared" si="49"/>
        <v>3.5527136788005009E-14</v>
      </c>
      <c r="E122" s="336">
        <f t="shared" si="50"/>
        <v>0</v>
      </c>
      <c r="F122" s="335">
        <f t="shared" si="51"/>
        <v>3.5527136788005009E-14</v>
      </c>
      <c r="G122" s="335">
        <f t="shared" si="59"/>
        <v>2.9638392197116508E-16</v>
      </c>
      <c r="H122" s="339">
        <f t="shared" si="83"/>
        <v>0.10150000000000001</v>
      </c>
      <c r="I122" s="337">
        <f>IF(MOD(MONTH(B122),3)=0,(IF($B$4=1,0,SUMIF(Assumptions!$H$173:$U$173,'Debt repayment Schedule'!C122,Assumptions!$H$183:$U$183)/4)),0)</f>
        <v>0</v>
      </c>
      <c r="J122" s="336">
        <f t="shared" si="52"/>
        <v>2.9638392197116508E-16</v>
      </c>
      <c r="K122" s="260"/>
      <c r="L122" s="338">
        <f t="shared" si="53"/>
        <v>47968</v>
      </c>
      <c r="M122" s="210">
        <f t="shared" si="79"/>
        <v>48304</v>
      </c>
      <c r="N122" s="335">
        <f t="shared" si="76"/>
        <v>-9.3258734068513149E-15</v>
      </c>
      <c r="O122" s="1382">
        <f t="shared" si="48"/>
        <v>0</v>
      </c>
      <c r="P122" s="335">
        <f t="shared" si="82"/>
        <v>-9.3258734068513149E-15</v>
      </c>
      <c r="Q122" s="335">
        <f t="shared" si="60"/>
        <v>-7.7800779517430831E-17</v>
      </c>
      <c r="R122" s="339">
        <f t="shared" si="84"/>
        <v>0.10150000000000001</v>
      </c>
      <c r="S122" s="1282">
        <f>IF(MOD(MONTH(L122),3)=0,IF($B$4=1,0,SUMIF(Assumptions!$H$173:$U$173,'Debt repayment Schedule'!M122,Assumptions!$H$184:$U$184)/4),0)</f>
        <v>0</v>
      </c>
      <c r="T122" s="336">
        <f t="shared" si="54"/>
        <v>-7.7800779517430831E-17</v>
      </c>
      <c r="U122" s="260"/>
      <c r="V122" s="210">
        <f t="shared" si="61"/>
        <v>47968</v>
      </c>
      <c r="W122" s="210">
        <f t="shared" si="80"/>
        <v>48304</v>
      </c>
      <c r="X122" s="335">
        <f t="shared" si="77"/>
        <v>4.0500935938325711E-13</v>
      </c>
      <c r="Y122" s="1382">
        <f t="shared" si="55"/>
        <v>0</v>
      </c>
      <c r="Z122" s="335">
        <f t="shared" si="56"/>
        <v>4.0500935938325711E-13</v>
      </c>
      <c r="AA122" s="335">
        <f t="shared" si="62"/>
        <v>3.4287093712171628E-15</v>
      </c>
      <c r="AB122" s="339">
        <f t="shared" si="85"/>
        <v>0.10299999999999999</v>
      </c>
      <c r="AC122" s="337">
        <f>IF(MOD(MONTH(V122),3)=0,IF($B$4=1,0,SUMIF(Assumptions!$H$173:$U$173,'Debt repayment Schedule'!C122,Assumptions!$H$185:$U$185)/4),0)</f>
        <v>0</v>
      </c>
      <c r="AD122" s="336">
        <f t="shared" si="57"/>
        <v>3.4287093712171628E-15</v>
      </c>
      <c r="AE122" s="260"/>
      <c r="AF122" s="210">
        <f t="shared" si="63"/>
        <v>47968</v>
      </c>
      <c r="AG122" s="210">
        <f t="shared" si="64"/>
        <v>48304</v>
      </c>
      <c r="AH122" s="335">
        <f t="shared" si="65"/>
        <v>0</v>
      </c>
      <c r="AI122" s="1382">
        <f t="shared" si="66"/>
        <v>0</v>
      </c>
      <c r="AJ122" s="335">
        <f t="shared" si="67"/>
        <v>0</v>
      </c>
      <c r="AK122" s="335">
        <f t="shared" si="68"/>
        <v>0</v>
      </c>
      <c r="AL122" s="339">
        <f t="shared" si="86"/>
        <v>0</v>
      </c>
      <c r="AM122" s="337">
        <f>IF(MOD(MONTH(AF122),3)=0,IF($B$4=1,0,SUMIF(Assumptions!$H$173:$U$173,'Debt repayment Schedule'!M122,Assumptions!$H$185:$U$185)/4),0)</f>
        <v>0</v>
      </c>
      <c r="AN122" s="336">
        <f t="shared" si="69"/>
        <v>0</v>
      </c>
      <c r="AO122" s="260"/>
      <c r="AP122" s="210">
        <f t="shared" si="70"/>
        <v>47968</v>
      </c>
      <c r="AQ122" s="210">
        <f t="shared" si="81"/>
        <v>48304</v>
      </c>
      <c r="AR122" s="335">
        <f t="shared" si="71"/>
        <v>0</v>
      </c>
      <c r="AS122" s="335">
        <f t="shared" si="72"/>
        <v>0</v>
      </c>
      <c r="AT122" s="616">
        <f t="shared" si="73"/>
        <v>0</v>
      </c>
      <c r="AU122" s="335">
        <f t="shared" si="74"/>
        <v>0</v>
      </c>
      <c r="AV122" s="339">
        <f t="shared" si="87"/>
        <v>0.10299999999999999</v>
      </c>
      <c r="AW122" s="337">
        <f>IF(MOD(MONTH(AP122),3)=0,IF($B$4=1,0,SUMIF(Assumptions!$H$173:$U$173,'Debt repayment Schedule'!W122,Assumptions!$H$185:$U$185)/4),0)</f>
        <v>0</v>
      </c>
      <c r="AX122" s="336"/>
      <c r="AY122" s="260"/>
      <c r="AZ122" s="260">
        <f t="shared" si="75"/>
        <v>0</v>
      </c>
      <c r="BB122" s="260"/>
    </row>
    <row r="123" spans="2:54" x14ac:dyDescent="0.35">
      <c r="B123" s="210">
        <f t="shared" si="58"/>
        <v>47999</v>
      </c>
      <c r="C123" s="210">
        <f t="shared" si="78"/>
        <v>48304</v>
      </c>
      <c r="D123" s="335">
        <f t="shared" si="49"/>
        <v>3.5527136788005009E-14</v>
      </c>
      <c r="E123" s="336">
        <f t="shared" si="50"/>
        <v>0</v>
      </c>
      <c r="F123" s="335">
        <f t="shared" si="51"/>
        <v>3.5527136788005009E-14</v>
      </c>
      <c r="G123" s="335">
        <f t="shared" si="59"/>
        <v>3.0626338603687059E-16</v>
      </c>
      <c r="H123" s="339">
        <f t="shared" si="83"/>
        <v>0.10150000000000001</v>
      </c>
      <c r="I123" s="337">
        <f>IF(MOD(MONTH(B123),3)=0,(IF($B$4=1,0,SUMIF(Assumptions!$H$173:$U$173,'Debt repayment Schedule'!C123,Assumptions!$H$183:$U$183)/4)),0)</f>
        <v>0</v>
      </c>
      <c r="J123" s="336">
        <f t="shared" si="52"/>
        <v>3.0626338603687059E-16</v>
      </c>
      <c r="K123" s="260"/>
      <c r="L123" s="338">
        <f t="shared" si="53"/>
        <v>47999</v>
      </c>
      <c r="M123" s="210">
        <f t="shared" si="79"/>
        <v>48304</v>
      </c>
      <c r="N123" s="335">
        <f t="shared" si="76"/>
        <v>-9.3258734068513149E-15</v>
      </c>
      <c r="O123" s="1382">
        <f t="shared" si="48"/>
        <v>0</v>
      </c>
      <c r="P123" s="335">
        <f t="shared" si="82"/>
        <v>-9.3258734068513149E-15</v>
      </c>
      <c r="Q123" s="335">
        <f t="shared" si="60"/>
        <v>-8.0394138834678516E-17</v>
      </c>
      <c r="R123" s="339">
        <f t="shared" si="84"/>
        <v>0.10150000000000001</v>
      </c>
      <c r="S123" s="1282">
        <f>IF(MOD(MONTH(L123),3)=0,IF($B$4=1,0,SUMIF(Assumptions!$H$173:$U$173,'Debt repayment Schedule'!M123,Assumptions!$H$184:$U$184)/4),0)</f>
        <v>0</v>
      </c>
      <c r="T123" s="336">
        <f t="shared" si="54"/>
        <v>-8.0394138834678516E-17</v>
      </c>
      <c r="U123" s="260"/>
      <c r="V123" s="210">
        <f t="shared" si="61"/>
        <v>47999</v>
      </c>
      <c r="W123" s="210">
        <f t="shared" si="80"/>
        <v>48304</v>
      </c>
      <c r="X123" s="335">
        <f t="shared" si="77"/>
        <v>4.0500935938325711E-13</v>
      </c>
      <c r="Y123" s="1382">
        <f t="shared" si="55"/>
        <v>0</v>
      </c>
      <c r="Z123" s="335">
        <f t="shared" si="56"/>
        <v>4.0500935938325711E-13</v>
      </c>
      <c r="AA123" s="335">
        <f t="shared" si="62"/>
        <v>3.5429996835910678E-15</v>
      </c>
      <c r="AB123" s="339">
        <f t="shared" si="85"/>
        <v>0.10299999999999999</v>
      </c>
      <c r="AC123" s="337">
        <f>IF(MOD(MONTH(V123),3)=0,IF($B$4=1,0,SUMIF(Assumptions!$H$173:$U$173,'Debt repayment Schedule'!C123,Assumptions!$H$185:$U$185)/4),0)</f>
        <v>0</v>
      </c>
      <c r="AD123" s="336">
        <f t="shared" si="57"/>
        <v>3.5429996835910678E-15</v>
      </c>
      <c r="AE123" s="260"/>
      <c r="AF123" s="210">
        <f t="shared" si="63"/>
        <v>47999</v>
      </c>
      <c r="AG123" s="210">
        <f t="shared" si="64"/>
        <v>48304</v>
      </c>
      <c r="AH123" s="335">
        <f t="shared" si="65"/>
        <v>0</v>
      </c>
      <c r="AI123" s="1382">
        <f t="shared" si="66"/>
        <v>0</v>
      </c>
      <c r="AJ123" s="335">
        <f t="shared" si="67"/>
        <v>0</v>
      </c>
      <c r="AK123" s="335">
        <f t="shared" si="68"/>
        <v>0</v>
      </c>
      <c r="AL123" s="339">
        <f t="shared" si="86"/>
        <v>0</v>
      </c>
      <c r="AM123" s="337">
        <f>IF(MOD(MONTH(AF123),3)=0,IF($B$4=1,0,SUMIF(Assumptions!$H$173:$U$173,'Debt repayment Schedule'!M123,Assumptions!$H$185:$U$185)/4),0)</f>
        <v>0</v>
      </c>
      <c r="AN123" s="336">
        <f t="shared" si="69"/>
        <v>0</v>
      </c>
      <c r="AO123" s="260"/>
      <c r="AP123" s="210">
        <f t="shared" si="70"/>
        <v>47999</v>
      </c>
      <c r="AQ123" s="210">
        <f t="shared" si="81"/>
        <v>48304</v>
      </c>
      <c r="AR123" s="335">
        <f t="shared" si="71"/>
        <v>0</v>
      </c>
      <c r="AS123" s="335">
        <f t="shared" si="72"/>
        <v>0</v>
      </c>
      <c r="AT123" s="616">
        <f t="shared" si="73"/>
        <v>0</v>
      </c>
      <c r="AU123" s="335">
        <f t="shared" si="74"/>
        <v>0</v>
      </c>
      <c r="AV123" s="339">
        <f t="shared" si="87"/>
        <v>0.10299999999999999</v>
      </c>
      <c r="AW123" s="337">
        <f>IF(MOD(MONTH(AP123),3)=0,IF($B$4=1,0,SUMIF(Assumptions!$H$173:$U$173,'Debt repayment Schedule'!W123,Assumptions!$H$185:$U$185)/4),0)</f>
        <v>0</v>
      </c>
      <c r="AX123" s="336"/>
      <c r="AY123" s="260"/>
      <c r="AZ123" s="260">
        <f t="shared" si="75"/>
        <v>0</v>
      </c>
      <c r="BB123" s="260"/>
    </row>
    <row r="124" spans="2:54" x14ac:dyDescent="0.35">
      <c r="B124" s="210">
        <f t="shared" si="58"/>
        <v>48029</v>
      </c>
      <c r="C124" s="210">
        <f t="shared" si="78"/>
        <v>48304</v>
      </c>
      <c r="D124" s="335">
        <f t="shared" si="49"/>
        <v>3.5527136788005009E-14</v>
      </c>
      <c r="E124" s="336">
        <f t="shared" si="50"/>
        <v>0</v>
      </c>
      <c r="F124" s="335">
        <f t="shared" si="51"/>
        <v>3.5527136788005009E-14</v>
      </c>
      <c r="G124" s="335">
        <f t="shared" si="59"/>
        <v>2.9638392197116508E-16</v>
      </c>
      <c r="H124" s="339">
        <f t="shared" si="83"/>
        <v>0.10150000000000001</v>
      </c>
      <c r="I124" s="337">
        <f>IF(MOD(MONTH(B124),3)=0,(IF($B$4=1,0,SUMIF(Assumptions!$H$173:$U$173,'Debt repayment Schedule'!C124,Assumptions!$H$183:$U$183)/4)),0)</f>
        <v>0</v>
      </c>
      <c r="J124" s="336">
        <f t="shared" si="52"/>
        <v>2.9638392197116508E-16</v>
      </c>
      <c r="K124" s="260"/>
      <c r="L124" s="338">
        <f t="shared" si="53"/>
        <v>48029</v>
      </c>
      <c r="M124" s="210">
        <f t="shared" si="79"/>
        <v>48304</v>
      </c>
      <c r="N124" s="335">
        <f t="shared" si="76"/>
        <v>-9.3258734068513149E-15</v>
      </c>
      <c r="O124" s="1382">
        <f t="shared" si="48"/>
        <v>0</v>
      </c>
      <c r="P124" s="335">
        <f t="shared" si="82"/>
        <v>-9.3258734068513149E-15</v>
      </c>
      <c r="Q124" s="335">
        <f t="shared" si="60"/>
        <v>-7.7800779517430831E-17</v>
      </c>
      <c r="R124" s="339">
        <f t="shared" si="84"/>
        <v>0.10150000000000001</v>
      </c>
      <c r="S124" s="1282">
        <f>IF(MOD(MONTH(L124),3)=0,IF($B$4=1,0,SUMIF(Assumptions!$H$173:$U$173,'Debt repayment Schedule'!M124,Assumptions!$H$184:$U$184)/4),0)</f>
        <v>0</v>
      </c>
      <c r="T124" s="336">
        <f t="shared" si="54"/>
        <v>-7.7800779517430831E-17</v>
      </c>
      <c r="U124" s="260"/>
      <c r="V124" s="210">
        <f t="shared" si="61"/>
        <v>48029</v>
      </c>
      <c r="W124" s="210">
        <f t="shared" si="80"/>
        <v>48304</v>
      </c>
      <c r="X124" s="335">
        <f t="shared" si="77"/>
        <v>4.0500935938325711E-13</v>
      </c>
      <c r="Y124" s="1382">
        <f t="shared" si="55"/>
        <v>0</v>
      </c>
      <c r="Z124" s="335">
        <f t="shared" si="56"/>
        <v>4.0500935938325711E-13</v>
      </c>
      <c r="AA124" s="335">
        <f t="shared" si="62"/>
        <v>3.4287093712171628E-15</v>
      </c>
      <c r="AB124" s="339">
        <f t="shared" si="85"/>
        <v>0.10299999999999999</v>
      </c>
      <c r="AC124" s="337">
        <f>IF(MOD(MONTH(V124),3)=0,IF($B$4=1,0,SUMIF(Assumptions!$H$173:$U$173,'Debt repayment Schedule'!C124,Assumptions!$H$185:$U$185)/4),0)</f>
        <v>0</v>
      </c>
      <c r="AD124" s="336">
        <f t="shared" si="57"/>
        <v>3.4287093712171628E-15</v>
      </c>
      <c r="AE124" s="260"/>
      <c r="AF124" s="210">
        <f t="shared" si="63"/>
        <v>48029</v>
      </c>
      <c r="AG124" s="210">
        <f t="shared" si="64"/>
        <v>48304</v>
      </c>
      <c r="AH124" s="335">
        <f t="shared" si="65"/>
        <v>0</v>
      </c>
      <c r="AI124" s="1382">
        <f t="shared" si="66"/>
        <v>0</v>
      </c>
      <c r="AJ124" s="335">
        <f t="shared" si="67"/>
        <v>0</v>
      </c>
      <c r="AK124" s="335">
        <f t="shared" si="68"/>
        <v>0</v>
      </c>
      <c r="AL124" s="339">
        <f t="shared" si="86"/>
        <v>0</v>
      </c>
      <c r="AM124" s="337">
        <f>IF(MOD(MONTH(AF124),3)=0,IF($B$4=1,0,SUMIF(Assumptions!$H$173:$U$173,'Debt repayment Schedule'!M124,Assumptions!$H$185:$U$185)/4),0)</f>
        <v>0</v>
      </c>
      <c r="AN124" s="336">
        <f t="shared" si="69"/>
        <v>0</v>
      </c>
      <c r="AO124" s="260"/>
      <c r="AP124" s="210">
        <f t="shared" si="70"/>
        <v>48029</v>
      </c>
      <c r="AQ124" s="210">
        <f t="shared" si="81"/>
        <v>48304</v>
      </c>
      <c r="AR124" s="335">
        <f t="shared" si="71"/>
        <v>0</v>
      </c>
      <c r="AS124" s="335">
        <f t="shared" si="72"/>
        <v>0</v>
      </c>
      <c r="AT124" s="616">
        <f t="shared" si="73"/>
        <v>0</v>
      </c>
      <c r="AU124" s="335">
        <f t="shared" si="74"/>
        <v>0</v>
      </c>
      <c r="AV124" s="339">
        <f t="shared" si="87"/>
        <v>0.10299999999999999</v>
      </c>
      <c r="AW124" s="337">
        <f>IF(MOD(MONTH(AP124),3)=0,IF($B$4=1,0,SUMIF(Assumptions!$H$173:$U$173,'Debt repayment Schedule'!W124,Assumptions!$H$185:$U$185)/4),0)</f>
        <v>0</v>
      </c>
      <c r="AX124" s="336"/>
      <c r="AY124" s="260"/>
      <c r="AZ124" s="260">
        <f t="shared" si="75"/>
        <v>0</v>
      </c>
      <c r="BB124" s="260"/>
    </row>
    <row r="125" spans="2:54" x14ac:dyDescent="0.35">
      <c r="B125" s="210">
        <f t="shared" si="58"/>
        <v>48060</v>
      </c>
      <c r="C125" s="210">
        <f t="shared" si="78"/>
        <v>48304</v>
      </c>
      <c r="D125" s="335">
        <f t="shared" si="49"/>
        <v>3.5527136788005009E-14</v>
      </c>
      <c r="E125" s="336">
        <f t="shared" si="50"/>
        <v>0</v>
      </c>
      <c r="F125" s="335">
        <f t="shared" si="51"/>
        <v>3.5527136788005009E-14</v>
      </c>
      <c r="G125" s="335">
        <f t="shared" si="59"/>
        <v>3.0626338603687059E-16</v>
      </c>
      <c r="H125" s="339">
        <f t="shared" si="83"/>
        <v>0.10150000000000001</v>
      </c>
      <c r="I125" s="337">
        <f>IF(MOD(MONTH(B125),3)=0,(IF($B$4=1,0,SUMIF(Assumptions!$H$173:$U$173,'Debt repayment Schedule'!C125,Assumptions!$H$183:$U$183)/4)),0)</f>
        <v>0</v>
      </c>
      <c r="J125" s="336">
        <f t="shared" si="52"/>
        <v>3.0626338603687059E-16</v>
      </c>
      <c r="K125" s="260"/>
      <c r="L125" s="338">
        <f t="shared" si="53"/>
        <v>48060</v>
      </c>
      <c r="M125" s="210">
        <f t="shared" si="79"/>
        <v>48304</v>
      </c>
      <c r="N125" s="335">
        <f t="shared" si="76"/>
        <v>-9.3258734068513149E-15</v>
      </c>
      <c r="O125" s="1382">
        <f t="shared" si="48"/>
        <v>0</v>
      </c>
      <c r="P125" s="335">
        <f t="shared" si="82"/>
        <v>-9.3258734068513149E-15</v>
      </c>
      <c r="Q125" s="335">
        <f t="shared" si="60"/>
        <v>-8.0394138834678516E-17</v>
      </c>
      <c r="R125" s="339">
        <f t="shared" si="84"/>
        <v>0.10150000000000001</v>
      </c>
      <c r="S125" s="1282">
        <f>IF(MOD(MONTH(L125),3)=0,IF($B$4=1,0,SUMIF(Assumptions!$H$173:$U$173,'Debt repayment Schedule'!M125,Assumptions!$H$184:$U$184)/4),0)</f>
        <v>0</v>
      </c>
      <c r="T125" s="336">
        <f t="shared" si="54"/>
        <v>-8.0394138834678516E-17</v>
      </c>
      <c r="U125" s="260"/>
      <c r="V125" s="210">
        <f t="shared" si="61"/>
        <v>48060</v>
      </c>
      <c r="W125" s="210">
        <f t="shared" si="80"/>
        <v>48304</v>
      </c>
      <c r="X125" s="335">
        <f t="shared" si="77"/>
        <v>4.0500935938325711E-13</v>
      </c>
      <c r="Y125" s="1382">
        <f t="shared" si="55"/>
        <v>0</v>
      </c>
      <c r="Z125" s="335">
        <f t="shared" si="56"/>
        <v>4.0500935938325711E-13</v>
      </c>
      <c r="AA125" s="335">
        <f t="shared" si="62"/>
        <v>3.5429996835910678E-15</v>
      </c>
      <c r="AB125" s="339">
        <f t="shared" si="85"/>
        <v>0.10299999999999999</v>
      </c>
      <c r="AC125" s="337">
        <f>IF(MOD(MONTH(V125),3)=0,IF($B$4=1,0,SUMIF(Assumptions!$H$173:$U$173,'Debt repayment Schedule'!C125,Assumptions!$H$185:$U$185)/4),0)</f>
        <v>0</v>
      </c>
      <c r="AD125" s="336">
        <f t="shared" si="57"/>
        <v>3.5429996835910678E-15</v>
      </c>
      <c r="AE125" s="260"/>
      <c r="AF125" s="210">
        <f t="shared" si="63"/>
        <v>48060</v>
      </c>
      <c r="AG125" s="210">
        <f t="shared" si="64"/>
        <v>48304</v>
      </c>
      <c r="AH125" s="335">
        <f t="shared" si="65"/>
        <v>0</v>
      </c>
      <c r="AI125" s="1382">
        <f t="shared" si="66"/>
        <v>0</v>
      </c>
      <c r="AJ125" s="335">
        <f t="shared" si="67"/>
        <v>0</v>
      </c>
      <c r="AK125" s="335">
        <f t="shared" si="68"/>
        <v>0</v>
      </c>
      <c r="AL125" s="339">
        <f t="shared" si="86"/>
        <v>0</v>
      </c>
      <c r="AM125" s="337">
        <f>IF(MOD(MONTH(AF125),3)=0,IF($B$4=1,0,SUMIF(Assumptions!$H$173:$U$173,'Debt repayment Schedule'!M125,Assumptions!$H$185:$U$185)/4),0)</f>
        <v>0</v>
      </c>
      <c r="AN125" s="336">
        <f t="shared" si="69"/>
        <v>0</v>
      </c>
      <c r="AO125" s="260"/>
      <c r="AP125" s="210">
        <f t="shared" si="70"/>
        <v>48060</v>
      </c>
      <c r="AQ125" s="210">
        <f t="shared" si="81"/>
        <v>48304</v>
      </c>
      <c r="AR125" s="335">
        <f t="shared" si="71"/>
        <v>0</v>
      </c>
      <c r="AS125" s="335">
        <f t="shared" si="72"/>
        <v>0</v>
      </c>
      <c r="AT125" s="616">
        <f t="shared" si="73"/>
        <v>0</v>
      </c>
      <c r="AU125" s="335">
        <f t="shared" si="74"/>
        <v>0</v>
      </c>
      <c r="AV125" s="339">
        <f t="shared" si="87"/>
        <v>0.10299999999999999</v>
      </c>
      <c r="AW125" s="337">
        <f>IF(MOD(MONTH(AP125),3)=0,IF($B$4=1,0,SUMIF(Assumptions!$H$173:$U$173,'Debt repayment Schedule'!W125,Assumptions!$H$185:$U$185)/4),0)</f>
        <v>0</v>
      </c>
      <c r="AX125" s="336"/>
      <c r="AY125" s="260"/>
      <c r="AZ125" s="260">
        <f t="shared" si="75"/>
        <v>0</v>
      </c>
      <c r="BB125" s="260"/>
    </row>
    <row r="126" spans="2:54" x14ac:dyDescent="0.35">
      <c r="B126" s="210">
        <f t="shared" si="58"/>
        <v>48091</v>
      </c>
      <c r="C126" s="210">
        <f t="shared" si="78"/>
        <v>48304</v>
      </c>
      <c r="D126" s="335">
        <f t="shared" si="49"/>
        <v>3.5527136788005009E-14</v>
      </c>
      <c r="E126" s="336">
        <f t="shared" si="50"/>
        <v>0</v>
      </c>
      <c r="F126" s="335">
        <f t="shared" si="51"/>
        <v>3.5527136788005009E-14</v>
      </c>
      <c r="G126" s="335">
        <f t="shared" si="59"/>
        <v>3.0626338603687059E-16</v>
      </c>
      <c r="H126" s="339">
        <f t="shared" si="83"/>
        <v>0.10150000000000001</v>
      </c>
      <c r="I126" s="337">
        <f>IF(MOD(MONTH(B126),3)=0,(IF($B$4=1,0,SUMIF(Assumptions!$H$173:$U$173,'Debt repayment Schedule'!C126,Assumptions!$H$183:$U$183)/4)),0)</f>
        <v>0</v>
      </c>
      <c r="J126" s="336">
        <f t="shared" si="52"/>
        <v>3.0626338603687059E-16</v>
      </c>
      <c r="K126" s="260"/>
      <c r="L126" s="338">
        <f t="shared" si="53"/>
        <v>48091</v>
      </c>
      <c r="M126" s="210">
        <f t="shared" si="79"/>
        <v>48304</v>
      </c>
      <c r="N126" s="335">
        <f t="shared" si="76"/>
        <v>-9.3258734068513149E-15</v>
      </c>
      <c r="O126" s="1382">
        <f t="shared" si="48"/>
        <v>0</v>
      </c>
      <c r="P126" s="335">
        <f t="shared" si="82"/>
        <v>-9.3258734068513149E-15</v>
      </c>
      <c r="Q126" s="335">
        <f t="shared" si="60"/>
        <v>-8.0394138834678516E-17</v>
      </c>
      <c r="R126" s="339">
        <f t="shared" si="84"/>
        <v>0.10150000000000001</v>
      </c>
      <c r="S126" s="1282">
        <f>IF(MOD(MONTH(L126),3)=0,IF($B$4=1,0,SUMIF(Assumptions!$H$173:$U$173,'Debt repayment Schedule'!M126,Assumptions!$H$184:$U$184)/4),0)</f>
        <v>0</v>
      </c>
      <c r="T126" s="336">
        <f t="shared" si="54"/>
        <v>-8.0394138834678516E-17</v>
      </c>
      <c r="U126" s="260"/>
      <c r="V126" s="210">
        <f t="shared" si="61"/>
        <v>48091</v>
      </c>
      <c r="W126" s="210">
        <f t="shared" si="80"/>
        <v>48304</v>
      </c>
      <c r="X126" s="335">
        <f t="shared" si="77"/>
        <v>4.0500935938325711E-13</v>
      </c>
      <c r="Y126" s="1382">
        <f t="shared" si="55"/>
        <v>0</v>
      </c>
      <c r="Z126" s="335">
        <f t="shared" si="56"/>
        <v>4.0500935938325711E-13</v>
      </c>
      <c r="AA126" s="335">
        <f t="shared" si="62"/>
        <v>3.5429996835910678E-15</v>
      </c>
      <c r="AB126" s="339">
        <f t="shared" si="85"/>
        <v>0.10299999999999999</v>
      </c>
      <c r="AC126" s="337">
        <f>IF(MOD(MONTH(V126),3)=0,IF($B$4=1,0,SUMIF(Assumptions!$H$173:$U$173,'Debt repayment Schedule'!C126,Assumptions!$H$185:$U$185)/4),0)</f>
        <v>0</v>
      </c>
      <c r="AD126" s="336">
        <f t="shared" si="57"/>
        <v>3.5429996835910678E-15</v>
      </c>
      <c r="AE126" s="260"/>
      <c r="AF126" s="210">
        <f t="shared" si="63"/>
        <v>48091</v>
      </c>
      <c r="AG126" s="210">
        <f t="shared" si="64"/>
        <v>48304</v>
      </c>
      <c r="AH126" s="335">
        <f t="shared" si="65"/>
        <v>0</v>
      </c>
      <c r="AI126" s="1382">
        <f t="shared" si="66"/>
        <v>0</v>
      </c>
      <c r="AJ126" s="335">
        <f t="shared" si="67"/>
        <v>0</v>
      </c>
      <c r="AK126" s="335">
        <f t="shared" si="68"/>
        <v>0</v>
      </c>
      <c r="AL126" s="339">
        <f t="shared" si="86"/>
        <v>0</v>
      </c>
      <c r="AM126" s="337">
        <f>IF(MOD(MONTH(AF126),3)=0,IF($B$4=1,0,SUMIF(Assumptions!$H$173:$U$173,'Debt repayment Schedule'!M126,Assumptions!$H$185:$U$185)/4),0)</f>
        <v>0</v>
      </c>
      <c r="AN126" s="336">
        <f t="shared" si="69"/>
        <v>0</v>
      </c>
      <c r="AO126" s="260"/>
      <c r="AP126" s="210">
        <f t="shared" si="70"/>
        <v>48091</v>
      </c>
      <c r="AQ126" s="210">
        <f t="shared" si="81"/>
        <v>48304</v>
      </c>
      <c r="AR126" s="335">
        <f t="shared" si="71"/>
        <v>0</v>
      </c>
      <c r="AS126" s="335">
        <f t="shared" si="72"/>
        <v>0</v>
      </c>
      <c r="AT126" s="616">
        <f t="shared" si="73"/>
        <v>0</v>
      </c>
      <c r="AU126" s="335">
        <f t="shared" si="74"/>
        <v>0</v>
      </c>
      <c r="AV126" s="339">
        <f t="shared" si="87"/>
        <v>0.10299999999999999</v>
      </c>
      <c r="AW126" s="337">
        <f>IF(MOD(MONTH(AP126),3)=0,IF($B$4=1,0,SUMIF(Assumptions!$H$173:$U$173,'Debt repayment Schedule'!W126,Assumptions!$H$185:$U$185)/4),0)</f>
        <v>0</v>
      </c>
      <c r="AX126" s="336"/>
      <c r="AY126" s="260"/>
      <c r="AZ126" s="260">
        <f t="shared" si="75"/>
        <v>0</v>
      </c>
      <c r="BB126" s="260"/>
    </row>
    <row r="127" spans="2:54" x14ac:dyDescent="0.35">
      <c r="B127" s="210">
        <f t="shared" si="58"/>
        <v>48121</v>
      </c>
      <c r="C127" s="210">
        <f t="shared" si="78"/>
        <v>48304</v>
      </c>
      <c r="D127" s="335">
        <f t="shared" si="49"/>
        <v>3.5527136788005009E-14</v>
      </c>
      <c r="E127" s="336">
        <f t="shared" si="50"/>
        <v>0</v>
      </c>
      <c r="F127" s="335">
        <f t="shared" si="51"/>
        <v>3.5527136788005009E-14</v>
      </c>
      <c r="G127" s="335">
        <f t="shared" si="59"/>
        <v>2.9638392197116508E-16</v>
      </c>
      <c r="H127" s="339">
        <f t="shared" si="83"/>
        <v>0.10150000000000001</v>
      </c>
      <c r="I127" s="337">
        <f>IF(MOD(MONTH(B127),3)=0,(IF($B$4=1,0,SUMIF(Assumptions!$H$173:$U$173,'Debt repayment Schedule'!C127,Assumptions!$H$183:$U$183)/4)),0)</f>
        <v>0</v>
      </c>
      <c r="J127" s="336">
        <f t="shared" si="52"/>
        <v>2.9638392197116508E-16</v>
      </c>
      <c r="K127" s="260"/>
      <c r="L127" s="338">
        <f t="shared" si="53"/>
        <v>48121</v>
      </c>
      <c r="M127" s="210">
        <f t="shared" si="79"/>
        <v>48304</v>
      </c>
      <c r="N127" s="335">
        <f t="shared" si="76"/>
        <v>-9.3258734068513149E-15</v>
      </c>
      <c r="O127" s="1382">
        <f t="shared" si="48"/>
        <v>0</v>
      </c>
      <c r="P127" s="335">
        <f t="shared" si="82"/>
        <v>-9.3258734068513149E-15</v>
      </c>
      <c r="Q127" s="335">
        <f t="shared" si="60"/>
        <v>-7.7800779517430831E-17</v>
      </c>
      <c r="R127" s="339">
        <f t="shared" si="84"/>
        <v>0.10150000000000001</v>
      </c>
      <c r="S127" s="1282">
        <f>IF(MOD(MONTH(L127),3)=0,IF($B$4=1,0,SUMIF(Assumptions!$H$173:$U$173,'Debt repayment Schedule'!M127,Assumptions!$H$184:$U$184)/4),0)</f>
        <v>0</v>
      </c>
      <c r="T127" s="336">
        <f t="shared" si="54"/>
        <v>-7.7800779517430831E-17</v>
      </c>
      <c r="U127" s="260"/>
      <c r="V127" s="210">
        <f t="shared" si="61"/>
        <v>48121</v>
      </c>
      <c r="W127" s="210">
        <f t="shared" si="80"/>
        <v>48304</v>
      </c>
      <c r="X127" s="335">
        <f t="shared" si="77"/>
        <v>4.0500935938325711E-13</v>
      </c>
      <c r="Y127" s="1382">
        <f t="shared" si="55"/>
        <v>0</v>
      </c>
      <c r="Z127" s="335">
        <f t="shared" si="56"/>
        <v>4.0500935938325711E-13</v>
      </c>
      <c r="AA127" s="335">
        <f t="shared" si="62"/>
        <v>3.4287093712171628E-15</v>
      </c>
      <c r="AB127" s="339">
        <f t="shared" si="85"/>
        <v>0.10299999999999999</v>
      </c>
      <c r="AC127" s="337">
        <f>IF(MOD(MONTH(V127),3)=0,IF($B$4=1,0,SUMIF(Assumptions!$H$173:$U$173,'Debt repayment Schedule'!C127,Assumptions!$H$185:$U$185)/4),0)</f>
        <v>0</v>
      </c>
      <c r="AD127" s="336">
        <f t="shared" si="57"/>
        <v>3.4287093712171628E-15</v>
      </c>
      <c r="AE127" s="260"/>
      <c r="AF127" s="210">
        <f t="shared" si="63"/>
        <v>48121</v>
      </c>
      <c r="AG127" s="210">
        <f t="shared" si="64"/>
        <v>48304</v>
      </c>
      <c r="AH127" s="335">
        <f t="shared" si="65"/>
        <v>0</v>
      </c>
      <c r="AI127" s="1382">
        <f t="shared" si="66"/>
        <v>0</v>
      </c>
      <c r="AJ127" s="335">
        <f t="shared" si="67"/>
        <v>0</v>
      </c>
      <c r="AK127" s="335">
        <f t="shared" si="68"/>
        <v>0</v>
      </c>
      <c r="AL127" s="339">
        <f t="shared" si="86"/>
        <v>0</v>
      </c>
      <c r="AM127" s="337">
        <f>IF(MOD(MONTH(AF127),3)=0,IF($B$4=1,0,SUMIF(Assumptions!$H$173:$U$173,'Debt repayment Schedule'!M127,Assumptions!$H$185:$U$185)/4),0)</f>
        <v>0</v>
      </c>
      <c r="AN127" s="336">
        <f t="shared" si="69"/>
        <v>0</v>
      </c>
      <c r="AO127" s="260"/>
      <c r="AP127" s="210">
        <f t="shared" si="70"/>
        <v>48121</v>
      </c>
      <c r="AQ127" s="210">
        <f t="shared" si="81"/>
        <v>48304</v>
      </c>
      <c r="AR127" s="335">
        <f t="shared" si="71"/>
        <v>0</v>
      </c>
      <c r="AS127" s="335">
        <f t="shared" si="72"/>
        <v>0</v>
      </c>
      <c r="AT127" s="616">
        <f t="shared" si="73"/>
        <v>0</v>
      </c>
      <c r="AU127" s="335">
        <f t="shared" si="74"/>
        <v>0</v>
      </c>
      <c r="AV127" s="339">
        <f t="shared" si="87"/>
        <v>0.10299999999999999</v>
      </c>
      <c r="AW127" s="337">
        <f>IF(MOD(MONTH(AP127),3)=0,IF($B$4=1,0,SUMIF(Assumptions!$H$173:$U$173,'Debt repayment Schedule'!W127,Assumptions!$H$185:$U$185)/4),0)</f>
        <v>0</v>
      </c>
      <c r="AX127" s="336"/>
      <c r="AY127" s="260"/>
      <c r="AZ127" s="260">
        <f t="shared" si="75"/>
        <v>0</v>
      </c>
      <c r="BB127" s="260"/>
    </row>
    <row r="128" spans="2:54" x14ac:dyDescent="0.35">
      <c r="B128" s="210">
        <f t="shared" si="58"/>
        <v>48152</v>
      </c>
      <c r="C128" s="210">
        <f t="shared" si="78"/>
        <v>48304</v>
      </c>
      <c r="D128" s="335">
        <f t="shared" si="49"/>
        <v>3.5527136788005009E-14</v>
      </c>
      <c r="E128" s="336">
        <f t="shared" si="50"/>
        <v>0</v>
      </c>
      <c r="F128" s="335">
        <f t="shared" si="51"/>
        <v>3.5527136788005009E-14</v>
      </c>
      <c r="G128" s="335">
        <f t="shared" si="59"/>
        <v>3.0626338603687059E-16</v>
      </c>
      <c r="H128" s="339">
        <f t="shared" si="83"/>
        <v>0.10150000000000001</v>
      </c>
      <c r="I128" s="337">
        <f>IF(MOD(MONTH(B128),3)=0,(IF($B$4=1,0,SUMIF(Assumptions!$H$173:$U$173,'Debt repayment Schedule'!C128,Assumptions!$H$183:$U$183)/4)),0)</f>
        <v>0</v>
      </c>
      <c r="J128" s="336">
        <f t="shared" si="52"/>
        <v>3.0626338603687059E-16</v>
      </c>
      <c r="K128" s="260"/>
      <c r="L128" s="338">
        <f t="shared" si="53"/>
        <v>48152</v>
      </c>
      <c r="M128" s="210">
        <f t="shared" si="79"/>
        <v>48304</v>
      </c>
      <c r="N128" s="335">
        <f t="shared" si="76"/>
        <v>-9.3258734068513149E-15</v>
      </c>
      <c r="O128" s="1382">
        <f t="shared" si="48"/>
        <v>0</v>
      </c>
      <c r="P128" s="335">
        <f t="shared" si="82"/>
        <v>-9.3258734068513149E-15</v>
      </c>
      <c r="Q128" s="335">
        <f t="shared" si="60"/>
        <v>-8.0394138834678516E-17</v>
      </c>
      <c r="R128" s="339">
        <f t="shared" si="84"/>
        <v>0.10150000000000001</v>
      </c>
      <c r="S128" s="1282">
        <f>IF(MOD(MONTH(L128),3)=0,IF($B$4=1,0,SUMIF(Assumptions!$H$173:$U$173,'Debt repayment Schedule'!M128,Assumptions!$H$184:$U$184)/4),0)</f>
        <v>0</v>
      </c>
      <c r="T128" s="336">
        <f t="shared" si="54"/>
        <v>-8.0394138834678516E-17</v>
      </c>
      <c r="U128" s="260"/>
      <c r="V128" s="210">
        <f t="shared" si="61"/>
        <v>48152</v>
      </c>
      <c r="W128" s="210">
        <f t="shared" si="80"/>
        <v>48304</v>
      </c>
      <c r="X128" s="335">
        <f t="shared" si="77"/>
        <v>4.0500935938325711E-13</v>
      </c>
      <c r="Y128" s="1382">
        <f t="shared" si="55"/>
        <v>0</v>
      </c>
      <c r="Z128" s="335">
        <f t="shared" si="56"/>
        <v>4.0500935938325711E-13</v>
      </c>
      <c r="AA128" s="335">
        <f t="shared" si="62"/>
        <v>3.5429996835910678E-15</v>
      </c>
      <c r="AB128" s="339">
        <f t="shared" si="85"/>
        <v>0.10299999999999999</v>
      </c>
      <c r="AC128" s="337">
        <f>IF(MOD(MONTH(V128),3)=0,IF($B$4=1,0,SUMIF(Assumptions!$H$173:$U$173,'Debt repayment Schedule'!C128,Assumptions!$H$185:$U$185)/4),0)</f>
        <v>0</v>
      </c>
      <c r="AD128" s="336">
        <f t="shared" si="57"/>
        <v>3.5429996835910678E-15</v>
      </c>
      <c r="AE128" s="260"/>
      <c r="AF128" s="210">
        <f t="shared" si="63"/>
        <v>48152</v>
      </c>
      <c r="AG128" s="210">
        <f t="shared" si="64"/>
        <v>48304</v>
      </c>
      <c r="AH128" s="335">
        <f t="shared" si="65"/>
        <v>0</v>
      </c>
      <c r="AI128" s="1382">
        <f t="shared" si="66"/>
        <v>0</v>
      </c>
      <c r="AJ128" s="335">
        <f t="shared" si="67"/>
        <v>0</v>
      </c>
      <c r="AK128" s="335">
        <f t="shared" si="68"/>
        <v>0</v>
      </c>
      <c r="AL128" s="339">
        <f t="shared" si="86"/>
        <v>0</v>
      </c>
      <c r="AM128" s="337">
        <f>IF(MOD(MONTH(AF128),3)=0,IF($B$4=1,0,SUMIF(Assumptions!$H$173:$U$173,'Debt repayment Schedule'!M128,Assumptions!$H$185:$U$185)/4),0)</f>
        <v>0</v>
      </c>
      <c r="AN128" s="336">
        <f t="shared" si="69"/>
        <v>0</v>
      </c>
      <c r="AO128" s="260"/>
      <c r="AP128" s="210">
        <f t="shared" si="70"/>
        <v>48152</v>
      </c>
      <c r="AQ128" s="210">
        <f t="shared" si="81"/>
        <v>48304</v>
      </c>
      <c r="AR128" s="335">
        <f t="shared" si="71"/>
        <v>0</v>
      </c>
      <c r="AS128" s="335">
        <f t="shared" si="72"/>
        <v>0</v>
      </c>
      <c r="AT128" s="616">
        <f t="shared" si="73"/>
        <v>0</v>
      </c>
      <c r="AU128" s="335">
        <f t="shared" si="74"/>
        <v>0</v>
      </c>
      <c r="AV128" s="339">
        <f t="shared" si="87"/>
        <v>0.10299999999999999</v>
      </c>
      <c r="AW128" s="337">
        <f>IF(MOD(MONTH(AP128),3)=0,IF($B$4=1,0,SUMIF(Assumptions!$H$173:$U$173,'Debt repayment Schedule'!W128,Assumptions!$H$185:$U$185)/4),0)</f>
        <v>0</v>
      </c>
      <c r="AX128" s="336"/>
      <c r="AY128" s="260"/>
      <c r="AZ128" s="260">
        <f t="shared" si="75"/>
        <v>0</v>
      </c>
      <c r="BB128" s="260"/>
    </row>
    <row r="129" spans="2:52" x14ac:dyDescent="0.35">
      <c r="B129" s="210">
        <f t="shared" si="58"/>
        <v>48182</v>
      </c>
      <c r="C129" s="210">
        <f t="shared" si="78"/>
        <v>48304</v>
      </c>
      <c r="D129" s="335">
        <f t="shared" si="49"/>
        <v>3.5527136788005009E-14</v>
      </c>
      <c r="E129" s="336">
        <f t="shared" si="50"/>
        <v>0</v>
      </c>
      <c r="F129" s="335">
        <f t="shared" si="51"/>
        <v>3.5527136788005009E-14</v>
      </c>
      <c r="G129" s="335">
        <f t="shared" si="59"/>
        <v>2.9638392197116508E-16</v>
      </c>
      <c r="H129" s="339">
        <f t="shared" si="83"/>
        <v>0.10150000000000001</v>
      </c>
      <c r="I129" s="337">
        <f>IF(MOD(MONTH(B129),3)=0,(IF($B$4=1,0,SUMIF(Assumptions!$H$173:$U$173,'Debt repayment Schedule'!C129,Assumptions!$H$183:$U$183)/4)),0)</f>
        <v>0</v>
      </c>
      <c r="J129" s="336">
        <f t="shared" si="52"/>
        <v>2.9638392197116508E-16</v>
      </c>
      <c r="K129" s="260"/>
      <c r="L129" s="338">
        <f t="shared" si="53"/>
        <v>48182</v>
      </c>
      <c r="M129" s="210">
        <f t="shared" si="79"/>
        <v>48304</v>
      </c>
      <c r="N129" s="335">
        <f t="shared" si="76"/>
        <v>-9.3258734068513149E-15</v>
      </c>
      <c r="O129" s="1382">
        <f t="shared" si="48"/>
        <v>0</v>
      </c>
      <c r="P129" s="335">
        <f t="shared" si="82"/>
        <v>-9.3258734068513149E-15</v>
      </c>
      <c r="Q129" s="335">
        <f t="shared" si="60"/>
        <v>-7.7800779517430831E-17</v>
      </c>
      <c r="R129" s="339">
        <f t="shared" si="84"/>
        <v>0.10150000000000001</v>
      </c>
      <c r="S129" s="1282">
        <f>IF(MOD(MONTH(L129),3)=0,IF($B$4=1,0,SUMIF(Assumptions!$H$173:$U$173,'Debt repayment Schedule'!M129,Assumptions!$H$184:$U$184)/4),0)</f>
        <v>0</v>
      </c>
      <c r="T129" s="336">
        <f t="shared" si="54"/>
        <v>-7.7800779517430831E-17</v>
      </c>
      <c r="U129" s="260"/>
      <c r="V129" s="210">
        <f t="shared" si="61"/>
        <v>48182</v>
      </c>
      <c r="W129" s="210">
        <f t="shared" si="80"/>
        <v>48304</v>
      </c>
      <c r="X129" s="335">
        <f t="shared" si="77"/>
        <v>4.0500935938325711E-13</v>
      </c>
      <c r="Y129" s="1382">
        <f t="shared" si="55"/>
        <v>0</v>
      </c>
      <c r="Z129" s="335">
        <f t="shared" si="56"/>
        <v>4.0500935938325711E-13</v>
      </c>
      <c r="AA129" s="335">
        <f t="shared" si="62"/>
        <v>3.4287093712171628E-15</v>
      </c>
      <c r="AB129" s="339">
        <f t="shared" si="85"/>
        <v>0.10299999999999999</v>
      </c>
      <c r="AC129" s="337">
        <f>IF(MOD(MONTH(V129),3)=0,IF($B$4=1,0,SUMIF(Assumptions!$H$173:$U$173,'Debt repayment Schedule'!C129,Assumptions!$H$185:$U$185)/4),0)</f>
        <v>0</v>
      </c>
      <c r="AD129" s="336">
        <f t="shared" si="57"/>
        <v>3.4287093712171628E-15</v>
      </c>
      <c r="AE129" s="260"/>
      <c r="AF129" s="210">
        <f t="shared" si="63"/>
        <v>48182</v>
      </c>
      <c r="AG129" s="210">
        <f t="shared" si="64"/>
        <v>48304</v>
      </c>
      <c r="AH129" s="335">
        <f t="shared" si="65"/>
        <v>0</v>
      </c>
      <c r="AI129" s="1382">
        <f t="shared" si="66"/>
        <v>0</v>
      </c>
      <c r="AJ129" s="335">
        <f t="shared" si="67"/>
        <v>0</v>
      </c>
      <c r="AK129" s="335">
        <f t="shared" si="68"/>
        <v>0</v>
      </c>
      <c r="AL129" s="339">
        <f t="shared" si="86"/>
        <v>0</v>
      </c>
      <c r="AM129" s="337">
        <f>IF(MOD(MONTH(AF129),3)=0,IF($B$4=1,0,SUMIF(Assumptions!$H$173:$U$173,'Debt repayment Schedule'!M129,Assumptions!$H$185:$U$185)/4),0)</f>
        <v>0</v>
      </c>
      <c r="AN129" s="336">
        <f t="shared" si="69"/>
        <v>0</v>
      </c>
      <c r="AO129" s="260"/>
      <c r="AP129" s="210">
        <f t="shared" si="70"/>
        <v>48182</v>
      </c>
      <c r="AQ129" s="210">
        <f t="shared" si="81"/>
        <v>48304</v>
      </c>
      <c r="AR129" s="335">
        <f t="shared" si="71"/>
        <v>0</v>
      </c>
      <c r="AS129" s="335">
        <f t="shared" si="72"/>
        <v>0</v>
      </c>
      <c r="AT129" s="616">
        <f t="shared" si="73"/>
        <v>0</v>
      </c>
      <c r="AU129" s="335">
        <f t="shared" si="74"/>
        <v>0</v>
      </c>
      <c r="AV129" s="339">
        <f t="shared" si="87"/>
        <v>0.10299999999999999</v>
      </c>
      <c r="AW129" s="337">
        <f>IF(MOD(MONTH(AP129),3)=0,IF($B$4=1,0,SUMIF(Assumptions!$H$173:$U$173,'Debt repayment Schedule'!W129,Assumptions!$H$185:$U$185)/4),0)</f>
        <v>0</v>
      </c>
      <c r="AX129" s="336"/>
      <c r="AY129" s="260"/>
      <c r="AZ129" s="260">
        <f t="shared" si="75"/>
        <v>0</v>
      </c>
    </row>
    <row r="130" spans="2:52" x14ac:dyDescent="0.35">
      <c r="B130" s="210">
        <f t="shared" si="58"/>
        <v>48213</v>
      </c>
      <c r="C130" s="210">
        <f t="shared" si="78"/>
        <v>48304</v>
      </c>
      <c r="D130" s="335">
        <f t="shared" si="49"/>
        <v>3.5527136788005009E-14</v>
      </c>
      <c r="E130" s="336">
        <f t="shared" si="50"/>
        <v>0</v>
      </c>
      <c r="F130" s="335">
        <f t="shared" si="51"/>
        <v>3.5527136788005009E-14</v>
      </c>
      <c r="G130" s="335">
        <f t="shared" si="59"/>
        <v>3.0626338603687059E-16</v>
      </c>
      <c r="H130" s="339">
        <f t="shared" si="83"/>
        <v>0.10150000000000001</v>
      </c>
      <c r="I130" s="337">
        <f>IF(MOD(MONTH(B130),3)=0,(IF($B$4=1,0,SUMIF(Assumptions!$H$173:$U$173,'Debt repayment Schedule'!C130,Assumptions!$H$183:$U$183)/4)),0)</f>
        <v>0</v>
      </c>
      <c r="J130" s="336">
        <f t="shared" si="52"/>
        <v>3.0626338603687059E-16</v>
      </c>
      <c r="K130" s="260"/>
      <c r="L130" s="338">
        <f t="shared" si="53"/>
        <v>48213</v>
      </c>
      <c r="M130" s="210">
        <f t="shared" si="79"/>
        <v>48304</v>
      </c>
      <c r="N130" s="335">
        <f t="shared" si="76"/>
        <v>-9.3258734068513149E-15</v>
      </c>
      <c r="O130" s="1382">
        <f t="shared" si="48"/>
        <v>0</v>
      </c>
      <c r="P130" s="335">
        <f t="shared" si="82"/>
        <v>-9.3258734068513149E-15</v>
      </c>
      <c r="Q130" s="335">
        <f t="shared" si="60"/>
        <v>-8.0394138834678516E-17</v>
      </c>
      <c r="R130" s="339">
        <f t="shared" si="84"/>
        <v>0.10150000000000001</v>
      </c>
      <c r="S130" s="1282">
        <f>IF(MOD(MONTH(L130),3)=0,IF($B$4=1,0,SUMIF(Assumptions!$H$173:$U$173,'Debt repayment Schedule'!M130,Assumptions!$H$184:$U$184)/4),0)</f>
        <v>0</v>
      </c>
      <c r="T130" s="336">
        <f t="shared" si="54"/>
        <v>-8.0394138834678516E-17</v>
      </c>
      <c r="U130" s="260"/>
      <c r="V130" s="210">
        <f t="shared" si="61"/>
        <v>48213</v>
      </c>
      <c r="W130" s="210">
        <f t="shared" si="80"/>
        <v>48304</v>
      </c>
      <c r="X130" s="335">
        <f t="shared" si="77"/>
        <v>4.0500935938325711E-13</v>
      </c>
      <c r="Y130" s="1382">
        <f t="shared" si="55"/>
        <v>0</v>
      </c>
      <c r="Z130" s="335">
        <f t="shared" si="56"/>
        <v>4.0500935938325711E-13</v>
      </c>
      <c r="AA130" s="335">
        <f t="shared" si="62"/>
        <v>3.5429996835910678E-15</v>
      </c>
      <c r="AB130" s="339">
        <f t="shared" si="85"/>
        <v>0.10299999999999999</v>
      </c>
      <c r="AC130" s="337">
        <f>IF(MOD(MONTH(V130),3)=0,IF($B$4=1,0,SUMIF(Assumptions!$H$173:$U$173,'Debt repayment Schedule'!C130,Assumptions!$H$185:$U$185)/4),0)</f>
        <v>0</v>
      </c>
      <c r="AD130" s="336">
        <f t="shared" si="57"/>
        <v>3.5429996835910678E-15</v>
      </c>
      <c r="AE130" s="260"/>
      <c r="AF130" s="210">
        <f t="shared" si="63"/>
        <v>48213</v>
      </c>
      <c r="AG130" s="210">
        <f t="shared" si="64"/>
        <v>48304</v>
      </c>
      <c r="AH130" s="335">
        <f t="shared" si="65"/>
        <v>0</v>
      </c>
      <c r="AI130" s="1382">
        <f t="shared" si="66"/>
        <v>0</v>
      </c>
      <c r="AJ130" s="335">
        <f t="shared" si="67"/>
        <v>0</v>
      </c>
      <c r="AK130" s="335">
        <f t="shared" si="68"/>
        <v>0</v>
      </c>
      <c r="AL130" s="339">
        <f t="shared" si="86"/>
        <v>0</v>
      </c>
      <c r="AM130" s="337">
        <f>IF(MOD(MONTH(AF130),3)=0,IF($B$4=1,0,SUMIF(Assumptions!$H$173:$U$173,'Debt repayment Schedule'!M130,Assumptions!$H$185:$U$185)/4),0)</f>
        <v>0</v>
      </c>
      <c r="AN130" s="336">
        <f t="shared" si="69"/>
        <v>0</v>
      </c>
      <c r="AO130" s="260"/>
      <c r="AP130" s="210">
        <f t="shared" si="70"/>
        <v>48213</v>
      </c>
      <c r="AQ130" s="210">
        <f t="shared" si="81"/>
        <v>48304</v>
      </c>
      <c r="AR130" s="335">
        <f t="shared" si="71"/>
        <v>0</v>
      </c>
      <c r="AS130" s="335">
        <f t="shared" si="72"/>
        <v>0</v>
      </c>
      <c r="AT130" s="616">
        <f t="shared" si="73"/>
        <v>0</v>
      </c>
      <c r="AU130" s="335">
        <f t="shared" si="74"/>
        <v>0</v>
      </c>
      <c r="AV130" s="339">
        <f t="shared" si="87"/>
        <v>0.10299999999999999</v>
      </c>
      <c r="AW130" s="337">
        <f>IF(MOD(MONTH(AP130),3)=0,IF($B$4=1,0,SUMIF(Assumptions!$H$173:$U$173,'Debt repayment Schedule'!W130,Assumptions!$H$185:$U$185)/4),0)</f>
        <v>0</v>
      </c>
      <c r="AX130" s="336"/>
      <c r="AY130" s="260"/>
      <c r="AZ130" s="260">
        <f t="shared" si="75"/>
        <v>0</v>
      </c>
    </row>
    <row r="131" spans="2:52" x14ac:dyDescent="0.35">
      <c r="B131" s="210">
        <f t="shared" si="58"/>
        <v>48244</v>
      </c>
      <c r="C131" s="210">
        <f t="shared" si="78"/>
        <v>48304</v>
      </c>
      <c r="D131" s="335">
        <f t="shared" si="49"/>
        <v>3.5527136788005009E-14</v>
      </c>
      <c r="E131" s="336">
        <f t="shared" si="50"/>
        <v>0</v>
      </c>
      <c r="F131" s="335">
        <f t="shared" si="51"/>
        <v>3.5527136788005009E-14</v>
      </c>
      <c r="G131" s="335">
        <f t="shared" si="59"/>
        <v>3.0626338603687059E-16</v>
      </c>
      <c r="H131" s="339">
        <f t="shared" si="83"/>
        <v>0.10150000000000001</v>
      </c>
      <c r="I131" s="337">
        <f>IF(MOD(MONTH(B131),3)=0,(IF($B$4=1,0,SUMIF(Assumptions!$H$173:$U$173,'Debt repayment Schedule'!C131,Assumptions!$H$183:$U$183)/4)),0)</f>
        <v>0</v>
      </c>
      <c r="J131" s="336">
        <f t="shared" si="52"/>
        <v>3.0626338603687059E-16</v>
      </c>
      <c r="K131" s="260"/>
      <c r="L131" s="338">
        <f t="shared" si="53"/>
        <v>48244</v>
      </c>
      <c r="M131" s="210">
        <f t="shared" si="79"/>
        <v>48304</v>
      </c>
      <c r="N131" s="335">
        <f t="shared" si="76"/>
        <v>-9.3258734068513149E-15</v>
      </c>
      <c r="O131" s="1382">
        <f t="shared" si="48"/>
        <v>0</v>
      </c>
      <c r="P131" s="335">
        <f t="shared" si="82"/>
        <v>-9.3258734068513149E-15</v>
      </c>
      <c r="Q131" s="335">
        <f t="shared" si="60"/>
        <v>-8.0394138834678516E-17</v>
      </c>
      <c r="R131" s="339">
        <f t="shared" si="84"/>
        <v>0.10150000000000001</v>
      </c>
      <c r="S131" s="1282">
        <f>IF(MOD(MONTH(L131),3)=0,IF($B$4=1,0,SUMIF(Assumptions!$H$173:$U$173,'Debt repayment Schedule'!M131,Assumptions!$H$184:$U$184)/4),0)</f>
        <v>0</v>
      </c>
      <c r="T131" s="336">
        <f t="shared" si="54"/>
        <v>-8.0394138834678516E-17</v>
      </c>
      <c r="U131" s="260"/>
      <c r="V131" s="210">
        <f t="shared" si="61"/>
        <v>48244</v>
      </c>
      <c r="W131" s="210">
        <f t="shared" si="80"/>
        <v>48304</v>
      </c>
      <c r="X131" s="335">
        <f t="shared" si="77"/>
        <v>4.0500935938325711E-13</v>
      </c>
      <c r="Y131" s="1382">
        <f t="shared" si="55"/>
        <v>0</v>
      </c>
      <c r="Z131" s="335">
        <f t="shared" si="56"/>
        <v>4.0500935938325711E-13</v>
      </c>
      <c r="AA131" s="335">
        <f t="shared" si="62"/>
        <v>3.5429996835910678E-15</v>
      </c>
      <c r="AB131" s="339">
        <f t="shared" si="85"/>
        <v>0.10299999999999999</v>
      </c>
      <c r="AC131" s="337">
        <f>IF(MOD(MONTH(V131),3)=0,IF($B$4=1,0,SUMIF(Assumptions!$H$173:$U$173,'Debt repayment Schedule'!C131,Assumptions!$H$185:$U$185)/4),0)</f>
        <v>0</v>
      </c>
      <c r="AD131" s="336">
        <f t="shared" si="57"/>
        <v>3.5429996835910678E-15</v>
      </c>
      <c r="AE131" s="260"/>
      <c r="AF131" s="210">
        <f t="shared" si="63"/>
        <v>48244</v>
      </c>
      <c r="AG131" s="210">
        <f t="shared" si="64"/>
        <v>48304</v>
      </c>
      <c r="AH131" s="335">
        <f t="shared" si="65"/>
        <v>0</v>
      </c>
      <c r="AI131" s="1382">
        <f t="shared" si="66"/>
        <v>0</v>
      </c>
      <c r="AJ131" s="335">
        <f t="shared" si="67"/>
        <v>0</v>
      </c>
      <c r="AK131" s="335">
        <f t="shared" si="68"/>
        <v>0</v>
      </c>
      <c r="AL131" s="339">
        <f t="shared" si="86"/>
        <v>0</v>
      </c>
      <c r="AM131" s="337">
        <f>IF(MOD(MONTH(AF131),3)=0,IF($B$4=1,0,SUMIF(Assumptions!$H$173:$U$173,'Debt repayment Schedule'!M131,Assumptions!$H$185:$U$185)/4),0)</f>
        <v>0</v>
      </c>
      <c r="AN131" s="336">
        <f t="shared" si="69"/>
        <v>0</v>
      </c>
      <c r="AO131" s="260"/>
      <c r="AP131" s="210">
        <f t="shared" si="70"/>
        <v>48244</v>
      </c>
      <c r="AQ131" s="210">
        <f t="shared" si="81"/>
        <v>48304</v>
      </c>
      <c r="AR131" s="335">
        <f t="shared" si="71"/>
        <v>0</v>
      </c>
      <c r="AS131" s="335">
        <f t="shared" si="72"/>
        <v>0</v>
      </c>
      <c r="AT131" s="616">
        <f t="shared" si="73"/>
        <v>0</v>
      </c>
      <c r="AU131" s="335">
        <f t="shared" si="74"/>
        <v>0</v>
      </c>
      <c r="AV131" s="339">
        <f t="shared" si="87"/>
        <v>0.10299999999999999</v>
      </c>
      <c r="AW131" s="337">
        <f>IF(MOD(MONTH(AP131),3)=0,IF($B$4=1,0,SUMIF(Assumptions!$H$173:$U$173,'Debt repayment Schedule'!W131,Assumptions!$H$185:$U$185)/4),0)</f>
        <v>0</v>
      </c>
      <c r="AX131" s="336"/>
      <c r="AY131" s="260"/>
      <c r="AZ131" s="260">
        <f t="shared" si="75"/>
        <v>0</v>
      </c>
    </row>
    <row r="132" spans="2:52" x14ac:dyDescent="0.35">
      <c r="B132" s="210">
        <f t="shared" si="58"/>
        <v>48273</v>
      </c>
      <c r="C132" s="210">
        <f t="shared" si="78"/>
        <v>48304</v>
      </c>
      <c r="D132" s="335">
        <f t="shared" si="49"/>
        <v>3.5527136788005009E-14</v>
      </c>
      <c r="E132" s="336">
        <f t="shared" si="50"/>
        <v>0</v>
      </c>
      <c r="F132" s="335">
        <f t="shared" si="51"/>
        <v>3.5527136788005009E-14</v>
      </c>
      <c r="G132" s="335">
        <f t="shared" si="59"/>
        <v>2.8650445790545957E-16</v>
      </c>
      <c r="H132" s="339">
        <f t="shared" si="83"/>
        <v>0.10150000000000001</v>
      </c>
      <c r="I132" s="337">
        <f>IF(MOD(MONTH(B132),3)=0,(IF($B$4=1,0,SUMIF(Assumptions!$H$173:$U$173,'Debt repayment Schedule'!C132,Assumptions!$H$183:$U$183)/4)),0)</f>
        <v>0</v>
      </c>
      <c r="J132" s="336">
        <f t="shared" si="52"/>
        <v>2.8650445790545957E-16</v>
      </c>
      <c r="K132" s="260"/>
      <c r="L132" s="338">
        <f t="shared" si="53"/>
        <v>48273</v>
      </c>
      <c r="M132" s="210">
        <f t="shared" si="79"/>
        <v>48304</v>
      </c>
      <c r="N132" s="335">
        <f t="shared" si="76"/>
        <v>-9.3258734068513149E-15</v>
      </c>
      <c r="O132" s="1382">
        <f t="shared" si="48"/>
        <v>0</v>
      </c>
      <c r="P132" s="335">
        <f t="shared" si="82"/>
        <v>-9.3258734068513149E-15</v>
      </c>
      <c r="Q132" s="335">
        <f t="shared" si="60"/>
        <v>-7.5207420200183132E-17</v>
      </c>
      <c r="R132" s="339">
        <f t="shared" si="84"/>
        <v>0.10150000000000001</v>
      </c>
      <c r="S132" s="1282">
        <f>IF(MOD(MONTH(L132),3)=0,IF($B$4=1,0,SUMIF(Assumptions!$H$173:$U$173,'Debt repayment Schedule'!M132,Assumptions!$H$184:$U$184)/4),0)</f>
        <v>0</v>
      </c>
      <c r="T132" s="336">
        <f t="shared" si="54"/>
        <v>-7.5207420200183132E-17</v>
      </c>
      <c r="U132" s="260"/>
      <c r="V132" s="210">
        <f t="shared" si="61"/>
        <v>48273</v>
      </c>
      <c r="W132" s="210">
        <f t="shared" si="80"/>
        <v>48304</v>
      </c>
      <c r="X132" s="335">
        <f t="shared" si="77"/>
        <v>4.0500935938325711E-13</v>
      </c>
      <c r="Y132" s="1382">
        <f t="shared" si="55"/>
        <v>0</v>
      </c>
      <c r="Z132" s="335">
        <f t="shared" si="56"/>
        <v>4.0500935938325711E-13</v>
      </c>
      <c r="AA132" s="335">
        <f t="shared" si="62"/>
        <v>3.3144190588432571E-15</v>
      </c>
      <c r="AB132" s="339">
        <f t="shared" si="85"/>
        <v>0.10299999999999999</v>
      </c>
      <c r="AC132" s="337">
        <f>IF(MOD(MONTH(V132),3)=0,IF($B$4=1,0,SUMIF(Assumptions!$H$173:$U$173,'Debt repayment Schedule'!C132,Assumptions!$H$185:$U$185)/4),0)</f>
        <v>0</v>
      </c>
      <c r="AD132" s="336">
        <f t="shared" si="57"/>
        <v>3.3144190588432571E-15</v>
      </c>
      <c r="AE132" s="260"/>
      <c r="AF132" s="210">
        <f t="shared" si="63"/>
        <v>48273</v>
      </c>
      <c r="AG132" s="210">
        <f t="shared" si="64"/>
        <v>48304</v>
      </c>
      <c r="AH132" s="335">
        <f t="shared" si="65"/>
        <v>0</v>
      </c>
      <c r="AI132" s="1382">
        <f t="shared" si="66"/>
        <v>0</v>
      </c>
      <c r="AJ132" s="335">
        <f t="shared" si="67"/>
        <v>0</v>
      </c>
      <c r="AK132" s="335">
        <f t="shared" si="68"/>
        <v>0</v>
      </c>
      <c r="AL132" s="339">
        <f t="shared" si="86"/>
        <v>0</v>
      </c>
      <c r="AM132" s="337">
        <f>IF(MOD(MONTH(AF132),3)=0,IF($B$4=1,0,SUMIF(Assumptions!$H$173:$U$173,'Debt repayment Schedule'!M132,Assumptions!$H$185:$U$185)/4),0)</f>
        <v>0</v>
      </c>
      <c r="AN132" s="336">
        <f t="shared" si="69"/>
        <v>0</v>
      </c>
      <c r="AO132" s="260"/>
      <c r="AP132" s="210">
        <f t="shared" si="70"/>
        <v>48273</v>
      </c>
      <c r="AQ132" s="210">
        <f t="shared" si="81"/>
        <v>48304</v>
      </c>
      <c r="AR132" s="335">
        <f t="shared" si="71"/>
        <v>0</v>
      </c>
      <c r="AS132" s="335">
        <f t="shared" si="72"/>
        <v>0</v>
      </c>
      <c r="AT132" s="616">
        <f t="shared" si="73"/>
        <v>0</v>
      </c>
      <c r="AU132" s="335">
        <f t="shared" si="74"/>
        <v>0</v>
      </c>
      <c r="AV132" s="339">
        <f t="shared" si="87"/>
        <v>0.10299999999999999</v>
      </c>
      <c r="AW132" s="337">
        <f>IF(MOD(MONTH(AP132),3)=0,IF($B$4=1,0,SUMIF(Assumptions!$H$173:$U$173,'Debt repayment Schedule'!W132,Assumptions!$H$185:$U$185)/4),0)</f>
        <v>0</v>
      </c>
      <c r="AX132" s="336"/>
      <c r="AY132" s="260"/>
      <c r="AZ132" s="260">
        <f t="shared" si="75"/>
        <v>0</v>
      </c>
    </row>
    <row r="133" spans="2:52" x14ac:dyDescent="0.35">
      <c r="B133" s="210">
        <f t="shared" si="58"/>
        <v>48304</v>
      </c>
      <c r="C133" s="210">
        <f t="shared" si="78"/>
        <v>48304</v>
      </c>
      <c r="D133" s="335">
        <f t="shared" si="49"/>
        <v>3.5527136788005009E-14</v>
      </c>
      <c r="E133" s="336">
        <f t="shared" si="50"/>
        <v>0</v>
      </c>
      <c r="F133" s="335">
        <f t="shared" si="51"/>
        <v>3.5527136788005009E-14</v>
      </c>
      <c r="G133" s="335">
        <f t="shared" si="59"/>
        <v>3.0626338603687059E-16</v>
      </c>
      <c r="H133" s="339">
        <f t="shared" si="83"/>
        <v>0.10150000000000001</v>
      </c>
      <c r="I133" s="337">
        <f>IF(MOD(MONTH(B133),3)=0,(IF($B$4=1,0,SUMIF(Assumptions!$H$173:$U$173,'Debt repayment Schedule'!C133,Assumptions!$H$183:$U$183)/4)),0)</f>
        <v>0</v>
      </c>
      <c r="J133" s="336">
        <f t="shared" si="52"/>
        <v>3.0626338603687059E-16</v>
      </c>
      <c r="K133" s="260"/>
      <c r="L133" s="338">
        <f t="shared" si="53"/>
        <v>48304</v>
      </c>
      <c r="M133" s="210">
        <f t="shared" si="79"/>
        <v>48304</v>
      </c>
      <c r="N133" s="335">
        <f t="shared" si="76"/>
        <v>-9.3258734068513149E-15</v>
      </c>
      <c r="O133" s="1382">
        <f t="shared" si="48"/>
        <v>0</v>
      </c>
      <c r="P133" s="335">
        <f t="shared" si="82"/>
        <v>-9.3258734068513149E-15</v>
      </c>
      <c r="Q133" s="335">
        <f t="shared" si="60"/>
        <v>-8.0394138834678516E-17</v>
      </c>
      <c r="R133" s="339">
        <f t="shared" si="84"/>
        <v>0.10150000000000001</v>
      </c>
      <c r="S133" s="1282">
        <f>IF(MOD(MONTH(L133),3)=0,IF($B$4=1,0,SUMIF(Assumptions!$H$173:$U$173,'Debt repayment Schedule'!M133,Assumptions!$H$184:$U$184)/4),0)</f>
        <v>0</v>
      </c>
      <c r="T133" s="336">
        <f t="shared" si="54"/>
        <v>-8.0394138834678516E-17</v>
      </c>
      <c r="U133" s="260"/>
      <c r="V133" s="210">
        <f t="shared" si="61"/>
        <v>48304</v>
      </c>
      <c r="W133" s="210">
        <f t="shared" si="80"/>
        <v>48304</v>
      </c>
      <c r="X133" s="335">
        <f t="shared" si="77"/>
        <v>4.0500935938325711E-13</v>
      </c>
      <c r="Y133" s="1382">
        <f t="shared" si="55"/>
        <v>0</v>
      </c>
      <c r="Z133" s="335">
        <f t="shared" si="56"/>
        <v>4.0500935938325711E-13</v>
      </c>
      <c r="AA133" s="335">
        <f t="shared" si="62"/>
        <v>3.5429996835910678E-15</v>
      </c>
      <c r="AB133" s="339">
        <f t="shared" si="85"/>
        <v>0.10299999999999999</v>
      </c>
      <c r="AC133" s="337">
        <f>IF(MOD(MONTH(V133),3)=0,IF($B$4=1,0,SUMIF(Assumptions!$H$173:$U$173,'Debt repayment Schedule'!C133,Assumptions!$H$185:$U$185)/4),0)</f>
        <v>0</v>
      </c>
      <c r="AD133" s="336">
        <f t="shared" si="57"/>
        <v>3.5429996835910678E-15</v>
      </c>
      <c r="AE133" s="260"/>
      <c r="AF133" s="210">
        <f t="shared" si="63"/>
        <v>48304</v>
      </c>
      <c r="AG133" s="210">
        <f t="shared" si="64"/>
        <v>48304</v>
      </c>
      <c r="AH133" s="335">
        <f t="shared" si="65"/>
        <v>0</v>
      </c>
      <c r="AI133" s="1382">
        <f t="shared" si="66"/>
        <v>0</v>
      </c>
      <c r="AJ133" s="335">
        <f t="shared" si="67"/>
        <v>0</v>
      </c>
      <c r="AK133" s="335">
        <f t="shared" si="68"/>
        <v>0</v>
      </c>
      <c r="AL133" s="339">
        <f t="shared" si="86"/>
        <v>0</v>
      </c>
      <c r="AM133" s="337">
        <f>IF(MOD(MONTH(AF133),3)=0,IF($B$4=1,0,SUMIF(Assumptions!$H$173:$U$173,'Debt repayment Schedule'!M133,Assumptions!$H$185:$U$185)/4),0)</f>
        <v>0</v>
      </c>
      <c r="AN133" s="336">
        <f t="shared" si="69"/>
        <v>0</v>
      </c>
      <c r="AO133" s="260"/>
      <c r="AP133" s="210">
        <f t="shared" si="70"/>
        <v>48304</v>
      </c>
      <c r="AQ133" s="210">
        <f t="shared" si="81"/>
        <v>48304</v>
      </c>
      <c r="AR133" s="335">
        <f t="shared" si="71"/>
        <v>0</v>
      </c>
      <c r="AS133" s="335">
        <f t="shared" si="72"/>
        <v>0</v>
      </c>
      <c r="AT133" s="616">
        <f t="shared" si="73"/>
        <v>0</v>
      </c>
      <c r="AU133" s="335">
        <f t="shared" si="74"/>
        <v>0</v>
      </c>
      <c r="AV133" s="339">
        <f t="shared" si="87"/>
        <v>0.10299999999999999</v>
      </c>
      <c r="AW133" s="337">
        <f>IF(MOD(MONTH(AP133),3)=0,IF($B$4=1,0,SUMIF(Assumptions!$H$173:$U$173,'Debt repayment Schedule'!W133,Assumptions!$H$185:$U$185)/4),0)</f>
        <v>0</v>
      </c>
      <c r="AX133" s="336"/>
      <c r="AY133" s="260"/>
      <c r="AZ133" s="260">
        <f t="shared" si="75"/>
        <v>0</v>
      </c>
    </row>
    <row r="134" spans="2:52" x14ac:dyDescent="0.35">
      <c r="B134" s="210">
        <f t="shared" si="58"/>
        <v>48334</v>
      </c>
      <c r="C134" s="210">
        <f t="shared" si="78"/>
        <v>48669</v>
      </c>
      <c r="D134" s="335">
        <f t="shared" si="49"/>
        <v>3.5527136788005009E-14</v>
      </c>
      <c r="E134" s="336">
        <f t="shared" si="50"/>
        <v>0</v>
      </c>
      <c r="F134" s="335">
        <f t="shared" si="51"/>
        <v>3.5527136788005009E-14</v>
      </c>
      <c r="G134" s="335">
        <f t="shared" si="59"/>
        <v>2.9638392197116508E-16</v>
      </c>
      <c r="H134" s="339">
        <f t="shared" si="83"/>
        <v>0.10150000000000001</v>
      </c>
      <c r="I134" s="337">
        <f>IF(MOD(MONTH(B134),3)=0,(IF($B$4=1,0,SUMIF(Assumptions!$H$173:$U$173,'Debt repayment Schedule'!C134,Assumptions!$H$183:$U$183)/4)),0)</f>
        <v>0</v>
      </c>
      <c r="J134" s="336">
        <f t="shared" si="52"/>
        <v>2.9638392197116508E-16</v>
      </c>
      <c r="K134" s="260"/>
      <c r="L134" s="338">
        <f t="shared" si="53"/>
        <v>48334</v>
      </c>
      <c r="M134" s="210">
        <f t="shared" si="79"/>
        <v>48669</v>
      </c>
      <c r="N134" s="335">
        <f t="shared" si="76"/>
        <v>-9.3258734068513149E-15</v>
      </c>
      <c r="O134" s="1382">
        <f t="shared" si="48"/>
        <v>0</v>
      </c>
      <c r="P134" s="335">
        <f t="shared" si="82"/>
        <v>-9.3258734068513149E-15</v>
      </c>
      <c r="Q134" s="335">
        <f t="shared" si="60"/>
        <v>-7.7800779517430831E-17</v>
      </c>
      <c r="R134" s="339">
        <f t="shared" si="84"/>
        <v>0.10150000000000001</v>
      </c>
      <c r="S134" s="1282">
        <f>IF(MOD(MONTH(L134),3)=0,IF($B$4=1,0,SUMIF(Assumptions!$H$173:$U$173,'Debt repayment Schedule'!M134,Assumptions!$H$184:$U$184)/4),0)</f>
        <v>0</v>
      </c>
      <c r="T134" s="336">
        <f t="shared" si="54"/>
        <v>-7.7800779517430831E-17</v>
      </c>
      <c r="U134" s="260"/>
      <c r="V134" s="210">
        <f t="shared" si="61"/>
        <v>48334</v>
      </c>
      <c r="W134" s="210">
        <f t="shared" si="80"/>
        <v>48669</v>
      </c>
      <c r="X134" s="335">
        <f t="shared" si="77"/>
        <v>4.0500935938325711E-13</v>
      </c>
      <c r="Y134" s="1382">
        <f t="shared" si="55"/>
        <v>0</v>
      </c>
      <c r="Z134" s="335">
        <f t="shared" si="56"/>
        <v>4.0500935938325711E-13</v>
      </c>
      <c r="AA134" s="335">
        <f t="shared" si="62"/>
        <v>3.4287093712171628E-15</v>
      </c>
      <c r="AB134" s="339">
        <f t="shared" si="85"/>
        <v>0.10299999999999999</v>
      </c>
      <c r="AC134" s="337">
        <f>IF(MOD(MONTH(V134),3)=0,IF($B$4=1,0,SUMIF(Assumptions!$H$173:$U$173,'Debt repayment Schedule'!C134,Assumptions!$H$185:$U$185)/4),0)</f>
        <v>0</v>
      </c>
      <c r="AD134" s="336">
        <f t="shared" si="57"/>
        <v>3.4287093712171628E-15</v>
      </c>
      <c r="AE134" s="260"/>
      <c r="AF134" s="210">
        <f t="shared" si="63"/>
        <v>48334</v>
      </c>
      <c r="AG134" s="210">
        <f t="shared" si="64"/>
        <v>48669</v>
      </c>
      <c r="AH134" s="335">
        <f t="shared" si="65"/>
        <v>0</v>
      </c>
      <c r="AI134" s="1382">
        <f t="shared" si="66"/>
        <v>0</v>
      </c>
      <c r="AJ134" s="335">
        <f t="shared" si="67"/>
        <v>0</v>
      </c>
      <c r="AK134" s="335">
        <f t="shared" si="68"/>
        <v>0</v>
      </c>
      <c r="AL134" s="339">
        <f t="shared" si="86"/>
        <v>0</v>
      </c>
      <c r="AM134" s="337">
        <f>IF(MOD(MONTH(AF134),3)=0,IF($B$4=1,0,SUMIF(Assumptions!$H$173:$U$173,'Debt repayment Schedule'!M134,Assumptions!$H$185:$U$185)/4),0)</f>
        <v>0</v>
      </c>
      <c r="AN134" s="336">
        <f t="shared" si="69"/>
        <v>0</v>
      </c>
      <c r="AO134" s="260"/>
      <c r="AP134" s="210">
        <f t="shared" si="70"/>
        <v>48334</v>
      </c>
      <c r="AQ134" s="210">
        <f t="shared" si="81"/>
        <v>48669</v>
      </c>
      <c r="AR134" s="335">
        <f t="shared" si="71"/>
        <v>0</v>
      </c>
      <c r="AS134" s="335">
        <f t="shared" si="72"/>
        <v>0</v>
      </c>
      <c r="AT134" s="616">
        <f t="shared" si="73"/>
        <v>0</v>
      </c>
      <c r="AU134" s="335">
        <f t="shared" si="74"/>
        <v>0</v>
      </c>
      <c r="AV134" s="339">
        <f t="shared" si="87"/>
        <v>0.10299999999999999</v>
      </c>
      <c r="AW134" s="337">
        <f>IF(MOD(MONTH(AP134),3)=0,IF($B$4=1,0,SUMIF(Assumptions!$H$173:$U$173,'Debt repayment Schedule'!W134,Assumptions!$H$185:$U$185)/4),0)</f>
        <v>0</v>
      </c>
      <c r="AX134" s="336"/>
      <c r="AY134" s="260"/>
      <c r="AZ134" s="260">
        <f t="shared" si="75"/>
        <v>0</v>
      </c>
    </row>
    <row r="135" spans="2:52" x14ac:dyDescent="0.35">
      <c r="B135" s="210">
        <f t="shared" si="58"/>
        <v>48365</v>
      </c>
      <c r="C135" s="210">
        <f t="shared" si="78"/>
        <v>48669</v>
      </c>
      <c r="D135" s="335">
        <f t="shared" si="49"/>
        <v>3.5527136788005009E-14</v>
      </c>
      <c r="E135" s="336">
        <f t="shared" si="50"/>
        <v>0</v>
      </c>
      <c r="F135" s="335">
        <f t="shared" si="51"/>
        <v>3.5527136788005009E-14</v>
      </c>
      <c r="G135" s="335">
        <f t="shared" si="59"/>
        <v>3.0626338603687059E-16</v>
      </c>
      <c r="H135" s="339">
        <f t="shared" si="83"/>
        <v>0.10150000000000001</v>
      </c>
      <c r="I135" s="337">
        <f>IF(MOD(MONTH(B135),3)=0,(IF($B$4=1,0,SUMIF(Assumptions!$H$173:$U$173,'Debt repayment Schedule'!C135,Assumptions!$H$183:$U$183)/4)),0)</f>
        <v>0</v>
      </c>
      <c r="J135" s="336">
        <f t="shared" si="52"/>
        <v>3.0626338603687059E-16</v>
      </c>
      <c r="K135" s="260"/>
      <c r="L135" s="338">
        <f t="shared" si="53"/>
        <v>48365</v>
      </c>
      <c r="M135" s="210">
        <f t="shared" si="79"/>
        <v>48669</v>
      </c>
      <c r="N135" s="335">
        <f t="shared" si="76"/>
        <v>-9.3258734068513149E-15</v>
      </c>
      <c r="O135" s="1382">
        <f t="shared" si="48"/>
        <v>0</v>
      </c>
      <c r="P135" s="335">
        <f t="shared" si="82"/>
        <v>-9.3258734068513149E-15</v>
      </c>
      <c r="Q135" s="335">
        <f t="shared" si="60"/>
        <v>-8.0394138834678516E-17</v>
      </c>
      <c r="R135" s="339">
        <f t="shared" si="84"/>
        <v>0.10150000000000001</v>
      </c>
      <c r="S135" s="1282">
        <f>IF(MOD(MONTH(L135),3)=0,IF($B$4=1,0,SUMIF(Assumptions!$H$173:$U$173,'Debt repayment Schedule'!M135,Assumptions!$H$184:$U$184)/4),0)</f>
        <v>0</v>
      </c>
      <c r="T135" s="336">
        <f t="shared" si="54"/>
        <v>-8.0394138834678516E-17</v>
      </c>
      <c r="U135" s="260"/>
      <c r="V135" s="210">
        <f t="shared" si="61"/>
        <v>48365</v>
      </c>
      <c r="W135" s="210">
        <f t="shared" si="80"/>
        <v>48669</v>
      </c>
      <c r="X135" s="335">
        <f t="shared" si="77"/>
        <v>4.0500935938325711E-13</v>
      </c>
      <c r="Y135" s="1382">
        <f t="shared" si="55"/>
        <v>0</v>
      </c>
      <c r="Z135" s="335">
        <f t="shared" si="56"/>
        <v>4.0500935938325711E-13</v>
      </c>
      <c r="AA135" s="335">
        <f t="shared" si="62"/>
        <v>3.5429996835910678E-15</v>
      </c>
      <c r="AB135" s="339">
        <f t="shared" si="85"/>
        <v>0.10299999999999999</v>
      </c>
      <c r="AC135" s="337">
        <f>IF(MOD(MONTH(V135),3)=0,IF($B$4=1,0,SUMIF(Assumptions!$H$173:$U$173,'Debt repayment Schedule'!C135,Assumptions!$H$185:$U$185)/4),0)</f>
        <v>0</v>
      </c>
      <c r="AD135" s="336">
        <f t="shared" si="57"/>
        <v>3.5429996835910678E-15</v>
      </c>
      <c r="AE135" s="260"/>
      <c r="AF135" s="210">
        <f t="shared" si="63"/>
        <v>48365</v>
      </c>
      <c r="AG135" s="210">
        <f t="shared" si="64"/>
        <v>48669</v>
      </c>
      <c r="AH135" s="335">
        <f t="shared" si="65"/>
        <v>0</v>
      </c>
      <c r="AI135" s="1382">
        <f t="shared" si="66"/>
        <v>0</v>
      </c>
      <c r="AJ135" s="335">
        <f t="shared" si="67"/>
        <v>0</v>
      </c>
      <c r="AK135" s="335">
        <f t="shared" si="68"/>
        <v>0</v>
      </c>
      <c r="AL135" s="339">
        <f t="shared" si="86"/>
        <v>0</v>
      </c>
      <c r="AM135" s="337">
        <f>IF(MOD(MONTH(AF135),3)=0,IF($B$4=1,0,SUMIF(Assumptions!$H$173:$U$173,'Debt repayment Schedule'!M135,Assumptions!$H$185:$U$185)/4),0)</f>
        <v>0</v>
      </c>
      <c r="AN135" s="336">
        <f t="shared" si="69"/>
        <v>0</v>
      </c>
      <c r="AO135" s="260"/>
      <c r="AP135" s="210">
        <f t="shared" si="70"/>
        <v>48365</v>
      </c>
      <c r="AQ135" s="210">
        <f t="shared" si="81"/>
        <v>48669</v>
      </c>
      <c r="AR135" s="335">
        <f t="shared" si="71"/>
        <v>0</v>
      </c>
      <c r="AS135" s="335">
        <f t="shared" si="72"/>
        <v>0</v>
      </c>
      <c r="AT135" s="616">
        <f t="shared" si="73"/>
        <v>0</v>
      </c>
      <c r="AU135" s="335">
        <f t="shared" si="74"/>
        <v>0</v>
      </c>
      <c r="AV135" s="339">
        <f t="shared" si="87"/>
        <v>0.10299999999999999</v>
      </c>
      <c r="AW135" s="337">
        <f>IF(MOD(MONTH(AP135),3)=0,IF($B$4=1,0,SUMIF(Assumptions!$H$173:$U$173,'Debt repayment Schedule'!W135,Assumptions!$H$185:$U$185)/4),0)</f>
        <v>0</v>
      </c>
      <c r="AX135" s="336"/>
      <c r="AY135" s="260"/>
      <c r="AZ135" s="260">
        <f t="shared" si="75"/>
        <v>0</v>
      </c>
    </row>
    <row r="136" spans="2:52" x14ac:dyDescent="0.35">
      <c r="B136" s="210">
        <f t="shared" si="58"/>
        <v>48395</v>
      </c>
      <c r="C136" s="210">
        <f t="shared" si="78"/>
        <v>48669</v>
      </c>
      <c r="D136" s="335">
        <f t="shared" si="49"/>
        <v>3.5527136788005009E-14</v>
      </c>
      <c r="E136" s="336">
        <f t="shared" si="50"/>
        <v>0</v>
      </c>
      <c r="F136" s="335">
        <f t="shared" si="51"/>
        <v>3.5527136788005009E-14</v>
      </c>
      <c r="G136" s="335">
        <f t="shared" si="59"/>
        <v>2.9638392197116508E-16</v>
      </c>
      <c r="H136" s="339">
        <f t="shared" si="83"/>
        <v>0.10150000000000001</v>
      </c>
      <c r="I136" s="337">
        <f>IF(MOD(MONTH(B136),3)=0,(IF($B$4=1,0,SUMIF(Assumptions!$H$173:$U$173,'Debt repayment Schedule'!C136,Assumptions!$H$183:$U$183)/4)),0)</f>
        <v>0</v>
      </c>
      <c r="J136" s="336">
        <f t="shared" si="52"/>
        <v>2.9638392197116508E-16</v>
      </c>
      <c r="K136" s="260"/>
      <c r="L136" s="338">
        <f t="shared" si="53"/>
        <v>48395</v>
      </c>
      <c r="M136" s="210">
        <f t="shared" si="79"/>
        <v>48669</v>
      </c>
      <c r="N136" s="335">
        <f t="shared" si="76"/>
        <v>-9.3258734068513149E-15</v>
      </c>
      <c r="O136" s="1382">
        <f t="shared" si="48"/>
        <v>0</v>
      </c>
      <c r="P136" s="335">
        <f t="shared" si="82"/>
        <v>-9.3258734068513149E-15</v>
      </c>
      <c r="Q136" s="335">
        <f t="shared" si="60"/>
        <v>-7.7800779517430831E-17</v>
      </c>
      <c r="R136" s="339">
        <f t="shared" si="84"/>
        <v>0.10150000000000001</v>
      </c>
      <c r="S136" s="1282">
        <f>IF(MOD(MONTH(L136),3)=0,IF($B$4=1,0,SUMIF(Assumptions!$H$173:$U$173,'Debt repayment Schedule'!M136,Assumptions!$H$184:$U$184)/4),0)</f>
        <v>0</v>
      </c>
      <c r="T136" s="336">
        <f t="shared" si="54"/>
        <v>-7.7800779517430831E-17</v>
      </c>
      <c r="U136" s="260"/>
      <c r="V136" s="210">
        <f t="shared" si="61"/>
        <v>48395</v>
      </c>
      <c r="W136" s="210">
        <f t="shared" si="80"/>
        <v>48669</v>
      </c>
      <c r="X136" s="335">
        <f t="shared" si="77"/>
        <v>4.0500935938325711E-13</v>
      </c>
      <c r="Y136" s="1382">
        <f t="shared" si="55"/>
        <v>0</v>
      </c>
      <c r="Z136" s="335">
        <f t="shared" si="56"/>
        <v>4.0500935938325711E-13</v>
      </c>
      <c r="AA136" s="335">
        <f t="shared" si="62"/>
        <v>3.4287093712171628E-15</v>
      </c>
      <c r="AB136" s="339">
        <f t="shared" si="85"/>
        <v>0.10299999999999999</v>
      </c>
      <c r="AC136" s="337">
        <f>IF(MOD(MONTH(V136),3)=0,IF($B$4=1,0,SUMIF(Assumptions!$H$173:$U$173,'Debt repayment Schedule'!C136,Assumptions!$H$185:$U$185)/4),0)</f>
        <v>0</v>
      </c>
      <c r="AD136" s="336">
        <f t="shared" si="57"/>
        <v>3.4287093712171628E-15</v>
      </c>
      <c r="AE136" s="260"/>
      <c r="AF136" s="210">
        <f t="shared" si="63"/>
        <v>48395</v>
      </c>
      <c r="AG136" s="210">
        <f t="shared" si="64"/>
        <v>48669</v>
      </c>
      <c r="AH136" s="335">
        <f t="shared" si="65"/>
        <v>0</v>
      </c>
      <c r="AI136" s="1382">
        <f t="shared" si="66"/>
        <v>0</v>
      </c>
      <c r="AJ136" s="335">
        <f t="shared" si="67"/>
        <v>0</v>
      </c>
      <c r="AK136" s="335">
        <f t="shared" si="68"/>
        <v>0</v>
      </c>
      <c r="AL136" s="339">
        <f t="shared" si="86"/>
        <v>0</v>
      </c>
      <c r="AM136" s="337">
        <f>IF(MOD(MONTH(AF136),3)=0,IF($B$4=1,0,SUMIF(Assumptions!$H$173:$U$173,'Debt repayment Schedule'!M136,Assumptions!$H$185:$U$185)/4),0)</f>
        <v>0</v>
      </c>
      <c r="AN136" s="336">
        <f t="shared" si="69"/>
        <v>0</v>
      </c>
      <c r="AO136" s="260"/>
      <c r="AP136" s="210">
        <f t="shared" si="70"/>
        <v>48395</v>
      </c>
      <c r="AQ136" s="210">
        <f t="shared" si="81"/>
        <v>48669</v>
      </c>
      <c r="AR136" s="335">
        <f t="shared" si="71"/>
        <v>0</v>
      </c>
      <c r="AS136" s="335">
        <f t="shared" si="72"/>
        <v>0</v>
      </c>
      <c r="AT136" s="616">
        <f t="shared" si="73"/>
        <v>0</v>
      </c>
      <c r="AU136" s="335">
        <f t="shared" si="74"/>
        <v>0</v>
      </c>
      <c r="AV136" s="339">
        <f t="shared" si="87"/>
        <v>0.10299999999999999</v>
      </c>
      <c r="AW136" s="337">
        <f>IF(MOD(MONTH(AP136),3)=0,IF($B$4=1,0,SUMIF(Assumptions!$H$173:$U$173,'Debt repayment Schedule'!W136,Assumptions!$H$185:$U$185)/4),0)</f>
        <v>0</v>
      </c>
      <c r="AX136" s="336"/>
      <c r="AY136" s="260"/>
      <c r="AZ136" s="260">
        <f t="shared" si="75"/>
        <v>0</v>
      </c>
    </row>
    <row r="137" spans="2:52" x14ac:dyDescent="0.35">
      <c r="B137" s="344" t="s">
        <v>36</v>
      </c>
      <c r="C137" s="345"/>
      <c r="D137" s="341"/>
      <c r="E137" s="340">
        <f>SUM(E10:E136)</f>
        <v>542.72373709199985</v>
      </c>
      <c r="F137" s="341"/>
      <c r="G137" s="340">
        <f>SUM(G10:G136)</f>
        <v>248.39691879511182</v>
      </c>
      <c r="H137" s="342"/>
      <c r="I137" s="343">
        <f>SUM(I11:I136)</f>
        <v>1.0000000000000004</v>
      </c>
      <c r="J137" s="340">
        <f>SUM(J10:J136)</f>
        <v>791.12065588711152</v>
      </c>
      <c r="K137" s="260">
        <f>J137-G137-E137</f>
        <v>0</v>
      </c>
      <c r="L137" s="344" t="s">
        <v>36</v>
      </c>
      <c r="M137" s="345"/>
      <c r="N137" s="341"/>
      <c r="O137" s="340">
        <f>SUM(O10:O136)</f>
        <v>29.646679219000013</v>
      </c>
      <c r="P137" s="341"/>
      <c r="Q137" s="340">
        <f>SUM(Q10:Q136)</f>
        <v>13.568862511827703</v>
      </c>
      <c r="R137" s="342"/>
      <c r="S137" s="343">
        <f>SUM(S11:S136)</f>
        <v>1.0000000000000004</v>
      </c>
      <c r="T137" s="340">
        <f>SUM(T10:T136)</f>
        <v>43.215541730827702</v>
      </c>
      <c r="U137" s="260">
        <f>T137-Q137-O137</f>
        <v>0</v>
      </c>
      <c r="V137" s="344" t="s">
        <v>36</v>
      </c>
      <c r="W137" s="345"/>
      <c r="X137" s="341"/>
      <c r="Y137" s="340">
        <f>SUM(Y10:Y136)</f>
        <v>666.75768174599989</v>
      </c>
      <c r="Z137" s="341"/>
      <c r="AA137" s="340">
        <f>SUM(AA10:AA136)</f>
        <v>309.67532214325701</v>
      </c>
      <c r="AB137" s="342"/>
      <c r="AC137" s="343">
        <f>SUM(AC11:AC136)</f>
        <v>1.0000000000000004</v>
      </c>
      <c r="AD137" s="340">
        <f>SUM(AD10:AD136)</f>
        <v>976.4330038892565</v>
      </c>
      <c r="AE137" s="260">
        <f>AD137-AA137-Y137</f>
        <v>0</v>
      </c>
      <c r="AF137" s="344" t="s">
        <v>36</v>
      </c>
      <c r="AG137" s="345"/>
      <c r="AH137" s="341"/>
      <c r="AI137" s="340">
        <f>SUM(AI10:AI136)</f>
        <v>56.350552447999981</v>
      </c>
      <c r="AJ137" s="341"/>
      <c r="AK137" s="340">
        <f>SUM(AK10:AK136)</f>
        <v>0</v>
      </c>
      <c r="AL137" s="342"/>
      <c r="AM137" s="343">
        <f>SUM(AM11:AM136)</f>
        <v>1.0000000000000004</v>
      </c>
      <c r="AN137" s="340">
        <f>SUM(AN10:AN136)</f>
        <v>56.350552447999981</v>
      </c>
      <c r="AO137" s="260">
        <f>AN137-AK137-AI137</f>
        <v>0</v>
      </c>
      <c r="AP137" s="344" t="s">
        <v>36</v>
      </c>
      <c r="AQ137" s="345"/>
      <c r="AR137" s="341"/>
      <c r="AS137" s="340">
        <f>SUM(AS10:AS136)</f>
        <v>0</v>
      </c>
      <c r="AT137" s="341"/>
      <c r="AU137" s="340">
        <f>SUM(AU10:AU136)</f>
        <v>0</v>
      </c>
      <c r="AV137" s="342"/>
      <c r="AW137" s="343">
        <f>SUM(AW11:AW136)</f>
        <v>1.0000000000000004</v>
      </c>
      <c r="AX137" s="340">
        <f>SUM(AX10:AX136)</f>
        <v>0</v>
      </c>
      <c r="AY137" s="260">
        <f>AX137-AU137-AS137</f>
        <v>0</v>
      </c>
      <c r="AZ137" s="260"/>
    </row>
  </sheetData>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tabColor theme="2" tint="-9.9978637043366805E-2"/>
  </sheetPr>
  <dimension ref="B1:R62"/>
  <sheetViews>
    <sheetView showGridLines="0" zoomScale="80" zoomScaleNormal="80" workbookViewId="0">
      <selection activeCell="I63" sqref="I63"/>
    </sheetView>
  </sheetViews>
  <sheetFormatPr defaultRowHeight="14.5" x14ac:dyDescent="0.35"/>
  <cols>
    <col min="2" max="2" width="6" customWidth="1"/>
    <col min="3" max="3" width="36.54296875" customWidth="1"/>
    <col min="4" max="4" width="16.54296875" bestFit="1" customWidth="1"/>
    <col min="5" max="5" width="12.54296875" customWidth="1"/>
    <col min="6" max="6" width="10.54296875" customWidth="1"/>
    <col min="7" max="7" width="15" customWidth="1"/>
    <col min="8" max="8" width="14.453125" bestFit="1" customWidth="1"/>
    <col min="9" max="9" width="11.54296875" bestFit="1" customWidth="1"/>
    <col min="10" max="10" width="15.7265625" bestFit="1" customWidth="1"/>
    <col min="11" max="11" width="13.7265625" bestFit="1" customWidth="1"/>
    <col min="12" max="12" width="18.453125" bestFit="1" customWidth="1"/>
  </cols>
  <sheetData>
    <row r="1" spans="3:7" s="658" customFormat="1" x14ac:dyDescent="0.35"/>
    <row r="2" spans="3:7" x14ac:dyDescent="0.35">
      <c r="C2" s="50" t="str">
        <f>'Debt repayment Schedule'!B2</f>
        <v>All figures in INR Crores</v>
      </c>
    </row>
    <row r="4" spans="3:7" x14ac:dyDescent="0.35">
      <c r="C4" s="32" t="s">
        <v>251</v>
      </c>
      <c r="D4" s="3" t="s">
        <v>295</v>
      </c>
      <c r="E4" s="3" t="s">
        <v>271</v>
      </c>
      <c r="F4" s="3" t="s">
        <v>294</v>
      </c>
    </row>
    <row r="5" spans="3:7" x14ac:dyDescent="0.35">
      <c r="C5" s="48" t="s">
        <v>1582</v>
      </c>
      <c r="D5" s="10">
        <f>+J57</f>
        <v>1784.1232734095768</v>
      </c>
      <c r="E5" s="10">
        <f>(+D5*10%)</f>
        <v>178.41232734095769</v>
      </c>
      <c r="F5" s="10">
        <f>+D5-E5</f>
        <v>1605.710946068619</v>
      </c>
    </row>
    <row r="6" spans="3:7" x14ac:dyDescent="0.35">
      <c r="C6" s="49" t="s">
        <v>1568</v>
      </c>
      <c r="D6" s="15">
        <v>0</v>
      </c>
      <c r="E6" s="15">
        <v>0</v>
      </c>
      <c r="F6" s="15">
        <v>0</v>
      </c>
    </row>
    <row r="7" spans="3:7" x14ac:dyDescent="0.35">
      <c r="C7" s="1370" t="s">
        <v>36</v>
      </c>
      <c r="D7" s="1371">
        <f>SUM(D5:D6)</f>
        <v>1784.1232734095768</v>
      </c>
      <c r="E7" s="1371">
        <f>SUM(E5:E6)</f>
        <v>178.41232734095769</v>
      </c>
      <c r="F7" s="1371">
        <f>SUM(F5:F6)</f>
        <v>1605.710946068619</v>
      </c>
    </row>
    <row r="8" spans="3:7" x14ac:dyDescent="0.35">
      <c r="C8" s="2"/>
    </row>
    <row r="9" spans="3:7" x14ac:dyDescent="0.35">
      <c r="C9" s="31" t="s">
        <v>272</v>
      </c>
    </row>
    <row r="10" spans="3:7" ht="29" x14ac:dyDescent="0.35">
      <c r="C10" s="28" t="s">
        <v>257</v>
      </c>
      <c r="D10" s="28" t="s">
        <v>273</v>
      </c>
      <c r="E10" s="28" t="s">
        <v>207</v>
      </c>
      <c r="F10" s="28" t="s">
        <v>274</v>
      </c>
    </row>
    <row r="11" spans="3:7" x14ac:dyDescent="0.35">
      <c r="C11" s="713" t="s">
        <v>971</v>
      </c>
      <c r="D11" s="1212">
        <v>0.1124</v>
      </c>
      <c r="E11" s="1213">
        <v>1E-4</v>
      </c>
      <c r="F11" s="1212">
        <f>+D11-E11</f>
        <v>0.1123</v>
      </c>
      <c r="G11" t="s">
        <v>275</v>
      </c>
    </row>
    <row r="12" spans="3:7" x14ac:dyDescent="0.35">
      <c r="C12" s="713" t="s">
        <v>972</v>
      </c>
      <c r="D12" s="1212">
        <v>0.11271020483987911</v>
      </c>
      <c r="E12" s="1213">
        <v>1E-4</v>
      </c>
      <c r="F12" s="1212">
        <f>+D12-E12</f>
        <v>0.1126102048398791</v>
      </c>
    </row>
    <row r="13" spans="3:7" x14ac:dyDescent="0.35">
      <c r="C13" s="713" t="s">
        <v>973</v>
      </c>
      <c r="D13" s="1212">
        <v>0.11262480204518228</v>
      </c>
      <c r="E13" s="1213">
        <v>0.01</v>
      </c>
      <c r="F13" s="1212">
        <f>+D13-E13</f>
        <v>0.10262480204518229</v>
      </c>
    </row>
    <row r="14" spans="3:7" x14ac:dyDescent="0.35">
      <c r="C14" s="713" t="s">
        <v>974</v>
      </c>
      <c r="D14" s="1212">
        <v>0.1081749278413781</v>
      </c>
      <c r="E14" s="1213">
        <v>0.01</v>
      </c>
      <c r="F14" s="1212">
        <f>+D14-E14</f>
        <v>9.8174927841378101E-2</v>
      </c>
    </row>
    <row r="15" spans="3:7" x14ac:dyDescent="0.35">
      <c r="C15" s="713" t="s">
        <v>350</v>
      </c>
      <c r="D15" s="1212">
        <v>0.10239660990352657</v>
      </c>
      <c r="E15" s="1213">
        <v>2.5000000000000001E-2</v>
      </c>
      <c r="F15" s="1212">
        <f>+D15-E15</f>
        <v>7.7396609903526564E-2</v>
      </c>
    </row>
    <row r="16" spans="3:7" x14ac:dyDescent="0.35">
      <c r="C16" s="1214" t="s">
        <v>261</v>
      </c>
      <c r="D16" s="713"/>
      <c r="E16" s="713"/>
      <c r="F16" s="713"/>
    </row>
    <row r="17" spans="2:12" x14ac:dyDescent="0.35">
      <c r="C17" s="33" t="s">
        <v>1505</v>
      </c>
    </row>
    <row r="19" spans="2:12" x14ac:dyDescent="0.35">
      <c r="C19" s="2" t="s">
        <v>277</v>
      </c>
    </row>
    <row r="20" spans="2:12" x14ac:dyDescent="0.35">
      <c r="B20" t="s">
        <v>278</v>
      </c>
      <c r="C20" t="s">
        <v>279</v>
      </c>
    </row>
    <row r="21" spans="2:12" x14ac:dyDescent="0.35">
      <c r="B21" t="s">
        <v>280</v>
      </c>
      <c r="C21" t="s">
        <v>281</v>
      </c>
    </row>
    <row r="22" spans="2:12" x14ac:dyDescent="0.35">
      <c r="B22" t="s">
        <v>282</v>
      </c>
      <c r="C22" t="s">
        <v>283</v>
      </c>
    </row>
    <row r="23" spans="2:12" x14ac:dyDescent="0.35">
      <c r="B23" t="s">
        <v>284</v>
      </c>
      <c r="C23" t="s">
        <v>975</v>
      </c>
    </row>
    <row r="24" spans="2:12" x14ac:dyDescent="0.35">
      <c r="B24" t="s">
        <v>285</v>
      </c>
      <c r="C24" t="s">
        <v>286</v>
      </c>
    </row>
    <row r="26" spans="2:12" x14ac:dyDescent="0.35">
      <c r="C26" s="2" t="s">
        <v>287</v>
      </c>
      <c r="J26" t="s">
        <v>97</v>
      </c>
    </row>
    <row r="27" spans="2:12" x14ac:dyDescent="0.35">
      <c r="B27" s="4" t="s">
        <v>288</v>
      </c>
      <c r="C27" s="4" t="s">
        <v>289</v>
      </c>
      <c r="D27" s="4"/>
      <c r="E27" s="4" t="s">
        <v>257</v>
      </c>
      <c r="F27" s="4" t="s">
        <v>225</v>
      </c>
      <c r="G27" s="35" t="s">
        <v>290</v>
      </c>
      <c r="H27" s="35" t="s">
        <v>291</v>
      </c>
      <c r="I27" s="35" t="s">
        <v>292</v>
      </c>
      <c r="J27" s="35" t="s">
        <v>208</v>
      </c>
    </row>
    <row r="28" spans="2:12" x14ac:dyDescent="0.35">
      <c r="B28" s="7"/>
      <c r="C28" s="36">
        <v>43087</v>
      </c>
      <c r="D28" s="36">
        <v>43190</v>
      </c>
      <c r="E28" s="26" t="s">
        <v>259</v>
      </c>
      <c r="F28" s="27">
        <f>+D28-C28+1</f>
        <v>104</v>
      </c>
      <c r="G28" s="10">
        <v>3092.5333150448496</v>
      </c>
      <c r="H28" s="17">
        <f>+F11</f>
        <v>0.1123</v>
      </c>
      <c r="I28" s="7"/>
      <c r="J28" s="18">
        <f>+H28*G28*F28/365</f>
        <v>98.95428792622414</v>
      </c>
      <c r="L28" s="8"/>
    </row>
    <row r="29" spans="2:12" x14ac:dyDescent="0.35">
      <c r="B29" s="7"/>
      <c r="C29" s="36">
        <v>43089</v>
      </c>
      <c r="D29" s="36">
        <v>43190</v>
      </c>
      <c r="E29" s="7" t="s">
        <v>259</v>
      </c>
      <c r="F29" s="24">
        <f>+D29-C29+1</f>
        <v>102</v>
      </c>
      <c r="G29" s="12">
        <v>251.71925274249034</v>
      </c>
      <c r="H29" s="19">
        <f>+H28</f>
        <v>0.1123</v>
      </c>
      <c r="I29" s="7"/>
      <c r="J29" s="14">
        <f>+H29*G29*F29/365</f>
        <v>7.899570828668848</v>
      </c>
      <c r="L29" s="8"/>
    </row>
    <row r="30" spans="2:12" x14ac:dyDescent="0.35">
      <c r="B30" s="7"/>
      <c r="C30" s="36">
        <v>43097</v>
      </c>
      <c r="D30" s="36">
        <v>43190</v>
      </c>
      <c r="E30" s="7" t="s">
        <v>259</v>
      </c>
      <c r="F30" s="29">
        <f>+D30-C30+1</f>
        <v>94</v>
      </c>
      <c r="G30" s="13">
        <v>138.99376765912257</v>
      </c>
      <c r="H30" s="34">
        <f>+H29</f>
        <v>0.1123</v>
      </c>
      <c r="I30" s="7"/>
      <c r="J30" s="37">
        <f>+H30*G30*F30/365</f>
        <v>4.0198520826389847</v>
      </c>
      <c r="L30" s="8"/>
    </row>
    <row r="31" spans="2:12" x14ac:dyDescent="0.35">
      <c r="B31" s="4"/>
      <c r="C31" s="4" t="s">
        <v>288</v>
      </c>
      <c r="D31" s="4"/>
      <c r="E31" s="4"/>
      <c r="F31" s="4"/>
      <c r="G31" s="6">
        <f>SUM(G28:G30)</f>
        <v>3483.2463354464626</v>
      </c>
      <c r="H31" s="4"/>
      <c r="I31" s="4"/>
      <c r="J31" s="1739">
        <f>SUM(J28:J30)</f>
        <v>110.87371083753197</v>
      </c>
    </row>
    <row r="32" spans="2:12" x14ac:dyDescent="0.35">
      <c r="B32" s="7" t="s">
        <v>293</v>
      </c>
      <c r="C32" s="36">
        <f>+D30+1</f>
        <v>43191</v>
      </c>
      <c r="D32" s="36">
        <f>EOMONTH(C32,2)</f>
        <v>43281</v>
      </c>
      <c r="E32" s="22" t="s">
        <v>260</v>
      </c>
      <c r="F32" s="27">
        <f>+D32-C32+1</f>
        <v>91</v>
      </c>
      <c r="G32" s="10">
        <f>+G31</f>
        <v>3483.2463354464626</v>
      </c>
      <c r="H32" s="17">
        <f>+F12</f>
        <v>0.1126102048398791</v>
      </c>
      <c r="I32" s="38">
        <f>+D12</f>
        <v>0.11271020483987911</v>
      </c>
      <c r="J32" s="30">
        <f>(H32*G32+I32*J$31)*F32/F$36</f>
        <v>100.90919743069549</v>
      </c>
    </row>
    <row r="33" spans="2:11" x14ac:dyDescent="0.35">
      <c r="B33" s="7" t="s">
        <v>1048</v>
      </c>
      <c r="C33" s="36">
        <f>+D32+1</f>
        <v>43282</v>
      </c>
      <c r="D33" s="36">
        <f>EOMONTH(C33,2)</f>
        <v>43373</v>
      </c>
      <c r="E33" s="11" t="str">
        <f>+E32</f>
        <v>FY 19</v>
      </c>
      <c r="F33" s="24">
        <f>+D33-C33+1</f>
        <v>92</v>
      </c>
      <c r="G33" s="12">
        <f>+G32</f>
        <v>3483.2463354464626</v>
      </c>
      <c r="H33" s="19">
        <f t="shared" ref="H33:I35" si="0">+H32</f>
        <v>0.1126102048398791</v>
      </c>
      <c r="I33" s="39">
        <f t="shared" si="0"/>
        <v>0.11271020483987911</v>
      </c>
      <c r="J33" s="30">
        <f>(H33*G33+I33*J$31)*F33/F$36</f>
        <v>102.01808971015369</v>
      </c>
    </row>
    <row r="34" spans="2:11" x14ac:dyDescent="0.35">
      <c r="B34" s="7" t="s">
        <v>1049</v>
      </c>
      <c r="C34" s="36">
        <f>+D33+1</f>
        <v>43374</v>
      </c>
      <c r="D34" s="36">
        <f>EOMONTH(C34,2)</f>
        <v>43465</v>
      </c>
      <c r="E34" s="11" t="str">
        <f>+E33</f>
        <v>FY 19</v>
      </c>
      <c r="F34" s="24">
        <f>+D34-C34+1</f>
        <v>92</v>
      </c>
      <c r="G34" s="12">
        <f>+G33</f>
        <v>3483.2463354464626</v>
      </c>
      <c r="H34" s="19">
        <f t="shared" si="0"/>
        <v>0.1126102048398791</v>
      </c>
      <c r="I34" s="39">
        <f t="shared" si="0"/>
        <v>0.11271020483987911</v>
      </c>
      <c r="J34" s="30">
        <f>(H34*G34+I34*J$31)*F34/F$36</f>
        <v>102.01808971015369</v>
      </c>
    </row>
    <row r="35" spans="2:11" x14ac:dyDescent="0.35">
      <c r="B35" s="7" t="s">
        <v>1050</v>
      </c>
      <c r="C35" s="36">
        <f>+D34+1</f>
        <v>43466</v>
      </c>
      <c r="D35" s="36">
        <f>EOMONTH(C35,2)</f>
        <v>43555</v>
      </c>
      <c r="E35" s="11" t="str">
        <f>+E34</f>
        <v>FY 19</v>
      </c>
      <c r="F35" s="25">
        <f>+D35-C35+1</f>
        <v>90</v>
      </c>
      <c r="G35" s="40">
        <f>+G34</f>
        <v>3483.2463354464626</v>
      </c>
      <c r="H35" s="19">
        <f t="shared" si="0"/>
        <v>0.1126102048398791</v>
      </c>
      <c r="I35" s="41">
        <f t="shared" si="0"/>
        <v>0.11271020483987911</v>
      </c>
      <c r="J35" s="30">
        <f>(H35*G35+I35*J$31)*F35/F$36</f>
        <v>99.800305151237296</v>
      </c>
    </row>
    <row r="36" spans="2:11" x14ac:dyDescent="0.35">
      <c r="B36" s="7"/>
      <c r="C36" s="3"/>
      <c r="D36" s="3"/>
      <c r="E36" s="3"/>
      <c r="F36" s="42">
        <f>SUM(F32:F35)</f>
        <v>365</v>
      </c>
      <c r="G36" s="3"/>
      <c r="H36" s="3"/>
      <c r="I36" s="3"/>
      <c r="J36" s="1739">
        <f>SUM(J32:J35)</f>
        <v>404.74568200224013</v>
      </c>
    </row>
    <row r="37" spans="2:11" x14ac:dyDescent="0.35">
      <c r="B37" s="7" t="str">
        <f>B32</f>
        <v>Q1</v>
      </c>
      <c r="C37" s="36">
        <f>+D35+1</f>
        <v>43556</v>
      </c>
      <c r="D37" s="36">
        <f>EOMONTH(C37,2)</f>
        <v>43646</v>
      </c>
      <c r="E37" s="9" t="s">
        <v>2</v>
      </c>
      <c r="F37" s="27">
        <f>+D37-C37+1</f>
        <v>91</v>
      </c>
      <c r="G37" s="10">
        <f>+G35</f>
        <v>3483.2463354464626</v>
      </c>
      <c r="H37" s="17">
        <f>+F13</f>
        <v>0.10262480204518229</v>
      </c>
      <c r="I37" s="38">
        <f>+D13</f>
        <v>0.11262480204518228</v>
      </c>
      <c r="J37" s="30">
        <f>(H37*G37+I37*(J$31+J$36))*F37/F$41</f>
        <v>103.31707319839427</v>
      </c>
    </row>
    <row r="38" spans="2:11" x14ac:dyDescent="0.35">
      <c r="B38" s="7" t="str">
        <f>B33</f>
        <v>Q2</v>
      </c>
      <c r="C38" s="36">
        <f>+D37+1</f>
        <v>43647</v>
      </c>
      <c r="D38" s="36">
        <f>EOMONTH(C38,2)</f>
        <v>43738</v>
      </c>
      <c r="E38" s="11" t="str">
        <f>+E37</f>
        <v>FY 20</v>
      </c>
      <c r="F38" s="24">
        <f>+D38-C38+1</f>
        <v>92</v>
      </c>
      <c r="G38" s="12">
        <f t="shared" ref="G38:I40" si="1">+G37</f>
        <v>3483.2463354464626</v>
      </c>
      <c r="H38" s="19">
        <f t="shared" si="1"/>
        <v>0.10262480204518229</v>
      </c>
      <c r="I38" s="39">
        <f t="shared" si="1"/>
        <v>0.11262480204518228</v>
      </c>
      <c r="J38" s="30">
        <f>(H38*G38+I38*(J$31+J$36))*F38/F$41</f>
        <v>104.45242565112386</v>
      </c>
    </row>
    <row r="39" spans="2:11" x14ac:dyDescent="0.35">
      <c r="B39" s="7" t="str">
        <f>B34</f>
        <v>Q3</v>
      </c>
      <c r="C39" s="36">
        <f>+D38+1</f>
        <v>43739</v>
      </c>
      <c r="D39" s="36">
        <f>EOMONTH(C39,2)</f>
        <v>43830</v>
      </c>
      <c r="E39" s="11" t="str">
        <f>+E38</f>
        <v>FY 20</v>
      </c>
      <c r="F39" s="24">
        <f>+D39-C39+1</f>
        <v>92</v>
      </c>
      <c r="G39" s="12">
        <f t="shared" si="1"/>
        <v>3483.2463354464626</v>
      </c>
      <c r="H39" s="19">
        <f t="shared" si="1"/>
        <v>0.10262480204518229</v>
      </c>
      <c r="I39" s="39">
        <f t="shared" si="1"/>
        <v>0.11262480204518228</v>
      </c>
      <c r="J39" s="30">
        <f>(H39*G39+I39*(J$31+J$36))*F39/F$41</f>
        <v>104.45242565112386</v>
      </c>
    </row>
    <row r="40" spans="2:11" x14ac:dyDescent="0.35">
      <c r="B40" s="7" t="str">
        <f>B35</f>
        <v>Q4</v>
      </c>
      <c r="C40" s="36">
        <f>+D39+1</f>
        <v>43831</v>
      </c>
      <c r="D40" s="36">
        <f>EOMONTH(C40,2)</f>
        <v>43921</v>
      </c>
      <c r="E40" s="23" t="str">
        <f>+E39</f>
        <v>FY 20</v>
      </c>
      <c r="F40" s="25">
        <f>+D40-C40+1</f>
        <v>91</v>
      </c>
      <c r="G40" s="40">
        <f t="shared" si="1"/>
        <v>3483.2463354464626</v>
      </c>
      <c r="H40" s="19">
        <f t="shared" si="1"/>
        <v>0.10262480204518229</v>
      </c>
      <c r="I40" s="41">
        <f t="shared" si="1"/>
        <v>0.11262480204518228</v>
      </c>
      <c r="J40" s="30">
        <f>(H40*G40+I40*(J$31+J$36))*F40/F$41</f>
        <v>103.31707319839427</v>
      </c>
    </row>
    <row r="41" spans="2:11" x14ac:dyDescent="0.35">
      <c r="B41" s="7"/>
      <c r="C41" s="3"/>
      <c r="D41" s="3"/>
      <c r="E41" s="3"/>
      <c r="F41" s="42">
        <f>SUM(F37:F40)</f>
        <v>366</v>
      </c>
      <c r="G41" s="3"/>
      <c r="H41" s="3"/>
      <c r="I41" s="3"/>
      <c r="J41" s="1739">
        <f>SUM(J37:J40)</f>
        <v>415.53899769903626</v>
      </c>
    </row>
    <row r="42" spans="2:11" x14ac:dyDescent="0.35">
      <c r="B42" s="7" t="str">
        <f>B32</f>
        <v>Q1</v>
      </c>
      <c r="C42" s="36">
        <f>+D40+1</f>
        <v>43922</v>
      </c>
      <c r="D42" s="36">
        <f>EOMONTH(C42,2)</f>
        <v>44012</v>
      </c>
      <c r="E42" s="9" t="s">
        <v>3</v>
      </c>
      <c r="F42" s="27">
        <f>+D42-C42+1</f>
        <v>91</v>
      </c>
      <c r="G42" s="10">
        <f>+G40</f>
        <v>3483.2463354464626</v>
      </c>
      <c r="H42" s="17">
        <f>+F14</f>
        <v>9.8174927841378101E-2</v>
      </c>
      <c r="I42" s="38">
        <f>+D14</f>
        <v>0.1081749278413781</v>
      </c>
      <c r="J42" s="30">
        <f>(H42*G42+I42*(J$31+J$36+J$41))*F42/F$46</f>
        <v>110.37064627421474</v>
      </c>
    </row>
    <row r="43" spans="2:11" x14ac:dyDescent="0.35">
      <c r="B43" s="7" t="str">
        <f>B33</f>
        <v>Q2</v>
      </c>
      <c r="C43" s="36">
        <f>+D42+1</f>
        <v>44013</v>
      </c>
      <c r="D43" s="36">
        <f>EOMONTH(C43,2)</f>
        <v>44104</v>
      </c>
      <c r="E43" s="11" t="str">
        <f>+E42</f>
        <v>FY 21</v>
      </c>
      <c r="F43" s="24">
        <f>+D43-C43+1</f>
        <v>92</v>
      </c>
      <c r="G43" s="12">
        <f t="shared" ref="G43:I45" si="2">+G42</f>
        <v>3483.2463354464626</v>
      </c>
      <c r="H43" s="19">
        <f t="shared" si="2"/>
        <v>9.8174927841378101E-2</v>
      </c>
      <c r="I43" s="39">
        <f t="shared" si="2"/>
        <v>0.1081749278413781</v>
      </c>
      <c r="J43" s="30">
        <f>(H43*G43+I43*(J$31+J$36+J$41))*F43/F$46</f>
        <v>111.58351051898632</v>
      </c>
    </row>
    <row r="44" spans="2:11" x14ac:dyDescent="0.35">
      <c r="B44" s="7" t="str">
        <f>B34</f>
        <v>Q3</v>
      </c>
      <c r="C44" s="36">
        <f>+D43+1</f>
        <v>44105</v>
      </c>
      <c r="D44" s="36">
        <f>EOMONTH(C44,2)</f>
        <v>44196</v>
      </c>
      <c r="E44" s="11" t="str">
        <f>+E43</f>
        <v>FY 21</v>
      </c>
      <c r="F44" s="24">
        <f>+D44-C44+1</f>
        <v>92</v>
      </c>
      <c r="G44" s="12">
        <f t="shared" si="2"/>
        <v>3483.2463354464626</v>
      </c>
      <c r="H44" s="19">
        <f t="shared" si="2"/>
        <v>9.8174927841378101E-2</v>
      </c>
      <c r="I44" s="39">
        <f t="shared" si="2"/>
        <v>0.1081749278413781</v>
      </c>
      <c r="J44" s="30">
        <f>(H44*G44+I44*(J$31+J$36+J$41))*F44/F$46</f>
        <v>111.58351051898632</v>
      </c>
    </row>
    <row r="45" spans="2:11" x14ac:dyDescent="0.35">
      <c r="B45" s="7" t="str">
        <f>B35</f>
        <v>Q4</v>
      </c>
      <c r="C45" s="36">
        <f>+D44+1</f>
        <v>44197</v>
      </c>
      <c r="D45" s="36">
        <f>EOMONTH(C45,2)</f>
        <v>44286</v>
      </c>
      <c r="E45" s="23" t="str">
        <f>+E44</f>
        <v>FY 21</v>
      </c>
      <c r="F45" s="25">
        <f>+D45-C45+1</f>
        <v>90</v>
      </c>
      <c r="G45" s="40">
        <f t="shared" si="2"/>
        <v>3483.2463354464626</v>
      </c>
      <c r="H45" s="19">
        <f t="shared" si="2"/>
        <v>9.8174927841378101E-2</v>
      </c>
      <c r="I45" s="41">
        <f t="shared" si="2"/>
        <v>0.1081749278413781</v>
      </c>
      <c r="J45" s="30">
        <f>(H45*G45+I45*(J$31+J$36+J$41))*F45/F$46</f>
        <v>109.15778202944314</v>
      </c>
    </row>
    <row r="46" spans="2:11" x14ac:dyDescent="0.35">
      <c r="B46" s="7"/>
      <c r="C46" s="3"/>
      <c r="D46" s="3"/>
      <c r="E46" s="3"/>
      <c r="F46" s="42">
        <f>SUM(F42:F45)</f>
        <v>365</v>
      </c>
      <c r="G46" s="3"/>
      <c r="H46" s="3"/>
      <c r="I46" s="3"/>
      <c r="J46" s="1739">
        <f>SUM(J42:J45)</f>
        <v>442.69544934163048</v>
      </c>
      <c r="K46" s="8"/>
    </row>
    <row r="47" spans="2:11" x14ac:dyDescent="0.35">
      <c r="B47" s="7" t="str">
        <f>B42</f>
        <v>Q1</v>
      </c>
      <c r="C47" s="36">
        <f>+D45+1</f>
        <v>44287</v>
      </c>
      <c r="D47" s="36">
        <f>EOMONTH(C47,2)</f>
        <v>44377</v>
      </c>
      <c r="E47" s="9" t="s">
        <v>4</v>
      </c>
      <c r="F47" s="27">
        <f>+D47-C47+1</f>
        <v>91</v>
      </c>
      <c r="G47" s="10">
        <f>+G45</f>
        <v>3483.2463354464626</v>
      </c>
      <c r="H47" s="17">
        <f>$F$15</f>
        <v>7.7396609903526564E-2</v>
      </c>
      <c r="I47" s="38">
        <f>+D15</f>
        <v>0.10239660990352657</v>
      </c>
      <c r="J47" s="30">
        <f>(H47*G47+I47*(J$31+J$36+J$41+J$46))*F47/F$51</f>
        <v>102.2863519209631</v>
      </c>
    </row>
    <row r="48" spans="2:11" x14ac:dyDescent="0.35">
      <c r="B48" s="7" t="str">
        <f>B43</f>
        <v>Q2</v>
      </c>
      <c r="C48" s="36">
        <f>+D47+1</f>
        <v>44378</v>
      </c>
      <c r="D48" s="36">
        <f>EOMONTH(C48,2)</f>
        <v>44469</v>
      </c>
      <c r="E48" s="11" t="str">
        <f>+E47</f>
        <v>FY 22</v>
      </c>
      <c r="F48" s="24">
        <f>+D48-C48+1</f>
        <v>92</v>
      </c>
      <c r="G48" s="12">
        <f t="shared" ref="G48:I50" si="3">+G47</f>
        <v>3483.2463354464626</v>
      </c>
      <c r="H48" s="19">
        <f t="shared" si="3"/>
        <v>7.7396609903526564E-2</v>
      </c>
      <c r="I48" s="39">
        <f t="shared" si="3"/>
        <v>0.10239660990352657</v>
      </c>
      <c r="J48" s="30">
        <f>(H48*G48+I48*(J$31+J$36+J$41+J$46))*F48/F$51</f>
        <v>103.41037776624842</v>
      </c>
    </row>
    <row r="49" spans="2:18" x14ac:dyDescent="0.35">
      <c r="B49" s="7" t="str">
        <f>B44</f>
        <v>Q3</v>
      </c>
      <c r="C49" s="36">
        <f>+D48+1</f>
        <v>44470</v>
      </c>
      <c r="D49" s="36">
        <f>EOMONTH(C49,2)</f>
        <v>44561</v>
      </c>
      <c r="E49" s="11" t="str">
        <f>+E48</f>
        <v>FY 22</v>
      </c>
      <c r="F49" s="24">
        <f>+D49-C49+1</f>
        <v>92</v>
      </c>
      <c r="G49" s="12">
        <f t="shared" si="3"/>
        <v>3483.2463354464626</v>
      </c>
      <c r="H49" s="19">
        <f t="shared" si="3"/>
        <v>7.7396609903526564E-2</v>
      </c>
      <c r="I49" s="39">
        <f t="shared" si="3"/>
        <v>0.10239660990352657</v>
      </c>
      <c r="J49" s="30">
        <f>(H49*G49+I49*(J$31+J$36+J$41+J$46))*F49/F$51</f>
        <v>103.41037776624842</v>
      </c>
    </row>
    <row r="50" spans="2:18" x14ac:dyDescent="0.35">
      <c r="B50" s="7" t="str">
        <f>B45</f>
        <v>Q4</v>
      </c>
      <c r="C50" s="36">
        <f>+D49+1</f>
        <v>44562</v>
      </c>
      <c r="D50" s="36">
        <f>EOMONTH(C50,2)</f>
        <v>44651</v>
      </c>
      <c r="E50" s="23" t="str">
        <f>+E49</f>
        <v>FY 22</v>
      </c>
      <c r="F50" s="25">
        <f>+D50-C50+1</f>
        <v>90</v>
      </c>
      <c r="G50" s="40">
        <f t="shared" si="3"/>
        <v>3483.2463354464626</v>
      </c>
      <c r="H50" s="19">
        <f t="shared" si="3"/>
        <v>7.7396609903526564E-2</v>
      </c>
      <c r="I50" s="41">
        <f t="shared" si="3"/>
        <v>0.10239660990352657</v>
      </c>
      <c r="J50" s="30">
        <f>(H50*G50+I50*(J$31+J$36+J$41+J$46))*F50/F$51</f>
        <v>101.1623260756778</v>
      </c>
    </row>
    <row r="51" spans="2:18" x14ac:dyDescent="0.35">
      <c r="B51" s="7"/>
      <c r="C51" s="43"/>
      <c r="D51" s="43"/>
      <c r="E51" s="43"/>
      <c r="F51" s="44">
        <f>SUM(F47:F50)</f>
        <v>365</v>
      </c>
      <c r="G51" s="43"/>
      <c r="H51" s="43"/>
      <c r="I51" s="43"/>
      <c r="J51" s="1740">
        <f>SUM(J47:J50)</f>
        <v>410.26943352913776</v>
      </c>
    </row>
    <row r="52" spans="2:18" x14ac:dyDescent="0.35">
      <c r="G52" s="7" t="s">
        <v>259</v>
      </c>
      <c r="H52" s="7"/>
      <c r="I52" s="7"/>
      <c r="J52" s="21">
        <f>+J31</f>
        <v>110.87371083753197</v>
      </c>
    </row>
    <row r="53" spans="2:18" x14ac:dyDescent="0.35">
      <c r="G53" s="7" t="s">
        <v>260</v>
      </c>
      <c r="H53" s="7"/>
      <c r="I53" s="7"/>
      <c r="J53" s="21">
        <f>+J36</f>
        <v>404.74568200224013</v>
      </c>
    </row>
    <row r="54" spans="2:18" x14ac:dyDescent="0.35">
      <c r="G54" s="7" t="s">
        <v>2</v>
      </c>
      <c r="H54" s="7"/>
      <c r="I54" s="7"/>
      <c r="J54" s="21">
        <f>+J41</f>
        <v>415.53899769903626</v>
      </c>
    </row>
    <row r="55" spans="2:18" x14ac:dyDescent="0.35">
      <c r="G55" s="7" t="s">
        <v>3</v>
      </c>
      <c r="H55" s="7"/>
      <c r="I55" s="7"/>
      <c r="J55" s="21">
        <f>+J46</f>
        <v>442.69544934163048</v>
      </c>
    </row>
    <row r="56" spans="2:18" x14ac:dyDescent="0.35">
      <c r="G56" s="7" t="s">
        <v>4</v>
      </c>
      <c r="H56" s="7"/>
      <c r="I56" s="7"/>
      <c r="J56" s="21">
        <f>+J51</f>
        <v>410.26943352913776</v>
      </c>
    </row>
    <row r="57" spans="2:18" ht="15" thickBot="1" x14ac:dyDescent="0.4">
      <c r="G57" s="1741" t="s">
        <v>1567</v>
      </c>
      <c r="H57" s="1741"/>
      <c r="I57" s="1741"/>
      <c r="J57" s="1742">
        <f>SUM(J52:J56)</f>
        <v>1784.1232734095768</v>
      </c>
      <c r="R57" s="8"/>
    </row>
    <row r="58" spans="2:18" ht="15" thickTop="1" x14ac:dyDescent="0.35">
      <c r="C58" s="2" t="s">
        <v>1661</v>
      </c>
      <c r="J58" s="5"/>
    </row>
    <row r="59" spans="2:18" s="658" customFormat="1" x14ac:dyDescent="0.35">
      <c r="C59" s="1746" t="s">
        <v>1506</v>
      </c>
      <c r="D59" s="1746" t="s">
        <v>1507</v>
      </c>
      <c r="E59" s="1811" t="s">
        <v>1508</v>
      </c>
      <c r="F59" s="1812"/>
      <c r="G59" s="1746" t="s">
        <v>1509</v>
      </c>
      <c r="H59" s="1746" t="s">
        <v>207</v>
      </c>
      <c r="I59" s="1815" t="s">
        <v>1510</v>
      </c>
      <c r="J59" s="1816"/>
      <c r="K59" s="1746" t="s">
        <v>1511</v>
      </c>
      <c r="L59" s="1746" t="s">
        <v>1512</v>
      </c>
    </row>
    <row r="60" spans="2:18" x14ac:dyDescent="0.35">
      <c r="C60" s="1537">
        <f>+C47</f>
        <v>44287</v>
      </c>
      <c r="D60" s="45">
        <v>44651</v>
      </c>
      <c r="E60" s="1813">
        <f>+D60-C60+1</f>
        <v>365</v>
      </c>
      <c r="F60" s="1814"/>
      <c r="G60" s="1743">
        <f>+G50</f>
        <v>3483.2463354464626</v>
      </c>
      <c r="H60" s="1744">
        <f>+E15</f>
        <v>2.5000000000000001E-2</v>
      </c>
      <c r="I60" s="46"/>
      <c r="J60" s="47">
        <f>+H60*G60*E60/365</f>
        <v>87.081158386161576</v>
      </c>
      <c r="K60" s="1745">
        <f>J60*10%</f>
        <v>8.7081158386161572</v>
      </c>
      <c r="L60" s="1745">
        <f>J60-K60</f>
        <v>78.373042547545424</v>
      </c>
    </row>
    <row r="61" spans="2:18" x14ac:dyDescent="0.35">
      <c r="L61" s="8"/>
    </row>
    <row r="62" spans="2:18" x14ac:dyDescent="0.35">
      <c r="J62" s="8">
        <f>+J60+J57</f>
        <v>1871.2044317957384</v>
      </c>
    </row>
  </sheetData>
  <mergeCells count="3">
    <mergeCell ref="E59:F59"/>
    <mergeCell ref="E60:F60"/>
    <mergeCell ref="I59:J59"/>
  </mergeCells>
  <phoneticPr fontId="37" type="noConversion"/>
  <pageMargins left="0.7" right="0.7" top="0.75" bottom="0.75" header="0.3" footer="0.3"/>
  <pageSetup paperSize="9" scale="64"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5">
    <tabColor theme="2" tint="-9.9978637043366805E-2"/>
  </sheetPr>
  <dimension ref="A1:R73"/>
  <sheetViews>
    <sheetView showGridLines="0" zoomScale="80" zoomScaleNormal="80" workbookViewId="0">
      <pane xSplit="4" ySplit="4" topLeftCell="E5" activePane="bottomRight" state="frozen"/>
      <selection activeCell="L97" sqref="L97"/>
      <selection pane="topRight" activeCell="L97" sqref="L97"/>
      <selection pane="bottomLeft" activeCell="L97" sqref="L97"/>
      <selection pane="bottomRight" activeCell="M17" sqref="M17"/>
    </sheetView>
  </sheetViews>
  <sheetFormatPr defaultColWidth="8.54296875" defaultRowHeight="14.5" x14ac:dyDescent="0.35"/>
  <cols>
    <col min="1" max="1" width="8.54296875" style="51"/>
    <col min="2" max="2" width="51.453125" style="51" bestFit="1" customWidth="1"/>
    <col min="3" max="3" width="12" style="86" bestFit="1" customWidth="1"/>
    <col min="4" max="4" width="18.54296875" style="51" customWidth="1"/>
    <col min="5" max="6" width="14" style="51" bestFit="1" customWidth="1"/>
    <col min="7" max="7" width="14" style="51" customWidth="1"/>
    <col min="8" max="15" width="13.54296875" style="51" bestFit="1" customWidth="1"/>
    <col min="16" max="17" width="13.453125" style="51" hidden="1" customWidth="1"/>
    <col min="18" max="16384" width="8.54296875" style="51"/>
  </cols>
  <sheetData>
    <row r="1" spans="2:17" x14ac:dyDescent="0.35">
      <c r="B1" s="53"/>
    </row>
    <row r="2" spans="2:17" x14ac:dyDescent="0.35">
      <c r="B2" s="52" t="str">
        <f>'Stock movement'!B2</f>
        <v>All figures in INR Crores</v>
      </c>
    </row>
    <row r="3" spans="2:17" x14ac:dyDescent="0.35">
      <c r="B3" s="53"/>
      <c r="E3" s="51" t="s">
        <v>1601</v>
      </c>
      <c r="F3" s="51" t="s">
        <v>1601</v>
      </c>
      <c r="G3" s="51" t="s">
        <v>1601</v>
      </c>
    </row>
    <row r="4" spans="2:17" x14ac:dyDescent="0.35">
      <c r="B4" s="209" t="s">
        <v>251</v>
      </c>
      <c r="C4" s="271" t="s">
        <v>1</v>
      </c>
      <c r="D4" s="271" t="s">
        <v>520</v>
      </c>
      <c r="E4" s="183">
        <f>'Stock movement'!G4</f>
        <v>43921</v>
      </c>
      <c r="F4" s="183">
        <f>'Stock movement'!H4</f>
        <v>44286</v>
      </c>
      <c r="G4" s="183">
        <f>'Stock movement'!I4</f>
        <v>44651</v>
      </c>
      <c r="H4" s="183">
        <f>'Stock movement'!J4</f>
        <v>45016</v>
      </c>
      <c r="I4" s="183">
        <f>'Stock movement'!K4</f>
        <v>45382</v>
      </c>
      <c r="J4" s="183">
        <f>'Stock movement'!L4</f>
        <v>45747</v>
      </c>
      <c r="K4" s="183">
        <f>'Stock movement'!M4</f>
        <v>46112</v>
      </c>
      <c r="L4" s="183">
        <f>'Stock movement'!N4</f>
        <v>46477</v>
      </c>
      <c r="M4" s="183">
        <f>'Stock movement'!O4</f>
        <v>46843</v>
      </c>
      <c r="N4" s="183">
        <f>'Stock movement'!P4</f>
        <v>47208</v>
      </c>
      <c r="O4" s="183">
        <f>'Stock movement'!Q4</f>
        <v>47573</v>
      </c>
      <c r="P4" s="183">
        <f>'Stock movement'!R4</f>
        <v>47938</v>
      </c>
      <c r="Q4" s="183">
        <f>'Stock movement'!S4</f>
        <v>48304</v>
      </c>
    </row>
    <row r="5" spans="2:17" x14ac:dyDescent="0.35">
      <c r="B5" s="199" t="s">
        <v>315</v>
      </c>
      <c r="C5" s="272"/>
      <c r="D5" s="198"/>
      <c r="E5" s="198"/>
      <c r="F5" s="198"/>
      <c r="G5" s="198"/>
      <c r="H5" s="198"/>
      <c r="I5" s="198"/>
      <c r="J5" s="198"/>
      <c r="K5" s="198"/>
      <c r="L5" s="198"/>
      <c r="M5" s="198"/>
      <c r="N5" s="198"/>
      <c r="O5" s="198"/>
      <c r="P5" s="198"/>
      <c r="Q5" s="198"/>
    </row>
    <row r="6" spans="2:17" x14ac:dyDescent="0.35">
      <c r="B6" s="198" t="s">
        <v>13</v>
      </c>
      <c r="C6" s="272" t="s">
        <v>5</v>
      </c>
      <c r="D6" s="198"/>
      <c r="E6" s="237">
        <f>+'Stock movement'!G12</f>
        <v>77.875529999999998</v>
      </c>
      <c r="F6" s="237">
        <f>+'Stock movement'!H12</f>
        <v>66.372320000000002</v>
      </c>
      <c r="G6" s="237">
        <f>+'Stock movement'!I12</f>
        <v>64.262100000000004</v>
      </c>
      <c r="H6" s="237">
        <f>+'Stock movement'!J12</f>
        <v>59.272463414634139</v>
      </c>
      <c r="I6" s="237">
        <f>+'Stock movement'!K12</f>
        <v>65.404097560975615</v>
      </c>
      <c r="J6" s="237">
        <f>+'Stock movement'!L12</f>
        <v>67.447975609756085</v>
      </c>
      <c r="K6" s="237">
        <f>+'Stock movement'!M12</f>
        <v>67.447975609756085</v>
      </c>
      <c r="L6" s="237">
        <f>+'Stock movement'!N12</f>
        <v>67.447975609756085</v>
      </c>
      <c r="M6" s="237">
        <f>+'Stock movement'!O12</f>
        <v>67.447975609756085</v>
      </c>
      <c r="N6" s="237">
        <f>+'Stock movement'!P12</f>
        <v>67.447975609756085</v>
      </c>
      <c r="O6" s="237">
        <f>+'Stock movement'!Q12</f>
        <v>67.447975609756085</v>
      </c>
      <c r="P6" s="237">
        <f>+'Stock movement'!R12</f>
        <v>67.447975609756085</v>
      </c>
      <c r="Q6" s="237">
        <f>+'Stock movement'!S12</f>
        <v>67.447975609756085</v>
      </c>
    </row>
    <row r="7" spans="2:17" x14ac:dyDescent="0.35">
      <c r="B7" s="198" t="s">
        <v>16</v>
      </c>
      <c r="C7" s="272" t="s">
        <v>5</v>
      </c>
      <c r="D7" s="198"/>
      <c r="E7" s="237">
        <f>+'Stock movement'!G17</f>
        <v>0.10580000000000001</v>
      </c>
      <c r="F7" s="237">
        <f>+'Stock movement'!H17</f>
        <v>0.17101999999999998</v>
      </c>
      <c r="G7" s="237">
        <f>+'Stock movement'!I17</f>
        <v>9.332E-2</v>
      </c>
      <c r="H7" s="237">
        <f>+'Stock movement'!J17</f>
        <v>9.332E-2</v>
      </c>
      <c r="I7" s="237">
        <f>+'Stock movement'!K17</f>
        <v>9.332E-2</v>
      </c>
      <c r="J7" s="237">
        <f>+'Stock movement'!L17</f>
        <v>9.332E-2</v>
      </c>
      <c r="K7" s="237">
        <f>+'Stock movement'!M17</f>
        <v>9.332E-2</v>
      </c>
      <c r="L7" s="237">
        <f>+'Stock movement'!N17</f>
        <v>9.332E-2</v>
      </c>
      <c r="M7" s="237">
        <f>+'Stock movement'!O17</f>
        <v>9.332E-2</v>
      </c>
      <c r="N7" s="237">
        <f>+'Stock movement'!P17</f>
        <v>9.332E-2</v>
      </c>
      <c r="O7" s="237">
        <f>+'Stock movement'!Q17</f>
        <v>9.332E-2</v>
      </c>
      <c r="P7" s="237">
        <f>+'Stock movement'!R17</f>
        <v>9.332E-2</v>
      </c>
      <c r="Q7" s="237">
        <f>+'Stock movement'!S17</f>
        <v>9.332E-2</v>
      </c>
    </row>
    <row r="8" spans="2:17" x14ac:dyDescent="0.35">
      <c r="B8" s="198" t="s">
        <v>316</v>
      </c>
      <c r="C8" s="272" t="s">
        <v>5</v>
      </c>
      <c r="D8" s="198"/>
      <c r="E8" s="237">
        <f>+'Stock movement'!G28+'Stock movement'!G76</f>
        <v>38.8361862</v>
      </c>
      <c r="F8" s="237">
        <f>+'Stock movement'!H28+'Stock movement'!H76</f>
        <v>23.163194800000003</v>
      </c>
      <c r="G8" s="237">
        <f>+'Stock movement'!I28+'Stock movement'!I76</f>
        <v>5.4302087000000041</v>
      </c>
      <c r="H8" s="237">
        <f>+'Stock movement'!J28+'Stock movement'!J76</f>
        <v>0</v>
      </c>
      <c r="I8" s="237">
        <f>+'Stock movement'!K28+'Stock movement'!K76</f>
        <v>0</v>
      </c>
      <c r="J8" s="237">
        <f>+'Stock movement'!L28+'Stock movement'!L76</f>
        <v>0</v>
      </c>
      <c r="K8" s="237">
        <f>+'Stock movement'!M28+'Stock movement'!M76</f>
        <v>0</v>
      </c>
      <c r="L8" s="237">
        <f>+'Stock movement'!N28+'Stock movement'!N76</f>
        <v>0</v>
      </c>
      <c r="M8" s="237">
        <f>+'Stock movement'!O28+'Stock movement'!O76</f>
        <v>0</v>
      </c>
      <c r="N8" s="237">
        <f>+'Stock movement'!P28+'Stock movement'!P76</f>
        <v>0</v>
      </c>
      <c r="O8" s="237">
        <f>+'Stock movement'!Q28+'Stock movement'!Q76</f>
        <v>0</v>
      </c>
      <c r="P8" s="237">
        <f>+'Stock movement'!R28+'Stock movement'!R76</f>
        <v>0</v>
      </c>
      <c r="Q8" s="237">
        <f>+'Stock movement'!S28+'Stock movement'!S76</f>
        <v>0</v>
      </c>
    </row>
    <row r="9" spans="2:17" x14ac:dyDescent="0.35">
      <c r="B9" s="198" t="s">
        <v>317</v>
      </c>
      <c r="C9" s="272" t="s">
        <v>5</v>
      </c>
      <c r="D9" s="198"/>
      <c r="E9" s="237">
        <f>+'Stock movement'!G39+'Stock movement'!G85</f>
        <v>0</v>
      </c>
      <c r="F9" s="237">
        <f>+'Stock movement'!H39+'Stock movement'!H85</f>
        <v>14.9372053</v>
      </c>
      <c r="G9" s="237">
        <f>+'Stock movement'!I39+'Stock movement'!I85</f>
        <v>27.672593099999993</v>
      </c>
      <c r="H9" s="237">
        <f>+'Stock movement'!J39+'Stock movement'!J85</f>
        <v>41.154131767516624</v>
      </c>
      <c r="I9" s="237">
        <f>+'Stock movement'!K39+'Stock movement'!K85</f>
        <v>41.947472560975612</v>
      </c>
      <c r="J9" s="237">
        <f>+'Stock movement'!L39+'Stock movement'!L85</f>
        <v>43.185846868070954</v>
      </c>
      <c r="K9" s="237">
        <f>+'Stock movement'!M39+'Stock movement'!M85</f>
        <v>43.244817073170736</v>
      </c>
      <c r="L9" s="237">
        <f>+'Stock movement'!N39+'Stock movement'!N85</f>
        <v>43.244817073170736</v>
      </c>
      <c r="M9" s="237">
        <f>+'Stock movement'!O39+'Stock movement'!O85</f>
        <v>43.244817073170736</v>
      </c>
      <c r="N9" s="237">
        <f>+'Stock movement'!P39+'Stock movement'!P85</f>
        <v>43.244817073170736</v>
      </c>
      <c r="O9" s="237">
        <f>+'Stock movement'!Q39+'Stock movement'!Q85</f>
        <v>43.244817073170736</v>
      </c>
      <c r="P9" s="237">
        <f>+'Stock movement'!R39+'Stock movement'!R85</f>
        <v>43.244817073170736</v>
      </c>
      <c r="Q9" s="237">
        <f>+'Stock movement'!S39+'Stock movement'!S85</f>
        <v>43.244817073170736</v>
      </c>
    </row>
    <row r="10" spans="2:17" x14ac:dyDescent="0.35">
      <c r="B10" s="198" t="s">
        <v>310</v>
      </c>
      <c r="C10" s="272" t="s">
        <v>30</v>
      </c>
      <c r="D10" s="198"/>
      <c r="E10" s="237">
        <f>+'Stock movement'!G101</f>
        <v>47.644580999999938</v>
      </c>
      <c r="F10" s="237">
        <f>+'Stock movement'!H101</f>
        <v>66.108048999999951</v>
      </c>
      <c r="G10" s="237">
        <f>+'Stock movement'!I101</f>
        <v>49.319337399999903</v>
      </c>
      <c r="H10" s="237">
        <f>+'Stock movement'!J101</f>
        <v>0</v>
      </c>
      <c r="I10" s="237">
        <f>+'Stock movement'!K101</f>
        <v>0</v>
      </c>
      <c r="J10" s="237">
        <f>+'Stock movement'!L101</f>
        <v>0</v>
      </c>
      <c r="K10" s="237">
        <f>+'Stock movement'!M101</f>
        <v>0</v>
      </c>
      <c r="L10" s="237">
        <f>+'Stock movement'!N101</f>
        <v>0</v>
      </c>
      <c r="M10" s="237">
        <f>+'Stock movement'!O101</f>
        <v>0</v>
      </c>
      <c r="N10" s="237">
        <f>+'Stock movement'!P101</f>
        <v>0</v>
      </c>
      <c r="O10" s="237">
        <f>+'Stock movement'!Q101</f>
        <v>0</v>
      </c>
      <c r="P10" s="237">
        <f>+'Stock movement'!R101</f>
        <v>0</v>
      </c>
      <c r="Q10" s="237">
        <f>+'Stock movement'!S101</f>
        <v>0</v>
      </c>
    </row>
    <row r="11" spans="2:17" x14ac:dyDescent="0.35">
      <c r="B11" s="198" t="s">
        <v>311</v>
      </c>
      <c r="C11" s="272" t="s">
        <v>30</v>
      </c>
      <c r="D11" s="198"/>
      <c r="E11" s="237">
        <f>+'Stock movement'!G108</f>
        <v>0</v>
      </c>
      <c r="F11" s="237">
        <f>+'Stock movement'!H108</f>
        <v>42.523699999999998</v>
      </c>
      <c r="G11" s="237">
        <f>+'Stock movement'!I108</f>
        <v>29.405923999999999</v>
      </c>
      <c r="H11" s="237">
        <f>+'Stock movement'!J108</f>
        <v>150.05880830660755</v>
      </c>
      <c r="I11" s="237">
        <f>+'Stock movement'!K108</f>
        <v>199.38094883627494</v>
      </c>
      <c r="J11" s="237">
        <f>+'Stock movement'!L108</f>
        <v>204.60302361419065</v>
      </c>
      <c r="K11" s="237">
        <f>+'Stock movement'!M108</f>
        <v>207.43359345898003</v>
      </c>
      <c r="L11" s="237">
        <f>+'Stock movement'!N108</f>
        <v>207.57512195121953</v>
      </c>
      <c r="M11" s="237">
        <f>+'Stock movement'!O108</f>
        <v>207.57512195121953</v>
      </c>
      <c r="N11" s="237">
        <f>+'Stock movement'!P108</f>
        <v>207.57512195121953</v>
      </c>
      <c r="O11" s="237">
        <f>+'Stock movement'!Q108</f>
        <v>207.57512195121953</v>
      </c>
      <c r="P11" s="237">
        <f>+'Stock movement'!R108</f>
        <v>207.57512195121953</v>
      </c>
      <c r="Q11" s="237">
        <f>+'Stock movement'!S108</f>
        <v>207.57512195121953</v>
      </c>
    </row>
    <row r="12" spans="2:17" x14ac:dyDescent="0.35">
      <c r="B12" s="198"/>
      <c r="C12" s="272"/>
      <c r="D12" s="198"/>
      <c r="E12" s="237"/>
      <c r="F12" s="237"/>
      <c r="G12" s="237"/>
      <c r="H12" s="237"/>
      <c r="I12" s="237"/>
      <c r="J12" s="237"/>
      <c r="K12" s="237"/>
      <c r="L12" s="237"/>
      <c r="M12" s="237"/>
      <c r="N12" s="237"/>
      <c r="O12" s="237"/>
      <c r="P12" s="237"/>
      <c r="Q12" s="237"/>
    </row>
    <row r="13" spans="2:17" x14ac:dyDescent="0.35">
      <c r="B13" s="199" t="s">
        <v>23</v>
      </c>
      <c r="C13" s="272"/>
      <c r="D13" s="198"/>
      <c r="E13" s="237"/>
      <c r="F13" s="237"/>
      <c r="G13" s="237"/>
      <c r="H13" s="237"/>
      <c r="I13" s="237"/>
      <c r="J13" s="237"/>
      <c r="K13" s="237"/>
      <c r="L13" s="237"/>
      <c r="M13" s="237"/>
      <c r="N13" s="237"/>
      <c r="O13" s="237"/>
      <c r="P13" s="237"/>
      <c r="Q13" s="237"/>
    </row>
    <row r="14" spans="2:17" x14ac:dyDescent="0.35">
      <c r="B14" s="198" t="s">
        <v>13</v>
      </c>
      <c r="C14" s="272" t="s">
        <v>84</v>
      </c>
      <c r="D14" s="198"/>
      <c r="E14" s="237">
        <f>+Assumptions!G46</f>
        <v>3261.4174997408254</v>
      </c>
      <c r="F14" s="237">
        <f>+Assumptions!H46</f>
        <v>3201.1113904878807</v>
      </c>
      <c r="G14" s="237">
        <f>+Assumptions!I46</f>
        <v>3412.07</v>
      </c>
      <c r="H14" s="237">
        <f>+Assumptions!J46</f>
        <v>3500</v>
      </c>
      <c r="I14" s="237">
        <f>+Assumptions!K46</f>
        <v>3587.4999999999995</v>
      </c>
      <c r="J14" s="237">
        <f>+Assumptions!L46</f>
        <v>3677.1874999999991</v>
      </c>
      <c r="K14" s="237">
        <f>+Assumptions!M46</f>
        <v>3769.1171874999986</v>
      </c>
      <c r="L14" s="237">
        <f>+Assumptions!N46</f>
        <v>3863.3451171874981</v>
      </c>
      <c r="M14" s="237">
        <f>+Assumptions!O46</f>
        <v>3959.9287451171854</v>
      </c>
      <c r="N14" s="237">
        <f>+Assumptions!P46</f>
        <v>4058.9269637451148</v>
      </c>
      <c r="O14" s="237">
        <f>+Assumptions!Q46</f>
        <v>4160.400137838742</v>
      </c>
      <c r="P14" s="237">
        <f>+Assumptions!R46</f>
        <v>4264.4101412847103</v>
      </c>
      <c r="Q14" s="237">
        <f>+Assumptions!S46</f>
        <v>4371.0203948168273</v>
      </c>
    </row>
    <row r="15" spans="2:17" x14ac:dyDescent="0.35">
      <c r="B15" s="198" t="s">
        <v>16</v>
      </c>
      <c r="C15" s="272" t="s">
        <v>84</v>
      </c>
      <c r="D15" s="272" t="s">
        <v>521</v>
      </c>
      <c r="E15" s="237">
        <f>+E14*80%</f>
        <v>2609.1339997926607</v>
      </c>
      <c r="F15" s="237">
        <f t="shared" ref="F15:N15" si="0">+F14*80%</f>
        <v>2560.8891123903049</v>
      </c>
      <c r="G15" s="237">
        <f t="shared" ref="G15" si="1">+G14*80%</f>
        <v>2729.6560000000004</v>
      </c>
      <c r="H15" s="237">
        <f t="shared" si="0"/>
        <v>2800</v>
      </c>
      <c r="I15" s="237">
        <f t="shared" si="0"/>
        <v>2870</v>
      </c>
      <c r="J15" s="237">
        <f t="shared" si="0"/>
        <v>2941.7499999999995</v>
      </c>
      <c r="K15" s="237">
        <f t="shared" si="0"/>
        <v>3015.2937499999989</v>
      </c>
      <c r="L15" s="237">
        <f t="shared" si="0"/>
        <v>3090.6760937499985</v>
      </c>
      <c r="M15" s="237">
        <f t="shared" si="0"/>
        <v>3167.9429960937487</v>
      </c>
      <c r="N15" s="237">
        <f t="shared" si="0"/>
        <v>3247.141570996092</v>
      </c>
      <c r="O15" s="237">
        <f>+O14*80%</f>
        <v>3328.3201102709936</v>
      </c>
      <c r="P15" s="237">
        <f>+P14*80%</f>
        <v>3411.5281130277685</v>
      </c>
      <c r="Q15" s="237">
        <f>+Q14*80%</f>
        <v>3496.8163158534621</v>
      </c>
    </row>
    <row r="16" spans="2:17" x14ac:dyDescent="0.35">
      <c r="B16" s="198" t="s">
        <v>316</v>
      </c>
      <c r="C16" s="272" t="s">
        <v>84</v>
      </c>
      <c r="D16" s="198"/>
      <c r="E16" s="237">
        <f>Assumptions!G49</f>
        <v>241.17925091226391</v>
      </c>
      <c r="F16" s="237">
        <f>Assumptions!H49</f>
        <v>347.79624514872438</v>
      </c>
      <c r="G16" s="237">
        <f>Assumptions!I49</f>
        <v>500</v>
      </c>
      <c r="H16" s="237">
        <f>Assumptions!J49</f>
        <v>550</v>
      </c>
      <c r="I16" s="237">
        <f>Assumptions!K49</f>
        <v>561</v>
      </c>
      <c r="J16" s="237">
        <f>Assumptions!L49</f>
        <v>572.22</v>
      </c>
      <c r="K16" s="237">
        <f>Assumptions!M49</f>
        <v>583.6644</v>
      </c>
      <c r="L16" s="237">
        <f>Assumptions!N49</f>
        <v>595.33768799999996</v>
      </c>
      <c r="M16" s="237">
        <f>Assumptions!O49</f>
        <v>607.24444175999997</v>
      </c>
      <c r="N16" s="237">
        <f>Assumptions!P49</f>
        <v>619.38933059520002</v>
      </c>
      <c r="O16" s="237">
        <f>Assumptions!Q49</f>
        <v>631.77711720710408</v>
      </c>
      <c r="P16" s="237">
        <f>Assumptions!R49</f>
        <v>644.41265955124618</v>
      </c>
      <c r="Q16" s="237">
        <f>Assumptions!S49</f>
        <v>657.30091274227107</v>
      </c>
    </row>
    <row r="17" spans="2:17" x14ac:dyDescent="0.35">
      <c r="B17" s="198" t="s">
        <v>317</v>
      </c>
      <c r="C17" s="272" t="s">
        <v>84</v>
      </c>
      <c r="D17" s="198"/>
      <c r="E17" s="237">
        <f>Assumptions!G50</f>
        <v>950</v>
      </c>
      <c r="F17" s="237">
        <f>Assumptions!H50</f>
        <v>950</v>
      </c>
      <c r="G17" s="237">
        <f>Assumptions!I50</f>
        <v>965.26</v>
      </c>
      <c r="H17" s="237">
        <f>Assumptions!J50</f>
        <v>1100</v>
      </c>
      <c r="I17" s="237">
        <f>Assumptions!K50</f>
        <v>1122</v>
      </c>
      <c r="J17" s="237">
        <f>Assumptions!L50</f>
        <v>1144.44</v>
      </c>
      <c r="K17" s="237">
        <f>Assumptions!M50</f>
        <v>1167.3288</v>
      </c>
      <c r="L17" s="237">
        <f>Assumptions!N50</f>
        <v>1190.6753759999999</v>
      </c>
      <c r="M17" s="237">
        <f>Assumptions!O50</f>
        <v>1214.4888835199999</v>
      </c>
      <c r="N17" s="237">
        <f>Assumptions!P50</f>
        <v>1238.7786611904</v>
      </c>
      <c r="O17" s="237">
        <f>Assumptions!Q50</f>
        <v>1263.5542344142082</v>
      </c>
      <c r="P17" s="237">
        <f>Assumptions!R50</f>
        <v>1288.8253191024924</v>
      </c>
      <c r="Q17" s="237">
        <f>Assumptions!S50</f>
        <v>1314.6018254845421</v>
      </c>
    </row>
    <row r="18" spans="2:17" x14ac:dyDescent="0.35">
      <c r="B18" s="198" t="s">
        <v>310</v>
      </c>
      <c r="C18" s="272" t="s">
        <v>49</v>
      </c>
      <c r="D18" s="198"/>
      <c r="E18" s="237">
        <f>Assumptions!G120</f>
        <v>41.640999999999998</v>
      </c>
      <c r="F18" s="237">
        <f>Assumptions!H120</f>
        <v>42.673999999999999</v>
      </c>
      <c r="G18" s="237">
        <f>Assumptions!I120</f>
        <v>42.32</v>
      </c>
      <c r="H18" s="237">
        <f>Assumptions!J120</f>
        <v>46.972621999999994</v>
      </c>
      <c r="I18" s="237">
        <f>Assumptions!K120</f>
        <v>47.593199999999996</v>
      </c>
      <c r="J18" s="237">
        <f>Assumptions!L120</f>
        <v>48.545063999999996</v>
      </c>
      <c r="K18" s="237">
        <f>Assumptions!M120</f>
        <v>49.515965279999996</v>
      </c>
      <c r="L18" s="237">
        <f>Assumptions!N120</f>
        <v>50.5062845856</v>
      </c>
      <c r="M18" s="237">
        <f>Assumptions!O120</f>
        <v>51.516410277311998</v>
      </c>
      <c r="N18" s="237">
        <f>Assumptions!P120</f>
        <v>52.546738482858238</v>
      </c>
      <c r="O18" s="237">
        <f>Assumptions!Q120</f>
        <v>53.597673252515406</v>
      </c>
      <c r="P18" s="237">
        <f>Assumptions!R120</f>
        <v>54.669626717565713</v>
      </c>
      <c r="Q18" s="237">
        <f>Assumptions!S120</f>
        <v>55.763019251917029</v>
      </c>
    </row>
    <row r="19" spans="2:17" x14ac:dyDescent="0.35">
      <c r="B19" s="198" t="s">
        <v>311</v>
      </c>
      <c r="C19" s="272" t="s">
        <v>49</v>
      </c>
      <c r="D19" s="198"/>
      <c r="E19" s="237">
        <f>Assumptions!G121</f>
        <v>0</v>
      </c>
      <c r="F19" s="237">
        <f>Assumptions!H121</f>
        <v>57.59335100320385</v>
      </c>
      <c r="G19" s="237">
        <f>Assumptions!I121</f>
        <v>58.23</v>
      </c>
      <c r="H19" s="237">
        <f>Assumptions!J121</f>
        <v>59.475835999999994</v>
      </c>
      <c r="I19" s="237">
        <f>Assumptions!K121</f>
        <v>60.261600000000001</v>
      </c>
      <c r="J19" s="237">
        <f>Assumptions!L121</f>
        <v>61.466832000000004</v>
      </c>
      <c r="K19" s="237">
        <f>Assumptions!M121</f>
        <v>62.696168640000003</v>
      </c>
      <c r="L19" s="237">
        <f>Assumptions!N121</f>
        <v>63.950092012800006</v>
      </c>
      <c r="M19" s="237">
        <f>Assumptions!O121</f>
        <v>65.229093853056014</v>
      </c>
      <c r="N19" s="237">
        <f>Assumptions!P121</f>
        <v>66.533675730117139</v>
      </c>
      <c r="O19" s="237">
        <f>Assumptions!Q121</f>
        <v>67.864349244719477</v>
      </c>
      <c r="P19" s="237">
        <f>Assumptions!R121</f>
        <v>69.221636229613864</v>
      </c>
      <c r="Q19" s="237">
        <f>Assumptions!S121</f>
        <v>70.606068954206137</v>
      </c>
    </row>
    <row r="20" spans="2:17" x14ac:dyDescent="0.35">
      <c r="B20" s="198"/>
      <c r="C20" s="272"/>
      <c r="D20" s="198"/>
      <c r="E20" s="237"/>
      <c r="F20" s="237"/>
      <c r="G20" s="237"/>
      <c r="H20" s="237"/>
      <c r="I20" s="237"/>
      <c r="J20" s="237"/>
      <c r="K20" s="237"/>
      <c r="L20" s="237"/>
      <c r="M20" s="237"/>
      <c r="N20" s="237"/>
      <c r="O20" s="237"/>
      <c r="P20" s="237"/>
      <c r="Q20" s="237"/>
    </row>
    <row r="21" spans="2:17" x14ac:dyDescent="0.35">
      <c r="B21" s="199" t="s">
        <v>125</v>
      </c>
      <c r="C21" s="272"/>
      <c r="D21" s="198"/>
      <c r="E21" s="237"/>
      <c r="F21" s="237"/>
      <c r="G21" s="237"/>
      <c r="H21" s="237"/>
      <c r="I21" s="237"/>
      <c r="J21" s="237"/>
      <c r="K21" s="237"/>
      <c r="L21" s="237"/>
      <c r="M21" s="237"/>
      <c r="N21" s="237"/>
      <c r="O21" s="237"/>
      <c r="P21" s="237"/>
      <c r="Q21" s="237"/>
    </row>
    <row r="22" spans="2:17" x14ac:dyDescent="0.35">
      <c r="B22" s="198" t="s">
        <v>13</v>
      </c>
      <c r="C22" s="272" t="s">
        <v>88</v>
      </c>
      <c r="D22" s="198"/>
      <c r="E22" s="237">
        <f t="shared" ref="E22:P22" si="2">+E6*E14/100</f>
        <v>2539.8461634359164</v>
      </c>
      <c r="F22" s="237">
        <f t="shared" si="2"/>
        <v>2124.6518956510658</v>
      </c>
      <c r="G22" s="237">
        <f t="shared" ref="G22" si="3">+G6*G14/100</f>
        <v>2192.6678354700002</v>
      </c>
      <c r="H22" s="237">
        <f t="shared" si="2"/>
        <v>2074.5362195121947</v>
      </c>
      <c r="I22" s="237">
        <f t="shared" si="2"/>
        <v>2346.3719999999998</v>
      </c>
      <c r="J22" s="237">
        <f t="shared" si="2"/>
        <v>2480.1885281249988</v>
      </c>
      <c r="K22" s="237">
        <f t="shared" si="2"/>
        <v>2542.1932413281233</v>
      </c>
      <c r="L22" s="237">
        <f t="shared" si="2"/>
        <v>2605.7480723613266</v>
      </c>
      <c r="M22" s="237">
        <f t="shared" si="2"/>
        <v>2670.891774170359</v>
      </c>
      <c r="N22" s="237">
        <f t="shared" si="2"/>
        <v>2737.664068524618</v>
      </c>
      <c r="O22" s="237">
        <f t="shared" si="2"/>
        <v>2806.1056702377332</v>
      </c>
      <c r="P22" s="237">
        <f t="shared" si="2"/>
        <v>2876.2583119936767</v>
      </c>
      <c r="Q22" s="237">
        <f>+Q6*Q14/100</f>
        <v>2948.1647697935177</v>
      </c>
    </row>
    <row r="23" spans="2:17" x14ac:dyDescent="0.35">
      <c r="B23" s="198" t="s">
        <v>16</v>
      </c>
      <c r="C23" s="272" t="s">
        <v>88</v>
      </c>
      <c r="D23" s="198"/>
      <c r="E23" s="237">
        <f t="shared" ref="E23:P23" si="4">+E7*E15/100</f>
        <v>2.7604637717806351</v>
      </c>
      <c r="F23" s="237">
        <f t="shared" si="4"/>
        <v>4.3796325600098989</v>
      </c>
      <c r="G23" s="237">
        <f t="shared" ref="G23" si="5">+G7*G15/100</f>
        <v>2.5473149792000003</v>
      </c>
      <c r="H23" s="237">
        <f t="shared" si="4"/>
        <v>2.6129599999999997</v>
      </c>
      <c r="I23" s="237">
        <f t="shared" si="4"/>
        <v>2.6782839999999997</v>
      </c>
      <c r="J23" s="237">
        <f t="shared" si="4"/>
        <v>2.7452410999999994</v>
      </c>
      <c r="K23" s="237">
        <f t="shared" si="4"/>
        <v>2.8138721274999989</v>
      </c>
      <c r="L23" s="237">
        <f t="shared" si="4"/>
        <v>2.8842189306874984</v>
      </c>
      <c r="M23" s="237">
        <f t="shared" si="4"/>
        <v>2.9563244039546861</v>
      </c>
      <c r="N23" s="237">
        <f t="shared" si="4"/>
        <v>3.0302325140535533</v>
      </c>
      <c r="O23" s="237">
        <f t="shared" si="4"/>
        <v>3.1059883269048911</v>
      </c>
      <c r="P23" s="237">
        <f t="shared" si="4"/>
        <v>3.1836380350775135</v>
      </c>
      <c r="Q23" s="237">
        <f>+Q7*Q15/100</f>
        <v>3.2632289859544512</v>
      </c>
    </row>
    <row r="24" spans="2:17" x14ac:dyDescent="0.35">
      <c r="B24" s="236" t="s">
        <v>314</v>
      </c>
      <c r="C24" s="272" t="s">
        <v>88</v>
      </c>
      <c r="D24" s="236"/>
      <c r="E24" s="330">
        <f>-'Working - Corporate'!G185</f>
        <v>-4439.5200000000004</v>
      </c>
      <c r="F24" s="330">
        <f>-'Working - Corporate'!H185</f>
        <v>-4459.92</v>
      </c>
      <c r="G24" s="330">
        <f>-'Working - Corporate'!I185</f>
        <v>-4092.248034621</v>
      </c>
      <c r="H24" s="330">
        <f>-'Working - Corporate'!J185</f>
        <v>-2902.9878843898487</v>
      </c>
      <c r="I24" s="330">
        <f>-'Working - Corporate'!K185</f>
        <v>-3065.6014684800607</v>
      </c>
      <c r="J24" s="330">
        <f>-'Working - Corporate'!L185</f>
        <v>-2132.7151778444295</v>
      </c>
      <c r="K24" s="330">
        <f>-'Working - Corporate'!M185</f>
        <v>-1883.2255016751856</v>
      </c>
      <c r="L24" s="330">
        <f>-'Working - Corporate'!N185</f>
        <v>-1739.3603407772787</v>
      </c>
      <c r="M24" s="330">
        <f>-'Working - Corporate'!O185</f>
        <v>-1648.8905173305584</v>
      </c>
      <c r="N24" s="330">
        <f>-'Working - Corporate'!P185</f>
        <v>-1517.6017193716502</v>
      </c>
      <c r="O24" s="330">
        <f>-'Working - Corporate'!Q185</f>
        <v>-1343.1147831336652</v>
      </c>
      <c r="P24" s="330">
        <f>-'Working - Corporate'!R185</f>
        <v>-978.27291653428517</v>
      </c>
      <c r="Q24" s="330">
        <f>-'Working - Corporate'!S185</f>
        <v>-616.45693700015579</v>
      </c>
    </row>
    <row r="25" spans="2:17" x14ac:dyDescent="0.35">
      <c r="B25" s="279" t="s">
        <v>322</v>
      </c>
      <c r="C25" s="280" t="s">
        <v>88</v>
      </c>
      <c r="D25" s="279"/>
      <c r="E25" s="320">
        <f>SUM(E22:E24)</f>
        <v>-1896.9133727923036</v>
      </c>
      <c r="F25" s="320">
        <f t="shared" ref="F25:N25" si="6">SUM(F22:F24)</f>
        <v>-2330.8884717889241</v>
      </c>
      <c r="G25" s="320">
        <f t="shared" ref="G25" si="7">SUM(G22:G24)</f>
        <v>-1897.0328841717997</v>
      </c>
      <c r="H25" s="320">
        <f t="shared" si="6"/>
        <v>-825.83870487765398</v>
      </c>
      <c r="I25" s="320">
        <f t="shared" si="6"/>
        <v>-716.55118448006078</v>
      </c>
      <c r="J25" s="320">
        <f t="shared" si="6"/>
        <v>350.21859138056925</v>
      </c>
      <c r="K25" s="320">
        <f t="shared" si="6"/>
        <v>661.78161178043774</v>
      </c>
      <c r="L25" s="320">
        <f t="shared" si="6"/>
        <v>869.27195051473541</v>
      </c>
      <c r="M25" s="320">
        <f t="shared" si="6"/>
        <v>1024.9575812437552</v>
      </c>
      <c r="N25" s="320">
        <f t="shared" si="6"/>
        <v>1223.0925816670215</v>
      </c>
      <c r="O25" s="320">
        <f>SUM(O22:O24)</f>
        <v>1466.0968754309729</v>
      </c>
      <c r="P25" s="320">
        <f>SUM(P22:P24)</f>
        <v>1901.1690334944687</v>
      </c>
      <c r="Q25" s="320">
        <f>SUM(Q22:Q24)</f>
        <v>2334.9710617793162</v>
      </c>
    </row>
    <row r="26" spans="2:17" x14ac:dyDescent="0.35">
      <c r="B26" s="198" t="s">
        <v>316</v>
      </c>
      <c r="C26" s="272" t="s">
        <v>88</v>
      </c>
      <c r="D26" s="198"/>
      <c r="E26" s="237">
        <f t="shared" ref="E26:P26" si="8">+E8*E16/100</f>
        <v>93.664822960052007</v>
      </c>
      <c r="F26" s="237">
        <f t="shared" si="8"/>
        <v>80.560721770884598</v>
      </c>
      <c r="G26" s="237">
        <f t="shared" ref="G26" si="9">+G8*G16/100</f>
        <v>27.151043500000018</v>
      </c>
      <c r="H26" s="237">
        <f t="shared" si="8"/>
        <v>0</v>
      </c>
      <c r="I26" s="237">
        <f t="shared" si="8"/>
        <v>0</v>
      </c>
      <c r="J26" s="237">
        <f t="shared" si="8"/>
        <v>0</v>
      </c>
      <c r="K26" s="237">
        <f t="shared" si="8"/>
        <v>0</v>
      </c>
      <c r="L26" s="237">
        <f t="shared" si="8"/>
        <v>0</v>
      </c>
      <c r="M26" s="237">
        <f t="shared" si="8"/>
        <v>0</v>
      </c>
      <c r="N26" s="237">
        <f t="shared" si="8"/>
        <v>0</v>
      </c>
      <c r="O26" s="237">
        <f t="shared" si="8"/>
        <v>0</v>
      </c>
      <c r="P26" s="237">
        <f t="shared" si="8"/>
        <v>0</v>
      </c>
      <c r="Q26" s="237">
        <f>+Q8*Q16/100</f>
        <v>0</v>
      </c>
    </row>
    <row r="27" spans="2:17" x14ac:dyDescent="0.35">
      <c r="B27" s="198" t="s">
        <v>317</v>
      </c>
      <c r="C27" s="272" t="s">
        <v>88</v>
      </c>
      <c r="D27" s="198"/>
      <c r="E27" s="237">
        <f t="shared" ref="E27:P27" si="10">+E9*E17/100</f>
        <v>0</v>
      </c>
      <c r="F27" s="237">
        <f t="shared" si="10"/>
        <v>141.90345035000001</v>
      </c>
      <c r="G27" s="237">
        <f t="shared" ref="G27" si="11">+G9*G17/100</f>
        <v>267.11247215705993</v>
      </c>
      <c r="H27" s="237">
        <f t="shared" si="10"/>
        <v>452.6954494426829</v>
      </c>
      <c r="I27" s="237">
        <f t="shared" si="10"/>
        <v>470.65064213414638</v>
      </c>
      <c r="J27" s="237">
        <f t="shared" si="10"/>
        <v>494.23610589695124</v>
      </c>
      <c r="K27" s="237">
        <f t="shared" si="10"/>
        <v>504.80920420243905</v>
      </c>
      <c r="L27" s="237">
        <f t="shared" si="10"/>
        <v>514.90538828648778</v>
      </c>
      <c r="M27" s="237">
        <f t="shared" si="10"/>
        <v>525.20349605221759</v>
      </c>
      <c r="N27" s="237">
        <f t="shared" si="10"/>
        <v>535.70756597326192</v>
      </c>
      <c r="O27" s="237">
        <f t="shared" si="10"/>
        <v>546.42171729272729</v>
      </c>
      <c r="P27" s="237">
        <f t="shared" si="10"/>
        <v>557.35015163858179</v>
      </c>
      <c r="Q27" s="237">
        <f>+Q9*Q17/100</f>
        <v>568.49715467135343</v>
      </c>
    </row>
    <row r="28" spans="2:17" x14ac:dyDescent="0.35">
      <c r="B28" s="198" t="s">
        <v>310</v>
      </c>
      <c r="C28" s="272" t="s">
        <v>88</v>
      </c>
      <c r="D28" s="198"/>
      <c r="E28" s="237">
        <f t="shared" ref="E28:P28" si="12">+E10*E18/100</f>
        <v>19.839679974209972</v>
      </c>
      <c r="F28" s="237">
        <f t="shared" si="12"/>
        <v>28.21094883025998</v>
      </c>
      <c r="G28" s="237">
        <f t="shared" ref="G28" si="13">+G10*G18/100</f>
        <v>20.871943587679958</v>
      </c>
      <c r="H28" s="237">
        <f t="shared" si="12"/>
        <v>0</v>
      </c>
      <c r="I28" s="237">
        <f t="shared" si="12"/>
        <v>0</v>
      </c>
      <c r="J28" s="237">
        <f t="shared" si="12"/>
        <v>0</v>
      </c>
      <c r="K28" s="237">
        <f t="shared" si="12"/>
        <v>0</v>
      </c>
      <c r="L28" s="237">
        <f t="shared" si="12"/>
        <v>0</v>
      </c>
      <c r="M28" s="237">
        <f t="shared" si="12"/>
        <v>0</v>
      </c>
      <c r="N28" s="237">
        <f t="shared" si="12"/>
        <v>0</v>
      </c>
      <c r="O28" s="237">
        <f t="shared" si="12"/>
        <v>0</v>
      </c>
      <c r="P28" s="237">
        <f t="shared" si="12"/>
        <v>0</v>
      </c>
      <c r="Q28" s="237">
        <f>+Q10*Q18/100</f>
        <v>0</v>
      </c>
    </row>
    <row r="29" spans="2:17" x14ac:dyDescent="0.35">
      <c r="B29" s="198" t="s">
        <v>311</v>
      </c>
      <c r="C29" s="272" t="s">
        <v>88</v>
      </c>
      <c r="D29" s="198"/>
      <c r="E29" s="237">
        <f t="shared" ref="E29:P29" si="14">+E11*E19/100</f>
        <v>0</v>
      </c>
      <c r="F29" s="237">
        <f t="shared" si="14"/>
        <v>24.490823800549393</v>
      </c>
      <c r="G29" s="237">
        <f t="shared" ref="G29" si="15">+G11*G19/100</f>
        <v>17.1230695452</v>
      </c>
      <c r="H29" s="237">
        <f t="shared" si="14"/>
        <v>89.248730731992268</v>
      </c>
      <c r="I29" s="237">
        <f t="shared" si="14"/>
        <v>120.15014986392067</v>
      </c>
      <c r="J29" s="237">
        <f t="shared" si="14"/>
        <v>125.76299679185489</v>
      </c>
      <c r="K29" s="237">
        <f t="shared" si="14"/>
        <v>130.05291557105411</v>
      </c>
      <c r="L29" s="237">
        <f t="shared" si="14"/>
        <v>132.74448148348671</v>
      </c>
      <c r="M29" s="237">
        <f t="shared" si="14"/>
        <v>135.39937111315646</v>
      </c>
      <c r="N29" s="237">
        <f t="shared" si="14"/>
        <v>138.10735853541962</v>
      </c>
      <c r="O29" s="237">
        <f t="shared" si="14"/>
        <v>140.869505706128</v>
      </c>
      <c r="P29" s="237">
        <f t="shared" si="14"/>
        <v>143.68689582025053</v>
      </c>
      <c r="Q29" s="237">
        <f>+Q11*Q19/100</f>
        <v>146.56063373665555</v>
      </c>
    </row>
    <row r="30" spans="2:17" x14ac:dyDescent="0.35">
      <c r="B30" s="198" t="s">
        <v>230</v>
      </c>
      <c r="C30" s="272" t="s">
        <v>88</v>
      </c>
      <c r="D30" s="198"/>
      <c r="E30" s="237">
        <f>'Working - Corporate'!G118</f>
        <v>173.18</v>
      </c>
      <c r="F30" s="237">
        <f>'Working - Corporate'!H118</f>
        <v>218.73</v>
      </c>
      <c r="G30" s="237">
        <f>'Working - Corporate'!I118</f>
        <v>213.86999999999998</v>
      </c>
      <c r="H30" s="237">
        <f>'Working - Corporate'!J118</f>
        <v>179.81821058331286</v>
      </c>
      <c r="I30" s="237">
        <f>'Working - Corporate'!K118</f>
        <v>197.14785897399614</v>
      </c>
      <c r="J30" s="237">
        <f>'Working - Corporate'!L118</f>
        <v>213.08692933507467</v>
      </c>
      <c r="K30" s="237">
        <f>'Working - Corporate'!M118</f>
        <v>220.94907558182902</v>
      </c>
      <c r="L30" s="237">
        <f>'Working - Corporate'!N118</f>
        <v>226.31584435537064</v>
      </c>
      <c r="M30" s="237">
        <f>'Working - Corporate'!O118</f>
        <v>231.73706997282187</v>
      </c>
      <c r="N30" s="237">
        <f>'Working - Corporate'!P118</f>
        <v>237.28650033603523</v>
      </c>
      <c r="O30" s="237">
        <f>'Working - Corporate'!Q118</f>
        <v>242.96978653060688</v>
      </c>
      <c r="P30" s="237">
        <f>'Working - Corporate'!R118</f>
        <v>248.79017735376618</v>
      </c>
      <c r="Q30" s="237">
        <f>'Working - Corporate'!S118</f>
        <v>254.75100087070231</v>
      </c>
    </row>
    <row r="31" spans="2:17" x14ac:dyDescent="0.35">
      <c r="B31" s="198" t="s">
        <v>318</v>
      </c>
      <c r="C31" s="272" t="s">
        <v>88</v>
      </c>
      <c r="D31" s="198"/>
      <c r="E31" s="237">
        <f>'Working - Corporate'!G111</f>
        <v>92.86</v>
      </c>
      <c r="F31" s="237">
        <f>'Working - Corporate'!H111</f>
        <v>112.16</v>
      </c>
      <c r="G31" s="237">
        <f>'Working - Corporate'!I111</f>
        <v>108.82</v>
      </c>
      <c r="H31" s="237">
        <f>'Working - Corporate'!J111</f>
        <v>108.82</v>
      </c>
      <c r="I31" s="237">
        <f>'Working - Corporate'!K111</f>
        <v>108.82</v>
      </c>
      <c r="J31" s="237">
        <f>'Working - Corporate'!L111</f>
        <v>108.82</v>
      </c>
      <c r="K31" s="237">
        <f>'Working - Corporate'!M111</f>
        <v>108.82</v>
      </c>
      <c r="L31" s="237">
        <f>'Working - Corporate'!N111</f>
        <v>108.82</v>
      </c>
      <c r="M31" s="237">
        <f>'Working - Corporate'!O111</f>
        <v>108.82</v>
      </c>
      <c r="N31" s="237">
        <f>'Working - Corporate'!P111</f>
        <v>108.82</v>
      </c>
      <c r="O31" s="237">
        <f>'Working - Corporate'!Q111</f>
        <v>108.82</v>
      </c>
      <c r="P31" s="237">
        <f>'Working - Corporate'!R111</f>
        <v>108.82</v>
      </c>
      <c r="Q31" s="237">
        <f>'Working - Corporate'!S111</f>
        <v>108.82</v>
      </c>
    </row>
    <row r="32" spans="2:17" x14ac:dyDescent="0.35">
      <c r="B32" s="248" t="s">
        <v>320</v>
      </c>
      <c r="C32" s="277" t="s">
        <v>88</v>
      </c>
      <c r="D32" s="248"/>
      <c r="E32" s="252">
        <f t="shared" ref="E32:Q32" si="16">SUM(E25:E31)</f>
        <v>-1517.3688698580415</v>
      </c>
      <c r="F32" s="252">
        <f t="shared" si="16"/>
        <v>-1724.8325270372295</v>
      </c>
      <c r="G32" s="252">
        <f t="shared" ref="G32" si="17">SUM(G25:G31)</f>
        <v>-1242.08435538186</v>
      </c>
      <c r="H32" s="252">
        <f t="shared" si="16"/>
        <v>4.7436858803340556</v>
      </c>
      <c r="I32" s="252">
        <f t="shared" si="16"/>
        <v>180.21746649200242</v>
      </c>
      <c r="J32" s="252">
        <f t="shared" si="16"/>
        <v>1292.1246234044499</v>
      </c>
      <c r="K32" s="252">
        <f t="shared" si="16"/>
        <v>1626.41280713576</v>
      </c>
      <c r="L32" s="252">
        <f t="shared" si="16"/>
        <v>1852.0576646400805</v>
      </c>
      <c r="M32" s="252">
        <f t="shared" si="16"/>
        <v>2026.117518381951</v>
      </c>
      <c r="N32" s="252">
        <f t="shared" si="16"/>
        <v>2243.0140065117384</v>
      </c>
      <c r="O32" s="252">
        <f t="shared" si="16"/>
        <v>2505.1778849604357</v>
      </c>
      <c r="P32" s="252">
        <f t="shared" si="16"/>
        <v>2959.8162583070671</v>
      </c>
      <c r="Q32" s="252">
        <f t="shared" si="16"/>
        <v>3413.5998510580275</v>
      </c>
    </row>
    <row r="33" spans="2:18" x14ac:dyDescent="0.35">
      <c r="B33" s="272" t="s">
        <v>523</v>
      </c>
      <c r="C33" s="272"/>
      <c r="D33" s="198"/>
      <c r="E33" s="237"/>
      <c r="F33" s="237"/>
      <c r="G33" s="237"/>
      <c r="H33" s="237"/>
      <c r="I33" s="237"/>
      <c r="J33" s="237"/>
      <c r="K33" s="237"/>
      <c r="L33" s="237"/>
      <c r="M33" s="237"/>
      <c r="N33" s="237"/>
      <c r="O33" s="237"/>
      <c r="P33" s="237"/>
      <c r="Q33" s="237"/>
    </row>
    <row r="34" spans="2:18" x14ac:dyDescent="0.35">
      <c r="B34" s="198"/>
      <c r="C34" s="272"/>
      <c r="D34" s="198"/>
      <c r="E34" s="237"/>
      <c r="F34" s="237"/>
      <c r="G34" s="237"/>
      <c r="H34" s="237"/>
      <c r="I34" s="237"/>
      <c r="J34" s="237"/>
      <c r="K34" s="237"/>
      <c r="L34" s="237"/>
      <c r="M34" s="237"/>
      <c r="N34" s="237"/>
      <c r="O34" s="237"/>
      <c r="P34" s="237"/>
      <c r="Q34" s="237"/>
    </row>
    <row r="35" spans="2:18" x14ac:dyDescent="0.35">
      <c r="B35" s="209" t="s">
        <v>522</v>
      </c>
      <c r="C35" s="282"/>
      <c r="D35" s="255"/>
      <c r="E35" s="354"/>
      <c r="F35" s="354"/>
      <c r="G35" s="354"/>
      <c r="H35" s="354"/>
      <c r="I35" s="354"/>
      <c r="J35" s="354"/>
      <c r="K35" s="354"/>
      <c r="L35" s="354"/>
      <c r="M35" s="354"/>
      <c r="N35" s="354"/>
      <c r="O35" s="354"/>
      <c r="P35" s="354"/>
      <c r="Q35" s="354"/>
    </row>
    <row r="36" spans="2:18" x14ac:dyDescent="0.35">
      <c r="B36" s="283" t="s">
        <v>524</v>
      </c>
      <c r="C36" s="284"/>
      <c r="D36" s="285" t="s">
        <v>319</v>
      </c>
      <c r="E36" s="362"/>
      <c r="F36" s="362"/>
      <c r="G36" s="362"/>
      <c r="H36" s="362"/>
      <c r="I36" s="362"/>
      <c r="J36" s="362"/>
      <c r="K36" s="362"/>
      <c r="L36" s="362"/>
      <c r="M36" s="362"/>
      <c r="N36" s="362"/>
      <c r="O36" s="362"/>
      <c r="P36" s="362"/>
      <c r="Q36" s="362"/>
    </row>
    <row r="37" spans="2:18" x14ac:dyDescent="0.35">
      <c r="B37" s="198" t="s">
        <v>323</v>
      </c>
      <c r="C37" s="272" t="s">
        <v>88</v>
      </c>
      <c r="D37" s="276">
        <v>0.15</v>
      </c>
      <c r="E37" s="237">
        <f t="shared" ref="E37:P37" si="18">IF(E25&gt;0,-E25*$D37,0)</f>
        <v>0</v>
      </c>
      <c r="F37" s="237">
        <f t="shared" si="18"/>
        <v>0</v>
      </c>
      <c r="G37" s="237">
        <f t="shared" ref="G37" si="19">IF(G25&gt;0,-G25*$D37,0)</f>
        <v>0</v>
      </c>
      <c r="H37" s="237">
        <f t="shared" si="18"/>
        <v>0</v>
      </c>
      <c r="I37" s="237">
        <f t="shared" si="18"/>
        <v>0</v>
      </c>
      <c r="J37" s="237">
        <f t="shared" si="18"/>
        <v>-52.532788707085388</v>
      </c>
      <c r="K37" s="237">
        <f t="shared" si="18"/>
        <v>-99.267241767065656</v>
      </c>
      <c r="L37" s="237">
        <f t="shared" si="18"/>
        <v>-130.39079257721031</v>
      </c>
      <c r="M37" s="237">
        <f t="shared" si="18"/>
        <v>-153.74363718656326</v>
      </c>
      <c r="N37" s="237">
        <f t="shared" si="18"/>
        <v>-183.4638872500532</v>
      </c>
      <c r="O37" s="237">
        <f t="shared" si="18"/>
        <v>-219.91453131464593</v>
      </c>
      <c r="P37" s="237">
        <f t="shared" si="18"/>
        <v>-285.1753550241703</v>
      </c>
      <c r="Q37" s="237">
        <f t="shared" ref="Q37:Q43" si="20">IF(Q25&gt;0,-Q25*$D37,0)</f>
        <v>-350.24565926689741</v>
      </c>
    </row>
    <row r="38" spans="2:18" x14ac:dyDescent="0.35">
      <c r="B38" s="198" t="s">
        <v>316</v>
      </c>
      <c r="C38" s="272" t="s">
        <v>88</v>
      </c>
      <c r="D38" s="276">
        <v>0.3</v>
      </c>
      <c r="E38" s="237">
        <f t="shared" ref="E38:E43" si="21">IF(E26&gt;0,-E26*$D38,0)</f>
        <v>-28.099446888015603</v>
      </c>
      <c r="F38" s="237">
        <f t="shared" ref="F38:P38" si="22">IF(F26&gt;0,-F26*$D38,0)</f>
        <v>-24.168216531265379</v>
      </c>
      <c r="G38" s="237">
        <f t="shared" ref="G38" si="23">IF(G26&gt;0,-G26*$D38,0)</f>
        <v>-8.1453130500000057</v>
      </c>
      <c r="H38" s="237">
        <f t="shared" si="22"/>
        <v>0</v>
      </c>
      <c r="I38" s="237">
        <f t="shared" si="22"/>
        <v>0</v>
      </c>
      <c r="J38" s="237">
        <f t="shared" si="22"/>
        <v>0</v>
      </c>
      <c r="K38" s="237">
        <f t="shared" si="22"/>
        <v>0</v>
      </c>
      <c r="L38" s="237">
        <f t="shared" si="22"/>
        <v>0</v>
      </c>
      <c r="M38" s="237">
        <f t="shared" si="22"/>
        <v>0</v>
      </c>
      <c r="N38" s="237">
        <f t="shared" si="22"/>
        <v>0</v>
      </c>
      <c r="O38" s="237">
        <f t="shared" si="22"/>
        <v>0</v>
      </c>
      <c r="P38" s="237">
        <f t="shared" si="22"/>
        <v>0</v>
      </c>
      <c r="Q38" s="237">
        <f t="shared" si="20"/>
        <v>0</v>
      </c>
    </row>
    <row r="39" spans="2:18" x14ac:dyDescent="0.35">
      <c r="B39" s="198" t="s">
        <v>317</v>
      </c>
      <c r="C39" s="272" t="s">
        <v>88</v>
      </c>
      <c r="D39" s="276">
        <v>0.3</v>
      </c>
      <c r="E39" s="237">
        <f t="shared" si="21"/>
        <v>0</v>
      </c>
      <c r="F39" s="237">
        <f t="shared" ref="F39:P39" si="24">IF(F27&gt;0,-F27*$D39,0)</f>
        <v>-42.571035105</v>
      </c>
      <c r="G39" s="237">
        <f t="shared" ref="G39" si="25">IF(G27&gt;0,-G27*$D39,0)</f>
        <v>-80.133741647117972</v>
      </c>
      <c r="H39" s="237">
        <f t="shared" si="24"/>
        <v>-135.80863483280487</v>
      </c>
      <c r="I39" s="237">
        <f t="shared" si="24"/>
        <v>-141.1951926402439</v>
      </c>
      <c r="J39" s="237">
        <f t="shared" si="24"/>
        <v>-148.27083176908536</v>
      </c>
      <c r="K39" s="237">
        <f t="shared" si="24"/>
        <v>-151.44276126073171</v>
      </c>
      <c r="L39" s="237">
        <f t="shared" si="24"/>
        <v>-154.47161648594633</v>
      </c>
      <c r="M39" s="237">
        <f t="shared" si="24"/>
        <v>-157.56104881566526</v>
      </c>
      <c r="N39" s="237">
        <f t="shared" si="24"/>
        <v>-160.71226979197857</v>
      </c>
      <c r="O39" s="237">
        <f t="shared" si="24"/>
        <v>-163.92651518781818</v>
      </c>
      <c r="P39" s="237">
        <f t="shared" si="24"/>
        <v>-167.20504549157454</v>
      </c>
      <c r="Q39" s="237">
        <f t="shared" si="20"/>
        <v>-170.54914640140603</v>
      </c>
    </row>
    <row r="40" spans="2:18" x14ac:dyDescent="0.35">
      <c r="B40" s="198" t="s">
        <v>310</v>
      </c>
      <c r="C40" s="272" t="s">
        <v>88</v>
      </c>
      <c r="D40" s="276">
        <v>0.3</v>
      </c>
      <c r="E40" s="237">
        <f t="shared" si="21"/>
        <v>-5.9519039922629915</v>
      </c>
      <c r="F40" s="237">
        <f t="shared" ref="F40:P40" si="26">IF(F28&gt;0,-F28*$D40,0)</f>
        <v>-8.4632846490779929</v>
      </c>
      <c r="G40" s="237">
        <f t="shared" ref="G40" si="27">IF(G28&gt;0,-G28*$D40,0)</f>
        <v>-6.261583076303987</v>
      </c>
      <c r="H40" s="237">
        <f t="shared" si="26"/>
        <v>0</v>
      </c>
      <c r="I40" s="237">
        <f t="shared" si="26"/>
        <v>0</v>
      </c>
      <c r="J40" s="237">
        <f t="shared" si="26"/>
        <v>0</v>
      </c>
      <c r="K40" s="237">
        <f t="shared" si="26"/>
        <v>0</v>
      </c>
      <c r="L40" s="237">
        <f t="shared" si="26"/>
        <v>0</v>
      </c>
      <c r="M40" s="237">
        <f t="shared" si="26"/>
        <v>0</v>
      </c>
      <c r="N40" s="237">
        <f t="shared" si="26"/>
        <v>0</v>
      </c>
      <c r="O40" s="237">
        <f t="shared" si="26"/>
        <v>0</v>
      </c>
      <c r="P40" s="237">
        <f t="shared" si="26"/>
        <v>0</v>
      </c>
      <c r="Q40" s="237">
        <f t="shared" si="20"/>
        <v>0</v>
      </c>
    </row>
    <row r="41" spans="2:18" x14ac:dyDescent="0.35">
      <c r="B41" s="198" t="s">
        <v>311</v>
      </c>
      <c r="C41" s="272" t="s">
        <v>88</v>
      </c>
      <c r="D41" s="276">
        <v>0.3</v>
      </c>
      <c r="E41" s="237">
        <f t="shared" si="21"/>
        <v>0</v>
      </c>
      <c r="F41" s="237">
        <f t="shared" ref="F41:P41" si="28">IF(F29&gt;0,-F29*$D41,0)</f>
        <v>-7.3472471401648178</v>
      </c>
      <c r="G41" s="237">
        <f t="shared" ref="G41" si="29">IF(G29&gt;0,-G29*$D41,0)</f>
        <v>-5.1369208635599994</v>
      </c>
      <c r="H41" s="237">
        <f t="shared" si="28"/>
        <v>-26.774619219597678</v>
      </c>
      <c r="I41" s="237">
        <f t="shared" si="28"/>
        <v>-36.045044959176202</v>
      </c>
      <c r="J41" s="237">
        <f t="shared" si="28"/>
        <v>-37.728899037556467</v>
      </c>
      <c r="K41" s="237">
        <f t="shared" si="28"/>
        <v>-39.015874671316233</v>
      </c>
      <c r="L41" s="237">
        <f t="shared" si="28"/>
        <v>-39.823344445046011</v>
      </c>
      <c r="M41" s="237">
        <f t="shared" si="28"/>
        <v>-40.619811333946934</v>
      </c>
      <c r="N41" s="237">
        <f t="shared" si="28"/>
        <v>-41.432207560625884</v>
      </c>
      <c r="O41" s="237">
        <f t="shared" si="28"/>
        <v>-42.260851711838399</v>
      </c>
      <c r="P41" s="237">
        <f t="shared" si="28"/>
        <v>-43.106068746075159</v>
      </c>
      <c r="Q41" s="237">
        <f t="shared" si="20"/>
        <v>-43.96819012099666</v>
      </c>
    </row>
    <row r="42" spans="2:18" x14ac:dyDescent="0.35">
      <c r="B42" s="198" t="s">
        <v>230</v>
      </c>
      <c r="C42" s="272" t="s">
        <v>88</v>
      </c>
      <c r="D42" s="276">
        <v>0.35</v>
      </c>
      <c r="E42" s="237">
        <f t="shared" si="21"/>
        <v>-60.613</v>
      </c>
      <c r="F42" s="237">
        <f t="shared" ref="F42:P42" si="30">IF(F30&gt;0,-F30*$D42,0)</f>
        <v>-76.555499999999995</v>
      </c>
      <c r="G42" s="237">
        <f t="shared" ref="G42" si="31">IF(G30&gt;0,-G30*$D42,0)</f>
        <v>-74.854499999999987</v>
      </c>
      <c r="H42" s="237">
        <f t="shared" si="30"/>
        <v>-62.9363737041595</v>
      </c>
      <c r="I42" s="237">
        <f t="shared" si="30"/>
        <v>-69.001750640898649</v>
      </c>
      <c r="J42" s="237">
        <f t="shared" si="30"/>
        <v>-74.580425267276127</v>
      </c>
      <c r="K42" s="237">
        <f t="shared" si="30"/>
        <v>-77.332176453640159</v>
      </c>
      <c r="L42" s="237">
        <f t="shared" si="30"/>
        <v>-79.210545524379725</v>
      </c>
      <c r="M42" s="237">
        <f t="shared" si="30"/>
        <v>-81.107974490487649</v>
      </c>
      <c r="N42" s="237">
        <f t="shared" si="30"/>
        <v>-83.05027511761233</v>
      </c>
      <c r="O42" s="237">
        <f t="shared" si="30"/>
        <v>-85.039425285712397</v>
      </c>
      <c r="P42" s="237">
        <f t="shared" si="30"/>
        <v>-87.076562073818152</v>
      </c>
      <c r="Q42" s="237">
        <f t="shared" si="20"/>
        <v>-89.162850304745803</v>
      </c>
    </row>
    <row r="43" spans="2:18" x14ac:dyDescent="0.35">
      <c r="B43" s="198" t="s">
        <v>318</v>
      </c>
      <c r="C43" s="272" t="s">
        <v>88</v>
      </c>
      <c r="D43" s="276">
        <v>0.5</v>
      </c>
      <c r="E43" s="237">
        <f t="shared" si="21"/>
        <v>-46.43</v>
      </c>
      <c r="F43" s="237">
        <f t="shared" ref="F43:P43" si="32">IF(F31&gt;0,-F31*$D43,0)</f>
        <v>-56.08</v>
      </c>
      <c r="G43" s="237">
        <f t="shared" ref="G43" si="33">IF(G31&gt;0,-G31*$D43,0)</f>
        <v>-54.41</v>
      </c>
      <c r="H43" s="237">
        <f t="shared" si="32"/>
        <v>-54.41</v>
      </c>
      <c r="I43" s="237">
        <f t="shared" si="32"/>
        <v>-54.41</v>
      </c>
      <c r="J43" s="237">
        <f t="shared" si="32"/>
        <v>-54.41</v>
      </c>
      <c r="K43" s="237">
        <f t="shared" si="32"/>
        <v>-54.41</v>
      </c>
      <c r="L43" s="237">
        <f t="shared" si="32"/>
        <v>-54.41</v>
      </c>
      <c r="M43" s="237">
        <f t="shared" si="32"/>
        <v>-54.41</v>
      </c>
      <c r="N43" s="237">
        <f t="shared" si="32"/>
        <v>-54.41</v>
      </c>
      <c r="O43" s="237">
        <f t="shared" si="32"/>
        <v>-54.41</v>
      </c>
      <c r="P43" s="237">
        <f t="shared" si="32"/>
        <v>-54.41</v>
      </c>
      <c r="Q43" s="237">
        <f t="shared" si="20"/>
        <v>-54.41</v>
      </c>
    </row>
    <row r="44" spans="2:18" x14ac:dyDescent="0.35">
      <c r="B44" s="248" t="s">
        <v>321</v>
      </c>
      <c r="C44" s="277" t="s">
        <v>88</v>
      </c>
      <c r="D44" s="248"/>
      <c r="E44" s="252">
        <f t="shared" ref="E44:N44" si="34">SUM(E37:E43)</f>
        <v>-141.0943508802786</v>
      </c>
      <c r="F44" s="252">
        <f t="shared" si="34"/>
        <v>-215.1852834255082</v>
      </c>
      <c r="G44" s="252">
        <f t="shared" ref="G44" si="35">SUM(G37:G43)</f>
        <v>-228.94205863698195</v>
      </c>
      <c r="H44" s="252">
        <f t="shared" si="34"/>
        <v>-279.92962775656201</v>
      </c>
      <c r="I44" s="252">
        <f t="shared" si="34"/>
        <v>-300.65198824031876</v>
      </c>
      <c r="J44" s="252">
        <f t="shared" si="34"/>
        <v>-367.52294478100328</v>
      </c>
      <c r="K44" s="252">
        <f t="shared" si="34"/>
        <v>-421.46805415275378</v>
      </c>
      <c r="L44" s="252">
        <f t="shared" si="34"/>
        <v>-458.30629903258239</v>
      </c>
      <c r="M44" s="252">
        <f t="shared" si="34"/>
        <v>-487.44247182666311</v>
      </c>
      <c r="N44" s="252">
        <f t="shared" si="34"/>
        <v>-523.06863972026997</v>
      </c>
      <c r="O44" s="252">
        <f>SUM(O37:O43)</f>
        <v>-565.55132350001497</v>
      </c>
      <c r="P44" s="252">
        <f>SUM(P37:P43)</f>
        <v>-636.9730313356381</v>
      </c>
      <c r="Q44" s="252">
        <f>SUM(Q37:Q43)</f>
        <v>-708.33584609404579</v>
      </c>
    </row>
    <row r="45" spans="2:18" x14ac:dyDescent="0.35">
      <c r="B45" s="198"/>
      <c r="C45" s="272"/>
      <c r="D45" s="198"/>
      <c r="E45" s="237"/>
      <c r="F45" s="237"/>
      <c r="G45" s="237"/>
      <c r="H45" s="237"/>
      <c r="I45" s="237"/>
      <c r="J45" s="237"/>
      <c r="K45" s="237"/>
      <c r="L45" s="237"/>
      <c r="M45" s="237"/>
      <c r="N45" s="237"/>
      <c r="O45" s="237"/>
      <c r="P45" s="237"/>
      <c r="Q45" s="237"/>
    </row>
    <row r="46" spans="2:18" x14ac:dyDescent="0.35">
      <c r="B46" s="283" t="s">
        <v>313</v>
      </c>
      <c r="C46" s="284"/>
      <c r="D46" s="286"/>
      <c r="E46" s="362"/>
      <c r="F46" s="362"/>
      <c r="G46" s="362"/>
      <c r="H46" s="362"/>
      <c r="I46" s="362"/>
      <c r="J46" s="362"/>
      <c r="K46" s="362"/>
      <c r="L46" s="362"/>
      <c r="M46" s="362"/>
      <c r="N46" s="362"/>
      <c r="O46" s="362"/>
      <c r="P46" s="362"/>
      <c r="Q46" s="362"/>
      <c r="R46" s="214"/>
    </row>
    <row r="47" spans="2:18" x14ac:dyDescent="0.35">
      <c r="B47" s="198" t="s">
        <v>323</v>
      </c>
      <c r="C47" s="272" t="s">
        <v>88</v>
      </c>
      <c r="D47" s="198"/>
      <c r="E47" s="237">
        <f t="shared" ref="E47:Q48" si="36">+E37+E25</f>
        <v>-1896.9133727923036</v>
      </c>
      <c r="F47" s="237">
        <f t="shared" si="36"/>
        <v>-2330.8884717889241</v>
      </c>
      <c r="G47" s="237">
        <f t="shared" ref="G47" si="37">+G37+G25</f>
        <v>-1897.0328841717997</v>
      </c>
      <c r="H47" s="237">
        <f t="shared" si="36"/>
        <v>-825.83870487765398</v>
      </c>
      <c r="I47" s="237">
        <f t="shared" si="36"/>
        <v>-716.55118448006078</v>
      </c>
      <c r="J47" s="237">
        <f t="shared" si="36"/>
        <v>297.68580267348386</v>
      </c>
      <c r="K47" s="237">
        <f t="shared" si="36"/>
        <v>562.51437001337206</v>
      </c>
      <c r="L47" s="237">
        <f t="shared" si="36"/>
        <v>738.88115793752513</v>
      </c>
      <c r="M47" s="237">
        <f t="shared" si="36"/>
        <v>871.21394405719184</v>
      </c>
      <c r="N47" s="237">
        <f t="shared" si="36"/>
        <v>1039.6286944169683</v>
      </c>
      <c r="O47" s="237">
        <f t="shared" si="36"/>
        <v>1246.1823441163269</v>
      </c>
      <c r="P47" s="237">
        <f t="shared" si="36"/>
        <v>1615.9936784702984</v>
      </c>
      <c r="Q47" s="237">
        <f t="shared" si="36"/>
        <v>1984.7254025124189</v>
      </c>
      <c r="R47" s="214"/>
    </row>
    <row r="48" spans="2:18" x14ac:dyDescent="0.35">
      <c r="B48" s="198" t="s">
        <v>316</v>
      </c>
      <c r="C48" s="272" t="s">
        <v>88</v>
      </c>
      <c r="D48" s="198"/>
      <c r="E48" s="237">
        <f t="shared" si="36"/>
        <v>65.565376072036401</v>
      </c>
      <c r="F48" s="237">
        <f t="shared" si="36"/>
        <v>56.392505239619219</v>
      </c>
      <c r="G48" s="237">
        <f t="shared" ref="G48" si="38">+G38+G26</f>
        <v>19.005730450000012</v>
      </c>
      <c r="H48" s="237">
        <f t="shared" si="36"/>
        <v>0</v>
      </c>
      <c r="I48" s="237">
        <f t="shared" si="36"/>
        <v>0</v>
      </c>
      <c r="J48" s="237">
        <f t="shared" si="36"/>
        <v>0</v>
      </c>
      <c r="K48" s="237">
        <f t="shared" si="36"/>
        <v>0</v>
      </c>
      <c r="L48" s="237">
        <f t="shared" si="36"/>
        <v>0</v>
      </c>
      <c r="M48" s="237">
        <f t="shared" si="36"/>
        <v>0</v>
      </c>
      <c r="N48" s="237">
        <f t="shared" si="36"/>
        <v>0</v>
      </c>
      <c r="O48" s="237">
        <f t="shared" si="36"/>
        <v>0</v>
      </c>
      <c r="P48" s="237">
        <f t="shared" si="36"/>
        <v>0</v>
      </c>
      <c r="Q48" s="237">
        <f t="shared" ref="Q48:Q53" si="39">+Q38+Q26</f>
        <v>0</v>
      </c>
      <c r="R48" s="214"/>
    </row>
    <row r="49" spans="2:18" x14ac:dyDescent="0.35">
      <c r="B49" s="198" t="s">
        <v>317</v>
      </c>
      <c r="C49" s="272" t="s">
        <v>88</v>
      </c>
      <c r="D49" s="198"/>
      <c r="E49" s="237">
        <f t="shared" ref="E49:P49" si="40">+E39+E27</f>
        <v>0</v>
      </c>
      <c r="F49" s="237">
        <f t="shared" si="40"/>
        <v>99.332415245000021</v>
      </c>
      <c r="G49" s="237">
        <f t="shared" ref="G49" si="41">+G39+G27</f>
        <v>186.97873050994195</v>
      </c>
      <c r="H49" s="237">
        <f t="shared" si="40"/>
        <v>316.886814609878</v>
      </c>
      <c r="I49" s="237">
        <f t="shared" si="40"/>
        <v>329.45544949390251</v>
      </c>
      <c r="J49" s="237">
        <f t="shared" si="40"/>
        <v>345.96527412786588</v>
      </c>
      <c r="K49" s="237">
        <f t="shared" si="40"/>
        <v>353.36644294170731</v>
      </c>
      <c r="L49" s="237">
        <f t="shared" si="40"/>
        <v>360.43377180054142</v>
      </c>
      <c r="M49" s="237">
        <f t="shared" si="40"/>
        <v>367.64244723655236</v>
      </c>
      <c r="N49" s="237">
        <f t="shared" si="40"/>
        <v>374.99529618128338</v>
      </c>
      <c r="O49" s="237">
        <f t="shared" si="40"/>
        <v>382.49520210490914</v>
      </c>
      <c r="P49" s="237">
        <f t="shared" si="40"/>
        <v>390.14510614700725</v>
      </c>
      <c r="Q49" s="237">
        <f t="shared" si="39"/>
        <v>397.94800826994742</v>
      </c>
      <c r="R49" s="214"/>
    </row>
    <row r="50" spans="2:18" x14ac:dyDescent="0.35">
      <c r="B50" s="198" t="s">
        <v>310</v>
      </c>
      <c r="C50" s="272" t="s">
        <v>88</v>
      </c>
      <c r="D50" s="198"/>
      <c r="E50" s="237">
        <f t="shared" ref="E50:P50" si="42">+E40+E28</f>
        <v>13.88777598194698</v>
      </c>
      <c r="F50" s="237">
        <f t="shared" si="42"/>
        <v>19.747664181181989</v>
      </c>
      <c r="G50" s="237">
        <f t="shared" ref="G50" si="43">+G40+G28</f>
        <v>14.610360511375971</v>
      </c>
      <c r="H50" s="237">
        <f t="shared" si="42"/>
        <v>0</v>
      </c>
      <c r="I50" s="237">
        <f t="shared" si="42"/>
        <v>0</v>
      </c>
      <c r="J50" s="237">
        <f t="shared" si="42"/>
        <v>0</v>
      </c>
      <c r="K50" s="237">
        <f t="shared" si="42"/>
        <v>0</v>
      </c>
      <c r="L50" s="237">
        <f t="shared" si="42"/>
        <v>0</v>
      </c>
      <c r="M50" s="237">
        <f t="shared" si="42"/>
        <v>0</v>
      </c>
      <c r="N50" s="237">
        <f t="shared" si="42"/>
        <v>0</v>
      </c>
      <c r="O50" s="237">
        <f t="shared" si="42"/>
        <v>0</v>
      </c>
      <c r="P50" s="237">
        <f t="shared" si="42"/>
        <v>0</v>
      </c>
      <c r="Q50" s="237">
        <f t="shared" si="39"/>
        <v>0</v>
      </c>
      <c r="R50" s="214"/>
    </row>
    <row r="51" spans="2:18" x14ac:dyDescent="0.35">
      <c r="B51" s="198" t="s">
        <v>311</v>
      </c>
      <c r="C51" s="272" t="s">
        <v>88</v>
      </c>
      <c r="D51" s="198"/>
      <c r="E51" s="237">
        <f t="shared" ref="E51:P51" si="44">+E41+E29</f>
        <v>0</v>
      </c>
      <c r="F51" s="237">
        <f t="shared" si="44"/>
        <v>17.143576660384575</v>
      </c>
      <c r="G51" s="237">
        <f t="shared" ref="G51" si="45">+G41+G29</f>
        <v>11.98614868164</v>
      </c>
      <c r="H51" s="237">
        <f t="shared" si="44"/>
        <v>62.474111512394586</v>
      </c>
      <c r="I51" s="237">
        <f t="shared" si="44"/>
        <v>84.105104904744479</v>
      </c>
      <c r="J51" s="237">
        <f t="shared" si="44"/>
        <v>88.034097754298415</v>
      </c>
      <c r="K51" s="237">
        <f t="shared" si="44"/>
        <v>91.037040899737889</v>
      </c>
      <c r="L51" s="237">
        <f t="shared" si="44"/>
        <v>92.921137038440691</v>
      </c>
      <c r="M51" s="237">
        <f t="shared" si="44"/>
        <v>94.779559779209535</v>
      </c>
      <c r="N51" s="237">
        <f t="shared" si="44"/>
        <v>96.675150974793738</v>
      </c>
      <c r="O51" s="237">
        <f t="shared" si="44"/>
        <v>98.608653994289597</v>
      </c>
      <c r="P51" s="237">
        <f t="shared" si="44"/>
        <v>100.58082707417537</v>
      </c>
      <c r="Q51" s="237">
        <f t="shared" si="39"/>
        <v>102.59244361565888</v>
      </c>
      <c r="R51" s="214"/>
    </row>
    <row r="52" spans="2:18" x14ac:dyDescent="0.35">
      <c r="B52" s="198" t="s">
        <v>230</v>
      </c>
      <c r="C52" s="272" t="s">
        <v>88</v>
      </c>
      <c r="D52" s="198"/>
      <c r="E52" s="237">
        <f t="shared" ref="E52:P52" si="46">+E42+E30</f>
        <v>112.56700000000001</v>
      </c>
      <c r="F52" s="237">
        <f t="shared" si="46"/>
        <v>142.17449999999999</v>
      </c>
      <c r="G52" s="237">
        <f t="shared" ref="G52" si="47">+G42+G30</f>
        <v>139.01549999999997</v>
      </c>
      <c r="H52" s="237">
        <f t="shared" si="46"/>
        <v>116.88183687915335</v>
      </c>
      <c r="I52" s="237">
        <f t="shared" si="46"/>
        <v>128.14610833309749</v>
      </c>
      <c r="J52" s="237">
        <f t="shared" si="46"/>
        <v>138.50650406779855</v>
      </c>
      <c r="K52" s="237">
        <f t="shared" si="46"/>
        <v>143.61689912818886</v>
      </c>
      <c r="L52" s="237">
        <f t="shared" si="46"/>
        <v>147.10529883099093</v>
      </c>
      <c r="M52" s="237">
        <f t="shared" si="46"/>
        <v>150.62909548233421</v>
      </c>
      <c r="N52" s="237">
        <f t="shared" si="46"/>
        <v>154.2362252184229</v>
      </c>
      <c r="O52" s="237">
        <f t="shared" si="46"/>
        <v>157.93036124489447</v>
      </c>
      <c r="P52" s="237">
        <f t="shared" si="46"/>
        <v>161.71361527994804</v>
      </c>
      <c r="Q52" s="237">
        <f t="shared" si="39"/>
        <v>165.58815056595651</v>
      </c>
      <c r="R52" s="214"/>
    </row>
    <row r="53" spans="2:18" x14ac:dyDescent="0.35">
      <c r="B53" s="198" t="s">
        <v>318</v>
      </c>
      <c r="C53" s="272" t="s">
        <v>88</v>
      </c>
      <c r="D53" s="198"/>
      <c r="E53" s="237">
        <f t="shared" ref="E53:P53" si="48">+E43+E31</f>
        <v>46.43</v>
      </c>
      <c r="F53" s="237">
        <f t="shared" si="48"/>
        <v>56.08</v>
      </c>
      <c r="G53" s="237">
        <f t="shared" ref="G53" si="49">+G43+G31</f>
        <v>54.41</v>
      </c>
      <c r="H53" s="237">
        <f t="shared" si="48"/>
        <v>54.41</v>
      </c>
      <c r="I53" s="237">
        <f t="shared" si="48"/>
        <v>54.41</v>
      </c>
      <c r="J53" s="237">
        <f t="shared" si="48"/>
        <v>54.41</v>
      </c>
      <c r="K53" s="237">
        <f t="shared" si="48"/>
        <v>54.41</v>
      </c>
      <c r="L53" s="237">
        <f t="shared" si="48"/>
        <v>54.41</v>
      </c>
      <c r="M53" s="237">
        <f t="shared" si="48"/>
        <v>54.41</v>
      </c>
      <c r="N53" s="237">
        <f t="shared" si="48"/>
        <v>54.41</v>
      </c>
      <c r="O53" s="237">
        <f t="shared" si="48"/>
        <v>54.41</v>
      </c>
      <c r="P53" s="237">
        <f t="shared" si="48"/>
        <v>54.41</v>
      </c>
      <c r="Q53" s="237">
        <f t="shared" si="39"/>
        <v>54.41</v>
      </c>
      <c r="R53" s="214"/>
    </row>
    <row r="54" spans="2:18" x14ac:dyDescent="0.35">
      <c r="B54" s="248" t="s">
        <v>324</v>
      </c>
      <c r="C54" s="277" t="s">
        <v>88</v>
      </c>
      <c r="D54" s="248"/>
      <c r="E54" s="252">
        <f>SUM(E47:E53)</f>
        <v>-1658.4632207383202</v>
      </c>
      <c r="F54" s="252">
        <f t="shared" ref="F54:N54" si="50">SUM(F47:F53)</f>
        <v>-1940.0178104627385</v>
      </c>
      <c r="G54" s="252">
        <f t="shared" ref="G54" si="51">SUM(G47:G53)</f>
        <v>-1471.0264140188415</v>
      </c>
      <c r="H54" s="252">
        <f t="shared" si="50"/>
        <v>-275.18594187622807</v>
      </c>
      <c r="I54" s="252">
        <f t="shared" si="50"/>
        <v>-120.43452174831629</v>
      </c>
      <c r="J54" s="252">
        <f t="shared" si="50"/>
        <v>924.60167862344667</v>
      </c>
      <c r="K54" s="252">
        <f t="shared" si="50"/>
        <v>1204.9447529830063</v>
      </c>
      <c r="L54" s="252">
        <f t="shared" si="50"/>
        <v>1393.7513656074982</v>
      </c>
      <c r="M54" s="252">
        <f t="shared" si="50"/>
        <v>1538.6750465552882</v>
      </c>
      <c r="N54" s="252">
        <f t="shared" si="50"/>
        <v>1719.9453667914684</v>
      </c>
      <c r="O54" s="252">
        <f>SUM(O47:O53)</f>
        <v>1939.6265614604201</v>
      </c>
      <c r="P54" s="252">
        <f>SUM(P47:P53)</f>
        <v>2322.843226971429</v>
      </c>
      <c r="Q54" s="252">
        <f>SUM(Q47:Q53)</f>
        <v>2705.2640049639813</v>
      </c>
      <c r="R54" s="214"/>
    </row>
    <row r="55" spans="2:18" s="58" customFormat="1" x14ac:dyDescent="0.35">
      <c r="B55" s="289" t="s">
        <v>525</v>
      </c>
      <c r="C55" s="287">
        <f>+C71</f>
        <v>1070.1099999999999</v>
      </c>
      <c r="D55" s="287"/>
      <c r="E55" s="321">
        <f>IF(E54&gt;0,MIN($C55,E54),0)</f>
        <v>0</v>
      </c>
      <c r="F55" s="321">
        <f t="shared" ref="F55:N55" si="52">IF(F54&gt;0,MIN($C55,F54),0)</f>
        <v>0</v>
      </c>
      <c r="G55" s="321">
        <f t="shared" ref="G55" si="53">IF(G54&gt;0,MIN($C55,G54),0)</f>
        <v>0</v>
      </c>
      <c r="H55" s="321">
        <f t="shared" si="52"/>
        <v>0</v>
      </c>
      <c r="I55" s="321">
        <f t="shared" si="52"/>
        <v>0</v>
      </c>
      <c r="J55" s="321">
        <f t="shared" si="52"/>
        <v>924.60167862344667</v>
      </c>
      <c r="K55" s="321">
        <f t="shared" si="52"/>
        <v>1070.1099999999999</v>
      </c>
      <c r="L55" s="321">
        <f t="shared" si="52"/>
        <v>1070.1099999999999</v>
      </c>
      <c r="M55" s="321">
        <f t="shared" si="52"/>
        <v>1070.1099999999999</v>
      </c>
      <c r="N55" s="321">
        <f t="shared" si="52"/>
        <v>1070.1099999999999</v>
      </c>
      <c r="O55" s="321">
        <f>IF(O54&gt;0,MIN($C55,O54),0)</f>
        <v>1070.1099999999999</v>
      </c>
      <c r="P55" s="321">
        <f>IF(P54&gt;0,MIN($C55,P54),0)</f>
        <v>1070.1099999999999</v>
      </c>
      <c r="Q55" s="321">
        <f>IF(Q54&gt;0,MIN($C55,Q54),0)</f>
        <v>1070.1099999999999</v>
      </c>
      <c r="R55" s="259"/>
    </row>
    <row r="56" spans="2:18" s="58" customFormat="1" x14ac:dyDescent="0.35">
      <c r="B56" s="281"/>
      <c r="C56" s="287"/>
      <c r="D56" s="287"/>
      <c r="E56" s="321"/>
      <c r="F56" s="321"/>
      <c r="G56" s="321"/>
      <c r="H56" s="321"/>
      <c r="I56" s="321"/>
      <c r="J56" s="321"/>
      <c r="K56" s="321"/>
      <c r="L56" s="321"/>
      <c r="M56" s="321"/>
      <c r="N56" s="321"/>
      <c r="O56" s="321"/>
      <c r="P56" s="321"/>
      <c r="Q56" s="321"/>
      <c r="R56" s="259"/>
    </row>
    <row r="57" spans="2:18" s="58" customFormat="1" x14ac:dyDescent="0.35">
      <c r="B57" s="289" t="s">
        <v>226</v>
      </c>
      <c r="C57" s="280"/>
      <c r="D57" s="279"/>
      <c r="E57" s="320"/>
      <c r="F57" s="320"/>
      <c r="G57" s="320"/>
      <c r="H57" s="320"/>
      <c r="I57" s="320"/>
      <c r="J57" s="320"/>
      <c r="K57" s="320"/>
      <c r="L57" s="320"/>
      <c r="M57" s="320"/>
      <c r="N57" s="320"/>
      <c r="O57" s="320"/>
      <c r="P57" s="320"/>
      <c r="Q57" s="320"/>
      <c r="R57" s="259"/>
    </row>
    <row r="58" spans="2:18" s="58" customFormat="1" x14ac:dyDescent="0.35">
      <c r="B58" s="279" t="s">
        <v>140</v>
      </c>
      <c r="C58" s="288">
        <v>200</v>
      </c>
      <c r="D58" s="290">
        <f t="shared" ref="D58:D70" si="54">+C58/$C$71</f>
        <v>0.18689667417368311</v>
      </c>
      <c r="E58" s="320">
        <f t="shared" ref="E58:Q70" si="55">IF(E$55&gt;0,$D58*E$55,0)</f>
        <v>0</v>
      </c>
      <c r="F58" s="320">
        <f t="shared" si="55"/>
        <v>0</v>
      </c>
      <c r="G58" s="320">
        <f t="shared" si="55"/>
        <v>0</v>
      </c>
      <c r="H58" s="320">
        <f t="shared" si="55"/>
        <v>0</v>
      </c>
      <c r="I58" s="320">
        <f t="shared" si="55"/>
        <v>0</v>
      </c>
      <c r="J58" s="320">
        <f t="shared" si="55"/>
        <v>172.80497867012679</v>
      </c>
      <c r="K58" s="320">
        <f t="shared" si="55"/>
        <v>200</v>
      </c>
      <c r="L58" s="320">
        <f t="shared" si="55"/>
        <v>200</v>
      </c>
      <c r="M58" s="320">
        <f t="shared" si="55"/>
        <v>200</v>
      </c>
      <c r="N58" s="320">
        <f t="shared" si="55"/>
        <v>200</v>
      </c>
      <c r="O58" s="320">
        <f t="shared" si="55"/>
        <v>200</v>
      </c>
      <c r="P58" s="320">
        <f t="shared" si="55"/>
        <v>200</v>
      </c>
      <c r="Q58" s="320">
        <f t="shared" si="55"/>
        <v>200</v>
      </c>
      <c r="R58" s="259"/>
    </row>
    <row r="59" spans="2:18" s="58" customFormat="1" x14ac:dyDescent="0.35">
      <c r="B59" s="279" t="s">
        <v>227</v>
      </c>
      <c r="C59" s="288">
        <v>129.97</v>
      </c>
      <c r="D59" s="290">
        <f t="shared" si="54"/>
        <v>0.12145480371176796</v>
      </c>
      <c r="E59" s="320">
        <f t="shared" si="55"/>
        <v>0</v>
      </c>
      <c r="F59" s="320">
        <f t="shared" si="55"/>
        <v>0</v>
      </c>
      <c r="G59" s="320">
        <f t="shared" si="55"/>
        <v>0</v>
      </c>
      <c r="H59" s="320">
        <f t="shared" si="55"/>
        <v>0</v>
      </c>
      <c r="I59" s="320">
        <f t="shared" si="55"/>
        <v>0</v>
      </c>
      <c r="J59" s="320">
        <f t="shared" si="55"/>
        <v>112.29731538878188</v>
      </c>
      <c r="K59" s="320">
        <f t="shared" si="55"/>
        <v>129.97</v>
      </c>
      <c r="L59" s="320">
        <f t="shared" si="55"/>
        <v>129.97</v>
      </c>
      <c r="M59" s="320">
        <f t="shared" si="55"/>
        <v>129.97</v>
      </c>
      <c r="N59" s="320">
        <f t="shared" si="55"/>
        <v>129.97</v>
      </c>
      <c r="O59" s="320">
        <f t="shared" si="55"/>
        <v>129.97</v>
      </c>
      <c r="P59" s="320">
        <f t="shared" si="55"/>
        <v>129.97</v>
      </c>
      <c r="Q59" s="320">
        <f t="shared" si="55"/>
        <v>129.97</v>
      </c>
    </row>
    <row r="60" spans="2:18" s="58" customFormat="1" x14ac:dyDescent="0.35">
      <c r="B60" s="279" t="s">
        <v>132</v>
      </c>
      <c r="C60" s="288">
        <v>31.52</v>
      </c>
      <c r="D60" s="290">
        <f t="shared" si="54"/>
        <v>2.9454915849772455E-2</v>
      </c>
      <c r="E60" s="320">
        <f t="shared" si="55"/>
        <v>0</v>
      </c>
      <c r="F60" s="320">
        <f t="shared" si="55"/>
        <v>0</v>
      </c>
      <c r="G60" s="320">
        <f t="shared" si="55"/>
        <v>0</v>
      </c>
      <c r="H60" s="320">
        <f t="shared" si="55"/>
        <v>0</v>
      </c>
      <c r="I60" s="320">
        <f t="shared" si="55"/>
        <v>0</v>
      </c>
      <c r="J60" s="320">
        <f t="shared" si="55"/>
        <v>27.234064638411976</v>
      </c>
      <c r="K60" s="320">
        <f t="shared" si="55"/>
        <v>31.52</v>
      </c>
      <c r="L60" s="320">
        <f t="shared" si="55"/>
        <v>31.52</v>
      </c>
      <c r="M60" s="320">
        <f t="shared" si="55"/>
        <v>31.52</v>
      </c>
      <c r="N60" s="320">
        <f t="shared" si="55"/>
        <v>31.52</v>
      </c>
      <c r="O60" s="320">
        <f t="shared" si="55"/>
        <v>31.52</v>
      </c>
      <c r="P60" s="320">
        <f t="shared" si="55"/>
        <v>31.52</v>
      </c>
      <c r="Q60" s="320">
        <f t="shared" si="55"/>
        <v>31.52</v>
      </c>
    </row>
    <row r="61" spans="2:18" s="58" customFormat="1" x14ac:dyDescent="0.35">
      <c r="B61" s="279" t="s">
        <v>133</v>
      </c>
      <c r="C61" s="288">
        <v>18.57</v>
      </c>
      <c r="D61" s="290">
        <f t="shared" si="54"/>
        <v>1.7353356197026475E-2</v>
      </c>
      <c r="E61" s="320">
        <f t="shared" si="55"/>
        <v>0</v>
      </c>
      <c r="F61" s="320">
        <f t="shared" si="55"/>
        <v>0</v>
      </c>
      <c r="G61" s="320">
        <f t="shared" si="55"/>
        <v>0</v>
      </c>
      <c r="H61" s="320">
        <f t="shared" si="55"/>
        <v>0</v>
      </c>
      <c r="I61" s="320">
        <f t="shared" si="55"/>
        <v>0</v>
      </c>
      <c r="J61" s="320">
        <f t="shared" si="55"/>
        <v>16.044942269521268</v>
      </c>
      <c r="K61" s="320">
        <f t="shared" si="55"/>
        <v>18.57</v>
      </c>
      <c r="L61" s="320">
        <f t="shared" si="55"/>
        <v>18.57</v>
      </c>
      <c r="M61" s="320">
        <f t="shared" si="55"/>
        <v>18.57</v>
      </c>
      <c r="N61" s="320">
        <f t="shared" si="55"/>
        <v>18.57</v>
      </c>
      <c r="O61" s="320">
        <f t="shared" si="55"/>
        <v>18.57</v>
      </c>
      <c r="P61" s="320">
        <f t="shared" si="55"/>
        <v>18.57</v>
      </c>
      <c r="Q61" s="320">
        <f t="shared" si="55"/>
        <v>18.57</v>
      </c>
    </row>
    <row r="62" spans="2:18" s="58" customFormat="1" x14ac:dyDescent="0.35">
      <c r="B62" s="279" t="s">
        <v>134</v>
      </c>
      <c r="C62" s="288">
        <v>92.85</v>
      </c>
      <c r="D62" s="290">
        <f t="shared" si="54"/>
        <v>8.6766780985132366E-2</v>
      </c>
      <c r="E62" s="320">
        <f t="shared" si="55"/>
        <v>0</v>
      </c>
      <c r="F62" s="320">
        <f t="shared" si="55"/>
        <v>0</v>
      </c>
      <c r="G62" s="320">
        <f t="shared" si="55"/>
        <v>0</v>
      </c>
      <c r="H62" s="320">
        <f t="shared" si="55"/>
        <v>0</v>
      </c>
      <c r="I62" s="320">
        <f t="shared" si="55"/>
        <v>0</v>
      </c>
      <c r="J62" s="320">
        <f t="shared" si="55"/>
        <v>80.224711347606345</v>
      </c>
      <c r="K62" s="320">
        <f t="shared" si="55"/>
        <v>92.85</v>
      </c>
      <c r="L62" s="320">
        <f t="shared" si="55"/>
        <v>92.85</v>
      </c>
      <c r="M62" s="320">
        <f t="shared" si="55"/>
        <v>92.85</v>
      </c>
      <c r="N62" s="320">
        <f t="shared" si="55"/>
        <v>92.85</v>
      </c>
      <c r="O62" s="320">
        <f t="shared" si="55"/>
        <v>92.85</v>
      </c>
      <c r="P62" s="320">
        <f t="shared" si="55"/>
        <v>92.85</v>
      </c>
      <c r="Q62" s="320">
        <f t="shared" si="55"/>
        <v>92.85</v>
      </c>
    </row>
    <row r="63" spans="2:18" s="58" customFormat="1" x14ac:dyDescent="0.35">
      <c r="B63" s="279" t="s">
        <v>135</v>
      </c>
      <c r="C63" s="288">
        <v>38.58</v>
      </c>
      <c r="D63" s="290">
        <f t="shared" si="54"/>
        <v>3.6052368448103465E-2</v>
      </c>
      <c r="E63" s="320">
        <f t="shared" si="55"/>
        <v>0</v>
      </c>
      <c r="F63" s="320">
        <f t="shared" si="55"/>
        <v>0</v>
      </c>
      <c r="G63" s="320">
        <f t="shared" si="55"/>
        <v>0</v>
      </c>
      <c r="H63" s="320">
        <f t="shared" si="55"/>
        <v>0</v>
      </c>
      <c r="I63" s="320">
        <f t="shared" si="55"/>
        <v>0</v>
      </c>
      <c r="J63" s="320">
        <f t="shared" si="55"/>
        <v>33.334080385467452</v>
      </c>
      <c r="K63" s="320">
        <f t="shared" si="55"/>
        <v>38.58</v>
      </c>
      <c r="L63" s="320">
        <f t="shared" si="55"/>
        <v>38.58</v>
      </c>
      <c r="M63" s="320">
        <f t="shared" si="55"/>
        <v>38.58</v>
      </c>
      <c r="N63" s="320">
        <f t="shared" si="55"/>
        <v>38.58</v>
      </c>
      <c r="O63" s="320">
        <f t="shared" si="55"/>
        <v>38.58</v>
      </c>
      <c r="P63" s="320">
        <f t="shared" si="55"/>
        <v>38.58</v>
      </c>
      <c r="Q63" s="320">
        <f t="shared" si="55"/>
        <v>38.58</v>
      </c>
    </row>
    <row r="64" spans="2:18" s="58" customFormat="1" x14ac:dyDescent="0.35">
      <c r="B64" s="279" t="s">
        <v>136</v>
      </c>
      <c r="C64" s="288">
        <v>108.05</v>
      </c>
      <c r="D64" s="290">
        <f t="shared" si="54"/>
        <v>0.10097092822233229</v>
      </c>
      <c r="E64" s="320">
        <f t="shared" si="55"/>
        <v>0</v>
      </c>
      <c r="F64" s="320">
        <f t="shared" si="55"/>
        <v>0</v>
      </c>
      <c r="G64" s="320">
        <f t="shared" si="55"/>
        <v>0</v>
      </c>
      <c r="H64" s="320">
        <f t="shared" si="55"/>
        <v>0</v>
      </c>
      <c r="I64" s="320">
        <f t="shared" si="55"/>
        <v>0</v>
      </c>
      <c r="J64" s="320">
        <f t="shared" si="55"/>
        <v>93.357889726535987</v>
      </c>
      <c r="K64" s="320">
        <f t="shared" si="55"/>
        <v>108.05</v>
      </c>
      <c r="L64" s="320">
        <f t="shared" si="55"/>
        <v>108.05</v>
      </c>
      <c r="M64" s="320">
        <f t="shared" si="55"/>
        <v>108.05</v>
      </c>
      <c r="N64" s="320">
        <f t="shared" si="55"/>
        <v>108.05</v>
      </c>
      <c r="O64" s="320">
        <f t="shared" si="55"/>
        <v>108.05</v>
      </c>
      <c r="P64" s="320">
        <f t="shared" si="55"/>
        <v>108.05</v>
      </c>
      <c r="Q64" s="320">
        <f t="shared" si="55"/>
        <v>108.05</v>
      </c>
    </row>
    <row r="65" spans="1:17" s="58" customFormat="1" x14ac:dyDescent="0.35">
      <c r="B65" s="279" t="s">
        <v>228</v>
      </c>
      <c r="C65" s="288">
        <v>0</v>
      </c>
      <c r="D65" s="290">
        <f t="shared" si="54"/>
        <v>0</v>
      </c>
      <c r="E65" s="320">
        <f t="shared" si="55"/>
        <v>0</v>
      </c>
      <c r="F65" s="320">
        <f t="shared" si="55"/>
        <v>0</v>
      </c>
      <c r="G65" s="320">
        <f t="shared" si="55"/>
        <v>0</v>
      </c>
      <c r="H65" s="320">
        <f t="shared" si="55"/>
        <v>0</v>
      </c>
      <c r="I65" s="320">
        <f t="shared" si="55"/>
        <v>0</v>
      </c>
      <c r="J65" s="320">
        <f t="shared" si="55"/>
        <v>0</v>
      </c>
      <c r="K65" s="320">
        <f t="shared" si="55"/>
        <v>0</v>
      </c>
      <c r="L65" s="320">
        <f t="shared" si="55"/>
        <v>0</v>
      </c>
      <c r="M65" s="320">
        <f t="shared" si="55"/>
        <v>0</v>
      </c>
      <c r="N65" s="320">
        <f t="shared" si="55"/>
        <v>0</v>
      </c>
      <c r="O65" s="320">
        <f t="shared" si="55"/>
        <v>0</v>
      </c>
      <c r="P65" s="320">
        <f t="shared" si="55"/>
        <v>0</v>
      </c>
      <c r="Q65" s="320">
        <f t="shared" si="55"/>
        <v>0</v>
      </c>
    </row>
    <row r="66" spans="1:17" s="58" customFormat="1" x14ac:dyDescent="0.35">
      <c r="B66" s="279" t="s">
        <v>137</v>
      </c>
      <c r="C66" s="288">
        <v>57</v>
      </c>
      <c r="D66" s="290">
        <f t="shared" si="54"/>
        <v>5.3265552139499683E-2</v>
      </c>
      <c r="E66" s="320">
        <f t="shared" si="55"/>
        <v>0</v>
      </c>
      <c r="F66" s="320">
        <f t="shared" si="55"/>
        <v>0</v>
      </c>
      <c r="G66" s="320">
        <f t="shared" si="55"/>
        <v>0</v>
      </c>
      <c r="H66" s="320">
        <f t="shared" si="55"/>
        <v>0</v>
      </c>
      <c r="I66" s="320">
        <f t="shared" si="55"/>
        <v>0</v>
      </c>
      <c r="J66" s="320">
        <f t="shared" si="55"/>
        <v>49.24941892098613</v>
      </c>
      <c r="K66" s="320">
        <f t="shared" si="55"/>
        <v>57</v>
      </c>
      <c r="L66" s="320">
        <f t="shared" si="55"/>
        <v>57</v>
      </c>
      <c r="M66" s="320">
        <f t="shared" si="55"/>
        <v>57</v>
      </c>
      <c r="N66" s="320">
        <f t="shared" si="55"/>
        <v>57</v>
      </c>
      <c r="O66" s="320">
        <f t="shared" si="55"/>
        <v>57</v>
      </c>
      <c r="P66" s="320">
        <f t="shared" si="55"/>
        <v>57</v>
      </c>
      <c r="Q66" s="320">
        <f t="shared" si="55"/>
        <v>57</v>
      </c>
    </row>
    <row r="67" spans="1:17" s="58" customFormat="1" x14ac:dyDescent="0.35">
      <c r="B67" s="279" t="s">
        <v>138</v>
      </c>
      <c r="C67" s="288">
        <v>27.85</v>
      </c>
      <c r="D67" s="290">
        <f t="shared" si="54"/>
        <v>2.6025361878685371E-2</v>
      </c>
      <c r="E67" s="320">
        <f t="shared" si="55"/>
        <v>0</v>
      </c>
      <c r="F67" s="320">
        <f t="shared" si="55"/>
        <v>0</v>
      </c>
      <c r="G67" s="320">
        <f t="shared" si="55"/>
        <v>0</v>
      </c>
      <c r="H67" s="320">
        <f t="shared" si="55"/>
        <v>0</v>
      </c>
      <c r="I67" s="320">
        <f t="shared" si="55"/>
        <v>0</v>
      </c>
      <c r="J67" s="320">
        <f t="shared" si="55"/>
        <v>24.063093279815153</v>
      </c>
      <c r="K67" s="320">
        <f t="shared" si="55"/>
        <v>27.85</v>
      </c>
      <c r="L67" s="320">
        <f t="shared" si="55"/>
        <v>27.85</v>
      </c>
      <c r="M67" s="320">
        <f t="shared" si="55"/>
        <v>27.85</v>
      </c>
      <c r="N67" s="320">
        <f t="shared" si="55"/>
        <v>27.85</v>
      </c>
      <c r="O67" s="320">
        <f t="shared" si="55"/>
        <v>27.85</v>
      </c>
      <c r="P67" s="320">
        <f t="shared" si="55"/>
        <v>27.85</v>
      </c>
      <c r="Q67" s="320">
        <f t="shared" si="55"/>
        <v>27.85</v>
      </c>
    </row>
    <row r="68" spans="1:17" s="58" customFormat="1" x14ac:dyDescent="0.35">
      <c r="B68" s="279" t="s">
        <v>229</v>
      </c>
      <c r="C68" s="288">
        <v>97.42</v>
      </c>
      <c r="D68" s="290">
        <f t="shared" si="54"/>
        <v>9.1037369990001032E-2</v>
      </c>
      <c r="E68" s="320">
        <f t="shared" si="55"/>
        <v>0</v>
      </c>
      <c r="F68" s="320">
        <f t="shared" si="55"/>
        <v>0</v>
      </c>
      <c r="G68" s="320">
        <f t="shared" si="55"/>
        <v>0</v>
      </c>
      <c r="H68" s="320">
        <f t="shared" si="55"/>
        <v>0</v>
      </c>
      <c r="I68" s="320">
        <f t="shared" si="55"/>
        <v>0</v>
      </c>
      <c r="J68" s="320">
        <f t="shared" si="55"/>
        <v>84.173305110218749</v>
      </c>
      <c r="K68" s="320">
        <f t="shared" si="55"/>
        <v>97.42</v>
      </c>
      <c r="L68" s="320">
        <f t="shared" si="55"/>
        <v>97.42</v>
      </c>
      <c r="M68" s="320">
        <f t="shared" si="55"/>
        <v>97.42</v>
      </c>
      <c r="N68" s="320">
        <f t="shared" si="55"/>
        <v>97.42</v>
      </c>
      <c r="O68" s="320">
        <f t="shared" si="55"/>
        <v>97.42</v>
      </c>
      <c r="P68" s="320">
        <f t="shared" si="55"/>
        <v>97.42</v>
      </c>
      <c r="Q68" s="320">
        <f t="shared" si="55"/>
        <v>97.42</v>
      </c>
    </row>
    <row r="69" spans="1:17" s="58" customFormat="1" x14ac:dyDescent="0.35">
      <c r="B69" s="279" t="s">
        <v>139</v>
      </c>
      <c r="C69" s="288">
        <v>226.52</v>
      </c>
      <c r="D69" s="290">
        <f t="shared" si="54"/>
        <v>0.21167917316911347</v>
      </c>
      <c r="E69" s="320">
        <f t="shared" si="55"/>
        <v>0</v>
      </c>
      <c r="F69" s="320">
        <f t="shared" si="55"/>
        <v>0</v>
      </c>
      <c r="G69" s="320">
        <f t="shared" si="55"/>
        <v>0</v>
      </c>
      <c r="H69" s="320">
        <f t="shared" si="55"/>
        <v>0</v>
      </c>
      <c r="I69" s="320">
        <f t="shared" si="55"/>
        <v>0</v>
      </c>
      <c r="J69" s="320">
        <f t="shared" si="55"/>
        <v>195.71891884178558</v>
      </c>
      <c r="K69" s="320">
        <f t="shared" si="55"/>
        <v>226.51999999999998</v>
      </c>
      <c r="L69" s="320">
        <f t="shared" si="55"/>
        <v>226.51999999999998</v>
      </c>
      <c r="M69" s="320">
        <f t="shared" si="55"/>
        <v>226.51999999999998</v>
      </c>
      <c r="N69" s="320">
        <f t="shared" si="55"/>
        <v>226.51999999999998</v>
      </c>
      <c r="O69" s="320">
        <f t="shared" si="55"/>
        <v>226.51999999999998</v>
      </c>
      <c r="P69" s="320">
        <f t="shared" si="55"/>
        <v>226.51999999999998</v>
      </c>
      <c r="Q69" s="320">
        <f t="shared" si="55"/>
        <v>226.51999999999998</v>
      </c>
    </row>
    <row r="70" spans="1:17" s="58" customFormat="1" x14ac:dyDescent="0.35">
      <c r="B70" s="279" t="s">
        <v>141</v>
      </c>
      <c r="C70" s="288">
        <v>41.78</v>
      </c>
      <c r="D70" s="290">
        <f t="shared" si="54"/>
        <v>3.9042715234882397E-2</v>
      </c>
      <c r="E70" s="320">
        <f t="shared" si="55"/>
        <v>0</v>
      </c>
      <c r="F70" s="320">
        <f t="shared" si="55"/>
        <v>0</v>
      </c>
      <c r="G70" s="320">
        <f t="shared" si="55"/>
        <v>0</v>
      </c>
      <c r="H70" s="320">
        <f t="shared" si="55"/>
        <v>0</v>
      </c>
      <c r="I70" s="320">
        <f t="shared" si="55"/>
        <v>0</v>
      </c>
      <c r="J70" s="320">
        <f t="shared" si="55"/>
        <v>36.098960044189482</v>
      </c>
      <c r="K70" s="320">
        <f t="shared" si="55"/>
        <v>41.78</v>
      </c>
      <c r="L70" s="320">
        <f t="shared" si="55"/>
        <v>41.78</v>
      </c>
      <c r="M70" s="320">
        <f t="shared" si="55"/>
        <v>41.78</v>
      </c>
      <c r="N70" s="320">
        <f t="shared" si="55"/>
        <v>41.78</v>
      </c>
      <c r="O70" s="320">
        <f t="shared" si="55"/>
        <v>41.78</v>
      </c>
      <c r="P70" s="320">
        <f t="shared" si="55"/>
        <v>41.78</v>
      </c>
      <c r="Q70" s="320">
        <f t="shared" si="55"/>
        <v>41.78</v>
      </c>
    </row>
    <row r="71" spans="1:17" x14ac:dyDescent="0.35">
      <c r="B71" s="250"/>
      <c r="C71" s="249">
        <f>SUM(C58:C70)</f>
        <v>1070.1099999999999</v>
      </c>
      <c r="D71" s="249"/>
      <c r="E71" s="252">
        <f t="shared" ref="E71:Q71" si="56">SUM(E58:E70)</f>
        <v>0</v>
      </c>
      <c r="F71" s="252">
        <f t="shared" si="56"/>
        <v>0</v>
      </c>
      <c r="G71" s="252">
        <f t="shared" ref="G71" si="57">SUM(G58:G70)</f>
        <v>0</v>
      </c>
      <c r="H71" s="252">
        <f t="shared" si="56"/>
        <v>0</v>
      </c>
      <c r="I71" s="252">
        <f t="shared" si="56"/>
        <v>0</v>
      </c>
      <c r="J71" s="252">
        <f t="shared" si="56"/>
        <v>924.60167862344679</v>
      </c>
      <c r="K71" s="252">
        <f t="shared" si="56"/>
        <v>1070.1099999999999</v>
      </c>
      <c r="L71" s="252">
        <f t="shared" si="56"/>
        <v>1070.1099999999999</v>
      </c>
      <c r="M71" s="252">
        <f t="shared" si="56"/>
        <v>1070.1099999999999</v>
      </c>
      <c r="N71" s="252">
        <f t="shared" si="56"/>
        <v>1070.1099999999999</v>
      </c>
      <c r="O71" s="252">
        <f t="shared" si="56"/>
        <v>1070.1099999999999</v>
      </c>
      <c r="P71" s="252">
        <f t="shared" si="56"/>
        <v>1070.1099999999999</v>
      </c>
      <c r="Q71" s="252">
        <f t="shared" si="56"/>
        <v>1070.1099999999999</v>
      </c>
    </row>
    <row r="72" spans="1:17" x14ac:dyDescent="0.35">
      <c r="B72" s="198" t="s">
        <v>325</v>
      </c>
      <c r="C72" s="272"/>
      <c r="D72" s="198"/>
      <c r="E72" s="291">
        <v>0.10150000000000001</v>
      </c>
      <c r="F72" s="291">
        <f>+E72</f>
        <v>0.10150000000000001</v>
      </c>
      <c r="G72" s="291">
        <f>F72</f>
        <v>0.10150000000000001</v>
      </c>
      <c r="H72" s="291">
        <f>+G72</f>
        <v>0.10150000000000001</v>
      </c>
      <c r="I72" s="291">
        <f t="shared" ref="I72:N72" si="58">+H72</f>
        <v>0.10150000000000001</v>
      </c>
      <c r="J72" s="291">
        <f t="shared" si="58"/>
        <v>0.10150000000000001</v>
      </c>
      <c r="K72" s="291">
        <f t="shared" si="58"/>
        <v>0.10150000000000001</v>
      </c>
      <c r="L72" s="291">
        <f t="shared" si="58"/>
        <v>0.10150000000000001</v>
      </c>
      <c r="M72" s="291">
        <f t="shared" si="58"/>
        <v>0.10150000000000001</v>
      </c>
      <c r="N72" s="291">
        <f t="shared" si="58"/>
        <v>0.10150000000000001</v>
      </c>
      <c r="O72" s="291">
        <f>+N72</f>
        <v>0.10150000000000001</v>
      </c>
      <c r="P72" s="291">
        <f>+O72</f>
        <v>0.10150000000000001</v>
      </c>
      <c r="Q72" s="291">
        <f>+P72</f>
        <v>0.10150000000000001</v>
      </c>
    </row>
    <row r="73" spans="1:17" x14ac:dyDescent="0.35">
      <c r="A73" s="292">
        <v>0.5</v>
      </c>
      <c r="B73" s="198" t="s">
        <v>276</v>
      </c>
      <c r="C73" s="272" t="s">
        <v>88</v>
      </c>
      <c r="D73" s="198"/>
      <c r="E73" s="239">
        <f>E55*E72*$A73</f>
        <v>0</v>
      </c>
      <c r="F73" s="239">
        <f t="shared" ref="F73:N73" si="59">F55*F72*$A73</f>
        <v>0</v>
      </c>
      <c r="G73" s="239">
        <f t="shared" si="59"/>
        <v>0</v>
      </c>
      <c r="H73" s="239">
        <f t="shared" si="59"/>
        <v>0</v>
      </c>
      <c r="I73" s="239">
        <f t="shared" si="59"/>
        <v>0</v>
      </c>
      <c r="J73" s="239">
        <f t="shared" si="59"/>
        <v>46.923535190139923</v>
      </c>
      <c r="K73" s="239">
        <f t="shared" si="59"/>
        <v>54.308082499999998</v>
      </c>
      <c r="L73" s="239">
        <f t="shared" si="59"/>
        <v>54.308082499999998</v>
      </c>
      <c r="M73" s="239">
        <f t="shared" si="59"/>
        <v>54.308082499999998</v>
      </c>
      <c r="N73" s="239">
        <f t="shared" si="59"/>
        <v>54.308082499999998</v>
      </c>
      <c r="O73" s="239">
        <f>O55*O72*$A73</f>
        <v>54.308082499999998</v>
      </c>
      <c r="P73" s="239">
        <f>P55*P72*$A73</f>
        <v>54.308082499999998</v>
      </c>
      <c r="Q73" s="239">
        <f>Q55*Q72*$A73</f>
        <v>54.308082499999998</v>
      </c>
    </row>
  </sheetData>
  <pageMargins left="0.7" right="0.7" top="0.75" bottom="0.75" header="0.3" footer="0.3"/>
  <pageSetup paperSize="9" scale="5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
  <sheetViews>
    <sheetView showGridLines="0" workbookViewId="0"/>
  </sheetViews>
  <sheetFormatPr defaultRowHeight="14.5" x14ac:dyDescent="0.35"/>
  <sheetData/>
  <pageMargins left="0.7" right="0.7" top="0.75" bottom="0.75" header="0.3" footer="0.3"/>
  <pageSetup paperSize="9" orientation="portrait" horizontalDpi="300" r:id="rId1"/>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theme="2" tint="-9.9978637043366805E-2"/>
  </sheetPr>
  <dimension ref="A2:T79"/>
  <sheetViews>
    <sheetView showGridLines="0" zoomScale="80" zoomScaleNormal="80" workbookViewId="0">
      <selection activeCell="L24" sqref="L24"/>
    </sheetView>
  </sheetViews>
  <sheetFormatPr defaultRowHeight="14.5" x14ac:dyDescent="0.35"/>
  <cols>
    <col min="2" max="2" width="41.453125" bestFit="1" customWidth="1"/>
    <col min="3" max="3" width="12" customWidth="1"/>
    <col min="4" max="4" width="16.1796875" customWidth="1"/>
    <col min="5" max="5" width="13.453125" customWidth="1"/>
    <col min="6" max="6" width="16" bestFit="1" customWidth="1"/>
    <col min="7" max="7" width="14.26953125" bestFit="1" customWidth="1"/>
    <col min="8" max="8" width="16.453125" bestFit="1" customWidth="1"/>
    <col min="9" max="9" width="16.7265625" bestFit="1" customWidth="1"/>
    <col min="10" max="10" width="14.1796875" bestFit="1" customWidth="1"/>
    <col min="11" max="11" width="16.7265625" bestFit="1" customWidth="1"/>
    <col min="12" max="14" width="10.54296875" bestFit="1" customWidth="1"/>
    <col min="15" max="18" width="10.54296875" hidden="1" customWidth="1"/>
  </cols>
  <sheetData>
    <row r="2" spans="1:20" x14ac:dyDescent="0.35">
      <c r="B2" s="112" t="str">
        <f>'Tax calc'!B2</f>
        <v>All figures in INR Crores</v>
      </c>
    </row>
    <row r="4" spans="1:20" s="217" customFormat="1" x14ac:dyDescent="0.35">
      <c r="B4" s="218" t="s">
        <v>502</v>
      </c>
      <c r="D4" s="219"/>
      <c r="E4" s="220"/>
      <c r="F4" s="220"/>
      <c r="G4" s="220"/>
      <c r="H4" s="220"/>
      <c r="I4" s="220"/>
      <c r="J4" s="220"/>
      <c r="K4" s="220"/>
      <c r="L4" s="220"/>
      <c r="M4" s="220"/>
      <c r="N4" s="220"/>
      <c r="O4" s="220"/>
      <c r="P4" s="220"/>
      <c r="Q4" s="220"/>
      <c r="R4" s="220"/>
      <c r="S4" s="220"/>
    </row>
    <row r="5" spans="1:20" s="213" customFormat="1" x14ac:dyDescent="0.35">
      <c r="B5" s="134"/>
      <c r="D5" s="216"/>
      <c r="E5" s="215"/>
      <c r="F5" s="1718"/>
      <c r="G5" s="215"/>
      <c r="H5" s="215"/>
      <c r="I5" s="215"/>
      <c r="J5" s="215"/>
      <c r="K5" s="215"/>
      <c r="L5" s="215"/>
      <c r="M5" s="215"/>
      <c r="N5" s="215"/>
      <c r="O5" s="215"/>
      <c r="P5" s="215"/>
      <c r="Q5" s="215"/>
      <c r="R5" s="215"/>
      <c r="S5" s="215"/>
    </row>
    <row r="6" spans="1:20" s="213" customFormat="1" x14ac:dyDescent="0.35">
      <c r="B6" s="54" t="s">
        <v>366</v>
      </c>
      <c r="C6" s="221"/>
      <c r="D6" s="222">
        <f>'Working - Corporate'!G5</f>
        <v>43921</v>
      </c>
      <c r="E6" s="222">
        <f>'Working - Corporate'!H5</f>
        <v>44286</v>
      </c>
      <c r="F6" s="222">
        <f t="shared" ref="F6:R6" si="0">EOMONTH(E6,12)</f>
        <v>44651</v>
      </c>
      <c r="G6" s="222">
        <f t="shared" si="0"/>
        <v>45016</v>
      </c>
      <c r="H6" s="222">
        <f t="shared" si="0"/>
        <v>45382</v>
      </c>
      <c r="I6" s="222">
        <f t="shared" si="0"/>
        <v>45747</v>
      </c>
      <c r="J6" s="222">
        <f t="shared" si="0"/>
        <v>46112</v>
      </c>
      <c r="K6" s="222">
        <f t="shared" si="0"/>
        <v>46477</v>
      </c>
      <c r="L6" s="222">
        <f t="shared" si="0"/>
        <v>46843</v>
      </c>
      <c r="M6" s="222">
        <f t="shared" si="0"/>
        <v>47208</v>
      </c>
      <c r="N6" s="222">
        <f t="shared" si="0"/>
        <v>47573</v>
      </c>
      <c r="O6" s="222">
        <f t="shared" si="0"/>
        <v>47938</v>
      </c>
      <c r="P6" s="222">
        <f t="shared" si="0"/>
        <v>48304</v>
      </c>
      <c r="Q6" s="222">
        <f t="shared" si="0"/>
        <v>48669</v>
      </c>
      <c r="R6" s="222">
        <f t="shared" si="0"/>
        <v>49034</v>
      </c>
      <c r="S6" s="215"/>
    </row>
    <row r="7" spans="1:20" s="213" customFormat="1" x14ac:dyDescent="0.35">
      <c r="B7" s="103" t="s">
        <v>388</v>
      </c>
      <c r="C7" s="104"/>
      <c r="D7" s="123"/>
      <c r="E7" s="223"/>
      <c r="F7" s="223"/>
      <c r="G7" s="223"/>
      <c r="H7" s="223"/>
      <c r="I7" s="223"/>
      <c r="J7" s="223"/>
      <c r="K7" s="223"/>
      <c r="L7" s="223"/>
      <c r="M7" s="223"/>
      <c r="N7" s="223"/>
      <c r="O7" s="223"/>
      <c r="P7" s="223"/>
      <c r="Q7" s="223"/>
      <c r="R7" s="223"/>
      <c r="S7" s="215"/>
      <c r="T7" s="254"/>
    </row>
    <row r="8" spans="1:20" s="213" customFormat="1" x14ac:dyDescent="0.35">
      <c r="B8" s="128" t="s">
        <v>172</v>
      </c>
      <c r="C8" s="224"/>
      <c r="D8" s="225"/>
      <c r="E8" s="226"/>
      <c r="F8" s="226">
        <f>E13</f>
        <v>130.09299999999999</v>
      </c>
      <c r="G8" s="226">
        <f t="shared" ref="G8:R8" si="1">F13</f>
        <v>6.0822382719599375</v>
      </c>
      <c r="H8" s="226">
        <f t="shared" si="1"/>
        <v>6.8121068645951297</v>
      </c>
      <c r="I8" s="226">
        <f t="shared" si="1"/>
        <v>7.6295596883465455</v>
      </c>
      <c r="J8" s="226">
        <f t="shared" si="1"/>
        <v>8.5451068509481303</v>
      </c>
      <c r="K8" s="226">
        <f t="shared" si="1"/>
        <v>9.5705196730619058</v>
      </c>
      <c r="L8" s="226">
        <f t="shared" si="1"/>
        <v>10.718982033829334</v>
      </c>
      <c r="M8" s="226">
        <f t="shared" si="1"/>
        <v>12.005259877888854</v>
      </c>
      <c r="N8" s="226">
        <f t="shared" si="1"/>
        <v>13.445891063235516</v>
      </c>
      <c r="O8" s="226">
        <f t="shared" si="1"/>
        <v>15.059397990823777</v>
      </c>
      <c r="P8" s="226">
        <f t="shared" si="1"/>
        <v>16.86652574972263</v>
      </c>
      <c r="Q8" s="226">
        <f t="shared" si="1"/>
        <v>18.890508839689346</v>
      </c>
      <c r="R8" s="226">
        <f t="shared" si="1"/>
        <v>21.157369900452068</v>
      </c>
      <c r="S8" s="215"/>
      <c r="T8" s="636"/>
    </row>
    <row r="9" spans="1:20" s="213" customFormat="1" x14ac:dyDescent="0.35">
      <c r="B9" s="128" t="s">
        <v>383</v>
      </c>
      <c r="C9" s="224"/>
      <c r="D9" s="225"/>
      <c r="E9" s="226"/>
      <c r="F9" s="347">
        <f>625609169.547166/10^7</f>
        <v>62.560916954716596</v>
      </c>
      <c r="G9" s="226">
        <v>0</v>
      </c>
      <c r="H9" s="226">
        <v>0</v>
      </c>
      <c r="I9" s="226">
        <v>0</v>
      </c>
      <c r="J9" s="226">
        <v>0</v>
      </c>
      <c r="K9" s="226">
        <v>0</v>
      </c>
      <c r="L9" s="226">
        <v>0</v>
      </c>
      <c r="M9" s="226">
        <v>0</v>
      </c>
      <c r="N9" s="226">
        <v>0</v>
      </c>
      <c r="O9" s="226">
        <v>0</v>
      </c>
      <c r="P9" s="226">
        <v>0</v>
      </c>
      <c r="Q9" s="226">
        <v>0</v>
      </c>
      <c r="R9" s="226">
        <v>0</v>
      </c>
      <c r="S9" s="215"/>
      <c r="T9" s="254"/>
    </row>
    <row r="10" spans="1:20" s="213" customFormat="1" x14ac:dyDescent="0.35">
      <c r="B10" s="128" t="s">
        <v>385</v>
      </c>
      <c r="C10" s="224"/>
      <c r="D10" s="225"/>
      <c r="E10" s="226"/>
      <c r="F10" s="226">
        <f t="shared" ref="F10:R10" si="2">F14-F15</f>
        <v>4.3947213172433441</v>
      </c>
      <c r="G10" s="226">
        <f t="shared" si="2"/>
        <v>0.72986859263519244</v>
      </c>
      <c r="H10" s="226">
        <f t="shared" si="2"/>
        <v>0.81745282375141548</v>
      </c>
      <c r="I10" s="226">
        <f t="shared" si="2"/>
        <v>0.91554716260158542</v>
      </c>
      <c r="J10" s="226">
        <f t="shared" si="2"/>
        <v>1.0254128221137755</v>
      </c>
      <c r="K10" s="226">
        <f t="shared" si="2"/>
        <v>1.1484623607674287</v>
      </c>
      <c r="L10" s="226">
        <f t="shared" si="2"/>
        <v>1.2862778440595202</v>
      </c>
      <c r="M10" s="226">
        <f t="shared" si="2"/>
        <v>1.4406311853466625</v>
      </c>
      <c r="N10" s="226">
        <f t="shared" si="2"/>
        <v>1.6135069275882619</v>
      </c>
      <c r="O10" s="226">
        <f t="shared" si="2"/>
        <v>1.8071277588988532</v>
      </c>
      <c r="P10" s="226">
        <f t="shared" si="2"/>
        <v>2.0239830899667157</v>
      </c>
      <c r="Q10" s="226">
        <f t="shared" si="2"/>
        <v>2.2668610607627215</v>
      </c>
      <c r="R10" s="226">
        <f t="shared" si="2"/>
        <v>2.5388843880542482</v>
      </c>
      <c r="S10" s="215"/>
      <c r="T10" s="254"/>
    </row>
    <row r="11" spans="1:20" s="213" customFormat="1" x14ac:dyDescent="0.35">
      <c r="B11" s="128" t="s">
        <v>384</v>
      </c>
      <c r="C11" s="224"/>
      <c r="D11" s="225"/>
      <c r="E11" s="226"/>
      <c r="F11" s="347">
        <f>1909664000/10^7</f>
        <v>190.96639999999999</v>
      </c>
      <c r="G11" s="226"/>
      <c r="H11" s="226"/>
      <c r="I11" s="226"/>
      <c r="J11" s="226"/>
      <c r="K11" s="226"/>
      <c r="L11" s="226"/>
      <c r="M11" s="226"/>
      <c r="N11" s="226"/>
      <c r="O11" s="226"/>
      <c r="P11" s="226"/>
      <c r="Q11" s="226"/>
      <c r="R11" s="226"/>
      <c r="S11" s="215"/>
      <c r="T11" s="636"/>
    </row>
    <row r="12" spans="1:20" s="213" customFormat="1" x14ac:dyDescent="0.35">
      <c r="B12" s="128" t="s">
        <v>386</v>
      </c>
      <c r="C12" s="224"/>
      <c r="D12" s="225"/>
      <c r="E12" s="226"/>
      <c r="F12" s="226"/>
      <c r="G12" s="226"/>
      <c r="H12" s="226"/>
      <c r="I12" s="226"/>
      <c r="J12" s="226"/>
      <c r="K12" s="226"/>
      <c r="L12" s="226"/>
      <c r="M12" s="226"/>
      <c r="N12" s="226"/>
      <c r="O12" s="226"/>
      <c r="P12" s="226"/>
      <c r="Q12" s="226"/>
      <c r="R12" s="226"/>
      <c r="S12" s="215"/>
      <c r="T12" s="254"/>
    </row>
    <row r="13" spans="1:20" s="213" customFormat="1" x14ac:dyDescent="0.35">
      <c r="B13" s="128" t="s">
        <v>174</v>
      </c>
      <c r="C13" s="224"/>
      <c r="D13" s="225"/>
      <c r="E13" s="227">
        <v>130.09299999999999</v>
      </c>
      <c r="F13" s="226">
        <f t="shared" ref="F13:R13" si="3">F8+F9+F10-F11-F12</f>
        <v>6.0822382719599375</v>
      </c>
      <c r="G13" s="226">
        <f t="shared" si="3"/>
        <v>6.8121068645951297</v>
      </c>
      <c r="H13" s="226">
        <f t="shared" si="3"/>
        <v>7.6295596883465455</v>
      </c>
      <c r="I13" s="226">
        <f t="shared" si="3"/>
        <v>8.5451068509481303</v>
      </c>
      <c r="J13" s="226">
        <f t="shared" si="3"/>
        <v>9.5705196730619058</v>
      </c>
      <c r="K13" s="226">
        <f t="shared" si="3"/>
        <v>10.718982033829334</v>
      </c>
      <c r="L13" s="226">
        <f t="shared" si="3"/>
        <v>12.005259877888854</v>
      </c>
      <c r="M13" s="226">
        <f t="shared" si="3"/>
        <v>13.445891063235516</v>
      </c>
      <c r="N13" s="226">
        <f t="shared" si="3"/>
        <v>15.059397990823777</v>
      </c>
      <c r="O13" s="226">
        <f t="shared" si="3"/>
        <v>16.86652574972263</v>
      </c>
      <c r="P13" s="226">
        <f t="shared" si="3"/>
        <v>18.890508839689346</v>
      </c>
      <c r="Q13" s="226">
        <f t="shared" si="3"/>
        <v>21.157369900452068</v>
      </c>
      <c r="R13" s="226">
        <f t="shared" si="3"/>
        <v>23.696254288506317</v>
      </c>
      <c r="S13" s="215"/>
      <c r="T13" s="254"/>
    </row>
    <row r="14" spans="1:20" s="213" customFormat="1" x14ac:dyDescent="0.35">
      <c r="A14" s="1719">
        <v>0.12</v>
      </c>
      <c r="B14" s="128" t="s">
        <v>276</v>
      </c>
      <c r="C14" s="224"/>
      <c r="D14" s="225"/>
      <c r="E14" s="226"/>
      <c r="F14" s="170">
        <f>(F8*$A$14)*91/365+(F8+F9-F11+3.89209742465753)*$A$14*(365-91)/365</f>
        <v>4.3947213172433441</v>
      </c>
      <c r="G14" s="229">
        <f t="shared" ref="G14:R14" si="4">G8*$A$14</f>
        <v>0.72986859263519244</v>
      </c>
      <c r="H14" s="229">
        <f t="shared" si="4"/>
        <v>0.81745282375141548</v>
      </c>
      <c r="I14" s="229">
        <f t="shared" si="4"/>
        <v>0.91554716260158542</v>
      </c>
      <c r="J14" s="229">
        <f t="shared" si="4"/>
        <v>1.0254128221137755</v>
      </c>
      <c r="K14" s="229">
        <f t="shared" si="4"/>
        <v>1.1484623607674287</v>
      </c>
      <c r="L14" s="229">
        <f t="shared" si="4"/>
        <v>1.2862778440595202</v>
      </c>
      <c r="M14" s="229">
        <f t="shared" si="4"/>
        <v>1.4406311853466625</v>
      </c>
      <c r="N14" s="229">
        <f t="shared" si="4"/>
        <v>1.6135069275882619</v>
      </c>
      <c r="O14" s="229">
        <f t="shared" si="4"/>
        <v>1.8071277588988532</v>
      </c>
      <c r="P14" s="229">
        <f t="shared" si="4"/>
        <v>2.0239830899667157</v>
      </c>
      <c r="Q14" s="229">
        <f t="shared" si="4"/>
        <v>2.2668610607627215</v>
      </c>
      <c r="R14" s="229">
        <f t="shared" si="4"/>
        <v>2.5388843880542482</v>
      </c>
      <c r="S14" s="215"/>
      <c r="T14" s="254"/>
    </row>
    <row r="15" spans="1:20" s="213" customFormat="1" x14ac:dyDescent="0.35">
      <c r="B15" s="128" t="s">
        <v>387</v>
      </c>
      <c r="C15" s="224"/>
      <c r="D15" s="225"/>
      <c r="E15" s="226">
        <v>0</v>
      </c>
      <c r="F15" s="226">
        <v>0</v>
      </c>
      <c r="G15" s="226">
        <v>0</v>
      </c>
      <c r="H15" s="226">
        <v>0</v>
      </c>
      <c r="I15" s="226">
        <v>0</v>
      </c>
      <c r="J15" s="226">
        <v>0</v>
      </c>
      <c r="K15" s="226">
        <v>0</v>
      </c>
      <c r="L15" s="226">
        <v>0</v>
      </c>
      <c r="M15" s="226">
        <v>0</v>
      </c>
      <c r="N15" s="226">
        <v>0</v>
      </c>
      <c r="O15" s="226">
        <v>0</v>
      </c>
      <c r="P15" s="226">
        <v>0</v>
      </c>
      <c r="Q15" s="226">
        <v>0</v>
      </c>
      <c r="R15" s="226">
        <v>0</v>
      </c>
      <c r="S15" s="215"/>
      <c r="T15" s="254"/>
    </row>
    <row r="16" spans="1:20" s="213" customFormat="1" x14ac:dyDescent="0.35">
      <c r="B16" s="128"/>
      <c r="C16" s="224"/>
      <c r="D16" s="225"/>
      <c r="E16" s="226"/>
      <c r="F16" s="226"/>
      <c r="G16" s="226"/>
      <c r="H16" s="226"/>
      <c r="I16" s="226"/>
      <c r="J16" s="226"/>
      <c r="K16" s="226"/>
      <c r="L16" s="226"/>
      <c r="M16" s="226"/>
      <c r="N16" s="226"/>
      <c r="O16" s="226"/>
      <c r="P16" s="226"/>
      <c r="Q16" s="226"/>
      <c r="R16" s="226"/>
      <c r="S16" s="215"/>
    </row>
    <row r="17" spans="1:19" s="213" customFormat="1" x14ac:dyDescent="0.35">
      <c r="B17" s="103" t="s">
        <v>389</v>
      </c>
      <c r="C17" s="104"/>
      <c r="D17" s="123"/>
      <c r="E17" s="223"/>
      <c r="F17" s="223"/>
      <c r="G17" s="223"/>
      <c r="H17" s="223"/>
      <c r="I17" s="223"/>
      <c r="J17" s="223"/>
      <c r="K17" s="223"/>
      <c r="L17" s="223"/>
      <c r="M17" s="223"/>
      <c r="N17" s="223"/>
      <c r="O17" s="223"/>
      <c r="P17" s="223"/>
      <c r="Q17" s="223"/>
      <c r="R17" s="223"/>
      <c r="S17" s="215"/>
    </row>
    <row r="18" spans="1:19" s="213" customFormat="1" x14ac:dyDescent="0.35">
      <c r="B18" s="128" t="s">
        <v>172</v>
      </c>
      <c r="C18" s="224"/>
      <c r="D18" s="225"/>
      <c r="E18" s="226"/>
      <c r="F18" s="226">
        <f t="shared" ref="F18:R18" si="5">E23</f>
        <v>1.8</v>
      </c>
      <c r="G18" s="226">
        <f t="shared" si="5"/>
        <v>2.016</v>
      </c>
      <c r="H18" s="226">
        <f t="shared" si="5"/>
        <v>2.2579199999999999</v>
      </c>
      <c r="I18" s="226">
        <f t="shared" si="5"/>
        <v>2.5288703999999997</v>
      </c>
      <c r="J18" s="226">
        <f t="shared" si="5"/>
        <v>2.8323348479999995</v>
      </c>
      <c r="K18" s="226">
        <f t="shared" si="5"/>
        <v>3.1722150297599994</v>
      </c>
      <c r="L18" s="226">
        <f t="shared" si="5"/>
        <v>3.5528808333311992</v>
      </c>
      <c r="M18" s="226">
        <f t="shared" si="5"/>
        <v>3.9792265333309431</v>
      </c>
      <c r="N18" s="226">
        <f t="shared" si="5"/>
        <v>4.456733717330656</v>
      </c>
      <c r="O18" s="226">
        <f t="shared" si="5"/>
        <v>4.9915417634103347</v>
      </c>
      <c r="P18" s="226">
        <f t="shared" si="5"/>
        <v>5.5905267750195744</v>
      </c>
      <c r="Q18" s="226">
        <f t="shared" si="5"/>
        <v>6.2613899880219233</v>
      </c>
      <c r="R18" s="226">
        <f t="shared" si="5"/>
        <v>7.0127567865845544</v>
      </c>
      <c r="S18" s="215"/>
    </row>
    <row r="19" spans="1:19" s="213" customFormat="1" x14ac:dyDescent="0.35">
      <c r="B19" s="128" t="s">
        <v>383</v>
      </c>
      <c r="C19" s="224"/>
      <c r="D19" s="225"/>
      <c r="E19" s="226"/>
      <c r="F19" s="226"/>
      <c r="G19" s="226">
        <v>0</v>
      </c>
      <c r="H19" s="226">
        <v>0</v>
      </c>
      <c r="I19" s="226">
        <v>0</v>
      </c>
      <c r="J19" s="226">
        <v>0</v>
      </c>
      <c r="K19" s="226">
        <v>0</v>
      </c>
      <c r="L19" s="226">
        <v>0</v>
      </c>
      <c r="M19" s="226">
        <v>0</v>
      </c>
      <c r="N19" s="226">
        <v>0</v>
      </c>
      <c r="O19" s="226">
        <v>0</v>
      </c>
      <c r="P19" s="226">
        <v>0</v>
      </c>
      <c r="Q19" s="226">
        <v>0</v>
      </c>
      <c r="R19" s="226">
        <v>0</v>
      </c>
      <c r="S19" s="215"/>
    </row>
    <row r="20" spans="1:19" s="213" customFormat="1" x14ac:dyDescent="0.35">
      <c r="B20" s="128" t="s">
        <v>385</v>
      </c>
      <c r="C20" s="224"/>
      <c r="D20" s="225"/>
      <c r="E20" s="226"/>
      <c r="F20" s="226">
        <f t="shared" ref="F20:R20" si="6">F24-F25</f>
        <v>0.216</v>
      </c>
      <c r="G20" s="226">
        <f t="shared" si="6"/>
        <v>0.24192</v>
      </c>
      <c r="H20" s="226">
        <f t="shared" si="6"/>
        <v>0.27095039999999998</v>
      </c>
      <c r="I20" s="226">
        <f t="shared" si="6"/>
        <v>0.30346444799999994</v>
      </c>
      <c r="J20" s="226">
        <f t="shared" si="6"/>
        <v>0.3398801817599999</v>
      </c>
      <c r="K20" s="226">
        <f t="shared" si="6"/>
        <v>0.38066580357119989</v>
      </c>
      <c r="L20" s="226">
        <f t="shared" si="6"/>
        <v>0.42634569999974387</v>
      </c>
      <c r="M20" s="226">
        <f t="shared" si="6"/>
        <v>0.47750718399971315</v>
      </c>
      <c r="N20" s="226">
        <f t="shared" si="6"/>
        <v>0.53480804607967869</v>
      </c>
      <c r="O20" s="226">
        <f t="shared" si="6"/>
        <v>0.59898501160924011</v>
      </c>
      <c r="P20" s="226">
        <f t="shared" si="6"/>
        <v>0.67086321300234886</v>
      </c>
      <c r="Q20" s="226">
        <f t="shared" si="6"/>
        <v>0.75136679856263078</v>
      </c>
      <c r="R20" s="226">
        <f t="shared" si="6"/>
        <v>0.84153081439014654</v>
      </c>
      <c r="S20" s="215"/>
    </row>
    <row r="21" spans="1:19" s="213" customFormat="1" x14ac:dyDescent="0.35">
      <c r="B21" s="128" t="s">
        <v>384</v>
      </c>
      <c r="C21" s="224"/>
      <c r="D21" s="225"/>
      <c r="E21" s="226"/>
      <c r="F21" s="226"/>
      <c r="G21" s="226"/>
      <c r="H21" s="226"/>
      <c r="I21" s="226"/>
      <c r="J21" s="226"/>
      <c r="K21" s="226"/>
      <c r="L21" s="226"/>
      <c r="M21" s="226"/>
      <c r="N21" s="226"/>
      <c r="O21" s="226"/>
      <c r="P21" s="226"/>
      <c r="Q21" s="226"/>
      <c r="R21" s="226"/>
      <c r="S21" s="215"/>
    </row>
    <row r="22" spans="1:19" s="213" customFormat="1" x14ac:dyDescent="0.35">
      <c r="B22" s="128" t="s">
        <v>386</v>
      </c>
      <c r="C22" s="224"/>
      <c r="D22" s="225"/>
      <c r="E22" s="226"/>
      <c r="F22" s="226"/>
      <c r="G22" s="226"/>
      <c r="H22" s="226"/>
      <c r="I22" s="226"/>
      <c r="J22" s="226"/>
      <c r="K22" s="226"/>
      <c r="L22" s="226"/>
      <c r="M22" s="226"/>
      <c r="N22" s="226"/>
      <c r="O22" s="226"/>
      <c r="P22" s="226"/>
      <c r="Q22" s="226"/>
      <c r="R22" s="226"/>
      <c r="S22" s="215"/>
    </row>
    <row r="23" spans="1:19" s="213" customFormat="1" x14ac:dyDescent="0.35">
      <c r="B23" s="128" t="s">
        <v>174</v>
      </c>
      <c r="C23" s="224"/>
      <c r="D23" s="225"/>
      <c r="E23" s="227">
        <v>1.8</v>
      </c>
      <c r="F23" s="226">
        <f t="shared" ref="F23:R23" si="7">F18+F19+F20-F21-F22</f>
        <v>2.016</v>
      </c>
      <c r="G23" s="226">
        <f t="shared" si="7"/>
        <v>2.2579199999999999</v>
      </c>
      <c r="H23" s="226">
        <f t="shared" si="7"/>
        <v>2.5288703999999997</v>
      </c>
      <c r="I23" s="226">
        <f t="shared" si="7"/>
        <v>2.8323348479999995</v>
      </c>
      <c r="J23" s="226">
        <f t="shared" si="7"/>
        <v>3.1722150297599994</v>
      </c>
      <c r="K23" s="226">
        <f t="shared" si="7"/>
        <v>3.5528808333311992</v>
      </c>
      <c r="L23" s="226">
        <f t="shared" si="7"/>
        <v>3.9792265333309431</v>
      </c>
      <c r="M23" s="226">
        <f t="shared" si="7"/>
        <v>4.456733717330656</v>
      </c>
      <c r="N23" s="226">
        <f t="shared" si="7"/>
        <v>4.9915417634103347</v>
      </c>
      <c r="O23" s="226">
        <f t="shared" si="7"/>
        <v>5.5905267750195744</v>
      </c>
      <c r="P23" s="226">
        <f t="shared" si="7"/>
        <v>6.2613899880219233</v>
      </c>
      <c r="Q23" s="226">
        <f t="shared" si="7"/>
        <v>7.0127567865845544</v>
      </c>
      <c r="R23" s="226">
        <f t="shared" si="7"/>
        <v>7.8542876009747005</v>
      </c>
      <c r="S23" s="215"/>
    </row>
    <row r="24" spans="1:19" s="213" customFormat="1" x14ac:dyDescent="0.35">
      <c r="A24" s="228">
        <v>0.12</v>
      </c>
      <c r="B24" s="128" t="s">
        <v>276</v>
      </c>
      <c r="C24" s="224"/>
      <c r="D24" s="225"/>
      <c r="E24" s="226"/>
      <c r="F24" s="229">
        <f t="shared" ref="F24:R24" si="8">F18*$A$24</f>
        <v>0.216</v>
      </c>
      <c r="G24" s="229">
        <f t="shared" si="8"/>
        <v>0.24192</v>
      </c>
      <c r="H24" s="229">
        <f t="shared" si="8"/>
        <v>0.27095039999999998</v>
      </c>
      <c r="I24" s="229">
        <f t="shared" si="8"/>
        <v>0.30346444799999994</v>
      </c>
      <c r="J24" s="229">
        <f t="shared" si="8"/>
        <v>0.3398801817599999</v>
      </c>
      <c r="K24" s="229">
        <f t="shared" si="8"/>
        <v>0.38066580357119989</v>
      </c>
      <c r="L24" s="229">
        <f t="shared" si="8"/>
        <v>0.42634569999974387</v>
      </c>
      <c r="M24" s="229">
        <f t="shared" si="8"/>
        <v>0.47750718399971315</v>
      </c>
      <c r="N24" s="229">
        <f t="shared" si="8"/>
        <v>0.53480804607967869</v>
      </c>
      <c r="O24" s="229">
        <f t="shared" si="8"/>
        <v>0.59898501160924011</v>
      </c>
      <c r="P24" s="229">
        <f t="shared" si="8"/>
        <v>0.67086321300234886</v>
      </c>
      <c r="Q24" s="229">
        <f t="shared" si="8"/>
        <v>0.75136679856263078</v>
      </c>
      <c r="R24" s="229">
        <f t="shared" si="8"/>
        <v>0.84153081439014654</v>
      </c>
      <c r="S24" s="215"/>
    </row>
    <row r="25" spans="1:19" s="213" customFormat="1" x14ac:dyDescent="0.35">
      <c r="B25" s="128" t="s">
        <v>387</v>
      </c>
      <c r="C25" s="224"/>
      <c r="D25" s="225"/>
      <c r="E25" s="226">
        <v>0</v>
      </c>
      <c r="F25" s="226">
        <v>0</v>
      </c>
      <c r="G25" s="226">
        <v>0</v>
      </c>
      <c r="H25" s="226">
        <v>0</v>
      </c>
      <c r="I25" s="226">
        <v>0</v>
      </c>
      <c r="J25" s="226">
        <v>0</v>
      </c>
      <c r="K25" s="226">
        <v>0</v>
      </c>
      <c r="L25" s="226">
        <v>0</v>
      </c>
      <c r="M25" s="226">
        <v>0</v>
      </c>
      <c r="N25" s="226">
        <v>0</v>
      </c>
      <c r="O25" s="226">
        <v>0</v>
      </c>
      <c r="P25" s="226">
        <v>0</v>
      </c>
      <c r="Q25" s="226">
        <v>0</v>
      </c>
      <c r="R25" s="226">
        <v>0</v>
      </c>
      <c r="S25" s="215"/>
    </row>
    <row r="26" spans="1:19" s="213" customFormat="1" x14ac:dyDescent="0.35">
      <c r="B26" s="128"/>
      <c r="C26" s="224"/>
      <c r="D26" s="225"/>
      <c r="E26" s="226"/>
      <c r="F26" s="226"/>
      <c r="G26" s="226"/>
      <c r="H26" s="226"/>
      <c r="I26" s="226"/>
      <c r="J26" s="226"/>
      <c r="K26" s="226"/>
      <c r="L26" s="226"/>
      <c r="M26" s="226"/>
      <c r="N26" s="226"/>
      <c r="O26" s="226"/>
      <c r="P26" s="226"/>
      <c r="Q26" s="226"/>
      <c r="R26" s="226"/>
      <c r="S26" s="215"/>
    </row>
    <row r="27" spans="1:19" s="213" customFormat="1" x14ac:dyDescent="0.35">
      <c r="B27" s="103" t="s">
        <v>390</v>
      </c>
      <c r="C27" s="103"/>
      <c r="D27" s="123"/>
      <c r="E27" s="230">
        <f t="shared" ref="E27:R27" si="9">E23+E13</f>
        <v>131.893</v>
      </c>
      <c r="F27" s="230">
        <f t="shared" si="9"/>
        <v>8.0982382719599375</v>
      </c>
      <c r="G27" s="230">
        <f t="shared" si="9"/>
        <v>9.0700268645951301</v>
      </c>
      <c r="H27" s="230">
        <f t="shared" si="9"/>
        <v>10.158430088346545</v>
      </c>
      <c r="I27" s="230">
        <f t="shared" si="9"/>
        <v>11.377441698948129</v>
      </c>
      <c r="J27" s="230">
        <f t="shared" si="9"/>
        <v>12.742734702821906</v>
      </c>
      <c r="K27" s="230">
        <f t="shared" si="9"/>
        <v>14.271862867160534</v>
      </c>
      <c r="L27" s="230">
        <f t="shared" si="9"/>
        <v>15.984486411219796</v>
      </c>
      <c r="M27" s="230">
        <f t="shared" si="9"/>
        <v>17.902624780566171</v>
      </c>
      <c r="N27" s="230">
        <f t="shared" si="9"/>
        <v>20.050939754234111</v>
      </c>
      <c r="O27" s="230">
        <f t="shared" si="9"/>
        <v>22.457052524742203</v>
      </c>
      <c r="P27" s="230">
        <f t="shared" si="9"/>
        <v>25.151898827711271</v>
      </c>
      <c r="Q27" s="230">
        <f t="shared" si="9"/>
        <v>28.170126687036621</v>
      </c>
      <c r="R27" s="230">
        <f t="shared" si="9"/>
        <v>31.550541889481018</v>
      </c>
      <c r="S27" s="215"/>
    </row>
    <row r="28" spans="1:19" s="213" customFormat="1" x14ac:dyDescent="0.35">
      <c r="B28" s="103" t="s">
        <v>391</v>
      </c>
      <c r="C28" s="103"/>
      <c r="D28" s="123"/>
      <c r="E28" s="230">
        <f t="shared" ref="E28:R28" si="10">E24+E14</f>
        <v>0</v>
      </c>
      <c r="F28" s="230">
        <f t="shared" si="10"/>
        <v>4.6107213172433443</v>
      </c>
      <c r="G28" s="230">
        <f t="shared" si="10"/>
        <v>0.97178859263519246</v>
      </c>
      <c r="H28" s="230">
        <f t="shared" si="10"/>
        <v>1.0884032237514154</v>
      </c>
      <c r="I28" s="230">
        <f t="shared" si="10"/>
        <v>1.2190116106015854</v>
      </c>
      <c r="J28" s="230">
        <f t="shared" si="10"/>
        <v>1.3652930038737754</v>
      </c>
      <c r="K28" s="230">
        <f t="shared" si="10"/>
        <v>1.5291281643386285</v>
      </c>
      <c r="L28" s="230">
        <f t="shared" si="10"/>
        <v>1.7126235440592641</v>
      </c>
      <c r="M28" s="230">
        <f t="shared" si="10"/>
        <v>1.9181383693463756</v>
      </c>
      <c r="N28" s="230">
        <f t="shared" si="10"/>
        <v>2.1483149736679406</v>
      </c>
      <c r="O28" s="230">
        <f t="shared" si="10"/>
        <v>2.4061127705080931</v>
      </c>
      <c r="P28" s="230">
        <f t="shared" si="10"/>
        <v>2.6948463029690646</v>
      </c>
      <c r="Q28" s="230">
        <f t="shared" si="10"/>
        <v>3.0182278593253522</v>
      </c>
      <c r="R28" s="230">
        <f t="shared" si="10"/>
        <v>3.3804152024443948</v>
      </c>
      <c r="S28" s="215"/>
    </row>
    <row r="29" spans="1:19" s="213" customFormat="1" x14ac:dyDescent="0.35">
      <c r="B29" s="133"/>
      <c r="D29" s="216"/>
      <c r="E29" s="215"/>
      <c r="F29" s="215"/>
      <c r="G29" s="215"/>
      <c r="H29" s="215"/>
      <c r="I29" s="215"/>
      <c r="J29" s="215"/>
      <c r="K29" s="215"/>
      <c r="L29" s="215"/>
      <c r="M29" s="215"/>
      <c r="N29" s="215"/>
      <c r="O29" s="215"/>
      <c r="P29" s="215"/>
      <c r="Q29" s="215"/>
      <c r="R29" s="215"/>
      <c r="S29" s="215"/>
    </row>
    <row r="30" spans="1:19" s="213" customFormat="1" x14ac:dyDescent="0.35">
      <c r="B30" s="209" t="s">
        <v>161</v>
      </c>
      <c r="C30" s="233"/>
      <c r="D30" s="234"/>
      <c r="E30" s="234"/>
      <c r="F30" s="234">
        <f>F6</f>
        <v>44651</v>
      </c>
      <c r="G30" s="234">
        <f>G6</f>
        <v>45016</v>
      </c>
      <c r="H30" s="216"/>
      <c r="I30" s="216"/>
      <c r="J30" s="216"/>
      <c r="K30" s="216"/>
      <c r="L30" s="216"/>
      <c r="M30" s="216"/>
      <c r="N30" s="216"/>
      <c r="O30" s="216"/>
      <c r="P30" s="216"/>
      <c r="Q30" s="216"/>
      <c r="R30" s="216"/>
      <c r="S30" s="216"/>
    </row>
    <row r="31" spans="1:19" s="213" customFormat="1" x14ac:dyDescent="0.35">
      <c r="B31" s="199" t="s">
        <v>262</v>
      </c>
      <c r="C31" s="198" t="s">
        <v>88</v>
      </c>
      <c r="D31" s="239"/>
      <c r="E31" s="239"/>
      <c r="F31" s="239">
        <f>F11</f>
        <v>190.96639999999999</v>
      </c>
      <c r="G31" s="239"/>
      <c r="H31" s="642"/>
      <c r="I31" s="216"/>
      <c r="J31" s="216"/>
      <c r="K31" s="216"/>
      <c r="L31" s="216"/>
      <c r="M31" s="216"/>
      <c r="N31" s="216"/>
      <c r="O31" s="216"/>
      <c r="P31" s="216"/>
      <c r="Q31" s="216"/>
      <c r="R31" s="216"/>
    </row>
    <row r="32" spans="1:19" s="213" customFormat="1" x14ac:dyDescent="0.35">
      <c r="B32" s="351" t="s">
        <v>568</v>
      </c>
      <c r="C32" s="198" t="s">
        <v>88</v>
      </c>
      <c r="D32" s="240"/>
      <c r="E32" s="240"/>
      <c r="F32" s="349">
        <v>14.38</v>
      </c>
      <c r="G32" s="349"/>
      <c r="H32" s="642"/>
      <c r="I32" s="215"/>
      <c r="J32" s="215"/>
      <c r="K32" s="215"/>
      <c r="L32" s="215"/>
      <c r="M32" s="215"/>
      <c r="N32" s="215"/>
      <c r="O32" s="215"/>
      <c r="P32" s="215"/>
      <c r="Q32" s="215"/>
      <c r="R32" s="215"/>
    </row>
    <row r="33" spans="2:9" s="213" customFormat="1" x14ac:dyDescent="0.35">
      <c r="B33" s="351" t="s">
        <v>569</v>
      </c>
      <c r="C33" s="198" t="s">
        <v>88</v>
      </c>
      <c r="D33" s="240"/>
      <c r="E33" s="198"/>
      <c r="F33" s="237">
        <f>F11-F32</f>
        <v>176.5864</v>
      </c>
      <c r="G33" s="237"/>
      <c r="H33" s="215"/>
    </row>
    <row r="34" spans="2:9" s="213" customFormat="1" x14ac:dyDescent="0.35">
      <c r="B34" s="236" t="s">
        <v>567</v>
      </c>
      <c r="C34" s="198" t="s">
        <v>297</v>
      </c>
      <c r="D34" s="240"/>
      <c r="E34" s="198"/>
      <c r="F34" s="274">
        <f>F32*10^7</f>
        <v>143800000</v>
      </c>
      <c r="G34" s="274"/>
      <c r="H34" s="215"/>
    </row>
    <row r="35" spans="2:9" s="213" customFormat="1" x14ac:dyDescent="0.35">
      <c r="B35" s="236"/>
      <c r="C35" s="198"/>
      <c r="D35" s="240"/>
      <c r="E35" s="198"/>
      <c r="F35" s="237"/>
      <c r="G35" s="237"/>
      <c r="H35" s="215"/>
    </row>
    <row r="36" spans="2:9" s="213" customFormat="1" x14ac:dyDescent="0.35">
      <c r="B36" s="199" t="s">
        <v>559</v>
      </c>
      <c r="C36" s="198" t="s">
        <v>88</v>
      </c>
      <c r="D36" s="240"/>
      <c r="E36" s="198"/>
      <c r="F36" s="356"/>
      <c r="G36" s="356">
        <f>2361</f>
        <v>2361</v>
      </c>
      <c r="H36" s="215"/>
    </row>
    <row r="37" spans="2:9" s="213" customFormat="1" x14ac:dyDescent="0.35">
      <c r="B37" s="199"/>
      <c r="C37" s="198"/>
      <c r="D37" s="240"/>
      <c r="E37" s="198"/>
      <c r="F37" s="356"/>
      <c r="G37" s="356">
        <f>F36+G36</f>
        <v>2361</v>
      </c>
      <c r="H37" s="215"/>
    </row>
    <row r="38" spans="2:9" s="213" customFormat="1" x14ac:dyDescent="0.35">
      <c r="B38" s="236" t="s">
        <v>1584</v>
      </c>
      <c r="C38" s="198"/>
      <c r="D38" s="240"/>
      <c r="E38" s="198"/>
      <c r="F38" s="640"/>
      <c r="G38" s="640">
        <v>639</v>
      </c>
      <c r="H38" s="215"/>
    </row>
    <row r="39" spans="2:9" s="213" customFormat="1" x14ac:dyDescent="0.35">
      <c r="B39" s="236" t="s">
        <v>921</v>
      </c>
      <c r="C39" s="198"/>
      <c r="D39" s="240"/>
      <c r="E39" s="198"/>
      <c r="F39" s="640"/>
      <c r="G39" s="384">
        <f>G37-G38</f>
        <v>1722</v>
      </c>
      <c r="H39" s="215"/>
    </row>
    <row r="40" spans="2:9" s="213" customFormat="1" x14ac:dyDescent="0.35">
      <c r="B40" s="236" t="s">
        <v>560</v>
      </c>
      <c r="C40" s="198" t="s">
        <v>296</v>
      </c>
      <c r="D40" s="240"/>
      <c r="E40" s="198"/>
      <c r="F40" s="384"/>
      <c r="G40" s="384">
        <f>8.56*1</f>
        <v>8.56</v>
      </c>
      <c r="H40" s="215"/>
    </row>
    <row r="41" spans="2:9" s="213" customFormat="1" x14ac:dyDescent="0.35">
      <c r="B41" s="236" t="s">
        <v>561</v>
      </c>
      <c r="C41" s="198" t="s">
        <v>1662</v>
      </c>
      <c r="D41" s="240"/>
      <c r="E41" s="198"/>
      <c r="F41" s="350"/>
      <c r="G41" s="350">
        <f>ROUND(G39/G40*10^7,0)</f>
        <v>2011682243</v>
      </c>
      <c r="H41" s="215"/>
    </row>
    <row r="42" spans="2:9" s="213" customFormat="1" x14ac:dyDescent="0.35">
      <c r="B42" s="351" t="s">
        <v>568</v>
      </c>
      <c r="C42" s="198" t="s">
        <v>88</v>
      </c>
      <c r="D42" s="240"/>
      <c r="E42" s="198"/>
      <c r="F42" s="237"/>
      <c r="G42" s="237">
        <f>+G41/10^7</f>
        <v>201.16822429999999</v>
      </c>
      <c r="H42" s="215"/>
    </row>
    <row r="43" spans="2:9" s="213" customFormat="1" x14ac:dyDescent="0.35">
      <c r="B43" s="351" t="s">
        <v>569</v>
      </c>
      <c r="C43" s="198" t="s">
        <v>88</v>
      </c>
      <c r="D43" s="240"/>
      <c r="E43" s="198"/>
      <c r="F43" s="237"/>
      <c r="G43" s="237">
        <f>G39-G42</f>
        <v>1520.8317757</v>
      </c>
      <c r="H43" s="215"/>
    </row>
    <row r="44" spans="2:9" s="213" customFormat="1" ht="16" x14ac:dyDescent="0.35">
      <c r="B44" s="236"/>
      <c r="C44" s="198"/>
      <c r="D44" s="240"/>
      <c r="E44" s="198"/>
      <c r="F44" s="237"/>
      <c r="G44" s="237"/>
      <c r="H44" s="1386"/>
    </row>
    <row r="45" spans="2:9" s="213" customFormat="1" ht="16" x14ac:dyDescent="0.35">
      <c r="B45" s="199" t="s">
        <v>298</v>
      </c>
      <c r="C45" s="198"/>
      <c r="D45" s="240"/>
      <c r="E45" s="198"/>
      <c r="F45" s="237"/>
      <c r="G45" s="237"/>
      <c r="H45" s="1386"/>
    </row>
    <row r="46" spans="2:9" s="213" customFormat="1" x14ac:dyDescent="0.35">
      <c r="B46" s="236" t="s">
        <v>290</v>
      </c>
      <c r="C46" s="198"/>
      <c r="D46" s="240"/>
      <c r="E46" s="198"/>
      <c r="F46" s="237"/>
      <c r="G46" s="237">
        <f>IF('Debt repayment Schedule'!B4=2,'Balance Sheet'!F44,0)</f>
        <v>3483.25</v>
      </c>
      <c r="H46" s="398"/>
    </row>
    <row r="47" spans="2:9" s="213" customFormat="1" x14ac:dyDescent="0.35">
      <c r="B47" s="236" t="s">
        <v>208</v>
      </c>
      <c r="C47" s="198"/>
      <c r="D47" s="240"/>
      <c r="E47" s="198"/>
      <c r="F47" s="237"/>
      <c r="G47" s="237">
        <f>IF('Debt repayment Schedule'!B4=2,YTM!D5,0)</f>
        <v>1784.1232734095768</v>
      </c>
      <c r="H47" s="398"/>
      <c r="I47" s="215"/>
    </row>
    <row r="48" spans="2:9" s="213" customFormat="1" x14ac:dyDescent="0.35">
      <c r="B48" s="236" t="s">
        <v>1452</v>
      </c>
      <c r="C48" s="198"/>
      <c r="D48" s="240"/>
      <c r="E48" s="198"/>
      <c r="F48" s="237"/>
      <c r="G48" s="237">
        <f>IF('Debt repayment Schedule'!B4=2,YTM!J60,0)</f>
        <v>87.081158386161576</v>
      </c>
      <c r="H48" s="398"/>
      <c r="I48" s="215"/>
    </row>
    <row r="49" spans="2:12" s="213" customFormat="1" x14ac:dyDescent="0.35">
      <c r="B49" s="236" t="s">
        <v>299</v>
      </c>
      <c r="C49" s="198"/>
      <c r="D49" s="240"/>
      <c r="E49" s="198"/>
      <c r="F49" s="237"/>
      <c r="G49" s="237">
        <f>IF('Debt repayment Schedule'!B4=2,-(YTM!E7+YTM!K60),0)</f>
        <v>-187.12044317957384</v>
      </c>
      <c r="H49" s="215"/>
      <c r="I49" s="215"/>
    </row>
    <row r="50" spans="2:12" s="213" customFormat="1" x14ac:dyDescent="0.35">
      <c r="B50" s="199" t="s">
        <v>300</v>
      </c>
      <c r="C50" s="199"/>
      <c r="D50" s="319"/>
      <c r="E50" s="199"/>
      <c r="F50" s="239"/>
      <c r="G50" s="239">
        <f>SUM(G46:G49)</f>
        <v>5167.3339886161639</v>
      </c>
      <c r="H50" s="215"/>
    </row>
    <row r="51" spans="2:12" s="213" customFormat="1" x14ac:dyDescent="0.35">
      <c r="B51" s="236" t="s">
        <v>301</v>
      </c>
      <c r="C51" s="198" t="s">
        <v>296</v>
      </c>
      <c r="D51" s="240"/>
      <c r="E51" s="198"/>
      <c r="F51" s="1280"/>
      <c r="G51" s="384">
        <f>IF('Debt repayment Schedule'!B4=2,G40,0)</f>
        <v>8.56</v>
      </c>
      <c r="I51" s="572" t="s">
        <v>1504</v>
      </c>
    </row>
    <row r="52" spans="2:12" s="213" customFormat="1" x14ac:dyDescent="0.35">
      <c r="B52" s="236" t="s">
        <v>562</v>
      </c>
      <c r="C52" s="198" t="s">
        <v>1662</v>
      </c>
      <c r="D52" s="240"/>
      <c r="E52" s="198"/>
      <c r="F52" s="274"/>
      <c r="G52" s="274">
        <f>IFERROR(ROUND(+G50/G51*10^7,0),0)</f>
        <v>6036605127</v>
      </c>
      <c r="H52" s="215"/>
    </row>
    <row r="53" spans="2:12" s="213" customFormat="1" x14ac:dyDescent="0.35">
      <c r="B53" s="351" t="s">
        <v>568</v>
      </c>
      <c r="C53" s="198" t="s">
        <v>88</v>
      </c>
      <c r="D53" s="240"/>
      <c r="E53" s="198"/>
      <c r="F53" s="237"/>
      <c r="G53" s="237">
        <f>+G52/10^7</f>
        <v>603.66051270000003</v>
      </c>
      <c r="H53" s="215"/>
    </row>
    <row r="54" spans="2:12" s="213" customFormat="1" x14ac:dyDescent="0.35">
      <c r="B54" s="351" t="s">
        <v>569</v>
      </c>
      <c r="C54" s="198" t="s">
        <v>88</v>
      </c>
      <c r="D54" s="240"/>
      <c r="E54" s="198"/>
      <c r="F54" s="237"/>
      <c r="G54" s="237">
        <f>+G50-G53</f>
        <v>4563.6734759161636</v>
      </c>
      <c r="H54" s="215"/>
      <c r="I54" s="1571"/>
    </row>
    <row r="55" spans="2:12" s="213" customFormat="1" x14ac:dyDescent="0.35">
      <c r="B55" s="236"/>
      <c r="C55" s="198"/>
      <c r="D55" s="240"/>
      <c r="E55" s="198"/>
      <c r="F55" s="237"/>
      <c r="G55" s="237"/>
      <c r="H55" s="215"/>
    </row>
    <row r="56" spans="2:12" s="213" customFormat="1" x14ac:dyDescent="0.35">
      <c r="B56" s="248" t="s">
        <v>36</v>
      </c>
      <c r="C56" s="250"/>
      <c r="D56" s="253"/>
      <c r="E56" s="250"/>
      <c r="F56" s="251"/>
      <c r="G56" s="251"/>
      <c r="H56" s="215"/>
    </row>
    <row r="57" spans="2:12" s="213" customFormat="1" x14ac:dyDescent="0.35">
      <c r="B57" s="348" t="s">
        <v>568</v>
      </c>
      <c r="C57" s="250" t="s">
        <v>88</v>
      </c>
      <c r="D57" s="253"/>
      <c r="E57" s="250"/>
      <c r="F57" s="252">
        <f>F42+F32</f>
        <v>14.38</v>
      </c>
      <c r="G57" s="252">
        <f>G42+G32+G53</f>
        <v>804.82873700000005</v>
      </c>
      <c r="H57" s="215"/>
    </row>
    <row r="58" spans="2:12" s="213" customFormat="1" x14ac:dyDescent="0.35">
      <c r="B58" s="348" t="s">
        <v>569</v>
      </c>
      <c r="C58" s="250" t="s">
        <v>88</v>
      </c>
      <c r="D58" s="253"/>
      <c r="E58" s="250"/>
      <c r="F58" s="252">
        <f>F43+F33</f>
        <v>176.5864</v>
      </c>
      <c r="G58" s="252">
        <f>G43+G33+G54</f>
        <v>6084.5052516161632</v>
      </c>
      <c r="H58" s="215"/>
    </row>
    <row r="59" spans="2:12" s="213" customFormat="1" x14ac:dyDescent="0.35">
      <c r="B59" s="133"/>
      <c r="D59" s="215"/>
      <c r="H59" s="215"/>
    </row>
    <row r="60" spans="2:12" s="213" customFormat="1" ht="29" x14ac:dyDescent="0.35">
      <c r="B60" s="209" t="s">
        <v>563</v>
      </c>
      <c r="C60" s="233"/>
      <c r="D60" s="232" t="s">
        <v>1581</v>
      </c>
      <c r="E60" s="232" t="s">
        <v>373</v>
      </c>
      <c r="F60" s="1564" t="s">
        <v>1571</v>
      </c>
      <c r="G60" s="232" t="s">
        <v>373</v>
      </c>
      <c r="H60" s="1564" t="s">
        <v>1599</v>
      </c>
      <c r="I60" s="232" t="s">
        <v>373</v>
      </c>
    </row>
    <row r="61" spans="2:12" s="254" customFormat="1" x14ac:dyDescent="0.35">
      <c r="B61" s="289" t="s">
        <v>564</v>
      </c>
      <c r="C61" s="279"/>
      <c r="D61" s="681">
        <f t="shared" ref="D61:I61" si="11">SUM(D62:D63)</f>
        <v>318743422</v>
      </c>
      <c r="E61" s="571">
        <f t="shared" si="11"/>
        <v>0.24953297149817777</v>
      </c>
      <c r="F61" s="681">
        <f t="shared" si="11"/>
        <v>318743422</v>
      </c>
      <c r="G61" s="685">
        <f t="shared" si="11"/>
        <v>0.24953297149817777</v>
      </c>
      <c r="H61" s="681">
        <f t="shared" si="11"/>
        <v>2330425665</v>
      </c>
      <c r="I61" s="685">
        <f t="shared" si="11"/>
        <v>0.24989425259534198</v>
      </c>
      <c r="J61" s="213"/>
      <c r="K61" s="213"/>
      <c r="L61" s="213"/>
    </row>
    <row r="62" spans="2:12" s="213" customFormat="1" x14ac:dyDescent="0.35">
      <c r="B62" s="682" t="s">
        <v>1026</v>
      </c>
      <c r="C62" s="272"/>
      <c r="D62" s="1230">
        <v>318743422</v>
      </c>
      <c r="E62" s="683">
        <f>D62/$D$66</f>
        <v>0.24953297149817777</v>
      </c>
      <c r="F62" s="684">
        <f>D62</f>
        <v>318743422</v>
      </c>
      <c r="G62" s="683">
        <f>F62/$F$66</f>
        <v>0.24953297149817777</v>
      </c>
      <c r="H62" s="684">
        <f>F62</f>
        <v>318743422</v>
      </c>
      <c r="I62" s="683">
        <f>H62/$H$66</f>
        <v>3.4179227600624494E-2</v>
      </c>
    </row>
    <row r="63" spans="2:12" s="213" customFormat="1" x14ac:dyDescent="0.35">
      <c r="B63" s="682" t="s">
        <v>1027</v>
      </c>
      <c r="C63" s="272"/>
      <c r="D63" s="1230">
        <v>0</v>
      </c>
      <c r="E63" s="683">
        <f>D63/$D$66</f>
        <v>0</v>
      </c>
      <c r="F63" s="684">
        <f>F41</f>
        <v>0</v>
      </c>
      <c r="G63" s="683">
        <f>F63/$F$66</f>
        <v>0</v>
      </c>
      <c r="H63" s="684">
        <f>G41</f>
        <v>2011682243</v>
      </c>
      <c r="I63" s="683">
        <f>H63/$H$66</f>
        <v>0.21571502499471748</v>
      </c>
    </row>
    <row r="64" spans="2:12" s="213" customFormat="1" x14ac:dyDescent="0.35">
      <c r="B64" s="199" t="s">
        <v>565</v>
      </c>
      <c r="C64" s="198"/>
      <c r="D64" s="422">
        <v>232003349</v>
      </c>
      <c r="E64" s="352">
        <f>D64/$D$66</f>
        <v>0.1816272307997584</v>
      </c>
      <c r="F64" s="275">
        <f>D64</f>
        <v>232003349</v>
      </c>
      <c r="G64" s="352">
        <f>F64/$F$66</f>
        <v>0.1816272307997584</v>
      </c>
      <c r="H64" s="275">
        <f>F64+G52</f>
        <v>6268608476</v>
      </c>
      <c r="I64" s="352">
        <f>H64/$H$66</f>
        <v>0.67219017257211922</v>
      </c>
    </row>
    <row r="65" spans="2:19" s="213" customFormat="1" x14ac:dyDescent="0.35">
      <c r="B65" s="199" t="s">
        <v>566</v>
      </c>
      <c r="C65" s="198"/>
      <c r="D65" s="422">
        <v>726613171</v>
      </c>
      <c r="E65" s="352">
        <f>D65/$D$66</f>
        <v>0.56883979770206383</v>
      </c>
      <c r="F65" s="275">
        <f>D65</f>
        <v>726613171</v>
      </c>
      <c r="G65" s="352">
        <f>F65/$F$66</f>
        <v>0.56883979770206383</v>
      </c>
      <c r="H65" s="275">
        <f>F65</f>
        <v>726613171</v>
      </c>
      <c r="I65" s="352">
        <f>H65/$H$66</f>
        <v>7.7915574832538761E-2</v>
      </c>
    </row>
    <row r="66" spans="2:19" s="213" customFormat="1" x14ac:dyDescent="0.35">
      <c r="B66" s="283" t="s">
        <v>36</v>
      </c>
      <c r="C66" s="286"/>
      <c r="D66" s="1747">
        <f t="shared" ref="D66:I66" si="12">SUM(D62:D65)</f>
        <v>1277359942</v>
      </c>
      <c r="E66" s="1748">
        <f t="shared" si="12"/>
        <v>1</v>
      </c>
      <c r="F66" s="1747">
        <f t="shared" si="12"/>
        <v>1277359942</v>
      </c>
      <c r="G66" s="1749">
        <f t="shared" si="12"/>
        <v>1</v>
      </c>
      <c r="H66" s="1747">
        <f>SUM(H62:H65)</f>
        <v>9325647312</v>
      </c>
      <c r="I66" s="1749">
        <f t="shared" si="12"/>
        <v>0.99999999999999989</v>
      </c>
      <c r="J66" s="1571"/>
      <c r="K66" s="215"/>
    </row>
    <row r="67" spans="2:19" s="213" customFormat="1" x14ac:dyDescent="0.35">
      <c r="B67" s="133"/>
      <c r="D67" s="215"/>
      <c r="H67" s="215"/>
      <c r="K67" s="215"/>
    </row>
    <row r="68" spans="2:19" s="213" customFormat="1" x14ac:dyDescent="0.35">
      <c r="B68" s="133"/>
      <c r="D68" s="216"/>
      <c r="E68" s="215"/>
      <c r="F68" s="215"/>
      <c r="G68" s="215"/>
      <c r="H68" s="215"/>
      <c r="K68" s="215"/>
      <c r="M68" s="215"/>
      <c r="N68" s="215"/>
      <c r="O68" s="215"/>
      <c r="P68" s="215"/>
      <c r="Q68" s="215"/>
      <c r="R68" s="215"/>
      <c r="S68" s="215"/>
    </row>
    <row r="69" spans="2:19" x14ac:dyDescent="0.35">
      <c r="K69" s="8"/>
    </row>
    <row r="70" spans="2:19" x14ac:dyDescent="0.35">
      <c r="K70" s="8"/>
    </row>
    <row r="71" spans="2:19" x14ac:dyDescent="0.35">
      <c r="F71" s="1562"/>
    </row>
    <row r="72" spans="2:19" ht="17" x14ac:dyDescent="0.4">
      <c r="F72" s="1588"/>
    </row>
    <row r="73" spans="2:19" ht="17" x14ac:dyDescent="0.4">
      <c r="F73" s="1588"/>
    </row>
    <row r="74" spans="2:19" ht="17" x14ac:dyDescent="0.4">
      <c r="F74" s="1589"/>
    </row>
    <row r="75" spans="2:19" ht="17" x14ac:dyDescent="0.4">
      <c r="F75" s="1588"/>
    </row>
    <row r="76" spans="2:19" ht="17" x14ac:dyDescent="0.4">
      <c r="F76" s="1590"/>
    </row>
    <row r="77" spans="2:19" ht="17" x14ac:dyDescent="0.4">
      <c r="F77" s="1590"/>
    </row>
    <row r="78" spans="2:19" ht="17" x14ac:dyDescent="0.4">
      <c r="F78" s="1591"/>
    </row>
    <row r="79" spans="2:19" x14ac:dyDescent="0.35">
      <c r="F79" s="1562"/>
    </row>
  </sheetData>
  <pageMargins left="0.7" right="0.7" top="0.75" bottom="0.75" header="0.3" footer="0.3"/>
  <pageSetup paperSize="9" orientation="portrait" horizontalDpi="300"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3"/>
  <dimension ref="B2:X237"/>
  <sheetViews>
    <sheetView showGridLines="0" zoomScale="72" zoomScaleNormal="80" workbookViewId="0">
      <selection activeCell="H17" sqref="H17"/>
    </sheetView>
  </sheetViews>
  <sheetFormatPr defaultRowHeight="14.5" x14ac:dyDescent="0.35"/>
  <cols>
    <col min="2" max="2" width="30.453125" customWidth="1"/>
    <col min="3" max="3" width="9.54296875" hidden="1" customWidth="1"/>
    <col min="4" max="6" width="10" hidden="1" customWidth="1"/>
    <col min="7" max="7" width="13" bestFit="1" customWidth="1"/>
    <col min="8" max="16" width="13.453125" bestFit="1" customWidth="1"/>
    <col min="17" max="17" width="13" bestFit="1" customWidth="1"/>
    <col min="18" max="23" width="13.453125" bestFit="1" customWidth="1"/>
  </cols>
  <sheetData>
    <row r="2" spans="2:23" s="658" customFormat="1" x14ac:dyDescent="0.35">
      <c r="B2" s="50" t="str">
        <f>'Promoter Loan &amp; Equity workings'!B2</f>
        <v>All figures in INR Crores</v>
      </c>
    </row>
    <row r="3" spans="2:23" s="658" customFormat="1" x14ac:dyDescent="0.35"/>
    <row r="4" spans="2:23" x14ac:dyDescent="0.35">
      <c r="B4" s="1285" t="s">
        <v>208</v>
      </c>
      <c r="C4" s="134"/>
      <c r="D4" s="1283">
        <v>0.1124</v>
      </c>
      <c r="E4" s="1284">
        <v>0.11271020483987911</v>
      </c>
      <c r="F4" s="1284">
        <v>0.11262480204518228</v>
      </c>
      <c r="G4" s="1283">
        <v>0.1081749278413781</v>
      </c>
      <c r="H4" s="1283">
        <v>0.10239660990352657</v>
      </c>
      <c r="I4" s="1283">
        <f>H4</f>
        <v>0.10239660990352657</v>
      </c>
      <c r="J4" s="1283">
        <f t="shared" ref="J4:W4" si="0">I4</f>
        <v>0.10239660990352657</v>
      </c>
      <c r="K4" s="1283">
        <f t="shared" si="0"/>
        <v>0.10239660990352657</v>
      </c>
      <c r="L4" s="1283">
        <f t="shared" si="0"/>
        <v>0.10239660990352657</v>
      </c>
      <c r="M4" s="1283">
        <f t="shared" si="0"/>
        <v>0.10239660990352657</v>
      </c>
      <c r="N4" s="1283">
        <f t="shared" si="0"/>
        <v>0.10239660990352657</v>
      </c>
      <c r="O4" s="1283">
        <f t="shared" si="0"/>
        <v>0.10239660990352657</v>
      </c>
      <c r="P4" s="1283">
        <f t="shared" si="0"/>
        <v>0.10239660990352657</v>
      </c>
      <c r="Q4" s="1283">
        <f t="shared" si="0"/>
        <v>0.10239660990352657</v>
      </c>
      <c r="R4" s="1283">
        <f t="shared" si="0"/>
        <v>0.10239660990352657</v>
      </c>
      <c r="S4" s="1283">
        <f t="shared" si="0"/>
        <v>0.10239660990352657</v>
      </c>
      <c r="T4" s="1283">
        <f t="shared" si="0"/>
        <v>0.10239660990352657</v>
      </c>
      <c r="U4" s="1283">
        <f t="shared" si="0"/>
        <v>0.10239660990352657</v>
      </c>
      <c r="V4" s="1283">
        <f t="shared" si="0"/>
        <v>0.10239660990352657</v>
      </c>
      <c r="W4" s="1283">
        <f t="shared" si="0"/>
        <v>0.10239660990352657</v>
      </c>
    </row>
    <row r="5" spans="2:23" x14ac:dyDescent="0.35">
      <c r="B5" s="1285" t="s">
        <v>1452</v>
      </c>
      <c r="C5" s="1286">
        <v>1E-4</v>
      </c>
      <c r="D5" s="1286">
        <v>1E-4</v>
      </c>
      <c r="E5" s="1286">
        <v>1E-4</v>
      </c>
      <c r="F5" s="1287">
        <v>0.01</v>
      </c>
      <c r="G5" s="1287">
        <v>0.01</v>
      </c>
      <c r="H5" s="1286">
        <v>2.5000000000000001E-2</v>
      </c>
      <c r="I5" s="1286">
        <v>2.5000000000000001E-2</v>
      </c>
      <c r="J5" s="1286">
        <v>2.5000000000000001E-2</v>
      </c>
      <c r="K5" s="1286">
        <v>2.5000000000000001E-2</v>
      </c>
      <c r="L5" s="1286">
        <v>2.5000000000000001E-2</v>
      </c>
      <c r="M5" s="1286">
        <v>2.5000000000000001E-2</v>
      </c>
      <c r="N5" s="1286">
        <v>2.5000000000000001E-2</v>
      </c>
      <c r="O5" s="1286">
        <v>2.5000000000000001E-2</v>
      </c>
      <c r="P5" s="1286">
        <v>2.5000000000000001E-2</v>
      </c>
      <c r="Q5" s="1286">
        <v>2.5000000000000001E-2</v>
      </c>
      <c r="R5" s="1286">
        <v>2.5000000000000001E-2</v>
      </c>
      <c r="S5" s="1286">
        <v>2.5000000000000001E-2</v>
      </c>
      <c r="T5" s="1286">
        <v>2.5000000000000001E-2</v>
      </c>
      <c r="U5" s="1286">
        <v>2.5000000000000001E-2</v>
      </c>
      <c r="V5" s="1286">
        <v>2.5000000000000001E-2</v>
      </c>
      <c r="W5" s="1286">
        <v>2.5000000000000001E-2</v>
      </c>
    </row>
    <row r="6" spans="2:23" x14ac:dyDescent="0.35">
      <c r="B6" s="1288" t="s">
        <v>1459</v>
      </c>
      <c r="C6" s="1289">
        <v>43087</v>
      </c>
      <c r="D6" s="1289">
        <f>EOMONTH(E6,-12)</f>
        <v>43190</v>
      </c>
      <c r="E6" s="1289">
        <f>EOMONTH(F6,-12)</f>
        <v>43555</v>
      </c>
      <c r="F6" s="1289">
        <f>EOMONTH(G6,-12)</f>
        <v>43921</v>
      </c>
      <c r="G6" s="1289">
        <f>'Debt Assumptions &amp; working'!$C$17</f>
        <v>44286</v>
      </c>
      <c r="H6" s="1289">
        <f>EOMONTH(G6,12)</f>
        <v>44651</v>
      </c>
      <c r="I6" s="1289">
        <f t="shared" ref="I6:W6" si="1">EOMONTH(H6,12)</f>
        <v>45016</v>
      </c>
      <c r="J6" s="1289">
        <f t="shared" si="1"/>
        <v>45382</v>
      </c>
      <c r="K6" s="1289">
        <f t="shared" si="1"/>
        <v>45747</v>
      </c>
      <c r="L6" s="1289">
        <f t="shared" si="1"/>
        <v>46112</v>
      </c>
      <c r="M6" s="1289">
        <f t="shared" si="1"/>
        <v>46477</v>
      </c>
      <c r="N6" s="1289">
        <f t="shared" si="1"/>
        <v>46843</v>
      </c>
      <c r="O6" s="1289">
        <f t="shared" si="1"/>
        <v>47208</v>
      </c>
      <c r="P6" s="1289">
        <f t="shared" si="1"/>
        <v>47573</v>
      </c>
      <c r="Q6" s="1289">
        <f t="shared" si="1"/>
        <v>47938</v>
      </c>
      <c r="R6" s="1289">
        <f t="shared" si="1"/>
        <v>48304</v>
      </c>
      <c r="S6" s="1289">
        <f t="shared" si="1"/>
        <v>48669</v>
      </c>
      <c r="T6" s="1289">
        <f t="shared" si="1"/>
        <v>49034</v>
      </c>
      <c r="U6" s="1289">
        <f t="shared" si="1"/>
        <v>49399</v>
      </c>
      <c r="V6" s="1289">
        <f t="shared" si="1"/>
        <v>49765</v>
      </c>
      <c r="W6" s="1289">
        <f t="shared" si="1"/>
        <v>50130</v>
      </c>
    </row>
    <row r="7" spans="2:23" x14ac:dyDescent="0.35">
      <c r="B7" s="1290" t="s">
        <v>1450</v>
      </c>
      <c r="C7" s="1290">
        <v>0</v>
      </c>
      <c r="D7" s="1291">
        <f>(D6-C6+1)/365</f>
        <v>0.28493150684931506</v>
      </c>
      <c r="E7" s="1291">
        <f t="shared" ref="E7:W7" si="2">D7+1</f>
        <v>1.284931506849315</v>
      </c>
      <c r="F7" s="1291">
        <f t="shared" si="2"/>
        <v>2.2849315068493148</v>
      </c>
      <c r="G7" s="1291">
        <f t="shared" si="2"/>
        <v>3.2849315068493148</v>
      </c>
      <c r="H7" s="1291">
        <f t="shared" si="2"/>
        <v>4.2849315068493148</v>
      </c>
      <c r="I7" s="1291">
        <f t="shared" si="2"/>
        <v>5.2849315068493148</v>
      </c>
      <c r="J7" s="1291">
        <f t="shared" si="2"/>
        <v>6.2849315068493148</v>
      </c>
      <c r="K7" s="1291">
        <f t="shared" si="2"/>
        <v>7.2849315068493148</v>
      </c>
      <c r="L7" s="1291">
        <f t="shared" si="2"/>
        <v>8.2849315068493148</v>
      </c>
      <c r="M7" s="1291">
        <f t="shared" si="2"/>
        <v>9.2849315068493148</v>
      </c>
      <c r="N7" s="1291">
        <f t="shared" si="2"/>
        <v>10.284931506849315</v>
      </c>
      <c r="O7" s="1291">
        <f t="shared" si="2"/>
        <v>11.284931506849315</v>
      </c>
      <c r="P7" s="1291">
        <f t="shared" si="2"/>
        <v>12.284931506849315</v>
      </c>
      <c r="Q7" s="1291">
        <f t="shared" si="2"/>
        <v>13.284931506849315</v>
      </c>
      <c r="R7" s="1291">
        <f t="shared" si="2"/>
        <v>14.284931506849315</v>
      </c>
      <c r="S7" s="1291">
        <f t="shared" si="2"/>
        <v>15.284931506849315</v>
      </c>
      <c r="T7" s="1291">
        <f t="shared" si="2"/>
        <v>16.284931506849315</v>
      </c>
      <c r="U7" s="1291">
        <f t="shared" si="2"/>
        <v>17.284931506849315</v>
      </c>
      <c r="V7" s="1291">
        <f t="shared" si="2"/>
        <v>18.284931506849315</v>
      </c>
      <c r="W7" s="1291">
        <f t="shared" si="2"/>
        <v>19.284931506849315</v>
      </c>
    </row>
    <row r="8" spans="2:23" x14ac:dyDescent="0.35">
      <c r="B8" s="1290" t="s">
        <v>518</v>
      </c>
      <c r="C8" s="1290"/>
      <c r="D8" s="1292">
        <v>0</v>
      </c>
      <c r="E8" s="1292">
        <v>0</v>
      </c>
      <c r="F8" s="1292">
        <v>0</v>
      </c>
      <c r="G8" s="1293">
        <v>0</v>
      </c>
      <c r="H8" s="1294">
        <v>0</v>
      </c>
      <c r="I8" s="1294">
        <v>0</v>
      </c>
      <c r="J8" s="1294">
        <v>0</v>
      </c>
      <c r="K8" s="1294">
        <v>1</v>
      </c>
      <c r="L8" s="1294"/>
      <c r="M8" s="1294"/>
      <c r="N8" s="1294"/>
      <c r="O8" s="1294"/>
      <c r="P8" s="1294"/>
      <c r="Q8" s="1294"/>
      <c r="R8" s="1294"/>
      <c r="S8" s="1294"/>
      <c r="T8" s="1294"/>
      <c r="U8" s="1294"/>
      <c r="V8" s="1294"/>
      <c r="W8" s="1294"/>
    </row>
    <row r="9" spans="2:23" x14ac:dyDescent="0.35">
      <c r="B9" s="1295" t="s">
        <v>544</v>
      </c>
      <c r="C9" s="1296"/>
      <c r="D9" s="1296">
        <f>-C15</f>
        <v>0</v>
      </c>
      <c r="E9" s="1296">
        <f t="shared" ref="E9:W9" si="3">D13</f>
        <v>0</v>
      </c>
      <c r="F9" s="1296">
        <f t="shared" si="3"/>
        <v>0</v>
      </c>
      <c r="G9" s="1296">
        <f t="shared" si="3"/>
        <v>0</v>
      </c>
      <c r="H9" s="1296">
        <f t="shared" si="3"/>
        <v>0</v>
      </c>
      <c r="I9" s="1296">
        <f t="shared" si="3"/>
        <v>0</v>
      </c>
      <c r="J9" s="1296">
        <f t="shared" si="3"/>
        <v>0</v>
      </c>
      <c r="K9" s="1296">
        <f t="shared" si="3"/>
        <v>0</v>
      </c>
      <c r="L9" s="1296">
        <f t="shared" si="3"/>
        <v>0</v>
      </c>
      <c r="M9" s="1296">
        <f t="shared" si="3"/>
        <v>0</v>
      </c>
      <c r="N9" s="1296">
        <f t="shared" si="3"/>
        <v>0</v>
      </c>
      <c r="O9" s="1296">
        <f t="shared" si="3"/>
        <v>0</v>
      </c>
      <c r="P9" s="1296">
        <f t="shared" si="3"/>
        <v>0</v>
      </c>
      <c r="Q9" s="1296">
        <f t="shared" si="3"/>
        <v>0</v>
      </c>
      <c r="R9" s="1296">
        <f t="shared" si="3"/>
        <v>0</v>
      </c>
      <c r="S9" s="1296">
        <f t="shared" si="3"/>
        <v>0</v>
      </c>
      <c r="T9" s="1296">
        <f t="shared" si="3"/>
        <v>0</v>
      </c>
      <c r="U9" s="1296">
        <f t="shared" si="3"/>
        <v>0</v>
      </c>
      <c r="V9" s="1296">
        <f t="shared" si="3"/>
        <v>0</v>
      </c>
      <c r="W9" s="1296">
        <f t="shared" si="3"/>
        <v>0</v>
      </c>
    </row>
    <row r="10" spans="2:23" x14ac:dyDescent="0.35">
      <c r="B10" s="1295" t="s">
        <v>276</v>
      </c>
      <c r="C10" s="1296"/>
      <c r="D10" s="1296">
        <f>D9*(D$4-D$5)*(D6-C6)/365</f>
        <v>0</v>
      </c>
      <c r="E10" s="1296">
        <f>(D20*(E$4-E$5))+(E4*(SUM($D$10:D10)-SUM($D$12:D12)))</f>
        <v>0</v>
      </c>
      <c r="F10" s="1296">
        <f>(E20*(F$4-F$5))+(F4*(SUM($D$10:E10)-SUM($D$12:E12)))</f>
        <v>0</v>
      </c>
      <c r="G10" s="1296">
        <f>(F20*(G$4-G$5))+(G4*(SUM($D$10:F10)-SUM($D$12:F12)))</f>
        <v>0</v>
      </c>
      <c r="H10" s="1296">
        <f>(G20*(H$4-H$5))+(H4*(SUM($D$10:G10)-SUM($D$12:G12)))</f>
        <v>0</v>
      </c>
      <c r="I10" s="1296">
        <f>(H20*(I$4-I$5))+(I4*(SUM($D$10:H10)-SUM($D$12:H12)))</f>
        <v>0</v>
      </c>
      <c r="J10" s="1296">
        <f>(I20*(J$4-J$5))+(J4*(SUM($D$10:I10)-SUM($D$12:I12)))</f>
        <v>0</v>
      </c>
      <c r="K10" s="1296">
        <f>(J20*(K$4-K$5))+(K4*(SUM($D$10:J10)-SUM($D$12:J12)))</f>
        <v>0</v>
      </c>
      <c r="L10" s="1296"/>
      <c r="M10" s="1296"/>
      <c r="N10" s="1296"/>
      <c r="O10" s="1296"/>
      <c r="P10" s="1296"/>
      <c r="Q10" s="1296"/>
      <c r="R10" s="1296"/>
      <c r="S10" s="1296"/>
      <c r="T10" s="1296"/>
      <c r="U10" s="1296"/>
      <c r="V10" s="1296"/>
      <c r="W10" s="1296"/>
    </row>
    <row r="11" spans="2:23" x14ac:dyDescent="0.35">
      <c r="B11" s="1295" t="s">
        <v>545</v>
      </c>
      <c r="C11" s="1296"/>
      <c r="D11" s="1296">
        <f>$D$9*D8</f>
        <v>0</v>
      </c>
      <c r="E11" s="1296">
        <f t="shared" ref="E11:W11" si="4">$D$9*E8</f>
        <v>0</v>
      </c>
      <c r="F11" s="1296">
        <f t="shared" si="4"/>
        <v>0</v>
      </c>
      <c r="G11" s="1296">
        <f t="shared" si="4"/>
        <v>0</v>
      </c>
      <c r="H11" s="1296">
        <f t="shared" si="4"/>
        <v>0</v>
      </c>
      <c r="I11" s="1296">
        <f t="shared" si="4"/>
        <v>0</v>
      </c>
      <c r="J11" s="1296">
        <f t="shared" si="4"/>
        <v>0</v>
      </c>
      <c r="K11" s="1296">
        <f t="shared" si="4"/>
        <v>0</v>
      </c>
      <c r="L11" s="1296">
        <f t="shared" si="4"/>
        <v>0</v>
      </c>
      <c r="M11" s="1296">
        <f t="shared" si="4"/>
        <v>0</v>
      </c>
      <c r="N11" s="1296">
        <f t="shared" si="4"/>
        <v>0</v>
      </c>
      <c r="O11" s="1296">
        <f t="shared" si="4"/>
        <v>0</v>
      </c>
      <c r="P11" s="1296">
        <f t="shared" si="4"/>
        <v>0</v>
      </c>
      <c r="Q11" s="1296">
        <f t="shared" si="4"/>
        <v>0</v>
      </c>
      <c r="R11" s="1296">
        <f t="shared" si="4"/>
        <v>0</v>
      </c>
      <c r="S11" s="1296">
        <f t="shared" si="4"/>
        <v>0</v>
      </c>
      <c r="T11" s="1296">
        <f t="shared" si="4"/>
        <v>0</v>
      </c>
      <c r="U11" s="1296">
        <f t="shared" si="4"/>
        <v>0</v>
      </c>
      <c r="V11" s="1296">
        <f t="shared" si="4"/>
        <v>0</v>
      </c>
      <c r="W11" s="1296">
        <f t="shared" si="4"/>
        <v>0</v>
      </c>
    </row>
    <row r="12" spans="2:23" x14ac:dyDescent="0.35">
      <c r="B12" s="1295" t="s">
        <v>1451</v>
      </c>
      <c r="C12" s="1297"/>
      <c r="D12" s="1297"/>
      <c r="E12" s="1297"/>
      <c r="F12" s="1297"/>
      <c r="G12" s="1297"/>
      <c r="H12" s="1297"/>
      <c r="I12" s="1297"/>
      <c r="J12" s="1297"/>
      <c r="K12" s="1297">
        <f>K9+K10-K11-K13</f>
        <v>0</v>
      </c>
      <c r="L12" s="1297"/>
      <c r="M12" s="1297"/>
      <c r="N12" s="1297"/>
      <c r="O12" s="1297"/>
      <c r="P12" s="1297"/>
      <c r="Q12" s="1297"/>
      <c r="R12" s="1297"/>
      <c r="S12" s="1297"/>
      <c r="T12" s="1297"/>
      <c r="U12" s="1297"/>
      <c r="V12" s="1297"/>
      <c r="W12" s="1297"/>
    </row>
    <row r="13" spans="2:23" x14ac:dyDescent="0.35">
      <c r="B13" s="1295" t="s">
        <v>546</v>
      </c>
      <c r="C13" s="1296"/>
      <c r="D13" s="1296">
        <f t="shared" ref="D13:J13" si="5">D9+D10-D11-D12</f>
        <v>0</v>
      </c>
      <c r="E13" s="1296">
        <f t="shared" si="5"/>
        <v>0</v>
      </c>
      <c r="F13" s="1296">
        <f t="shared" si="5"/>
        <v>0</v>
      </c>
      <c r="G13" s="1296">
        <f t="shared" si="5"/>
        <v>0</v>
      </c>
      <c r="H13" s="1296">
        <f t="shared" si="5"/>
        <v>0</v>
      </c>
      <c r="I13" s="1296">
        <f t="shared" si="5"/>
        <v>0</v>
      </c>
      <c r="J13" s="1296">
        <f t="shared" si="5"/>
        <v>0</v>
      </c>
      <c r="K13" s="1296">
        <v>0</v>
      </c>
      <c r="L13" s="1296">
        <f t="shared" ref="L13:W13" si="6">L9+L10-L11-L12</f>
        <v>0</v>
      </c>
      <c r="M13" s="1296">
        <f t="shared" si="6"/>
        <v>0</v>
      </c>
      <c r="N13" s="1296">
        <f t="shared" si="6"/>
        <v>0</v>
      </c>
      <c r="O13" s="1296">
        <f t="shared" si="6"/>
        <v>0</v>
      </c>
      <c r="P13" s="1296">
        <f t="shared" si="6"/>
        <v>0</v>
      </c>
      <c r="Q13" s="1296">
        <f t="shared" si="6"/>
        <v>0</v>
      </c>
      <c r="R13" s="1296">
        <f t="shared" si="6"/>
        <v>0</v>
      </c>
      <c r="S13" s="1296">
        <f t="shared" si="6"/>
        <v>0</v>
      </c>
      <c r="T13" s="1296">
        <f t="shared" si="6"/>
        <v>0</v>
      </c>
      <c r="U13" s="1296">
        <f t="shared" si="6"/>
        <v>0</v>
      </c>
      <c r="V13" s="1296">
        <f t="shared" si="6"/>
        <v>0</v>
      </c>
      <c r="W13" s="1296">
        <f t="shared" si="6"/>
        <v>0</v>
      </c>
    </row>
    <row r="14" spans="2:23" x14ac:dyDescent="0.35">
      <c r="B14" s="1295" t="s">
        <v>1452</v>
      </c>
      <c r="C14" s="1296"/>
      <c r="D14" s="1296">
        <f>D21</f>
        <v>0</v>
      </c>
      <c r="E14" s="1296">
        <f t="shared" ref="E14:W14" si="7">E21</f>
        <v>0</v>
      </c>
      <c r="F14" s="1296">
        <f t="shared" si="7"/>
        <v>0</v>
      </c>
      <c r="G14" s="1296">
        <f t="shared" si="7"/>
        <v>0</v>
      </c>
      <c r="H14" s="1296">
        <f t="shared" si="7"/>
        <v>0</v>
      </c>
      <c r="I14" s="1296">
        <f t="shared" si="7"/>
        <v>0</v>
      </c>
      <c r="J14" s="1296">
        <f t="shared" si="7"/>
        <v>0</v>
      </c>
      <c r="K14" s="1296">
        <f t="shared" si="7"/>
        <v>0</v>
      </c>
      <c r="L14" s="1296">
        <f t="shared" si="7"/>
        <v>0</v>
      </c>
      <c r="M14" s="1296">
        <f t="shared" si="7"/>
        <v>0</v>
      </c>
      <c r="N14" s="1296">
        <f t="shared" si="7"/>
        <v>0</v>
      </c>
      <c r="O14" s="1296">
        <f t="shared" si="7"/>
        <v>0</v>
      </c>
      <c r="P14" s="1296">
        <f t="shared" si="7"/>
        <v>0</v>
      </c>
      <c r="Q14" s="1296">
        <f t="shared" si="7"/>
        <v>0</v>
      </c>
      <c r="R14" s="1296">
        <f t="shared" si="7"/>
        <v>0</v>
      </c>
      <c r="S14" s="1296">
        <f t="shared" si="7"/>
        <v>0</v>
      </c>
      <c r="T14" s="1296">
        <f t="shared" si="7"/>
        <v>0</v>
      </c>
      <c r="U14" s="1296">
        <f t="shared" si="7"/>
        <v>0</v>
      </c>
      <c r="V14" s="1296">
        <f t="shared" si="7"/>
        <v>0</v>
      </c>
      <c r="W14" s="1296">
        <f t="shared" si="7"/>
        <v>0</v>
      </c>
    </row>
    <row r="15" spans="2:23" x14ac:dyDescent="0.35">
      <c r="B15" s="1295" t="s">
        <v>1453</v>
      </c>
      <c r="C15" s="1298">
        <f>IF('Debt repayment Schedule'!B4=2,0,-Assumptions!D179/13)</f>
        <v>0</v>
      </c>
      <c r="D15" s="1298">
        <f>D11+D12+D14</f>
        <v>0</v>
      </c>
      <c r="E15" s="1298">
        <f t="shared" ref="E15:W15" si="8">E11+E12+E14</f>
        <v>0</v>
      </c>
      <c r="F15" s="1298">
        <f t="shared" si="8"/>
        <v>0</v>
      </c>
      <c r="G15" s="1298">
        <f t="shared" si="8"/>
        <v>0</v>
      </c>
      <c r="H15" s="1298">
        <f t="shared" si="8"/>
        <v>0</v>
      </c>
      <c r="I15" s="1298">
        <f t="shared" si="8"/>
        <v>0</v>
      </c>
      <c r="J15" s="1298">
        <f t="shared" si="8"/>
        <v>0</v>
      </c>
      <c r="K15" s="1298">
        <f t="shared" si="8"/>
        <v>0</v>
      </c>
      <c r="L15" s="1298">
        <f t="shared" si="8"/>
        <v>0</v>
      </c>
      <c r="M15" s="1298">
        <f t="shared" si="8"/>
        <v>0</v>
      </c>
      <c r="N15" s="1298">
        <f t="shared" si="8"/>
        <v>0</v>
      </c>
      <c r="O15" s="1298">
        <f t="shared" si="8"/>
        <v>0</v>
      </c>
      <c r="P15" s="1298">
        <f t="shared" si="8"/>
        <v>0</v>
      </c>
      <c r="Q15" s="1298">
        <f t="shared" si="8"/>
        <v>0</v>
      </c>
      <c r="R15" s="1298">
        <f t="shared" si="8"/>
        <v>0</v>
      </c>
      <c r="S15" s="1298">
        <f t="shared" si="8"/>
        <v>0</v>
      </c>
      <c r="T15" s="1298">
        <f t="shared" si="8"/>
        <v>0</v>
      </c>
      <c r="U15" s="1298">
        <f t="shared" si="8"/>
        <v>0</v>
      </c>
      <c r="V15" s="1298">
        <f t="shared" si="8"/>
        <v>0</v>
      </c>
      <c r="W15" s="1298">
        <f t="shared" si="8"/>
        <v>0</v>
      </c>
    </row>
    <row r="16" spans="2:23" x14ac:dyDescent="0.35">
      <c r="B16" s="1295" t="s">
        <v>1454</v>
      </c>
      <c r="C16" s="1299"/>
      <c r="D16" s="1296"/>
      <c r="E16" s="1296"/>
      <c r="F16" s="1296"/>
      <c r="G16" s="1296"/>
      <c r="H16" s="1296"/>
      <c r="I16" s="1296"/>
      <c r="J16" s="1296"/>
      <c r="K16" s="1296"/>
      <c r="L16" s="1296"/>
      <c r="M16" s="1296"/>
      <c r="N16" s="1296"/>
      <c r="O16" s="1296"/>
      <c r="P16" s="1296"/>
      <c r="Q16" s="1296"/>
      <c r="R16" s="1296"/>
      <c r="S16" s="1296"/>
      <c r="T16" s="1296"/>
      <c r="U16" s="1296"/>
      <c r="V16" s="1296"/>
      <c r="W16" s="1296"/>
    </row>
    <row r="17" spans="2:23" x14ac:dyDescent="0.35">
      <c r="B17" s="213"/>
      <c r="C17" s="214"/>
      <c r="D17" s="214"/>
      <c r="E17" s="214"/>
      <c r="F17" s="214"/>
      <c r="G17" s="214"/>
      <c r="H17" s="214"/>
      <c r="I17" s="214"/>
      <c r="J17" s="214"/>
      <c r="K17" s="214"/>
      <c r="L17" s="214"/>
      <c r="M17" s="214"/>
      <c r="N17" s="214"/>
      <c r="O17" s="214"/>
      <c r="P17" s="214"/>
      <c r="Q17" s="214"/>
      <c r="R17" s="214"/>
      <c r="S17" s="214"/>
      <c r="T17" s="214"/>
      <c r="U17" s="214"/>
      <c r="V17" s="214"/>
      <c r="W17" s="214"/>
    </row>
    <row r="18" spans="2:23" x14ac:dyDescent="0.35">
      <c r="B18" s="1295" t="s">
        <v>1455</v>
      </c>
      <c r="C18" s="1296"/>
      <c r="D18" s="1296">
        <f>D9</f>
        <v>0</v>
      </c>
      <c r="E18" s="1296">
        <f>D20</f>
        <v>0</v>
      </c>
      <c r="F18" s="1296">
        <f t="shared" ref="F18:W18" si="9">E20</f>
        <v>0</v>
      </c>
      <c r="G18" s="1296">
        <f t="shared" si="9"/>
        <v>0</v>
      </c>
      <c r="H18" s="1296">
        <f t="shared" si="9"/>
        <v>0</v>
      </c>
      <c r="I18" s="1296">
        <f t="shared" si="9"/>
        <v>0</v>
      </c>
      <c r="J18" s="1296">
        <f t="shared" si="9"/>
        <v>0</v>
      </c>
      <c r="K18" s="1296">
        <f t="shared" si="9"/>
        <v>0</v>
      </c>
      <c r="L18" s="1296">
        <f t="shared" si="9"/>
        <v>0</v>
      </c>
      <c r="M18" s="1296">
        <f t="shared" si="9"/>
        <v>0</v>
      </c>
      <c r="N18" s="1296">
        <f t="shared" si="9"/>
        <v>0</v>
      </c>
      <c r="O18" s="1296">
        <f t="shared" si="9"/>
        <v>0</v>
      </c>
      <c r="P18" s="1296">
        <f t="shared" si="9"/>
        <v>0</v>
      </c>
      <c r="Q18" s="1296">
        <f t="shared" si="9"/>
        <v>0</v>
      </c>
      <c r="R18" s="1296">
        <f t="shared" si="9"/>
        <v>0</v>
      </c>
      <c r="S18" s="1296">
        <f t="shared" si="9"/>
        <v>0</v>
      </c>
      <c r="T18" s="1296">
        <f t="shared" si="9"/>
        <v>0</v>
      </c>
      <c r="U18" s="1296">
        <f t="shared" si="9"/>
        <v>0</v>
      </c>
      <c r="V18" s="1296">
        <f t="shared" si="9"/>
        <v>0</v>
      </c>
      <c r="W18" s="1296">
        <f t="shared" si="9"/>
        <v>0</v>
      </c>
    </row>
    <row r="19" spans="2:23" x14ac:dyDescent="0.35">
      <c r="B19" s="1295" t="s">
        <v>1456</v>
      </c>
      <c r="C19" s="1296"/>
      <c r="D19" s="1296">
        <f>D11</f>
        <v>0</v>
      </c>
      <c r="E19" s="1296">
        <f>E11</f>
        <v>0</v>
      </c>
      <c r="F19" s="1296">
        <f t="shared" ref="F19:W19" si="10">F11</f>
        <v>0</v>
      </c>
      <c r="G19" s="1296">
        <f t="shared" si="10"/>
        <v>0</v>
      </c>
      <c r="H19" s="1296">
        <f t="shared" si="10"/>
        <v>0</v>
      </c>
      <c r="I19" s="1296">
        <f t="shared" si="10"/>
        <v>0</v>
      </c>
      <c r="J19" s="1296">
        <f t="shared" si="10"/>
        <v>0</v>
      </c>
      <c r="K19" s="1296">
        <f t="shared" si="10"/>
        <v>0</v>
      </c>
      <c r="L19" s="1296">
        <f t="shared" si="10"/>
        <v>0</v>
      </c>
      <c r="M19" s="1296">
        <f t="shared" si="10"/>
        <v>0</v>
      </c>
      <c r="N19" s="1296">
        <f t="shared" si="10"/>
        <v>0</v>
      </c>
      <c r="O19" s="1296">
        <f t="shared" si="10"/>
        <v>0</v>
      </c>
      <c r="P19" s="1296">
        <f t="shared" si="10"/>
        <v>0</v>
      </c>
      <c r="Q19" s="1296">
        <f t="shared" si="10"/>
        <v>0</v>
      </c>
      <c r="R19" s="1296">
        <f t="shared" si="10"/>
        <v>0</v>
      </c>
      <c r="S19" s="1296">
        <f t="shared" si="10"/>
        <v>0</v>
      </c>
      <c r="T19" s="1296">
        <f t="shared" si="10"/>
        <v>0</v>
      </c>
      <c r="U19" s="1296">
        <f t="shared" si="10"/>
        <v>0</v>
      </c>
      <c r="V19" s="1296">
        <f t="shared" si="10"/>
        <v>0</v>
      </c>
      <c r="W19" s="1296">
        <f t="shared" si="10"/>
        <v>0</v>
      </c>
    </row>
    <row r="20" spans="2:23" x14ac:dyDescent="0.35">
      <c r="B20" s="1295" t="s">
        <v>1457</v>
      </c>
      <c r="C20" s="1296"/>
      <c r="D20" s="1298">
        <f t="shared" ref="D20:W20" si="11">D18-D19</f>
        <v>0</v>
      </c>
      <c r="E20" s="1298">
        <f t="shared" si="11"/>
        <v>0</v>
      </c>
      <c r="F20" s="1298">
        <f t="shared" si="11"/>
        <v>0</v>
      </c>
      <c r="G20" s="1298">
        <f t="shared" si="11"/>
        <v>0</v>
      </c>
      <c r="H20" s="1298">
        <f t="shared" si="11"/>
        <v>0</v>
      </c>
      <c r="I20" s="1298">
        <f t="shared" si="11"/>
        <v>0</v>
      </c>
      <c r="J20" s="1298">
        <f t="shared" si="11"/>
        <v>0</v>
      </c>
      <c r="K20" s="1298">
        <f t="shared" si="11"/>
        <v>0</v>
      </c>
      <c r="L20" s="1298">
        <f t="shared" si="11"/>
        <v>0</v>
      </c>
      <c r="M20" s="1298">
        <f t="shared" si="11"/>
        <v>0</v>
      </c>
      <c r="N20" s="1298">
        <f t="shared" si="11"/>
        <v>0</v>
      </c>
      <c r="O20" s="1298">
        <f t="shared" si="11"/>
        <v>0</v>
      </c>
      <c r="P20" s="1298">
        <f t="shared" si="11"/>
        <v>0</v>
      </c>
      <c r="Q20" s="1298">
        <f t="shared" si="11"/>
        <v>0</v>
      </c>
      <c r="R20" s="1298">
        <f t="shared" si="11"/>
        <v>0</v>
      </c>
      <c r="S20" s="1298">
        <f t="shared" si="11"/>
        <v>0</v>
      </c>
      <c r="T20" s="1298">
        <f t="shared" si="11"/>
        <v>0</v>
      </c>
      <c r="U20" s="1298">
        <f t="shared" si="11"/>
        <v>0</v>
      </c>
      <c r="V20" s="1298">
        <f t="shared" si="11"/>
        <v>0</v>
      </c>
      <c r="W20" s="1298">
        <f t="shared" si="11"/>
        <v>0</v>
      </c>
    </row>
    <row r="21" spans="2:23" x14ac:dyDescent="0.35">
      <c r="B21" s="1295" t="s">
        <v>1458</v>
      </c>
      <c r="C21" s="1296"/>
      <c r="D21" s="1300">
        <f>D18*D$5*(D$6-C$6+1)/365</f>
        <v>0</v>
      </c>
      <c r="E21" s="1300">
        <f t="shared" ref="E21:W21" si="12">E18*E5*(E6-D6)/365</f>
        <v>0</v>
      </c>
      <c r="F21" s="1300">
        <f t="shared" si="12"/>
        <v>0</v>
      </c>
      <c r="G21" s="1300">
        <f t="shared" si="12"/>
        <v>0</v>
      </c>
      <c r="H21" s="1300">
        <f t="shared" si="12"/>
        <v>0</v>
      </c>
      <c r="I21" s="1300">
        <f t="shared" si="12"/>
        <v>0</v>
      </c>
      <c r="J21" s="1300">
        <f t="shared" si="12"/>
        <v>0</v>
      </c>
      <c r="K21" s="1300">
        <f t="shared" si="12"/>
        <v>0</v>
      </c>
      <c r="L21" s="1300">
        <f t="shared" si="12"/>
        <v>0</v>
      </c>
      <c r="M21" s="1300">
        <f t="shared" si="12"/>
        <v>0</v>
      </c>
      <c r="N21" s="1300">
        <f t="shared" si="12"/>
        <v>0</v>
      </c>
      <c r="O21" s="1300">
        <f t="shared" si="12"/>
        <v>0</v>
      </c>
      <c r="P21" s="1300">
        <f t="shared" si="12"/>
        <v>0</v>
      </c>
      <c r="Q21" s="1300">
        <f t="shared" si="12"/>
        <v>0</v>
      </c>
      <c r="R21" s="1300">
        <f t="shared" si="12"/>
        <v>0</v>
      </c>
      <c r="S21" s="1300">
        <f t="shared" si="12"/>
        <v>0</v>
      </c>
      <c r="T21" s="1300">
        <f t="shared" si="12"/>
        <v>0</v>
      </c>
      <c r="U21" s="1300">
        <f t="shared" si="12"/>
        <v>0</v>
      </c>
      <c r="V21" s="1300">
        <f t="shared" si="12"/>
        <v>0</v>
      </c>
      <c r="W21" s="1300">
        <f t="shared" si="12"/>
        <v>0</v>
      </c>
    </row>
    <row r="23" spans="2:23" x14ac:dyDescent="0.35">
      <c r="B23" s="1288" t="s">
        <v>1460</v>
      </c>
      <c r="C23" s="1289">
        <v>43087</v>
      </c>
      <c r="D23" s="1289">
        <f>EOMONTH(E23,-12)</f>
        <v>43190</v>
      </c>
      <c r="E23" s="1289">
        <f>EOMONTH(F23,-12)</f>
        <v>43555</v>
      </c>
      <c r="F23" s="1289">
        <f>EOMONTH(G23,-12)</f>
        <v>43921</v>
      </c>
      <c r="G23" s="1289">
        <f>'Debt Assumptions &amp; working'!$C$17</f>
        <v>44286</v>
      </c>
      <c r="H23" s="1289">
        <f>EOMONTH(G23,12)</f>
        <v>44651</v>
      </c>
      <c r="I23" s="1289">
        <f t="shared" ref="I23:W23" si="13">EOMONTH(H23,12)</f>
        <v>45016</v>
      </c>
      <c r="J23" s="1289">
        <f t="shared" si="13"/>
        <v>45382</v>
      </c>
      <c r="K23" s="1289">
        <f t="shared" si="13"/>
        <v>45747</v>
      </c>
      <c r="L23" s="1289">
        <f t="shared" si="13"/>
        <v>46112</v>
      </c>
      <c r="M23" s="1289">
        <f t="shared" si="13"/>
        <v>46477</v>
      </c>
      <c r="N23" s="1289">
        <f t="shared" si="13"/>
        <v>46843</v>
      </c>
      <c r="O23" s="1289">
        <f t="shared" si="13"/>
        <v>47208</v>
      </c>
      <c r="P23" s="1289">
        <f t="shared" si="13"/>
        <v>47573</v>
      </c>
      <c r="Q23" s="1289">
        <f t="shared" si="13"/>
        <v>47938</v>
      </c>
      <c r="R23" s="1289">
        <f t="shared" si="13"/>
        <v>48304</v>
      </c>
      <c r="S23" s="1289">
        <f t="shared" si="13"/>
        <v>48669</v>
      </c>
      <c r="T23" s="1289">
        <f t="shared" si="13"/>
        <v>49034</v>
      </c>
      <c r="U23" s="1289">
        <f t="shared" si="13"/>
        <v>49399</v>
      </c>
      <c r="V23" s="1289">
        <f t="shared" si="13"/>
        <v>49765</v>
      </c>
      <c r="W23" s="1289">
        <f t="shared" si="13"/>
        <v>50130</v>
      </c>
    </row>
    <row r="24" spans="2:23" x14ac:dyDescent="0.35">
      <c r="B24" s="1290" t="s">
        <v>1450</v>
      </c>
      <c r="C24" s="1290">
        <v>0</v>
      </c>
      <c r="D24" s="1291">
        <f>(D23-C23+1)/365</f>
        <v>0.28493150684931506</v>
      </c>
      <c r="E24" s="1291">
        <f t="shared" ref="E24:W24" si="14">D24+1</f>
        <v>1.284931506849315</v>
      </c>
      <c r="F24" s="1291">
        <f t="shared" si="14"/>
        <v>2.2849315068493148</v>
      </c>
      <c r="G24" s="1291">
        <f t="shared" si="14"/>
        <v>3.2849315068493148</v>
      </c>
      <c r="H24" s="1291">
        <f t="shared" si="14"/>
        <v>4.2849315068493148</v>
      </c>
      <c r="I24" s="1291">
        <f t="shared" si="14"/>
        <v>5.2849315068493148</v>
      </c>
      <c r="J24" s="1291">
        <f t="shared" si="14"/>
        <v>6.2849315068493148</v>
      </c>
      <c r="K24" s="1291">
        <f t="shared" si="14"/>
        <v>7.2849315068493148</v>
      </c>
      <c r="L24" s="1291">
        <f t="shared" si="14"/>
        <v>8.2849315068493148</v>
      </c>
      <c r="M24" s="1291">
        <f t="shared" si="14"/>
        <v>9.2849315068493148</v>
      </c>
      <c r="N24" s="1291">
        <f t="shared" si="14"/>
        <v>10.284931506849315</v>
      </c>
      <c r="O24" s="1291">
        <f t="shared" si="14"/>
        <v>11.284931506849315</v>
      </c>
      <c r="P24" s="1291">
        <f t="shared" si="14"/>
        <v>12.284931506849315</v>
      </c>
      <c r="Q24" s="1291">
        <f t="shared" si="14"/>
        <v>13.284931506849315</v>
      </c>
      <c r="R24" s="1291">
        <f t="shared" si="14"/>
        <v>14.284931506849315</v>
      </c>
      <c r="S24" s="1291">
        <f t="shared" si="14"/>
        <v>15.284931506849315</v>
      </c>
      <c r="T24" s="1291">
        <f t="shared" si="14"/>
        <v>16.284931506849315</v>
      </c>
      <c r="U24" s="1291">
        <f t="shared" si="14"/>
        <v>17.284931506849315</v>
      </c>
      <c r="V24" s="1291">
        <f t="shared" si="14"/>
        <v>18.284931506849315</v>
      </c>
      <c r="W24" s="1291">
        <f t="shared" si="14"/>
        <v>19.284931506849315</v>
      </c>
    </row>
    <row r="25" spans="2:23" x14ac:dyDescent="0.35">
      <c r="B25" s="1290" t="s">
        <v>518</v>
      </c>
      <c r="C25" s="1290"/>
      <c r="D25" s="1292">
        <v>0</v>
      </c>
      <c r="E25" s="1292">
        <v>0</v>
      </c>
      <c r="F25" s="1292">
        <v>0</v>
      </c>
      <c r="G25" s="1293">
        <v>0</v>
      </c>
      <c r="H25" s="1294">
        <v>0</v>
      </c>
      <c r="I25" s="1294">
        <v>0</v>
      </c>
      <c r="J25" s="1294">
        <v>0</v>
      </c>
      <c r="K25" s="1294">
        <v>0</v>
      </c>
      <c r="L25" s="1294">
        <v>1</v>
      </c>
      <c r="M25" s="1294"/>
      <c r="N25" s="1294"/>
      <c r="O25" s="1294"/>
      <c r="P25" s="1294"/>
      <c r="Q25" s="1294"/>
      <c r="R25" s="1294"/>
      <c r="S25" s="1294"/>
      <c r="T25" s="1294"/>
      <c r="U25" s="1294"/>
      <c r="V25" s="1294"/>
      <c r="W25" s="1294"/>
    </row>
    <row r="26" spans="2:23" x14ac:dyDescent="0.35">
      <c r="B26" s="1295" t="s">
        <v>544</v>
      </c>
      <c r="C26" s="1296"/>
      <c r="D26" s="1296">
        <f>-C32</f>
        <v>0</v>
      </c>
      <c r="E26" s="1296">
        <f t="shared" ref="E26:W26" si="15">D30</f>
        <v>0</v>
      </c>
      <c r="F26" s="1296">
        <f t="shared" si="15"/>
        <v>0</v>
      </c>
      <c r="G26" s="1296">
        <f t="shared" si="15"/>
        <v>0</v>
      </c>
      <c r="H26" s="1296">
        <f t="shared" si="15"/>
        <v>0</v>
      </c>
      <c r="I26" s="1296">
        <f t="shared" si="15"/>
        <v>0</v>
      </c>
      <c r="J26" s="1296">
        <f t="shared" si="15"/>
        <v>0</v>
      </c>
      <c r="K26" s="1296">
        <f t="shared" si="15"/>
        <v>0</v>
      </c>
      <c r="L26" s="1296">
        <f t="shared" si="15"/>
        <v>0</v>
      </c>
      <c r="M26" s="1296">
        <f t="shared" si="15"/>
        <v>0</v>
      </c>
      <c r="N26" s="1296">
        <f t="shared" si="15"/>
        <v>0</v>
      </c>
      <c r="O26" s="1296">
        <f t="shared" si="15"/>
        <v>0</v>
      </c>
      <c r="P26" s="1296">
        <f t="shared" si="15"/>
        <v>0</v>
      </c>
      <c r="Q26" s="1296">
        <f t="shared" si="15"/>
        <v>0</v>
      </c>
      <c r="R26" s="1296">
        <f t="shared" si="15"/>
        <v>0</v>
      </c>
      <c r="S26" s="1296">
        <f t="shared" si="15"/>
        <v>0</v>
      </c>
      <c r="T26" s="1296">
        <f t="shared" si="15"/>
        <v>0</v>
      </c>
      <c r="U26" s="1296">
        <f t="shared" si="15"/>
        <v>0</v>
      </c>
      <c r="V26" s="1296">
        <f t="shared" si="15"/>
        <v>0</v>
      </c>
      <c r="W26" s="1296">
        <f t="shared" si="15"/>
        <v>0</v>
      </c>
    </row>
    <row r="27" spans="2:23" x14ac:dyDescent="0.35">
      <c r="B27" s="1295" t="s">
        <v>276</v>
      </c>
      <c r="C27" s="1296"/>
      <c r="D27" s="1296">
        <f>D26*(D$4-D$5)*(D23-C23)/365</f>
        <v>0</v>
      </c>
      <c r="E27" s="1296">
        <f>(D37*(E$4-E$5))+(E4*(SUM($D$27:D27)-SUM($D$29:D29)))</f>
        <v>0</v>
      </c>
      <c r="F27" s="1296">
        <f>(E37*(F$4-F$5))+(F4*(SUM($D$27:E27)-SUM($D$29:E29)))</f>
        <v>0</v>
      </c>
      <c r="G27" s="1296">
        <f>(F37*(G$4-G$5))+(G4*(SUM($D$27:F27)-SUM($D$29:F29)))</f>
        <v>0</v>
      </c>
      <c r="H27" s="1296">
        <f>(G37*(H$4-H$5))+(H4*(SUM($D$27:G27)-SUM($D$29:G29)))</f>
        <v>0</v>
      </c>
      <c r="I27" s="1296">
        <f>(H37*(I$4-I$5))+(I4*(SUM($D$27:H27)-SUM($D$29:H29)))</f>
        <v>0</v>
      </c>
      <c r="J27" s="1296">
        <f>(I37*(J$4-J$5))+(J4*(SUM($D$27:I27)-SUM($D$29:I29)))</f>
        <v>0</v>
      </c>
      <c r="K27" s="1296">
        <f>(J37*(K$4-K$5))+(K4*(SUM($D$27:J27)-SUM($D$29:J29)))</f>
        <v>0</v>
      </c>
      <c r="L27" s="1296">
        <f>(K37*(L$4-L$5))+(L4*(SUM($D$27:K27)-SUM($D$29:K29)))</f>
        <v>0</v>
      </c>
      <c r="M27" s="1296">
        <f>(L37*(M$4-M$5))+(M4*(SUM($D$27:L27)-SUM($D$29:L29)))</f>
        <v>0</v>
      </c>
      <c r="N27" s="1296">
        <f>(M37*(N$4-N$5))+(N4*(SUM($D$27:M27)-SUM($D$29:M29)))</f>
        <v>0</v>
      </c>
      <c r="O27" s="1296">
        <f>(N37*(O$4-O$5))+(O4*(SUM($D$27:N27)-SUM($D$29:N29)))</f>
        <v>0</v>
      </c>
      <c r="P27" s="1296">
        <f>(O37*(P$4-P$5))+(P4*(SUM($D$27:O27)-SUM($D$29:O29)))</f>
        <v>0</v>
      </c>
      <c r="Q27" s="1296">
        <f>(P37*(Q$4-Q$5))+(Q4*(SUM($D$27:P27)-SUM($D$29:P29)))</f>
        <v>0</v>
      </c>
      <c r="R27" s="1296">
        <f>(Q37*(R$4-R$5))+(R4*(SUM($D$27:Q27)-SUM($D$29:Q29)))</f>
        <v>0</v>
      </c>
      <c r="S27" s="1296">
        <f>(R37*(S$4-S$5))+(S4*(SUM($D$27:R27)-SUM($D$29:R29)))</f>
        <v>0</v>
      </c>
      <c r="T27" s="1296">
        <f>(S37*(T$4-T$5))+(T4*(SUM($D$27:S27)-SUM($D$29:S29)))</f>
        <v>0</v>
      </c>
      <c r="U27" s="1296">
        <f>(T37*(U$4-U$5))+(U4*(SUM($D$27:T27)-SUM($D$29:T29)))</f>
        <v>0</v>
      </c>
      <c r="V27" s="1296">
        <f>(U37*(V$4-V$5))+(V4*(SUM($D$27:U27)-SUM($D$29:U29)))</f>
        <v>0</v>
      </c>
      <c r="W27" s="1296">
        <f>(V37*(W$4-W$5))+(W4*(SUM($D$27:V27)-SUM($D$29:V29)))</f>
        <v>0</v>
      </c>
    </row>
    <row r="28" spans="2:23" x14ac:dyDescent="0.35">
      <c r="B28" s="1295" t="s">
        <v>545</v>
      </c>
      <c r="C28" s="1296"/>
      <c r="D28" s="1296">
        <f>$D$26*D25</f>
        <v>0</v>
      </c>
      <c r="E28" s="1296">
        <f t="shared" ref="E28:L28" si="16">$D$26*E25</f>
        <v>0</v>
      </c>
      <c r="F28" s="1296">
        <f t="shared" si="16"/>
        <v>0</v>
      </c>
      <c r="G28" s="1296">
        <f t="shared" si="16"/>
        <v>0</v>
      </c>
      <c r="H28" s="1296">
        <f t="shared" si="16"/>
        <v>0</v>
      </c>
      <c r="I28" s="1296">
        <f t="shared" si="16"/>
        <v>0</v>
      </c>
      <c r="J28" s="1296">
        <f t="shared" si="16"/>
        <v>0</v>
      </c>
      <c r="K28" s="1296">
        <f t="shared" si="16"/>
        <v>0</v>
      </c>
      <c r="L28" s="1296">
        <f t="shared" si="16"/>
        <v>0</v>
      </c>
      <c r="M28" s="1296">
        <f t="shared" ref="M28:W28" si="17">$D$9*M25</f>
        <v>0</v>
      </c>
      <c r="N28" s="1296">
        <f t="shared" si="17"/>
        <v>0</v>
      </c>
      <c r="O28" s="1296">
        <f t="shared" si="17"/>
        <v>0</v>
      </c>
      <c r="P28" s="1296">
        <f t="shared" si="17"/>
        <v>0</v>
      </c>
      <c r="Q28" s="1296">
        <f t="shared" si="17"/>
        <v>0</v>
      </c>
      <c r="R28" s="1296">
        <f t="shared" si="17"/>
        <v>0</v>
      </c>
      <c r="S28" s="1296">
        <f t="shared" si="17"/>
        <v>0</v>
      </c>
      <c r="T28" s="1296">
        <f t="shared" si="17"/>
        <v>0</v>
      </c>
      <c r="U28" s="1296">
        <f t="shared" si="17"/>
        <v>0</v>
      </c>
      <c r="V28" s="1296">
        <f t="shared" si="17"/>
        <v>0</v>
      </c>
      <c r="W28" s="1296">
        <f t="shared" si="17"/>
        <v>0</v>
      </c>
    </row>
    <row r="29" spans="2:23" x14ac:dyDescent="0.35">
      <c r="B29" s="1295" t="s">
        <v>1451</v>
      </c>
      <c r="C29" s="1297"/>
      <c r="D29" s="1297"/>
      <c r="E29" s="1297"/>
      <c r="F29" s="1297"/>
      <c r="G29" s="1297"/>
      <c r="H29" s="1297"/>
      <c r="I29" s="1297"/>
      <c r="J29" s="1297"/>
      <c r="K29" s="1297"/>
      <c r="L29" s="1297">
        <f>L26+L27-L28-L30</f>
        <v>0</v>
      </c>
      <c r="M29" s="1297"/>
      <c r="N29" s="1297"/>
      <c r="O29" s="1297"/>
      <c r="P29" s="1297"/>
      <c r="Q29" s="1297"/>
      <c r="R29" s="1297"/>
      <c r="S29" s="1297"/>
      <c r="T29" s="1297"/>
      <c r="U29" s="1297"/>
      <c r="V29" s="1297"/>
      <c r="W29" s="1297"/>
    </row>
    <row r="30" spans="2:23" x14ac:dyDescent="0.35">
      <c r="B30" s="1295" t="s">
        <v>546</v>
      </c>
      <c r="C30" s="1296"/>
      <c r="D30" s="1296">
        <f t="shared" ref="D30:K30" si="18">D26+D27-D28-D29</f>
        <v>0</v>
      </c>
      <c r="E30" s="1296">
        <f t="shared" si="18"/>
        <v>0</v>
      </c>
      <c r="F30" s="1296">
        <f t="shared" si="18"/>
        <v>0</v>
      </c>
      <c r="G30" s="1296">
        <f t="shared" si="18"/>
        <v>0</v>
      </c>
      <c r="H30" s="1296">
        <f t="shared" si="18"/>
        <v>0</v>
      </c>
      <c r="I30" s="1296">
        <f t="shared" si="18"/>
        <v>0</v>
      </c>
      <c r="J30" s="1296">
        <f t="shared" si="18"/>
        <v>0</v>
      </c>
      <c r="K30" s="1296">
        <f t="shared" si="18"/>
        <v>0</v>
      </c>
      <c r="L30" s="1296">
        <v>0</v>
      </c>
      <c r="M30" s="1296">
        <f t="shared" ref="M30:W30" si="19">M26+M27-M28-M29</f>
        <v>0</v>
      </c>
      <c r="N30" s="1296">
        <f t="shared" si="19"/>
        <v>0</v>
      </c>
      <c r="O30" s="1296">
        <f t="shared" si="19"/>
        <v>0</v>
      </c>
      <c r="P30" s="1296">
        <f t="shared" si="19"/>
        <v>0</v>
      </c>
      <c r="Q30" s="1296">
        <f t="shared" si="19"/>
        <v>0</v>
      </c>
      <c r="R30" s="1296">
        <f t="shared" si="19"/>
        <v>0</v>
      </c>
      <c r="S30" s="1296">
        <f t="shared" si="19"/>
        <v>0</v>
      </c>
      <c r="T30" s="1296">
        <f t="shared" si="19"/>
        <v>0</v>
      </c>
      <c r="U30" s="1296">
        <f t="shared" si="19"/>
        <v>0</v>
      </c>
      <c r="V30" s="1296">
        <f t="shared" si="19"/>
        <v>0</v>
      </c>
      <c r="W30" s="1296">
        <f t="shared" si="19"/>
        <v>0</v>
      </c>
    </row>
    <row r="31" spans="2:23" x14ac:dyDescent="0.35">
      <c r="B31" s="1295" t="s">
        <v>1452</v>
      </c>
      <c r="C31" s="1296"/>
      <c r="D31" s="1296">
        <f>D38</f>
        <v>0</v>
      </c>
      <c r="E31" s="1296">
        <f t="shared" ref="E31:W31" si="20">E38</f>
        <v>0</v>
      </c>
      <c r="F31" s="1296">
        <f t="shared" si="20"/>
        <v>0</v>
      </c>
      <c r="G31" s="1296">
        <f t="shared" si="20"/>
        <v>0</v>
      </c>
      <c r="H31" s="1296">
        <f t="shared" si="20"/>
        <v>0</v>
      </c>
      <c r="I31" s="1296">
        <f t="shared" si="20"/>
        <v>0</v>
      </c>
      <c r="J31" s="1296">
        <f t="shared" si="20"/>
        <v>0</v>
      </c>
      <c r="K31" s="1296">
        <f t="shared" si="20"/>
        <v>0</v>
      </c>
      <c r="L31" s="1296">
        <f t="shared" si="20"/>
        <v>0</v>
      </c>
      <c r="M31" s="1296">
        <f t="shared" si="20"/>
        <v>0</v>
      </c>
      <c r="N31" s="1296">
        <f t="shared" si="20"/>
        <v>0</v>
      </c>
      <c r="O31" s="1296">
        <f t="shared" si="20"/>
        <v>0</v>
      </c>
      <c r="P31" s="1296">
        <f t="shared" si="20"/>
        <v>0</v>
      </c>
      <c r="Q31" s="1296">
        <f t="shared" si="20"/>
        <v>0</v>
      </c>
      <c r="R31" s="1296">
        <f t="shared" si="20"/>
        <v>0</v>
      </c>
      <c r="S31" s="1296">
        <f t="shared" si="20"/>
        <v>0</v>
      </c>
      <c r="T31" s="1296">
        <f t="shared" si="20"/>
        <v>0</v>
      </c>
      <c r="U31" s="1296">
        <f t="shared" si="20"/>
        <v>0</v>
      </c>
      <c r="V31" s="1296">
        <f t="shared" si="20"/>
        <v>0</v>
      </c>
      <c r="W31" s="1296">
        <f t="shared" si="20"/>
        <v>0</v>
      </c>
    </row>
    <row r="32" spans="2:23" x14ac:dyDescent="0.35">
      <c r="B32" s="1295" t="s">
        <v>1453</v>
      </c>
      <c r="C32" s="1298">
        <f>C15</f>
        <v>0</v>
      </c>
      <c r="D32" s="1298">
        <f>D28+D29+D31</f>
        <v>0</v>
      </c>
      <c r="E32" s="1298">
        <f t="shared" ref="E32:W32" si="21">E28+E29+E31</f>
        <v>0</v>
      </c>
      <c r="F32" s="1298">
        <f t="shared" si="21"/>
        <v>0</v>
      </c>
      <c r="G32" s="1298">
        <f t="shared" si="21"/>
        <v>0</v>
      </c>
      <c r="H32" s="1298">
        <f t="shared" si="21"/>
        <v>0</v>
      </c>
      <c r="I32" s="1298">
        <f t="shared" si="21"/>
        <v>0</v>
      </c>
      <c r="J32" s="1298">
        <f t="shared" si="21"/>
        <v>0</v>
      </c>
      <c r="K32" s="1298">
        <f t="shared" si="21"/>
        <v>0</v>
      </c>
      <c r="L32" s="1298">
        <f t="shared" si="21"/>
        <v>0</v>
      </c>
      <c r="M32" s="1298">
        <f t="shared" si="21"/>
        <v>0</v>
      </c>
      <c r="N32" s="1298">
        <f t="shared" si="21"/>
        <v>0</v>
      </c>
      <c r="O32" s="1298">
        <f t="shared" si="21"/>
        <v>0</v>
      </c>
      <c r="P32" s="1298">
        <f t="shared" si="21"/>
        <v>0</v>
      </c>
      <c r="Q32" s="1298">
        <f t="shared" si="21"/>
        <v>0</v>
      </c>
      <c r="R32" s="1298">
        <f t="shared" si="21"/>
        <v>0</v>
      </c>
      <c r="S32" s="1298">
        <f t="shared" si="21"/>
        <v>0</v>
      </c>
      <c r="T32" s="1298">
        <f t="shared" si="21"/>
        <v>0</v>
      </c>
      <c r="U32" s="1298">
        <f t="shared" si="21"/>
        <v>0</v>
      </c>
      <c r="V32" s="1298">
        <f t="shared" si="21"/>
        <v>0</v>
      </c>
      <c r="W32" s="1298">
        <f t="shared" si="21"/>
        <v>0</v>
      </c>
    </row>
    <row r="33" spans="2:23" x14ac:dyDescent="0.35">
      <c r="B33" s="1295" t="s">
        <v>1454</v>
      </c>
      <c r="C33" s="1299"/>
      <c r="D33" s="1296"/>
      <c r="E33" s="1296"/>
      <c r="F33" s="1296"/>
      <c r="G33" s="1296"/>
      <c r="H33" s="1296"/>
      <c r="I33" s="1296"/>
      <c r="J33" s="1296"/>
      <c r="K33" s="1296"/>
      <c r="L33" s="1296"/>
      <c r="M33" s="1296"/>
      <c r="N33" s="1296"/>
      <c r="O33" s="1296"/>
      <c r="P33" s="1296"/>
      <c r="Q33" s="1296"/>
      <c r="R33" s="1296"/>
      <c r="S33" s="1296"/>
      <c r="T33" s="1296"/>
      <c r="U33" s="1296"/>
      <c r="V33" s="1296"/>
      <c r="W33" s="1296"/>
    </row>
    <row r="34" spans="2:23" x14ac:dyDescent="0.35">
      <c r="B34" s="213"/>
      <c r="C34" s="214"/>
      <c r="D34" s="214"/>
      <c r="E34" s="214"/>
      <c r="F34" s="214"/>
      <c r="G34" s="214"/>
      <c r="H34" s="214"/>
      <c r="I34" s="214"/>
      <c r="J34" s="214"/>
      <c r="K34" s="214"/>
      <c r="L34" s="214"/>
      <c r="M34" s="214"/>
      <c r="N34" s="214"/>
      <c r="O34" s="214"/>
      <c r="P34" s="214"/>
      <c r="Q34" s="214"/>
      <c r="R34" s="214"/>
      <c r="S34" s="214"/>
      <c r="T34" s="214"/>
      <c r="U34" s="214"/>
      <c r="V34" s="214"/>
      <c r="W34" s="214"/>
    </row>
    <row r="35" spans="2:23" x14ac:dyDescent="0.35">
      <c r="B35" s="1295" t="s">
        <v>1455</v>
      </c>
      <c r="C35" s="1296"/>
      <c r="D35" s="1296">
        <f>D26</f>
        <v>0</v>
      </c>
      <c r="E35" s="1296">
        <f t="shared" ref="E35:W35" si="22">D37</f>
        <v>0</v>
      </c>
      <c r="F35" s="1296">
        <f t="shared" si="22"/>
        <v>0</v>
      </c>
      <c r="G35" s="1296">
        <f t="shared" si="22"/>
        <v>0</v>
      </c>
      <c r="H35" s="1296">
        <f t="shared" si="22"/>
        <v>0</v>
      </c>
      <c r="I35" s="1296">
        <f t="shared" si="22"/>
        <v>0</v>
      </c>
      <c r="J35" s="1296">
        <f t="shared" si="22"/>
        <v>0</v>
      </c>
      <c r="K35" s="1296">
        <f t="shared" si="22"/>
        <v>0</v>
      </c>
      <c r="L35" s="1296">
        <f t="shared" si="22"/>
        <v>0</v>
      </c>
      <c r="M35" s="1296">
        <f t="shared" si="22"/>
        <v>0</v>
      </c>
      <c r="N35" s="1296">
        <f t="shared" si="22"/>
        <v>0</v>
      </c>
      <c r="O35" s="1296">
        <f t="shared" si="22"/>
        <v>0</v>
      </c>
      <c r="P35" s="1296">
        <f t="shared" si="22"/>
        <v>0</v>
      </c>
      <c r="Q35" s="1296">
        <f t="shared" si="22"/>
        <v>0</v>
      </c>
      <c r="R35" s="1296">
        <f t="shared" si="22"/>
        <v>0</v>
      </c>
      <c r="S35" s="1296">
        <f t="shared" si="22"/>
        <v>0</v>
      </c>
      <c r="T35" s="1296">
        <f t="shared" si="22"/>
        <v>0</v>
      </c>
      <c r="U35" s="1296">
        <f t="shared" si="22"/>
        <v>0</v>
      </c>
      <c r="V35" s="1296">
        <f t="shared" si="22"/>
        <v>0</v>
      </c>
      <c r="W35" s="1296">
        <f t="shared" si="22"/>
        <v>0</v>
      </c>
    </row>
    <row r="36" spans="2:23" x14ac:dyDescent="0.35">
      <c r="B36" s="1295" t="s">
        <v>1456</v>
      </c>
      <c r="C36" s="1296"/>
      <c r="D36" s="1296">
        <f>D28</f>
        <v>0</v>
      </c>
      <c r="E36" s="1296">
        <f>E28</f>
        <v>0</v>
      </c>
      <c r="F36" s="1296">
        <f t="shared" ref="F36:W36" si="23">F28</f>
        <v>0</v>
      </c>
      <c r="G36" s="1296">
        <f t="shared" si="23"/>
        <v>0</v>
      </c>
      <c r="H36" s="1296">
        <f t="shared" si="23"/>
        <v>0</v>
      </c>
      <c r="I36" s="1296">
        <f t="shared" si="23"/>
        <v>0</v>
      </c>
      <c r="J36" s="1296">
        <f t="shared" si="23"/>
        <v>0</v>
      </c>
      <c r="K36" s="1296">
        <f t="shared" si="23"/>
        <v>0</v>
      </c>
      <c r="L36" s="1296">
        <f t="shared" si="23"/>
        <v>0</v>
      </c>
      <c r="M36" s="1296">
        <f t="shared" si="23"/>
        <v>0</v>
      </c>
      <c r="N36" s="1296">
        <f t="shared" si="23"/>
        <v>0</v>
      </c>
      <c r="O36" s="1296">
        <f t="shared" si="23"/>
        <v>0</v>
      </c>
      <c r="P36" s="1296">
        <f t="shared" si="23"/>
        <v>0</v>
      </c>
      <c r="Q36" s="1296">
        <f t="shared" si="23"/>
        <v>0</v>
      </c>
      <c r="R36" s="1296">
        <f t="shared" si="23"/>
        <v>0</v>
      </c>
      <c r="S36" s="1296">
        <f t="shared" si="23"/>
        <v>0</v>
      </c>
      <c r="T36" s="1296">
        <f t="shared" si="23"/>
        <v>0</v>
      </c>
      <c r="U36" s="1296">
        <f t="shared" si="23"/>
        <v>0</v>
      </c>
      <c r="V36" s="1296">
        <f t="shared" si="23"/>
        <v>0</v>
      </c>
      <c r="W36" s="1296">
        <f t="shared" si="23"/>
        <v>0</v>
      </c>
    </row>
    <row r="37" spans="2:23" x14ac:dyDescent="0.35">
      <c r="B37" s="1295" t="s">
        <v>1457</v>
      </c>
      <c r="C37" s="1296"/>
      <c r="D37" s="1298">
        <f t="shared" ref="D37:W37" si="24">D35-D36</f>
        <v>0</v>
      </c>
      <c r="E37" s="1298">
        <f t="shared" si="24"/>
        <v>0</v>
      </c>
      <c r="F37" s="1298">
        <f t="shared" si="24"/>
        <v>0</v>
      </c>
      <c r="G37" s="1298">
        <f t="shared" si="24"/>
        <v>0</v>
      </c>
      <c r="H37" s="1298">
        <f t="shared" si="24"/>
        <v>0</v>
      </c>
      <c r="I37" s="1298">
        <f t="shared" si="24"/>
        <v>0</v>
      </c>
      <c r="J37" s="1298">
        <f t="shared" si="24"/>
        <v>0</v>
      </c>
      <c r="K37" s="1298">
        <f t="shared" si="24"/>
        <v>0</v>
      </c>
      <c r="L37" s="1298">
        <f t="shared" si="24"/>
        <v>0</v>
      </c>
      <c r="M37" s="1298">
        <f t="shared" si="24"/>
        <v>0</v>
      </c>
      <c r="N37" s="1298">
        <f t="shared" si="24"/>
        <v>0</v>
      </c>
      <c r="O37" s="1298">
        <f t="shared" si="24"/>
        <v>0</v>
      </c>
      <c r="P37" s="1298">
        <f t="shared" si="24"/>
        <v>0</v>
      </c>
      <c r="Q37" s="1298">
        <f t="shared" si="24"/>
        <v>0</v>
      </c>
      <c r="R37" s="1298">
        <f t="shared" si="24"/>
        <v>0</v>
      </c>
      <c r="S37" s="1298">
        <f t="shared" si="24"/>
        <v>0</v>
      </c>
      <c r="T37" s="1298">
        <f t="shared" si="24"/>
        <v>0</v>
      </c>
      <c r="U37" s="1298">
        <f t="shared" si="24"/>
        <v>0</v>
      </c>
      <c r="V37" s="1298">
        <f t="shared" si="24"/>
        <v>0</v>
      </c>
      <c r="W37" s="1298">
        <f t="shared" si="24"/>
        <v>0</v>
      </c>
    </row>
    <row r="38" spans="2:23" x14ac:dyDescent="0.35">
      <c r="B38" s="1295" t="s">
        <v>1458</v>
      </c>
      <c r="C38" s="1296"/>
      <c r="D38" s="1300">
        <f>D35*D$5*(D$6-C$6+1)/365</f>
        <v>0</v>
      </c>
      <c r="E38" s="1300">
        <f>E35*E$5*(E$6-D$6)/365</f>
        <v>0</v>
      </c>
      <c r="F38" s="1300">
        <f t="shared" ref="F38:W38" si="25">F35*F$5*(F$6-E$6)/365</f>
        <v>0</v>
      </c>
      <c r="G38" s="1300">
        <f t="shared" si="25"/>
        <v>0</v>
      </c>
      <c r="H38" s="1300">
        <f t="shared" si="25"/>
        <v>0</v>
      </c>
      <c r="I38" s="1300">
        <f t="shared" si="25"/>
        <v>0</v>
      </c>
      <c r="J38" s="1300">
        <f t="shared" si="25"/>
        <v>0</v>
      </c>
      <c r="K38" s="1300">
        <f t="shared" si="25"/>
        <v>0</v>
      </c>
      <c r="L38" s="1300">
        <f t="shared" si="25"/>
        <v>0</v>
      </c>
      <c r="M38" s="1300">
        <f t="shared" si="25"/>
        <v>0</v>
      </c>
      <c r="N38" s="1300">
        <f t="shared" si="25"/>
        <v>0</v>
      </c>
      <c r="O38" s="1300">
        <f t="shared" si="25"/>
        <v>0</v>
      </c>
      <c r="P38" s="1300">
        <f t="shared" si="25"/>
        <v>0</v>
      </c>
      <c r="Q38" s="1300">
        <f t="shared" si="25"/>
        <v>0</v>
      </c>
      <c r="R38" s="1300">
        <f t="shared" si="25"/>
        <v>0</v>
      </c>
      <c r="S38" s="1300">
        <f t="shared" si="25"/>
        <v>0</v>
      </c>
      <c r="T38" s="1300">
        <f t="shared" si="25"/>
        <v>0</v>
      </c>
      <c r="U38" s="1300">
        <f t="shared" si="25"/>
        <v>0</v>
      </c>
      <c r="V38" s="1300">
        <f t="shared" si="25"/>
        <v>0</v>
      </c>
      <c r="W38" s="1300">
        <f t="shared" si="25"/>
        <v>0</v>
      </c>
    </row>
    <row r="40" spans="2:23" x14ac:dyDescent="0.35">
      <c r="B40" s="1288" t="s">
        <v>1461</v>
      </c>
      <c r="C40" s="1289">
        <v>43087</v>
      </c>
      <c r="D40" s="1289">
        <f>EOMONTH(E40,-12)</f>
        <v>43190</v>
      </c>
      <c r="E40" s="1289">
        <f>EOMONTH(F40,-12)</f>
        <v>43555</v>
      </c>
      <c r="F40" s="1289">
        <f>EOMONTH(G40,-12)</f>
        <v>43921</v>
      </c>
      <c r="G40" s="1289">
        <f>'Debt Assumptions &amp; working'!$C$17</f>
        <v>44286</v>
      </c>
      <c r="H40" s="1289">
        <f>EOMONTH(G40,12)</f>
        <v>44651</v>
      </c>
      <c r="I40" s="1289">
        <f t="shared" ref="I40:W40" si="26">EOMONTH(H40,12)</f>
        <v>45016</v>
      </c>
      <c r="J40" s="1289">
        <f t="shared" si="26"/>
        <v>45382</v>
      </c>
      <c r="K40" s="1289">
        <f t="shared" si="26"/>
        <v>45747</v>
      </c>
      <c r="L40" s="1289">
        <f t="shared" si="26"/>
        <v>46112</v>
      </c>
      <c r="M40" s="1289">
        <f t="shared" si="26"/>
        <v>46477</v>
      </c>
      <c r="N40" s="1289">
        <f t="shared" si="26"/>
        <v>46843</v>
      </c>
      <c r="O40" s="1289">
        <f t="shared" si="26"/>
        <v>47208</v>
      </c>
      <c r="P40" s="1289">
        <f t="shared" si="26"/>
        <v>47573</v>
      </c>
      <c r="Q40" s="1289">
        <f t="shared" si="26"/>
        <v>47938</v>
      </c>
      <c r="R40" s="1289">
        <f t="shared" si="26"/>
        <v>48304</v>
      </c>
      <c r="S40" s="1289">
        <f t="shared" si="26"/>
        <v>48669</v>
      </c>
      <c r="T40" s="1289">
        <f t="shared" si="26"/>
        <v>49034</v>
      </c>
      <c r="U40" s="1289">
        <f t="shared" si="26"/>
        <v>49399</v>
      </c>
      <c r="V40" s="1289">
        <f t="shared" si="26"/>
        <v>49765</v>
      </c>
      <c r="W40" s="1289">
        <f t="shared" si="26"/>
        <v>50130</v>
      </c>
    </row>
    <row r="41" spans="2:23" x14ac:dyDescent="0.35">
      <c r="B41" s="1290" t="s">
        <v>1450</v>
      </c>
      <c r="C41" s="1290">
        <v>0</v>
      </c>
      <c r="D41" s="1291">
        <f>(D40-C40+1)/365</f>
        <v>0.28493150684931506</v>
      </c>
      <c r="E41" s="1291">
        <f t="shared" ref="E41:W41" si="27">D41+1</f>
        <v>1.284931506849315</v>
      </c>
      <c r="F41" s="1291">
        <f t="shared" si="27"/>
        <v>2.2849315068493148</v>
      </c>
      <c r="G41" s="1291">
        <f t="shared" si="27"/>
        <v>3.2849315068493148</v>
      </c>
      <c r="H41" s="1291">
        <f t="shared" si="27"/>
        <v>4.2849315068493148</v>
      </c>
      <c r="I41" s="1291">
        <f t="shared" si="27"/>
        <v>5.2849315068493148</v>
      </c>
      <c r="J41" s="1291">
        <f t="shared" si="27"/>
        <v>6.2849315068493148</v>
      </c>
      <c r="K41" s="1291">
        <f t="shared" si="27"/>
        <v>7.2849315068493148</v>
      </c>
      <c r="L41" s="1291">
        <f t="shared" si="27"/>
        <v>8.2849315068493148</v>
      </c>
      <c r="M41" s="1291">
        <f t="shared" si="27"/>
        <v>9.2849315068493148</v>
      </c>
      <c r="N41" s="1291">
        <f t="shared" si="27"/>
        <v>10.284931506849315</v>
      </c>
      <c r="O41" s="1291">
        <f t="shared" si="27"/>
        <v>11.284931506849315</v>
      </c>
      <c r="P41" s="1291">
        <f t="shared" si="27"/>
        <v>12.284931506849315</v>
      </c>
      <c r="Q41" s="1291">
        <f t="shared" si="27"/>
        <v>13.284931506849315</v>
      </c>
      <c r="R41" s="1291">
        <f t="shared" si="27"/>
        <v>14.284931506849315</v>
      </c>
      <c r="S41" s="1291">
        <f t="shared" si="27"/>
        <v>15.284931506849315</v>
      </c>
      <c r="T41" s="1291">
        <f t="shared" si="27"/>
        <v>16.284931506849315</v>
      </c>
      <c r="U41" s="1291">
        <f t="shared" si="27"/>
        <v>17.284931506849315</v>
      </c>
      <c r="V41" s="1291">
        <f t="shared" si="27"/>
        <v>18.284931506849315</v>
      </c>
      <c r="W41" s="1291">
        <f t="shared" si="27"/>
        <v>19.284931506849315</v>
      </c>
    </row>
    <row r="42" spans="2:23" x14ac:dyDescent="0.35">
      <c r="B42" s="1290" t="s">
        <v>518</v>
      </c>
      <c r="C42" s="1290"/>
      <c r="D42" s="1292">
        <v>0</v>
      </c>
      <c r="E42" s="1292">
        <v>0</v>
      </c>
      <c r="F42" s="1292">
        <v>0</v>
      </c>
      <c r="G42" s="1293">
        <v>0</v>
      </c>
      <c r="H42" s="1294">
        <v>0</v>
      </c>
      <c r="I42" s="1294">
        <v>0</v>
      </c>
      <c r="J42" s="1294">
        <v>0</v>
      </c>
      <c r="K42" s="1294">
        <v>0</v>
      </c>
      <c r="L42" s="1294">
        <v>0</v>
      </c>
      <c r="M42" s="1294">
        <v>1</v>
      </c>
      <c r="N42" s="1294"/>
      <c r="O42" s="1294"/>
      <c r="P42" s="1294"/>
      <c r="Q42" s="1294"/>
      <c r="R42" s="1294"/>
      <c r="S42" s="1294"/>
      <c r="T42" s="1294"/>
      <c r="U42" s="1294"/>
      <c r="V42" s="1294"/>
      <c r="W42" s="1294"/>
    </row>
    <row r="43" spans="2:23" x14ac:dyDescent="0.35">
      <c r="B43" s="1295" t="s">
        <v>544</v>
      </c>
      <c r="C43" s="1296"/>
      <c r="D43" s="1296">
        <f>-C49</f>
        <v>0</v>
      </c>
      <c r="E43" s="1296">
        <f t="shared" ref="E43:W43" si="28">D47</f>
        <v>0</v>
      </c>
      <c r="F43" s="1296">
        <f t="shared" si="28"/>
        <v>0</v>
      </c>
      <c r="G43" s="1296">
        <f t="shared" si="28"/>
        <v>0</v>
      </c>
      <c r="H43" s="1296">
        <f t="shared" si="28"/>
        <v>0</v>
      </c>
      <c r="I43" s="1296">
        <f t="shared" si="28"/>
        <v>0</v>
      </c>
      <c r="J43" s="1296">
        <f t="shared" si="28"/>
        <v>0</v>
      </c>
      <c r="K43" s="1296">
        <f t="shared" si="28"/>
        <v>0</v>
      </c>
      <c r="L43" s="1296">
        <f t="shared" si="28"/>
        <v>0</v>
      </c>
      <c r="M43" s="1296">
        <f t="shared" si="28"/>
        <v>0</v>
      </c>
      <c r="N43" s="1296">
        <f t="shared" si="28"/>
        <v>0</v>
      </c>
      <c r="O43" s="1296">
        <f t="shared" si="28"/>
        <v>0</v>
      </c>
      <c r="P43" s="1296">
        <f t="shared" si="28"/>
        <v>0</v>
      </c>
      <c r="Q43" s="1296">
        <f t="shared" si="28"/>
        <v>0</v>
      </c>
      <c r="R43" s="1296">
        <f t="shared" si="28"/>
        <v>0</v>
      </c>
      <c r="S43" s="1296">
        <f t="shared" si="28"/>
        <v>0</v>
      </c>
      <c r="T43" s="1296">
        <f t="shared" si="28"/>
        <v>0</v>
      </c>
      <c r="U43" s="1296">
        <f t="shared" si="28"/>
        <v>0</v>
      </c>
      <c r="V43" s="1296">
        <f t="shared" si="28"/>
        <v>0</v>
      </c>
      <c r="W43" s="1296">
        <f t="shared" si="28"/>
        <v>0</v>
      </c>
    </row>
    <row r="44" spans="2:23" x14ac:dyDescent="0.35">
      <c r="B44" s="1295" t="s">
        <v>276</v>
      </c>
      <c r="C44" s="1296"/>
      <c r="D44" s="1296">
        <f>D43*(D$4-D$5)*(D40-C40)/365</f>
        <v>0</v>
      </c>
      <c r="E44" s="1296">
        <f>(D54*(E$4-E$5))+(E4*(SUM($D$44:D44)-SUM($D$46:D46)))</f>
        <v>0</v>
      </c>
      <c r="F44" s="1296">
        <f>(E54*(F$4-F$5))+(F4*(SUM($D$44:E44)-SUM($D$46:E46)))</f>
        <v>0</v>
      </c>
      <c r="G44" s="1296">
        <f>(F54*(G$4-G$5))+(G4*(SUM($D$44:F44)-SUM($D$46:F46)))</f>
        <v>0</v>
      </c>
      <c r="H44" s="1296">
        <f>(G54*(H$4-H$5))+(H4*(SUM($D$44:G44)-SUM($D$46:G46)))</f>
        <v>0</v>
      </c>
      <c r="I44" s="1296">
        <f>(H54*(I$4-I$5))+(I4*(SUM($D$44:H44)-SUM($D$46:H46)))</f>
        <v>0</v>
      </c>
      <c r="J44" s="1296">
        <f>(I54*(J$4-J$5))+(J4*(SUM($D$44:I44)-SUM($D$46:I46)))</f>
        <v>0</v>
      </c>
      <c r="K44" s="1296">
        <f>(J54*(K$4-K$5))+(K4*(SUM($D$44:J44)-SUM($D$46:J46)))</f>
        <v>0</v>
      </c>
      <c r="L44" s="1296">
        <f>(K54*(L$4-L$5))+(L4*(SUM($D$44:K44)-SUM($D$46:K46)))</f>
        <v>0</v>
      </c>
      <c r="M44" s="1296">
        <f>(L54*(M$4-M$5))+(M4*(SUM($D$44:L44)-SUM($D$46:L46)))</f>
        <v>0</v>
      </c>
      <c r="N44" s="1296">
        <f>(M54*(N$4-N$5))+(N4*(SUM($D$44:M44)-SUM($D$46:M46)))</f>
        <v>0</v>
      </c>
      <c r="O44" s="1296">
        <f>(N54*(O$4-O$5))+(O4*(SUM($D$44:N44)-SUM($D$46:N46)))</f>
        <v>0</v>
      </c>
      <c r="P44" s="1296">
        <f>(O54*(P$4-P$5))+(P4*(SUM($D$44:O44)-SUM($D$46:O46)))</f>
        <v>0</v>
      </c>
      <c r="Q44" s="1296">
        <f>(P54*(Q$4-Q$5))+(Q4*(SUM($D$44:P44)-SUM($D$46:P46)))</f>
        <v>0</v>
      </c>
      <c r="R44" s="1296">
        <f>(Q54*(R$4-R$5))+(R4*(SUM($D$44:Q44)-SUM($D$46:Q46)))</f>
        <v>0</v>
      </c>
      <c r="S44" s="1296">
        <f>(R54*(S$4-S$5))+(S4*(SUM($D$44:R44)-SUM($D$46:R46)))</f>
        <v>0</v>
      </c>
      <c r="T44" s="1296">
        <f>(S54*(T$4-T$5))+(T4*(SUM($D$44:S44)-SUM($D$46:S46)))</f>
        <v>0</v>
      </c>
      <c r="U44" s="1296">
        <f>(T54*(U$4-U$5))+(U4*(SUM($D$44:T44)-SUM($D$46:T46)))</f>
        <v>0</v>
      </c>
      <c r="V44" s="1296">
        <f>(U54*(V$4-V$5))+(V4*(SUM($D$44:U44)-SUM($D$46:U46)))</f>
        <v>0</v>
      </c>
      <c r="W44" s="1296">
        <f>(V54*(W$4-W$5))+(W4*(SUM($D$44:V44)-SUM($D$46:V46)))</f>
        <v>0</v>
      </c>
    </row>
    <row r="45" spans="2:23" x14ac:dyDescent="0.35">
      <c r="B45" s="1295" t="s">
        <v>545</v>
      </c>
      <c r="C45" s="1296"/>
      <c r="D45" s="1296">
        <f>$D$43*D42</f>
        <v>0</v>
      </c>
      <c r="E45" s="1296">
        <f t="shared" ref="E45:W45" si="29">$D$43*E42</f>
        <v>0</v>
      </c>
      <c r="F45" s="1296">
        <f t="shared" si="29"/>
        <v>0</v>
      </c>
      <c r="G45" s="1296">
        <f t="shared" si="29"/>
        <v>0</v>
      </c>
      <c r="H45" s="1296">
        <f t="shared" si="29"/>
        <v>0</v>
      </c>
      <c r="I45" s="1296">
        <f t="shared" si="29"/>
        <v>0</v>
      </c>
      <c r="J45" s="1296">
        <f t="shared" si="29"/>
        <v>0</v>
      </c>
      <c r="K45" s="1296">
        <f t="shared" si="29"/>
        <v>0</v>
      </c>
      <c r="L45" s="1296">
        <f t="shared" si="29"/>
        <v>0</v>
      </c>
      <c r="M45" s="1296">
        <f t="shared" si="29"/>
        <v>0</v>
      </c>
      <c r="N45" s="1296">
        <f t="shared" si="29"/>
        <v>0</v>
      </c>
      <c r="O45" s="1296">
        <f t="shared" si="29"/>
        <v>0</v>
      </c>
      <c r="P45" s="1296">
        <f t="shared" si="29"/>
        <v>0</v>
      </c>
      <c r="Q45" s="1296">
        <f t="shared" si="29"/>
        <v>0</v>
      </c>
      <c r="R45" s="1296">
        <f t="shared" si="29"/>
        <v>0</v>
      </c>
      <c r="S45" s="1296">
        <f t="shared" si="29"/>
        <v>0</v>
      </c>
      <c r="T45" s="1296">
        <f t="shared" si="29"/>
        <v>0</v>
      </c>
      <c r="U45" s="1296">
        <f t="shared" si="29"/>
        <v>0</v>
      </c>
      <c r="V45" s="1296">
        <f t="shared" si="29"/>
        <v>0</v>
      </c>
      <c r="W45" s="1296">
        <f t="shared" si="29"/>
        <v>0</v>
      </c>
    </row>
    <row r="46" spans="2:23" x14ac:dyDescent="0.35">
      <c r="B46" s="1295" t="s">
        <v>1451</v>
      </c>
      <c r="C46" s="1297"/>
      <c r="D46" s="1297"/>
      <c r="E46" s="1297"/>
      <c r="F46" s="1297"/>
      <c r="G46" s="1297"/>
      <c r="H46" s="1297"/>
      <c r="I46" s="1297"/>
      <c r="J46" s="1297"/>
      <c r="K46" s="1297"/>
      <c r="L46" s="1297"/>
      <c r="M46" s="1297">
        <f>M43+M44-M45-M47</f>
        <v>0</v>
      </c>
      <c r="N46" s="1297"/>
      <c r="O46" s="1297"/>
      <c r="P46" s="1297"/>
      <c r="Q46" s="1297"/>
      <c r="R46" s="1297"/>
      <c r="S46" s="1297"/>
      <c r="T46" s="1297"/>
      <c r="U46" s="1297"/>
      <c r="V46" s="1297"/>
      <c r="W46" s="1297"/>
    </row>
    <row r="47" spans="2:23" x14ac:dyDescent="0.35">
      <c r="B47" s="1295" t="s">
        <v>546</v>
      </c>
      <c r="C47" s="1296"/>
      <c r="D47" s="1296">
        <f t="shared" ref="D47:L47" si="30">D43+D44-D45-D46</f>
        <v>0</v>
      </c>
      <c r="E47" s="1296">
        <f t="shared" si="30"/>
        <v>0</v>
      </c>
      <c r="F47" s="1296">
        <f t="shared" si="30"/>
        <v>0</v>
      </c>
      <c r="G47" s="1296">
        <f t="shared" si="30"/>
        <v>0</v>
      </c>
      <c r="H47" s="1296">
        <f t="shared" si="30"/>
        <v>0</v>
      </c>
      <c r="I47" s="1296">
        <f t="shared" si="30"/>
        <v>0</v>
      </c>
      <c r="J47" s="1296">
        <f t="shared" si="30"/>
        <v>0</v>
      </c>
      <c r="K47" s="1296">
        <f t="shared" si="30"/>
        <v>0</v>
      </c>
      <c r="L47" s="1296">
        <f t="shared" si="30"/>
        <v>0</v>
      </c>
      <c r="M47" s="1296">
        <v>0</v>
      </c>
      <c r="N47" s="1296">
        <f t="shared" ref="N47:W47" si="31">N43+N44-N45-N46</f>
        <v>0</v>
      </c>
      <c r="O47" s="1296">
        <f t="shared" si="31"/>
        <v>0</v>
      </c>
      <c r="P47" s="1296">
        <f t="shared" si="31"/>
        <v>0</v>
      </c>
      <c r="Q47" s="1296">
        <f t="shared" si="31"/>
        <v>0</v>
      </c>
      <c r="R47" s="1296">
        <f t="shared" si="31"/>
        <v>0</v>
      </c>
      <c r="S47" s="1296">
        <f t="shared" si="31"/>
        <v>0</v>
      </c>
      <c r="T47" s="1296">
        <f t="shared" si="31"/>
        <v>0</v>
      </c>
      <c r="U47" s="1296">
        <f t="shared" si="31"/>
        <v>0</v>
      </c>
      <c r="V47" s="1296">
        <f t="shared" si="31"/>
        <v>0</v>
      </c>
      <c r="W47" s="1296">
        <f t="shared" si="31"/>
        <v>0</v>
      </c>
    </row>
    <row r="48" spans="2:23" x14ac:dyDescent="0.35">
      <c r="B48" s="1295" t="s">
        <v>1452</v>
      </c>
      <c r="C48" s="1296"/>
      <c r="D48" s="1296">
        <f>D55</f>
        <v>0</v>
      </c>
      <c r="E48" s="1296">
        <f t="shared" ref="E48:W48" si="32">E55</f>
        <v>0</v>
      </c>
      <c r="F48" s="1296">
        <f t="shared" si="32"/>
        <v>0</v>
      </c>
      <c r="G48" s="1296">
        <f t="shared" si="32"/>
        <v>0</v>
      </c>
      <c r="H48" s="1296">
        <f t="shared" si="32"/>
        <v>0</v>
      </c>
      <c r="I48" s="1296">
        <f t="shared" si="32"/>
        <v>0</v>
      </c>
      <c r="J48" s="1296">
        <f t="shared" si="32"/>
        <v>0</v>
      </c>
      <c r="K48" s="1296">
        <f t="shared" si="32"/>
        <v>0</v>
      </c>
      <c r="L48" s="1296">
        <f t="shared" si="32"/>
        <v>0</v>
      </c>
      <c r="M48" s="1296">
        <f t="shared" si="32"/>
        <v>0</v>
      </c>
      <c r="N48" s="1296">
        <f t="shared" si="32"/>
        <v>0</v>
      </c>
      <c r="O48" s="1296">
        <f t="shared" si="32"/>
        <v>0</v>
      </c>
      <c r="P48" s="1296">
        <f t="shared" si="32"/>
        <v>0</v>
      </c>
      <c r="Q48" s="1296">
        <f t="shared" si="32"/>
        <v>0</v>
      </c>
      <c r="R48" s="1296">
        <f t="shared" si="32"/>
        <v>0</v>
      </c>
      <c r="S48" s="1296">
        <f t="shared" si="32"/>
        <v>0</v>
      </c>
      <c r="T48" s="1296">
        <f t="shared" si="32"/>
        <v>0</v>
      </c>
      <c r="U48" s="1296">
        <f t="shared" si="32"/>
        <v>0</v>
      </c>
      <c r="V48" s="1296">
        <f t="shared" si="32"/>
        <v>0</v>
      </c>
      <c r="W48" s="1296">
        <f t="shared" si="32"/>
        <v>0</v>
      </c>
    </row>
    <row r="49" spans="2:23" x14ac:dyDescent="0.35">
      <c r="B49" s="1295" t="s">
        <v>1453</v>
      </c>
      <c r="C49" s="1298">
        <f>C32</f>
        <v>0</v>
      </c>
      <c r="D49" s="1298">
        <f>D45+D46+D48</f>
        <v>0</v>
      </c>
      <c r="E49" s="1298">
        <f t="shared" ref="E49:W49" si="33">E45+E46+E48</f>
        <v>0</v>
      </c>
      <c r="F49" s="1298">
        <f t="shared" si="33"/>
        <v>0</v>
      </c>
      <c r="G49" s="1298">
        <f t="shared" si="33"/>
        <v>0</v>
      </c>
      <c r="H49" s="1298">
        <f t="shared" si="33"/>
        <v>0</v>
      </c>
      <c r="I49" s="1298">
        <f t="shared" si="33"/>
        <v>0</v>
      </c>
      <c r="J49" s="1298">
        <f t="shared" si="33"/>
        <v>0</v>
      </c>
      <c r="K49" s="1298">
        <f t="shared" si="33"/>
        <v>0</v>
      </c>
      <c r="L49" s="1298">
        <f t="shared" si="33"/>
        <v>0</v>
      </c>
      <c r="M49" s="1298">
        <f t="shared" si="33"/>
        <v>0</v>
      </c>
      <c r="N49" s="1298">
        <f t="shared" si="33"/>
        <v>0</v>
      </c>
      <c r="O49" s="1298">
        <f t="shared" si="33"/>
        <v>0</v>
      </c>
      <c r="P49" s="1298">
        <f t="shared" si="33"/>
        <v>0</v>
      </c>
      <c r="Q49" s="1298">
        <f t="shared" si="33"/>
        <v>0</v>
      </c>
      <c r="R49" s="1298">
        <f t="shared" si="33"/>
        <v>0</v>
      </c>
      <c r="S49" s="1298">
        <f t="shared" si="33"/>
        <v>0</v>
      </c>
      <c r="T49" s="1298">
        <f t="shared" si="33"/>
        <v>0</v>
      </c>
      <c r="U49" s="1298">
        <f t="shared" si="33"/>
        <v>0</v>
      </c>
      <c r="V49" s="1298">
        <f t="shared" si="33"/>
        <v>0</v>
      </c>
      <c r="W49" s="1298">
        <f t="shared" si="33"/>
        <v>0</v>
      </c>
    </row>
    <row r="50" spans="2:23" x14ac:dyDescent="0.35">
      <c r="B50" s="1295" t="s">
        <v>1454</v>
      </c>
      <c r="C50" s="1299"/>
      <c r="D50" s="1296"/>
      <c r="E50" s="1296"/>
      <c r="F50" s="1296"/>
      <c r="G50" s="1296"/>
      <c r="H50" s="1296"/>
      <c r="I50" s="1296"/>
      <c r="J50" s="1296"/>
      <c r="K50" s="1296"/>
      <c r="L50" s="1296"/>
      <c r="M50" s="1296"/>
      <c r="N50" s="1296"/>
      <c r="O50" s="1296"/>
      <c r="P50" s="1296"/>
      <c r="Q50" s="1296"/>
      <c r="R50" s="1296"/>
      <c r="S50" s="1296"/>
      <c r="T50" s="1296"/>
      <c r="U50" s="1296"/>
      <c r="V50" s="1296"/>
      <c r="W50" s="1296"/>
    </row>
    <row r="51" spans="2:23" x14ac:dyDescent="0.35">
      <c r="B51" s="213"/>
      <c r="C51" s="214"/>
      <c r="D51" s="214"/>
      <c r="E51" s="214"/>
      <c r="F51" s="214"/>
      <c r="G51" s="214"/>
      <c r="H51" s="214"/>
      <c r="I51" s="214"/>
      <c r="J51" s="214"/>
      <c r="K51" s="214"/>
      <c r="L51" s="214"/>
      <c r="M51" s="214"/>
      <c r="N51" s="214"/>
      <c r="O51" s="214"/>
      <c r="P51" s="214"/>
      <c r="Q51" s="214"/>
      <c r="R51" s="214"/>
      <c r="S51" s="214"/>
      <c r="T51" s="214"/>
      <c r="U51" s="214"/>
      <c r="V51" s="214"/>
      <c r="W51" s="214"/>
    </row>
    <row r="52" spans="2:23" x14ac:dyDescent="0.35">
      <c r="B52" s="1295" t="s">
        <v>1455</v>
      </c>
      <c r="C52" s="1296"/>
      <c r="D52" s="1296">
        <f>D43</f>
        <v>0</v>
      </c>
      <c r="E52" s="1296">
        <f t="shared" ref="E52:W52" si="34">D54</f>
        <v>0</v>
      </c>
      <c r="F52" s="1296">
        <f t="shared" si="34"/>
        <v>0</v>
      </c>
      <c r="G52" s="1296">
        <f t="shared" si="34"/>
        <v>0</v>
      </c>
      <c r="H52" s="1296">
        <f t="shared" si="34"/>
        <v>0</v>
      </c>
      <c r="I52" s="1296">
        <f t="shared" si="34"/>
        <v>0</v>
      </c>
      <c r="J52" s="1296">
        <f t="shared" si="34"/>
        <v>0</v>
      </c>
      <c r="K52" s="1296">
        <f t="shared" si="34"/>
        <v>0</v>
      </c>
      <c r="L52" s="1296">
        <f t="shared" si="34"/>
        <v>0</v>
      </c>
      <c r="M52" s="1296">
        <f t="shared" si="34"/>
        <v>0</v>
      </c>
      <c r="N52" s="1296">
        <f t="shared" si="34"/>
        <v>0</v>
      </c>
      <c r="O52" s="1296">
        <f t="shared" si="34"/>
        <v>0</v>
      </c>
      <c r="P52" s="1296">
        <f t="shared" si="34"/>
        <v>0</v>
      </c>
      <c r="Q52" s="1296">
        <f t="shared" si="34"/>
        <v>0</v>
      </c>
      <c r="R52" s="1296">
        <f t="shared" si="34"/>
        <v>0</v>
      </c>
      <c r="S52" s="1296">
        <f t="shared" si="34"/>
        <v>0</v>
      </c>
      <c r="T52" s="1296">
        <f t="shared" si="34"/>
        <v>0</v>
      </c>
      <c r="U52" s="1296">
        <f t="shared" si="34"/>
        <v>0</v>
      </c>
      <c r="V52" s="1296">
        <f t="shared" si="34"/>
        <v>0</v>
      </c>
      <c r="W52" s="1296">
        <f t="shared" si="34"/>
        <v>0</v>
      </c>
    </row>
    <row r="53" spans="2:23" x14ac:dyDescent="0.35">
      <c r="B53" s="1295" t="s">
        <v>1456</v>
      </c>
      <c r="C53" s="1296"/>
      <c r="D53" s="1296">
        <f>D45</f>
        <v>0</v>
      </c>
      <c r="E53" s="1296">
        <f>E45</f>
        <v>0</v>
      </c>
      <c r="F53" s="1296">
        <f t="shared" ref="F53:W53" si="35">F45</f>
        <v>0</v>
      </c>
      <c r="G53" s="1296">
        <f t="shared" si="35"/>
        <v>0</v>
      </c>
      <c r="H53" s="1296">
        <f t="shared" si="35"/>
        <v>0</v>
      </c>
      <c r="I53" s="1296">
        <f t="shared" si="35"/>
        <v>0</v>
      </c>
      <c r="J53" s="1296">
        <f t="shared" si="35"/>
        <v>0</v>
      </c>
      <c r="K53" s="1296">
        <f t="shared" si="35"/>
        <v>0</v>
      </c>
      <c r="L53" s="1296">
        <f t="shared" si="35"/>
        <v>0</v>
      </c>
      <c r="M53" s="1296">
        <f t="shared" si="35"/>
        <v>0</v>
      </c>
      <c r="N53" s="1296">
        <f t="shared" si="35"/>
        <v>0</v>
      </c>
      <c r="O53" s="1296">
        <f t="shared" si="35"/>
        <v>0</v>
      </c>
      <c r="P53" s="1296">
        <f t="shared" si="35"/>
        <v>0</v>
      </c>
      <c r="Q53" s="1296">
        <f t="shared" si="35"/>
        <v>0</v>
      </c>
      <c r="R53" s="1296">
        <f t="shared" si="35"/>
        <v>0</v>
      </c>
      <c r="S53" s="1296">
        <f t="shared" si="35"/>
        <v>0</v>
      </c>
      <c r="T53" s="1296">
        <f t="shared" si="35"/>
        <v>0</v>
      </c>
      <c r="U53" s="1296">
        <f t="shared" si="35"/>
        <v>0</v>
      </c>
      <c r="V53" s="1296">
        <f t="shared" si="35"/>
        <v>0</v>
      </c>
      <c r="W53" s="1296">
        <f t="shared" si="35"/>
        <v>0</v>
      </c>
    </row>
    <row r="54" spans="2:23" x14ac:dyDescent="0.35">
      <c r="B54" s="1295" t="s">
        <v>1457</v>
      </c>
      <c r="C54" s="1296"/>
      <c r="D54" s="1298">
        <f t="shared" ref="D54:W54" si="36">D52-D53</f>
        <v>0</v>
      </c>
      <c r="E54" s="1298">
        <f t="shared" si="36"/>
        <v>0</v>
      </c>
      <c r="F54" s="1298">
        <f t="shared" si="36"/>
        <v>0</v>
      </c>
      <c r="G54" s="1298">
        <f t="shared" si="36"/>
        <v>0</v>
      </c>
      <c r="H54" s="1298">
        <f t="shared" si="36"/>
        <v>0</v>
      </c>
      <c r="I54" s="1298">
        <f t="shared" si="36"/>
        <v>0</v>
      </c>
      <c r="J54" s="1298">
        <f t="shared" si="36"/>
        <v>0</v>
      </c>
      <c r="K54" s="1298">
        <f t="shared" si="36"/>
        <v>0</v>
      </c>
      <c r="L54" s="1298">
        <f t="shared" si="36"/>
        <v>0</v>
      </c>
      <c r="M54" s="1298">
        <f t="shared" si="36"/>
        <v>0</v>
      </c>
      <c r="N54" s="1298">
        <f t="shared" si="36"/>
        <v>0</v>
      </c>
      <c r="O54" s="1298">
        <f t="shared" si="36"/>
        <v>0</v>
      </c>
      <c r="P54" s="1298">
        <f t="shared" si="36"/>
        <v>0</v>
      </c>
      <c r="Q54" s="1298">
        <f t="shared" si="36"/>
        <v>0</v>
      </c>
      <c r="R54" s="1298">
        <f t="shared" si="36"/>
        <v>0</v>
      </c>
      <c r="S54" s="1298">
        <f t="shared" si="36"/>
        <v>0</v>
      </c>
      <c r="T54" s="1298">
        <f t="shared" si="36"/>
        <v>0</v>
      </c>
      <c r="U54" s="1298">
        <f t="shared" si="36"/>
        <v>0</v>
      </c>
      <c r="V54" s="1298">
        <f t="shared" si="36"/>
        <v>0</v>
      </c>
      <c r="W54" s="1298">
        <f t="shared" si="36"/>
        <v>0</v>
      </c>
    </row>
    <row r="55" spans="2:23" x14ac:dyDescent="0.35">
      <c r="B55" s="1295" t="s">
        <v>1458</v>
      </c>
      <c r="C55" s="1296"/>
      <c r="D55" s="1300">
        <f>D52*D$5*(D$6-C$6+1)/365</f>
        <v>0</v>
      </c>
      <c r="E55" s="1300">
        <f>E52*E$5*(E$6-D$6)/365</f>
        <v>0</v>
      </c>
      <c r="F55" s="1300">
        <f t="shared" ref="F55:W55" si="37">F52*F$5*(F$6-E$6)/365</f>
        <v>0</v>
      </c>
      <c r="G55" s="1300">
        <f t="shared" si="37"/>
        <v>0</v>
      </c>
      <c r="H55" s="1300">
        <f t="shared" si="37"/>
        <v>0</v>
      </c>
      <c r="I55" s="1300">
        <f t="shared" si="37"/>
        <v>0</v>
      </c>
      <c r="J55" s="1300">
        <f t="shared" si="37"/>
        <v>0</v>
      </c>
      <c r="K55" s="1300">
        <f t="shared" si="37"/>
        <v>0</v>
      </c>
      <c r="L55" s="1300">
        <f t="shared" si="37"/>
        <v>0</v>
      </c>
      <c r="M55" s="1300">
        <f t="shared" si="37"/>
        <v>0</v>
      </c>
      <c r="N55" s="1300">
        <f t="shared" si="37"/>
        <v>0</v>
      </c>
      <c r="O55" s="1300">
        <f t="shared" si="37"/>
        <v>0</v>
      </c>
      <c r="P55" s="1300">
        <f t="shared" si="37"/>
        <v>0</v>
      </c>
      <c r="Q55" s="1300">
        <f t="shared" si="37"/>
        <v>0</v>
      </c>
      <c r="R55" s="1300">
        <f t="shared" si="37"/>
        <v>0</v>
      </c>
      <c r="S55" s="1300">
        <f t="shared" si="37"/>
        <v>0</v>
      </c>
      <c r="T55" s="1300">
        <f t="shared" si="37"/>
        <v>0</v>
      </c>
      <c r="U55" s="1300">
        <f t="shared" si="37"/>
        <v>0</v>
      </c>
      <c r="V55" s="1300">
        <f t="shared" si="37"/>
        <v>0</v>
      </c>
      <c r="W55" s="1300">
        <f t="shared" si="37"/>
        <v>0</v>
      </c>
    </row>
    <row r="57" spans="2:23" x14ac:dyDescent="0.35">
      <c r="B57" s="1288" t="s">
        <v>1462</v>
      </c>
      <c r="C57" s="1289">
        <v>43087</v>
      </c>
      <c r="D57" s="1289">
        <f>EOMONTH(E57,-12)</f>
        <v>43190</v>
      </c>
      <c r="E57" s="1289">
        <f>EOMONTH(F57,-12)</f>
        <v>43555</v>
      </c>
      <c r="F57" s="1289">
        <f>EOMONTH(G57,-12)</f>
        <v>43921</v>
      </c>
      <c r="G57" s="1289">
        <f>'Debt Assumptions &amp; working'!$C$17</f>
        <v>44286</v>
      </c>
      <c r="H57" s="1289">
        <f>EOMONTH(G57,12)</f>
        <v>44651</v>
      </c>
      <c r="I57" s="1289">
        <f t="shared" ref="I57:W57" si="38">EOMONTH(H57,12)</f>
        <v>45016</v>
      </c>
      <c r="J57" s="1289">
        <f t="shared" si="38"/>
        <v>45382</v>
      </c>
      <c r="K57" s="1289">
        <f t="shared" si="38"/>
        <v>45747</v>
      </c>
      <c r="L57" s="1289">
        <f t="shared" si="38"/>
        <v>46112</v>
      </c>
      <c r="M57" s="1289">
        <f t="shared" si="38"/>
        <v>46477</v>
      </c>
      <c r="N57" s="1289">
        <f t="shared" si="38"/>
        <v>46843</v>
      </c>
      <c r="O57" s="1289">
        <f t="shared" si="38"/>
        <v>47208</v>
      </c>
      <c r="P57" s="1289">
        <f t="shared" si="38"/>
        <v>47573</v>
      </c>
      <c r="Q57" s="1289">
        <f t="shared" si="38"/>
        <v>47938</v>
      </c>
      <c r="R57" s="1289">
        <f t="shared" si="38"/>
        <v>48304</v>
      </c>
      <c r="S57" s="1289">
        <f t="shared" si="38"/>
        <v>48669</v>
      </c>
      <c r="T57" s="1289">
        <f t="shared" si="38"/>
        <v>49034</v>
      </c>
      <c r="U57" s="1289">
        <f t="shared" si="38"/>
        <v>49399</v>
      </c>
      <c r="V57" s="1289">
        <f t="shared" si="38"/>
        <v>49765</v>
      </c>
      <c r="W57" s="1289">
        <f t="shared" si="38"/>
        <v>50130</v>
      </c>
    </row>
    <row r="58" spans="2:23" x14ac:dyDescent="0.35">
      <c r="B58" s="1290" t="s">
        <v>1450</v>
      </c>
      <c r="C58" s="1290">
        <v>0</v>
      </c>
      <c r="D58" s="1291">
        <f>(D57-C57+1)/365</f>
        <v>0.28493150684931506</v>
      </c>
      <c r="E58" s="1291">
        <f t="shared" ref="E58:W58" si="39">D58+1</f>
        <v>1.284931506849315</v>
      </c>
      <c r="F58" s="1291">
        <f t="shared" si="39"/>
        <v>2.2849315068493148</v>
      </c>
      <c r="G58" s="1291">
        <f t="shared" si="39"/>
        <v>3.2849315068493148</v>
      </c>
      <c r="H58" s="1291">
        <f t="shared" si="39"/>
        <v>4.2849315068493148</v>
      </c>
      <c r="I58" s="1291">
        <f t="shared" si="39"/>
        <v>5.2849315068493148</v>
      </c>
      <c r="J58" s="1291">
        <f t="shared" si="39"/>
        <v>6.2849315068493148</v>
      </c>
      <c r="K58" s="1291">
        <f t="shared" si="39"/>
        <v>7.2849315068493148</v>
      </c>
      <c r="L58" s="1291">
        <f t="shared" si="39"/>
        <v>8.2849315068493148</v>
      </c>
      <c r="M58" s="1291">
        <f t="shared" si="39"/>
        <v>9.2849315068493148</v>
      </c>
      <c r="N58" s="1291">
        <f t="shared" si="39"/>
        <v>10.284931506849315</v>
      </c>
      <c r="O58" s="1291">
        <f t="shared" si="39"/>
        <v>11.284931506849315</v>
      </c>
      <c r="P58" s="1291">
        <f t="shared" si="39"/>
        <v>12.284931506849315</v>
      </c>
      <c r="Q58" s="1291">
        <f t="shared" si="39"/>
        <v>13.284931506849315</v>
      </c>
      <c r="R58" s="1291">
        <f t="shared" si="39"/>
        <v>14.284931506849315</v>
      </c>
      <c r="S58" s="1291">
        <f t="shared" si="39"/>
        <v>15.284931506849315</v>
      </c>
      <c r="T58" s="1291">
        <f t="shared" si="39"/>
        <v>16.284931506849315</v>
      </c>
      <c r="U58" s="1291">
        <f t="shared" si="39"/>
        <v>17.284931506849315</v>
      </c>
      <c r="V58" s="1291">
        <f t="shared" si="39"/>
        <v>18.284931506849315</v>
      </c>
      <c r="W58" s="1291">
        <f t="shared" si="39"/>
        <v>19.284931506849315</v>
      </c>
    </row>
    <row r="59" spans="2:23" x14ac:dyDescent="0.35">
      <c r="B59" s="1290" t="s">
        <v>518</v>
      </c>
      <c r="C59" s="1290"/>
      <c r="D59" s="1292">
        <v>0</v>
      </c>
      <c r="E59" s="1292">
        <v>0</v>
      </c>
      <c r="F59" s="1292">
        <v>0</v>
      </c>
      <c r="G59" s="1293">
        <v>0</v>
      </c>
      <c r="H59" s="1294">
        <v>0</v>
      </c>
      <c r="I59" s="1294">
        <v>0</v>
      </c>
      <c r="J59" s="1294">
        <v>0</v>
      </c>
      <c r="K59" s="1294">
        <v>0</v>
      </c>
      <c r="L59" s="1294">
        <v>0</v>
      </c>
      <c r="M59" s="1294">
        <v>0</v>
      </c>
      <c r="N59" s="1294">
        <v>1</v>
      </c>
      <c r="O59" s="1294"/>
      <c r="P59" s="1294"/>
      <c r="Q59" s="1294"/>
      <c r="R59" s="1294"/>
      <c r="S59" s="1294"/>
      <c r="T59" s="1294"/>
      <c r="U59" s="1294"/>
      <c r="V59" s="1294"/>
      <c r="W59" s="1294"/>
    </row>
    <row r="60" spans="2:23" x14ac:dyDescent="0.35">
      <c r="B60" s="1295" t="s">
        <v>544</v>
      </c>
      <c r="C60" s="1296"/>
      <c r="D60" s="1296">
        <f>-C66</f>
        <v>0</v>
      </c>
      <c r="E60" s="1296">
        <f t="shared" ref="E60:W60" si="40">D64</f>
        <v>0</v>
      </c>
      <c r="F60" s="1296">
        <f t="shared" si="40"/>
        <v>0</v>
      </c>
      <c r="G60" s="1296">
        <f t="shared" si="40"/>
        <v>0</v>
      </c>
      <c r="H60" s="1296">
        <f t="shared" si="40"/>
        <v>0</v>
      </c>
      <c r="I60" s="1296">
        <f t="shared" si="40"/>
        <v>0</v>
      </c>
      <c r="J60" s="1296">
        <f t="shared" si="40"/>
        <v>0</v>
      </c>
      <c r="K60" s="1296">
        <f t="shared" si="40"/>
        <v>0</v>
      </c>
      <c r="L60" s="1296">
        <f t="shared" si="40"/>
        <v>0</v>
      </c>
      <c r="M60" s="1296">
        <f t="shared" si="40"/>
        <v>0</v>
      </c>
      <c r="N60" s="1296">
        <f t="shared" si="40"/>
        <v>0</v>
      </c>
      <c r="O60" s="1296">
        <f t="shared" si="40"/>
        <v>0</v>
      </c>
      <c r="P60" s="1296">
        <f t="shared" si="40"/>
        <v>0</v>
      </c>
      <c r="Q60" s="1296">
        <f t="shared" si="40"/>
        <v>0</v>
      </c>
      <c r="R60" s="1296">
        <f t="shared" si="40"/>
        <v>0</v>
      </c>
      <c r="S60" s="1296">
        <f t="shared" si="40"/>
        <v>0</v>
      </c>
      <c r="T60" s="1296">
        <f t="shared" si="40"/>
        <v>0</v>
      </c>
      <c r="U60" s="1296">
        <f t="shared" si="40"/>
        <v>0</v>
      </c>
      <c r="V60" s="1296">
        <f t="shared" si="40"/>
        <v>0</v>
      </c>
      <c r="W60" s="1296">
        <f t="shared" si="40"/>
        <v>0</v>
      </c>
    </row>
    <row r="61" spans="2:23" x14ac:dyDescent="0.35">
      <c r="B61" s="1295" t="s">
        <v>276</v>
      </c>
      <c r="C61" s="1296"/>
      <c r="D61" s="1296">
        <f>D60*(D$4-D$5)*(D57-C57)/365</f>
        <v>0</v>
      </c>
      <c r="E61" s="1296">
        <f>(D71*(E$4-E$5))+(E4*(SUM($D$61:D61)-SUM($D$63:D63)))</f>
        <v>0</v>
      </c>
      <c r="F61" s="1296">
        <f>(E71*(F$4-F$5))+(F4*(SUM($D$61:E61)-SUM($D$63:E63)))</f>
        <v>0</v>
      </c>
      <c r="G61" s="1296">
        <f>(F71*(G$4-G$5))+(G4*(SUM($D$61:F61)-SUM($D$63:F63)))</f>
        <v>0</v>
      </c>
      <c r="H61" s="1296">
        <f>(G71*(H$4-H$5))+(H4*(SUM($D$61:G61)-SUM($D$63:G63)))</f>
        <v>0</v>
      </c>
      <c r="I61" s="1296">
        <f>(H71*(I$4-I$5))+(I4*(SUM($D$61:H61)-SUM($D$63:H63)))</f>
        <v>0</v>
      </c>
      <c r="J61" s="1296">
        <f>(I71*(J$4-J$5))+(J4*(SUM($D$61:I61)-SUM($D$63:I63)))</f>
        <v>0</v>
      </c>
      <c r="K61" s="1296">
        <f>(J71*(K$4-K$5))+(K4*(SUM($D$61:J61)-SUM($D$63:J63)))</f>
        <v>0</v>
      </c>
      <c r="L61" s="1296">
        <f>(K71*(L$4-L$5))+(L4*(SUM($D$61:K61)-SUM($D$63:K63)))</f>
        <v>0</v>
      </c>
      <c r="M61" s="1296">
        <f>(L71*(M$4-M$5))+(M4*(SUM($D$61:L61)-SUM($D$63:L63)))</f>
        <v>0</v>
      </c>
      <c r="N61" s="1296">
        <f>(M71*(N$4-N$5))+(N4*(SUM($D$61:M61)-SUM($D$63:M63)))</f>
        <v>0</v>
      </c>
      <c r="O61" s="1296">
        <f>(N71*(O$4-O$5))+(O4*(SUM($D$61:N61)-SUM($D$63:N63)))</f>
        <v>0</v>
      </c>
      <c r="P61" s="1296">
        <f>(O71*(P$4-P$5))+(P4*(SUM($D$61:O61)-SUM($D$63:O63)))</f>
        <v>0</v>
      </c>
      <c r="Q61" s="1296">
        <f>(P71*(Q$4-Q$5))+(Q4*(SUM($D$61:P61)-SUM($D$63:P63)))</f>
        <v>0</v>
      </c>
      <c r="R61" s="1296">
        <f>(Q71*(R$4-R$5))+(R4*(SUM($D$61:Q61)-SUM($D$63:Q63)))</f>
        <v>0</v>
      </c>
      <c r="S61" s="1296">
        <f>(R71*(S$4-S$5))+(S4*(SUM($D$61:R61)-SUM($D$63:R63)))</f>
        <v>0</v>
      </c>
      <c r="T61" s="1296">
        <f>(S71*(T$4-T$5))+(T4*(SUM($D$61:S61)-SUM($D$63:S63)))</f>
        <v>0</v>
      </c>
      <c r="U61" s="1296">
        <f>(T71*(U$4-U$5))+(U4*(SUM($D$61:T61)-SUM($D$63:T63)))</f>
        <v>0</v>
      </c>
      <c r="V61" s="1296">
        <f>(U71*(V$4-V$5))+(V4*(SUM($D$61:U61)-SUM($D$63:U63)))</f>
        <v>0</v>
      </c>
      <c r="W61" s="1296">
        <f>(V71*(W$4-W$5))+(W4*(SUM($D$61:V61)-SUM($D$63:V63)))</f>
        <v>0</v>
      </c>
    </row>
    <row r="62" spans="2:23" x14ac:dyDescent="0.35">
      <c r="B62" s="1295" t="s">
        <v>545</v>
      </c>
      <c r="C62" s="1296"/>
      <c r="D62" s="1296">
        <f>$D$60*D59</f>
        <v>0</v>
      </c>
      <c r="E62" s="1296">
        <f t="shared" ref="E62:W62" si="41">$D$60*E59</f>
        <v>0</v>
      </c>
      <c r="F62" s="1296">
        <f t="shared" si="41"/>
        <v>0</v>
      </c>
      <c r="G62" s="1296">
        <f t="shared" si="41"/>
        <v>0</v>
      </c>
      <c r="H62" s="1296">
        <f t="shared" si="41"/>
        <v>0</v>
      </c>
      <c r="I62" s="1296">
        <f t="shared" si="41"/>
        <v>0</v>
      </c>
      <c r="J62" s="1296">
        <f t="shared" si="41"/>
        <v>0</v>
      </c>
      <c r="K62" s="1296">
        <f t="shared" si="41"/>
        <v>0</v>
      </c>
      <c r="L62" s="1296">
        <f t="shared" si="41"/>
        <v>0</v>
      </c>
      <c r="M62" s="1296">
        <f t="shared" si="41"/>
        <v>0</v>
      </c>
      <c r="N62" s="1296">
        <f t="shared" si="41"/>
        <v>0</v>
      </c>
      <c r="O62" s="1296">
        <f t="shared" si="41"/>
        <v>0</v>
      </c>
      <c r="P62" s="1296">
        <f t="shared" si="41"/>
        <v>0</v>
      </c>
      <c r="Q62" s="1296">
        <f t="shared" si="41"/>
        <v>0</v>
      </c>
      <c r="R62" s="1296">
        <f t="shared" si="41"/>
        <v>0</v>
      </c>
      <c r="S62" s="1296">
        <f t="shared" si="41"/>
        <v>0</v>
      </c>
      <c r="T62" s="1296">
        <f t="shared" si="41"/>
        <v>0</v>
      </c>
      <c r="U62" s="1296">
        <f t="shared" si="41"/>
        <v>0</v>
      </c>
      <c r="V62" s="1296">
        <f t="shared" si="41"/>
        <v>0</v>
      </c>
      <c r="W62" s="1296">
        <f t="shared" si="41"/>
        <v>0</v>
      </c>
    </row>
    <row r="63" spans="2:23" x14ac:dyDescent="0.35">
      <c r="B63" s="1295" t="s">
        <v>1451</v>
      </c>
      <c r="C63" s="1297"/>
      <c r="D63" s="1297"/>
      <c r="E63" s="1297"/>
      <c r="F63" s="1297"/>
      <c r="G63" s="1297"/>
      <c r="H63" s="1297"/>
      <c r="I63" s="1297"/>
      <c r="J63" s="1297"/>
      <c r="K63" s="1297"/>
      <c r="L63" s="1297"/>
      <c r="M63" s="1297"/>
      <c r="N63" s="1297">
        <f>N60+N61-N62-N64</f>
        <v>0</v>
      </c>
      <c r="O63" s="1297"/>
      <c r="P63" s="1297"/>
      <c r="Q63" s="1297"/>
      <c r="R63" s="1297"/>
      <c r="S63" s="1297"/>
      <c r="T63" s="1297"/>
      <c r="U63" s="1297"/>
      <c r="V63" s="1297"/>
      <c r="W63" s="1297"/>
    </row>
    <row r="64" spans="2:23" x14ac:dyDescent="0.35">
      <c r="B64" s="1295" t="s">
        <v>546</v>
      </c>
      <c r="C64" s="1296"/>
      <c r="D64" s="1296">
        <f t="shared" ref="D64:M64" si="42">D60+D61-D62-D63</f>
        <v>0</v>
      </c>
      <c r="E64" s="1296">
        <f t="shared" si="42"/>
        <v>0</v>
      </c>
      <c r="F64" s="1296">
        <f t="shared" si="42"/>
        <v>0</v>
      </c>
      <c r="G64" s="1296">
        <f t="shared" si="42"/>
        <v>0</v>
      </c>
      <c r="H64" s="1296">
        <f t="shared" si="42"/>
        <v>0</v>
      </c>
      <c r="I64" s="1296">
        <f t="shared" si="42"/>
        <v>0</v>
      </c>
      <c r="J64" s="1296">
        <f t="shared" si="42"/>
        <v>0</v>
      </c>
      <c r="K64" s="1296">
        <f t="shared" si="42"/>
        <v>0</v>
      </c>
      <c r="L64" s="1296">
        <f t="shared" si="42"/>
        <v>0</v>
      </c>
      <c r="M64" s="1296">
        <f t="shared" si="42"/>
        <v>0</v>
      </c>
      <c r="N64" s="1296">
        <v>0</v>
      </c>
      <c r="O64" s="1296">
        <f t="shared" ref="O64:W64" si="43">O60+O61-O62-O63</f>
        <v>0</v>
      </c>
      <c r="P64" s="1296">
        <f t="shared" si="43"/>
        <v>0</v>
      </c>
      <c r="Q64" s="1296">
        <f t="shared" si="43"/>
        <v>0</v>
      </c>
      <c r="R64" s="1296">
        <f t="shared" si="43"/>
        <v>0</v>
      </c>
      <c r="S64" s="1296">
        <f t="shared" si="43"/>
        <v>0</v>
      </c>
      <c r="T64" s="1296">
        <f t="shared" si="43"/>
        <v>0</v>
      </c>
      <c r="U64" s="1296">
        <f t="shared" si="43"/>
        <v>0</v>
      </c>
      <c r="V64" s="1296">
        <f t="shared" si="43"/>
        <v>0</v>
      </c>
      <c r="W64" s="1296">
        <f t="shared" si="43"/>
        <v>0</v>
      </c>
    </row>
    <row r="65" spans="2:23" x14ac:dyDescent="0.35">
      <c r="B65" s="1295" t="s">
        <v>1452</v>
      </c>
      <c r="C65" s="1296"/>
      <c r="D65" s="1296">
        <f>D72</f>
        <v>0</v>
      </c>
      <c r="E65" s="1296">
        <f t="shared" ref="E65:W65" si="44">E72</f>
        <v>0</v>
      </c>
      <c r="F65" s="1296">
        <f t="shared" si="44"/>
        <v>0</v>
      </c>
      <c r="G65" s="1296">
        <f t="shared" si="44"/>
        <v>0</v>
      </c>
      <c r="H65" s="1296">
        <f t="shared" si="44"/>
        <v>0</v>
      </c>
      <c r="I65" s="1296">
        <f t="shared" si="44"/>
        <v>0</v>
      </c>
      <c r="J65" s="1296">
        <f t="shared" si="44"/>
        <v>0</v>
      </c>
      <c r="K65" s="1296">
        <f t="shared" si="44"/>
        <v>0</v>
      </c>
      <c r="L65" s="1296">
        <f t="shared" si="44"/>
        <v>0</v>
      </c>
      <c r="M65" s="1296">
        <f t="shared" si="44"/>
        <v>0</v>
      </c>
      <c r="N65" s="1296">
        <f t="shared" si="44"/>
        <v>0</v>
      </c>
      <c r="O65" s="1296">
        <f t="shared" si="44"/>
        <v>0</v>
      </c>
      <c r="P65" s="1296">
        <f t="shared" si="44"/>
        <v>0</v>
      </c>
      <c r="Q65" s="1296">
        <f t="shared" si="44"/>
        <v>0</v>
      </c>
      <c r="R65" s="1296">
        <f t="shared" si="44"/>
        <v>0</v>
      </c>
      <c r="S65" s="1296">
        <f t="shared" si="44"/>
        <v>0</v>
      </c>
      <c r="T65" s="1296">
        <f t="shared" si="44"/>
        <v>0</v>
      </c>
      <c r="U65" s="1296">
        <f t="shared" si="44"/>
        <v>0</v>
      </c>
      <c r="V65" s="1296">
        <f t="shared" si="44"/>
        <v>0</v>
      </c>
      <c r="W65" s="1296">
        <f t="shared" si="44"/>
        <v>0</v>
      </c>
    </row>
    <row r="66" spans="2:23" x14ac:dyDescent="0.35">
      <c r="B66" s="1295" t="s">
        <v>1453</v>
      </c>
      <c r="C66" s="1298">
        <f>C49</f>
        <v>0</v>
      </c>
      <c r="D66" s="1298">
        <f>D62+D63+D65</f>
        <v>0</v>
      </c>
      <c r="E66" s="1298">
        <f t="shared" ref="E66:W66" si="45">E62+E63+E65</f>
        <v>0</v>
      </c>
      <c r="F66" s="1298">
        <f t="shared" si="45"/>
        <v>0</v>
      </c>
      <c r="G66" s="1298">
        <f t="shared" si="45"/>
        <v>0</v>
      </c>
      <c r="H66" s="1298">
        <f t="shared" si="45"/>
        <v>0</v>
      </c>
      <c r="I66" s="1298">
        <f t="shared" si="45"/>
        <v>0</v>
      </c>
      <c r="J66" s="1298">
        <f t="shared" si="45"/>
        <v>0</v>
      </c>
      <c r="K66" s="1298">
        <f t="shared" si="45"/>
        <v>0</v>
      </c>
      <c r="L66" s="1298">
        <f t="shared" si="45"/>
        <v>0</v>
      </c>
      <c r="M66" s="1298">
        <f t="shared" si="45"/>
        <v>0</v>
      </c>
      <c r="N66" s="1298">
        <f t="shared" si="45"/>
        <v>0</v>
      </c>
      <c r="O66" s="1298">
        <f t="shared" si="45"/>
        <v>0</v>
      </c>
      <c r="P66" s="1298">
        <f t="shared" si="45"/>
        <v>0</v>
      </c>
      <c r="Q66" s="1298">
        <f t="shared" si="45"/>
        <v>0</v>
      </c>
      <c r="R66" s="1298">
        <f t="shared" si="45"/>
        <v>0</v>
      </c>
      <c r="S66" s="1298">
        <f t="shared" si="45"/>
        <v>0</v>
      </c>
      <c r="T66" s="1298">
        <f t="shared" si="45"/>
        <v>0</v>
      </c>
      <c r="U66" s="1298">
        <f t="shared" si="45"/>
        <v>0</v>
      </c>
      <c r="V66" s="1298">
        <f t="shared" si="45"/>
        <v>0</v>
      </c>
      <c r="W66" s="1298">
        <f t="shared" si="45"/>
        <v>0</v>
      </c>
    </row>
    <row r="67" spans="2:23" x14ac:dyDescent="0.35">
      <c r="B67" s="1295" t="s">
        <v>1454</v>
      </c>
      <c r="C67" s="1299"/>
      <c r="D67" s="1296"/>
      <c r="E67" s="1296"/>
      <c r="F67" s="1296"/>
      <c r="G67" s="1296"/>
      <c r="H67" s="1296"/>
      <c r="I67" s="1296"/>
      <c r="J67" s="1296"/>
      <c r="K67" s="1296"/>
      <c r="L67" s="1296"/>
      <c r="M67" s="1296"/>
      <c r="N67" s="1296"/>
      <c r="O67" s="1296"/>
      <c r="P67" s="1296"/>
      <c r="Q67" s="1296"/>
      <c r="R67" s="1296"/>
      <c r="S67" s="1296"/>
      <c r="T67" s="1296"/>
      <c r="U67" s="1296"/>
      <c r="V67" s="1296"/>
      <c r="W67" s="1296"/>
    </row>
    <row r="68" spans="2:23" x14ac:dyDescent="0.35">
      <c r="B68" s="213"/>
      <c r="C68" s="214"/>
      <c r="D68" s="214"/>
      <c r="E68" s="214"/>
      <c r="F68" s="214"/>
      <c r="G68" s="214"/>
      <c r="H68" s="214"/>
      <c r="I68" s="214"/>
      <c r="J68" s="214"/>
      <c r="K68" s="214"/>
      <c r="L68" s="214"/>
      <c r="M68" s="214"/>
      <c r="N68" s="214"/>
      <c r="O68" s="214"/>
      <c r="P68" s="214"/>
      <c r="Q68" s="214"/>
      <c r="R68" s="214"/>
      <c r="S68" s="214"/>
      <c r="T68" s="214"/>
      <c r="U68" s="214"/>
      <c r="V68" s="214"/>
      <c r="W68" s="214"/>
    </row>
    <row r="69" spans="2:23" x14ac:dyDescent="0.35">
      <c r="B69" s="1295" t="s">
        <v>1455</v>
      </c>
      <c r="C69" s="1296"/>
      <c r="D69" s="1296">
        <f>D60</f>
        <v>0</v>
      </c>
      <c r="E69" s="1296">
        <f t="shared" ref="E69:W69" si="46">D71</f>
        <v>0</v>
      </c>
      <c r="F69" s="1296">
        <f t="shared" si="46"/>
        <v>0</v>
      </c>
      <c r="G69" s="1296">
        <f t="shared" si="46"/>
        <v>0</v>
      </c>
      <c r="H69" s="1296">
        <f t="shared" si="46"/>
        <v>0</v>
      </c>
      <c r="I69" s="1296">
        <f t="shared" si="46"/>
        <v>0</v>
      </c>
      <c r="J69" s="1296">
        <f t="shared" si="46"/>
        <v>0</v>
      </c>
      <c r="K69" s="1296">
        <f t="shared" si="46"/>
        <v>0</v>
      </c>
      <c r="L69" s="1296">
        <f t="shared" si="46"/>
        <v>0</v>
      </c>
      <c r="M69" s="1296">
        <f t="shared" si="46"/>
        <v>0</v>
      </c>
      <c r="N69" s="1296">
        <f t="shared" si="46"/>
        <v>0</v>
      </c>
      <c r="O69" s="1296">
        <f t="shared" si="46"/>
        <v>0</v>
      </c>
      <c r="P69" s="1296">
        <f t="shared" si="46"/>
        <v>0</v>
      </c>
      <c r="Q69" s="1296">
        <f t="shared" si="46"/>
        <v>0</v>
      </c>
      <c r="R69" s="1296">
        <f t="shared" si="46"/>
        <v>0</v>
      </c>
      <c r="S69" s="1296">
        <f t="shared" si="46"/>
        <v>0</v>
      </c>
      <c r="T69" s="1296">
        <f t="shared" si="46"/>
        <v>0</v>
      </c>
      <c r="U69" s="1296">
        <f t="shared" si="46"/>
        <v>0</v>
      </c>
      <c r="V69" s="1296">
        <f t="shared" si="46"/>
        <v>0</v>
      </c>
      <c r="W69" s="1296">
        <f t="shared" si="46"/>
        <v>0</v>
      </c>
    </row>
    <row r="70" spans="2:23" x14ac:dyDescent="0.35">
      <c r="B70" s="1295" t="s">
        <v>1456</v>
      </c>
      <c r="C70" s="1296"/>
      <c r="D70" s="1296">
        <f>D62</f>
        <v>0</v>
      </c>
      <c r="E70" s="1296">
        <f>E62</f>
        <v>0</v>
      </c>
      <c r="F70" s="1296">
        <f t="shared" ref="F70:W70" si="47">F62</f>
        <v>0</v>
      </c>
      <c r="G70" s="1296">
        <f t="shared" si="47"/>
        <v>0</v>
      </c>
      <c r="H70" s="1296">
        <f t="shared" si="47"/>
        <v>0</v>
      </c>
      <c r="I70" s="1296">
        <f t="shared" si="47"/>
        <v>0</v>
      </c>
      <c r="J70" s="1296">
        <f t="shared" si="47"/>
        <v>0</v>
      </c>
      <c r="K70" s="1296">
        <f t="shared" si="47"/>
        <v>0</v>
      </c>
      <c r="L70" s="1296">
        <f t="shared" si="47"/>
        <v>0</v>
      </c>
      <c r="M70" s="1296">
        <f t="shared" si="47"/>
        <v>0</v>
      </c>
      <c r="N70" s="1296">
        <f t="shared" si="47"/>
        <v>0</v>
      </c>
      <c r="O70" s="1296">
        <f t="shared" si="47"/>
        <v>0</v>
      </c>
      <c r="P70" s="1296">
        <f t="shared" si="47"/>
        <v>0</v>
      </c>
      <c r="Q70" s="1296">
        <f t="shared" si="47"/>
        <v>0</v>
      </c>
      <c r="R70" s="1296">
        <f t="shared" si="47"/>
        <v>0</v>
      </c>
      <c r="S70" s="1296">
        <f t="shared" si="47"/>
        <v>0</v>
      </c>
      <c r="T70" s="1296">
        <f t="shared" si="47"/>
        <v>0</v>
      </c>
      <c r="U70" s="1296">
        <f t="shared" si="47"/>
        <v>0</v>
      </c>
      <c r="V70" s="1296">
        <f t="shared" si="47"/>
        <v>0</v>
      </c>
      <c r="W70" s="1296">
        <f t="shared" si="47"/>
        <v>0</v>
      </c>
    </row>
    <row r="71" spans="2:23" x14ac:dyDescent="0.35">
      <c r="B71" s="1295" t="s">
        <v>1457</v>
      </c>
      <c r="C71" s="1296"/>
      <c r="D71" s="1298">
        <f t="shared" ref="D71:W71" si="48">D69-D70</f>
        <v>0</v>
      </c>
      <c r="E71" s="1298">
        <f t="shared" si="48"/>
        <v>0</v>
      </c>
      <c r="F71" s="1298">
        <f t="shared" si="48"/>
        <v>0</v>
      </c>
      <c r="G71" s="1298">
        <f t="shared" si="48"/>
        <v>0</v>
      </c>
      <c r="H71" s="1298">
        <f t="shared" si="48"/>
        <v>0</v>
      </c>
      <c r="I71" s="1298">
        <f t="shared" si="48"/>
        <v>0</v>
      </c>
      <c r="J71" s="1298">
        <f t="shared" si="48"/>
        <v>0</v>
      </c>
      <c r="K71" s="1298">
        <f t="shared" si="48"/>
        <v>0</v>
      </c>
      <c r="L71" s="1298">
        <f t="shared" si="48"/>
        <v>0</v>
      </c>
      <c r="M71" s="1298">
        <f t="shared" si="48"/>
        <v>0</v>
      </c>
      <c r="N71" s="1298">
        <f t="shared" si="48"/>
        <v>0</v>
      </c>
      <c r="O71" s="1298">
        <f t="shared" si="48"/>
        <v>0</v>
      </c>
      <c r="P71" s="1298">
        <f t="shared" si="48"/>
        <v>0</v>
      </c>
      <c r="Q71" s="1298">
        <f t="shared" si="48"/>
        <v>0</v>
      </c>
      <c r="R71" s="1298">
        <f t="shared" si="48"/>
        <v>0</v>
      </c>
      <c r="S71" s="1298">
        <f t="shared" si="48"/>
        <v>0</v>
      </c>
      <c r="T71" s="1298">
        <f t="shared" si="48"/>
        <v>0</v>
      </c>
      <c r="U71" s="1298">
        <f t="shared" si="48"/>
        <v>0</v>
      </c>
      <c r="V71" s="1298">
        <f t="shared" si="48"/>
        <v>0</v>
      </c>
      <c r="W71" s="1298">
        <f t="shared" si="48"/>
        <v>0</v>
      </c>
    </row>
    <row r="72" spans="2:23" x14ac:dyDescent="0.35">
      <c r="B72" s="1295" t="s">
        <v>1458</v>
      </c>
      <c r="C72" s="1296"/>
      <c r="D72" s="1300">
        <f>D69*D$5*(D$6-C$6+1)/365</f>
        <v>0</v>
      </c>
      <c r="E72" s="1300">
        <f>E69*E$5*(E$6-D$6)/365</f>
        <v>0</v>
      </c>
      <c r="F72" s="1300">
        <f t="shared" ref="F72:W72" si="49">F69*F$5*(F$6-E$6)/365</f>
        <v>0</v>
      </c>
      <c r="G72" s="1300">
        <f t="shared" si="49"/>
        <v>0</v>
      </c>
      <c r="H72" s="1300">
        <f t="shared" si="49"/>
        <v>0</v>
      </c>
      <c r="I72" s="1300">
        <f t="shared" si="49"/>
        <v>0</v>
      </c>
      <c r="J72" s="1300">
        <f t="shared" si="49"/>
        <v>0</v>
      </c>
      <c r="K72" s="1300">
        <f t="shared" si="49"/>
        <v>0</v>
      </c>
      <c r="L72" s="1300">
        <f t="shared" si="49"/>
        <v>0</v>
      </c>
      <c r="M72" s="1300">
        <f t="shared" si="49"/>
        <v>0</v>
      </c>
      <c r="N72" s="1300">
        <f t="shared" si="49"/>
        <v>0</v>
      </c>
      <c r="O72" s="1300">
        <f t="shared" si="49"/>
        <v>0</v>
      </c>
      <c r="P72" s="1300">
        <f t="shared" si="49"/>
        <v>0</v>
      </c>
      <c r="Q72" s="1300">
        <f t="shared" si="49"/>
        <v>0</v>
      </c>
      <c r="R72" s="1300">
        <f t="shared" si="49"/>
        <v>0</v>
      </c>
      <c r="S72" s="1300">
        <f t="shared" si="49"/>
        <v>0</v>
      </c>
      <c r="T72" s="1300">
        <f t="shared" si="49"/>
        <v>0</v>
      </c>
      <c r="U72" s="1300">
        <f t="shared" si="49"/>
        <v>0</v>
      </c>
      <c r="V72" s="1300">
        <f t="shared" si="49"/>
        <v>0</v>
      </c>
      <c r="W72" s="1300">
        <f t="shared" si="49"/>
        <v>0</v>
      </c>
    </row>
    <row r="74" spans="2:23" x14ac:dyDescent="0.35">
      <c r="B74" s="1288" t="s">
        <v>1463</v>
      </c>
      <c r="C74" s="1289">
        <v>43087</v>
      </c>
      <c r="D74" s="1289">
        <f>EOMONTH(E74,-12)</f>
        <v>43190</v>
      </c>
      <c r="E74" s="1289">
        <f>EOMONTH(F74,-12)</f>
        <v>43555</v>
      </c>
      <c r="F74" s="1289">
        <f>EOMONTH(G74,-12)</f>
        <v>43921</v>
      </c>
      <c r="G74" s="1289">
        <f>'Debt Assumptions &amp; working'!$C$17</f>
        <v>44286</v>
      </c>
      <c r="H74" s="1289">
        <f>EOMONTH(G74,12)</f>
        <v>44651</v>
      </c>
      <c r="I74" s="1289">
        <f t="shared" ref="I74:W74" si="50">EOMONTH(H74,12)</f>
        <v>45016</v>
      </c>
      <c r="J74" s="1289">
        <f t="shared" si="50"/>
        <v>45382</v>
      </c>
      <c r="K74" s="1289">
        <f t="shared" si="50"/>
        <v>45747</v>
      </c>
      <c r="L74" s="1289">
        <f t="shared" si="50"/>
        <v>46112</v>
      </c>
      <c r="M74" s="1289">
        <f t="shared" si="50"/>
        <v>46477</v>
      </c>
      <c r="N74" s="1289">
        <f t="shared" si="50"/>
        <v>46843</v>
      </c>
      <c r="O74" s="1289">
        <f t="shared" si="50"/>
        <v>47208</v>
      </c>
      <c r="P74" s="1289">
        <f t="shared" si="50"/>
        <v>47573</v>
      </c>
      <c r="Q74" s="1289">
        <f t="shared" si="50"/>
        <v>47938</v>
      </c>
      <c r="R74" s="1289">
        <f t="shared" si="50"/>
        <v>48304</v>
      </c>
      <c r="S74" s="1289">
        <f t="shared" si="50"/>
        <v>48669</v>
      </c>
      <c r="T74" s="1289">
        <f t="shared" si="50"/>
        <v>49034</v>
      </c>
      <c r="U74" s="1289">
        <f t="shared" si="50"/>
        <v>49399</v>
      </c>
      <c r="V74" s="1289">
        <f t="shared" si="50"/>
        <v>49765</v>
      </c>
      <c r="W74" s="1289">
        <f t="shared" si="50"/>
        <v>50130</v>
      </c>
    </row>
    <row r="75" spans="2:23" x14ac:dyDescent="0.35">
      <c r="B75" s="1290" t="s">
        <v>1450</v>
      </c>
      <c r="C75" s="1290">
        <v>0</v>
      </c>
      <c r="D75" s="1291">
        <f>(D74-C74+1)/365</f>
        <v>0.28493150684931506</v>
      </c>
      <c r="E75" s="1291">
        <f t="shared" ref="E75:W75" si="51">D75+1</f>
        <v>1.284931506849315</v>
      </c>
      <c r="F75" s="1291">
        <f t="shared" si="51"/>
        <v>2.2849315068493148</v>
      </c>
      <c r="G75" s="1291">
        <f t="shared" si="51"/>
        <v>3.2849315068493148</v>
      </c>
      <c r="H75" s="1291">
        <f t="shared" si="51"/>
        <v>4.2849315068493148</v>
      </c>
      <c r="I75" s="1291">
        <f t="shared" si="51"/>
        <v>5.2849315068493148</v>
      </c>
      <c r="J75" s="1291">
        <f t="shared" si="51"/>
        <v>6.2849315068493148</v>
      </c>
      <c r="K75" s="1291">
        <f t="shared" si="51"/>
        <v>7.2849315068493148</v>
      </c>
      <c r="L75" s="1291">
        <f t="shared" si="51"/>
        <v>8.2849315068493148</v>
      </c>
      <c r="M75" s="1291">
        <f t="shared" si="51"/>
        <v>9.2849315068493148</v>
      </c>
      <c r="N75" s="1291">
        <f t="shared" si="51"/>
        <v>10.284931506849315</v>
      </c>
      <c r="O75" s="1291">
        <f t="shared" si="51"/>
        <v>11.284931506849315</v>
      </c>
      <c r="P75" s="1291">
        <f t="shared" si="51"/>
        <v>12.284931506849315</v>
      </c>
      <c r="Q75" s="1291">
        <f t="shared" si="51"/>
        <v>13.284931506849315</v>
      </c>
      <c r="R75" s="1291">
        <f t="shared" si="51"/>
        <v>14.284931506849315</v>
      </c>
      <c r="S75" s="1291">
        <f t="shared" si="51"/>
        <v>15.284931506849315</v>
      </c>
      <c r="T75" s="1291">
        <f t="shared" si="51"/>
        <v>16.284931506849315</v>
      </c>
      <c r="U75" s="1291">
        <f t="shared" si="51"/>
        <v>17.284931506849315</v>
      </c>
      <c r="V75" s="1291">
        <f t="shared" si="51"/>
        <v>18.284931506849315</v>
      </c>
      <c r="W75" s="1291">
        <f t="shared" si="51"/>
        <v>19.284931506849315</v>
      </c>
    </row>
    <row r="76" spans="2:23" x14ac:dyDescent="0.35">
      <c r="B76" s="1290" t="s">
        <v>518</v>
      </c>
      <c r="C76" s="1290"/>
      <c r="D76" s="1292">
        <v>0</v>
      </c>
      <c r="E76" s="1292">
        <v>0</v>
      </c>
      <c r="F76" s="1292">
        <v>0</v>
      </c>
      <c r="G76" s="1293">
        <v>0</v>
      </c>
      <c r="H76" s="1294">
        <v>0</v>
      </c>
      <c r="I76" s="1294">
        <v>0</v>
      </c>
      <c r="J76" s="1294">
        <v>0</v>
      </c>
      <c r="K76" s="1294">
        <v>0</v>
      </c>
      <c r="L76" s="1294">
        <v>0</v>
      </c>
      <c r="M76" s="1294">
        <v>0</v>
      </c>
      <c r="N76" s="1294">
        <v>0</v>
      </c>
      <c r="O76" s="1294">
        <v>1</v>
      </c>
      <c r="P76" s="1294"/>
      <c r="Q76" s="1294"/>
      <c r="R76" s="1294"/>
      <c r="S76" s="1294"/>
      <c r="T76" s="1294"/>
      <c r="U76" s="1294"/>
      <c r="V76" s="1294"/>
      <c r="W76" s="1294"/>
    </row>
    <row r="77" spans="2:23" x14ac:dyDescent="0.35">
      <c r="B77" s="1295" t="s">
        <v>544</v>
      </c>
      <c r="C77" s="1296"/>
      <c r="D77" s="1296">
        <f>-C83</f>
        <v>0</v>
      </c>
      <c r="E77" s="1296">
        <f t="shared" ref="E77:W77" si="52">D81</f>
        <v>0</v>
      </c>
      <c r="F77" s="1296">
        <f t="shared" si="52"/>
        <v>0</v>
      </c>
      <c r="G77" s="1296">
        <f t="shared" si="52"/>
        <v>0</v>
      </c>
      <c r="H77" s="1296">
        <f t="shared" si="52"/>
        <v>0</v>
      </c>
      <c r="I77" s="1296">
        <f t="shared" si="52"/>
        <v>0</v>
      </c>
      <c r="J77" s="1296">
        <f t="shared" si="52"/>
        <v>0</v>
      </c>
      <c r="K77" s="1296">
        <f t="shared" si="52"/>
        <v>0</v>
      </c>
      <c r="L77" s="1296">
        <f t="shared" si="52"/>
        <v>0</v>
      </c>
      <c r="M77" s="1296">
        <f t="shared" si="52"/>
        <v>0</v>
      </c>
      <c r="N77" s="1296">
        <f t="shared" si="52"/>
        <v>0</v>
      </c>
      <c r="O77" s="1296">
        <f t="shared" si="52"/>
        <v>0</v>
      </c>
      <c r="P77" s="1296">
        <f t="shared" si="52"/>
        <v>0</v>
      </c>
      <c r="Q77" s="1296">
        <f t="shared" si="52"/>
        <v>0</v>
      </c>
      <c r="R77" s="1296">
        <f t="shared" si="52"/>
        <v>0</v>
      </c>
      <c r="S77" s="1296">
        <f t="shared" si="52"/>
        <v>0</v>
      </c>
      <c r="T77" s="1296">
        <f t="shared" si="52"/>
        <v>0</v>
      </c>
      <c r="U77" s="1296">
        <f t="shared" si="52"/>
        <v>0</v>
      </c>
      <c r="V77" s="1296">
        <f t="shared" si="52"/>
        <v>0</v>
      </c>
      <c r="W77" s="1296">
        <f t="shared" si="52"/>
        <v>0</v>
      </c>
    </row>
    <row r="78" spans="2:23" x14ac:dyDescent="0.35">
      <c r="B78" s="1295" t="s">
        <v>276</v>
      </c>
      <c r="C78" s="1296"/>
      <c r="D78" s="1296">
        <f>D77*(D$4-D$5)*(D74-C74)/365</f>
        <v>0</v>
      </c>
      <c r="E78" s="1296">
        <f>(D88*(E$4-E$5))+(E4*(SUM($D$78:D78)-SUM($D$80:D80)))</f>
        <v>0</v>
      </c>
      <c r="F78" s="1296">
        <f>(E88*(F$4-F$5))+(F4*(SUM($D$78:E78)-SUM($D$80:E80)))</f>
        <v>0</v>
      </c>
      <c r="G78" s="1296">
        <f>(F88*(G$4-G$5))+(G4*(SUM($D$78:F78)-SUM($D$80:F80)))</f>
        <v>0</v>
      </c>
      <c r="H78" s="1296">
        <f>(G88*(H$4-H$5))+(H4*(SUM($D$78:G78)-SUM($D$80:G80)))</f>
        <v>0</v>
      </c>
      <c r="I78" s="1296">
        <f>(H88*(I$4-I$5))+(I4*(SUM($D$78:H78)-SUM($D$80:H80)))</f>
        <v>0</v>
      </c>
      <c r="J78" s="1296">
        <f>(I88*(J$4-J$5))+(J4*(SUM($D$78:I78)-SUM($D$80:I80)))</f>
        <v>0</v>
      </c>
      <c r="K78" s="1296">
        <f>(J88*(K$4-K$5))+(K4*(SUM($D$78:J78)-SUM($D$80:J80)))</f>
        <v>0</v>
      </c>
      <c r="L78" s="1296">
        <f>(K88*(L$4-L$5))+(L4*(SUM($D$78:K78)-SUM($D$80:K80)))</f>
        <v>0</v>
      </c>
      <c r="M78" s="1296">
        <f>(L88*(M$4-M$5))+(M4*(SUM($D$78:L78)-SUM($D$80:L80)))</f>
        <v>0</v>
      </c>
      <c r="N78" s="1296">
        <f>(M88*(N$4-N$5))+(N4*(SUM($D$78:M78)-SUM($D$80:M80)))</f>
        <v>0</v>
      </c>
      <c r="O78" s="1296">
        <f>(N88*(O$4-O$5))+(O4*(SUM($D$78:N78)-SUM($D$80:N80)))</f>
        <v>0</v>
      </c>
      <c r="P78" s="1296">
        <f>(O88*(P$4-P$5))+(P4*(SUM($D$78:O78)-SUM($D$80:O80)))</f>
        <v>0</v>
      </c>
      <c r="Q78" s="1296">
        <f>(P88*(Q$4-Q$5))+(Q4*(SUM($D$78:P78)-SUM($D$80:P80)))</f>
        <v>0</v>
      </c>
      <c r="R78" s="1296">
        <f>(Q88*(R$4-R$5))+(R4*(SUM($D$78:Q78)-SUM($D$80:Q80)))</f>
        <v>0</v>
      </c>
      <c r="S78" s="1296">
        <f>(R88*(S$4-S$5))+(S4*(SUM($D$78:R78)-SUM($D$80:R80)))</f>
        <v>0</v>
      </c>
      <c r="T78" s="1296">
        <f>(S88*(T$4-T$5))+(T4*(SUM($D$78:S78)-SUM($D$80:S80)))</f>
        <v>0</v>
      </c>
      <c r="U78" s="1296">
        <f>(T88*(U$4-U$5))+(U4*(SUM($D$78:T78)-SUM($D$80:T80)))</f>
        <v>0</v>
      </c>
      <c r="V78" s="1296">
        <f>(U88*(V$4-V$5))+(V4*(SUM($D$78:U78)-SUM($D$80:U80)))</f>
        <v>0</v>
      </c>
      <c r="W78" s="1296">
        <f>(V88*(W$4-W$5))+(W4*(SUM($D$78:V78)-SUM($D$80:V80)))</f>
        <v>0</v>
      </c>
    </row>
    <row r="79" spans="2:23" x14ac:dyDescent="0.35">
      <c r="B79" s="1295" t="s">
        <v>545</v>
      </c>
      <c r="C79" s="1296"/>
      <c r="D79" s="1296">
        <f>$D$77*D76</f>
        <v>0</v>
      </c>
      <c r="E79" s="1296">
        <f t="shared" ref="E79:W79" si="53">$D$77*E76</f>
        <v>0</v>
      </c>
      <c r="F79" s="1296">
        <f t="shared" si="53"/>
        <v>0</v>
      </c>
      <c r="G79" s="1296">
        <f t="shared" si="53"/>
        <v>0</v>
      </c>
      <c r="H79" s="1296">
        <f t="shared" si="53"/>
        <v>0</v>
      </c>
      <c r="I79" s="1296">
        <f t="shared" si="53"/>
        <v>0</v>
      </c>
      <c r="J79" s="1296">
        <f t="shared" si="53"/>
        <v>0</v>
      </c>
      <c r="K79" s="1296">
        <f t="shared" si="53"/>
        <v>0</v>
      </c>
      <c r="L79" s="1296">
        <f t="shared" si="53"/>
        <v>0</v>
      </c>
      <c r="M79" s="1296">
        <f t="shared" si="53"/>
        <v>0</v>
      </c>
      <c r="N79" s="1296">
        <f t="shared" si="53"/>
        <v>0</v>
      </c>
      <c r="O79" s="1296">
        <f t="shared" si="53"/>
        <v>0</v>
      </c>
      <c r="P79" s="1296">
        <f t="shared" si="53"/>
        <v>0</v>
      </c>
      <c r="Q79" s="1296">
        <f t="shared" si="53"/>
        <v>0</v>
      </c>
      <c r="R79" s="1296">
        <f t="shared" si="53"/>
        <v>0</v>
      </c>
      <c r="S79" s="1296">
        <f t="shared" si="53"/>
        <v>0</v>
      </c>
      <c r="T79" s="1296">
        <f t="shared" si="53"/>
        <v>0</v>
      </c>
      <c r="U79" s="1296">
        <f t="shared" si="53"/>
        <v>0</v>
      </c>
      <c r="V79" s="1296">
        <f t="shared" si="53"/>
        <v>0</v>
      </c>
      <c r="W79" s="1296">
        <f t="shared" si="53"/>
        <v>0</v>
      </c>
    </row>
    <row r="80" spans="2:23" x14ac:dyDescent="0.35">
      <c r="B80" s="1295" t="s">
        <v>1451</v>
      </c>
      <c r="C80" s="1297"/>
      <c r="D80" s="1297"/>
      <c r="E80" s="1297"/>
      <c r="F80" s="1297"/>
      <c r="G80" s="1297"/>
      <c r="H80" s="1297"/>
      <c r="I80" s="1297"/>
      <c r="J80" s="1297"/>
      <c r="K80" s="1297"/>
      <c r="L80" s="1297"/>
      <c r="M80" s="1297"/>
      <c r="N80" s="1297"/>
      <c r="O80" s="1297">
        <f>O77+O78-O79</f>
        <v>0</v>
      </c>
      <c r="P80" s="1297"/>
      <c r="Q80" s="1297"/>
      <c r="R80" s="1297"/>
      <c r="S80" s="1297"/>
      <c r="T80" s="1297"/>
      <c r="U80" s="1297"/>
      <c r="V80" s="1297"/>
      <c r="W80" s="1297"/>
    </row>
    <row r="81" spans="2:23" x14ac:dyDescent="0.35">
      <c r="B81" s="1295" t="s">
        <v>546</v>
      </c>
      <c r="C81" s="1296"/>
      <c r="D81" s="1296">
        <f t="shared" ref="D81:N81" si="54">D77+D78-D79-D80</f>
        <v>0</v>
      </c>
      <c r="E81" s="1296">
        <f t="shared" si="54"/>
        <v>0</v>
      </c>
      <c r="F81" s="1296">
        <f t="shared" si="54"/>
        <v>0</v>
      </c>
      <c r="G81" s="1296">
        <f t="shared" si="54"/>
        <v>0</v>
      </c>
      <c r="H81" s="1296">
        <f t="shared" si="54"/>
        <v>0</v>
      </c>
      <c r="I81" s="1296">
        <f t="shared" si="54"/>
        <v>0</v>
      </c>
      <c r="J81" s="1296">
        <f t="shared" si="54"/>
        <v>0</v>
      </c>
      <c r="K81" s="1296">
        <f t="shared" si="54"/>
        <v>0</v>
      </c>
      <c r="L81" s="1296">
        <f t="shared" si="54"/>
        <v>0</v>
      </c>
      <c r="M81" s="1296">
        <f t="shared" si="54"/>
        <v>0</v>
      </c>
      <c r="N81" s="1296">
        <f t="shared" si="54"/>
        <v>0</v>
      </c>
      <c r="O81" s="1296">
        <v>0</v>
      </c>
      <c r="P81" s="1296">
        <f t="shared" ref="P81:W81" si="55">P77+P78-P79-P80</f>
        <v>0</v>
      </c>
      <c r="Q81" s="1296">
        <f t="shared" si="55"/>
        <v>0</v>
      </c>
      <c r="R81" s="1296">
        <f t="shared" si="55"/>
        <v>0</v>
      </c>
      <c r="S81" s="1296">
        <f t="shared" si="55"/>
        <v>0</v>
      </c>
      <c r="T81" s="1296">
        <f t="shared" si="55"/>
        <v>0</v>
      </c>
      <c r="U81" s="1296">
        <f t="shared" si="55"/>
        <v>0</v>
      </c>
      <c r="V81" s="1296">
        <f t="shared" si="55"/>
        <v>0</v>
      </c>
      <c r="W81" s="1296">
        <f t="shared" si="55"/>
        <v>0</v>
      </c>
    </row>
    <row r="82" spans="2:23" x14ac:dyDescent="0.35">
      <c r="B82" s="1295" t="s">
        <v>1452</v>
      </c>
      <c r="C82" s="1296"/>
      <c r="D82" s="1296">
        <f>D89</f>
        <v>0</v>
      </c>
      <c r="E82" s="1296">
        <f t="shared" ref="E82:W82" si="56">E89</f>
        <v>0</v>
      </c>
      <c r="F82" s="1296">
        <f t="shared" si="56"/>
        <v>0</v>
      </c>
      <c r="G82" s="1296">
        <f t="shared" si="56"/>
        <v>0</v>
      </c>
      <c r="H82" s="1296">
        <f t="shared" si="56"/>
        <v>0</v>
      </c>
      <c r="I82" s="1296">
        <f t="shared" si="56"/>
        <v>0</v>
      </c>
      <c r="J82" s="1296">
        <f t="shared" si="56"/>
        <v>0</v>
      </c>
      <c r="K82" s="1296">
        <f t="shared" si="56"/>
        <v>0</v>
      </c>
      <c r="L82" s="1296">
        <f t="shared" si="56"/>
        <v>0</v>
      </c>
      <c r="M82" s="1296">
        <f t="shared" si="56"/>
        <v>0</v>
      </c>
      <c r="N82" s="1296">
        <f t="shared" si="56"/>
        <v>0</v>
      </c>
      <c r="O82" s="1296">
        <f t="shared" si="56"/>
        <v>0</v>
      </c>
      <c r="P82" s="1296">
        <f t="shared" si="56"/>
        <v>0</v>
      </c>
      <c r="Q82" s="1296">
        <f t="shared" si="56"/>
        <v>0</v>
      </c>
      <c r="R82" s="1296">
        <f t="shared" si="56"/>
        <v>0</v>
      </c>
      <c r="S82" s="1296">
        <f t="shared" si="56"/>
        <v>0</v>
      </c>
      <c r="T82" s="1296">
        <f t="shared" si="56"/>
        <v>0</v>
      </c>
      <c r="U82" s="1296">
        <f t="shared" si="56"/>
        <v>0</v>
      </c>
      <c r="V82" s="1296">
        <f t="shared" si="56"/>
        <v>0</v>
      </c>
      <c r="W82" s="1296">
        <f t="shared" si="56"/>
        <v>0</v>
      </c>
    </row>
    <row r="83" spans="2:23" x14ac:dyDescent="0.35">
      <c r="B83" s="1295" t="s">
        <v>1453</v>
      </c>
      <c r="C83" s="1298">
        <f>C66</f>
        <v>0</v>
      </c>
      <c r="D83" s="1298">
        <f>D79+D80+D82</f>
        <v>0</v>
      </c>
      <c r="E83" s="1298">
        <f t="shared" ref="E83:W83" si="57">E79+E80+E82</f>
        <v>0</v>
      </c>
      <c r="F83" s="1298">
        <f t="shared" si="57"/>
        <v>0</v>
      </c>
      <c r="G83" s="1298">
        <f t="shared" si="57"/>
        <v>0</v>
      </c>
      <c r="H83" s="1298">
        <f t="shared" si="57"/>
        <v>0</v>
      </c>
      <c r="I83" s="1298">
        <f t="shared" si="57"/>
        <v>0</v>
      </c>
      <c r="J83" s="1298">
        <f t="shared" si="57"/>
        <v>0</v>
      </c>
      <c r="K83" s="1298">
        <f t="shared" si="57"/>
        <v>0</v>
      </c>
      <c r="L83" s="1298">
        <f t="shared" si="57"/>
        <v>0</v>
      </c>
      <c r="M83" s="1298">
        <f t="shared" si="57"/>
        <v>0</v>
      </c>
      <c r="N83" s="1298">
        <f t="shared" si="57"/>
        <v>0</v>
      </c>
      <c r="O83" s="1298">
        <f t="shared" si="57"/>
        <v>0</v>
      </c>
      <c r="P83" s="1298">
        <f t="shared" si="57"/>
        <v>0</v>
      </c>
      <c r="Q83" s="1298">
        <f t="shared" si="57"/>
        <v>0</v>
      </c>
      <c r="R83" s="1298">
        <f t="shared" si="57"/>
        <v>0</v>
      </c>
      <c r="S83" s="1298">
        <f t="shared" si="57"/>
        <v>0</v>
      </c>
      <c r="T83" s="1298">
        <f t="shared" si="57"/>
        <v>0</v>
      </c>
      <c r="U83" s="1298">
        <f t="shared" si="57"/>
        <v>0</v>
      </c>
      <c r="V83" s="1298">
        <f t="shared" si="57"/>
        <v>0</v>
      </c>
      <c r="W83" s="1298">
        <f t="shared" si="57"/>
        <v>0</v>
      </c>
    </row>
    <row r="84" spans="2:23" x14ac:dyDescent="0.35">
      <c r="B84" s="1295" t="s">
        <v>1454</v>
      </c>
      <c r="C84" s="1299"/>
      <c r="D84" s="1296"/>
      <c r="E84" s="1296"/>
      <c r="F84" s="1296"/>
      <c r="G84" s="1296"/>
      <c r="H84" s="1296"/>
      <c r="I84" s="1296"/>
      <c r="J84" s="1296"/>
      <c r="K84" s="1296"/>
      <c r="L84" s="1296"/>
      <c r="M84" s="1296"/>
      <c r="N84" s="1296"/>
      <c r="O84" s="1296"/>
      <c r="P84" s="1296"/>
      <c r="Q84" s="1296"/>
      <c r="R84" s="1296"/>
      <c r="S84" s="1296"/>
      <c r="T84" s="1296"/>
      <c r="U84" s="1296"/>
      <c r="V84" s="1296"/>
      <c r="W84" s="1296"/>
    </row>
    <row r="85" spans="2:23" x14ac:dyDescent="0.35">
      <c r="B85" s="213"/>
      <c r="C85" s="214"/>
      <c r="D85" s="214"/>
      <c r="E85" s="214"/>
      <c r="F85" s="214"/>
      <c r="G85" s="214"/>
      <c r="H85" s="214"/>
      <c r="I85" s="214"/>
      <c r="J85" s="214"/>
      <c r="K85" s="214"/>
      <c r="L85" s="214"/>
      <c r="M85" s="214"/>
      <c r="N85" s="214"/>
      <c r="O85" s="214"/>
      <c r="P85" s="214"/>
      <c r="Q85" s="214"/>
      <c r="R85" s="214"/>
      <c r="S85" s="214"/>
      <c r="T85" s="214"/>
      <c r="U85" s="214"/>
      <c r="V85" s="214"/>
      <c r="W85" s="214"/>
    </row>
    <row r="86" spans="2:23" x14ac:dyDescent="0.35">
      <c r="B86" s="1295" t="s">
        <v>1455</v>
      </c>
      <c r="C86" s="1296"/>
      <c r="D86" s="1296">
        <f>D77</f>
        <v>0</v>
      </c>
      <c r="E86" s="1296">
        <f t="shared" ref="E86:W86" si="58">D88</f>
        <v>0</v>
      </c>
      <c r="F86" s="1296">
        <f t="shared" si="58"/>
        <v>0</v>
      </c>
      <c r="G86" s="1296">
        <f t="shared" si="58"/>
        <v>0</v>
      </c>
      <c r="H86" s="1296">
        <f t="shared" si="58"/>
        <v>0</v>
      </c>
      <c r="I86" s="1296">
        <f t="shared" si="58"/>
        <v>0</v>
      </c>
      <c r="J86" s="1296">
        <f t="shared" si="58"/>
        <v>0</v>
      </c>
      <c r="K86" s="1296">
        <f t="shared" si="58"/>
        <v>0</v>
      </c>
      <c r="L86" s="1296">
        <f t="shared" si="58"/>
        <v>0</v>
      </c>
      <c r="M86" s="1296">
        <f t="shared" si="58"/>
        <v>0</v>
      </c>
      <c r="N86" s="1296">
        <f t="shared" si="58"/>
        <v>0</v>
      </c>
      <c r="O86" s="1296">
        <f t="shared" si="58"/>
        <v>0</v>
      </c>
      <c r="P86" s="1296">
        <f t="shared" si="58"/>
        <v>0</v>
      </c>
      <c r="Q86" s="1296">
        <f t="shared" si="58"/>
        <v>0</v>
      </c>
      <c r="R86" s="1296">
        <f t="shared" si="58"/>
        <v>0</v>
      </c>
      <c r="S86" s="1296">
        <f t="shared" si="58"/>
        <v>0</v>
      </c>
      <c r="T86" s="1296">
        <f t="shared" si="58"/>
        <v>0</v>
      </c>
      <c r="U86" s="1296">
        <f t="shared" si="58"/>
        <v>0</v>
      </c>
      <c r="V86" s="1296">
        <f t="shared" si="58"/>
        <v>0</v>
      </c>
      <c r="W86" s="1296">
        <f t="shared" si="58"/>
        <v>0</v>
      </c>
    </row>
    <row r="87" spans="2:23" x14ac:dyDescent="0.35">
      <c r="B87" s="1295" t="s">
        <v>1456</v>
      </c>
      <c r="C87" s="1296"/>
      <c r="D87" s="1296">
        <f>D79</f>
        <v>0</v>
      </c>
      <c r="E87" s="1296">
        <f>E79</f>
        <v>0</v>
      </c>
      <c r="F87" s="1296">
        <f t="shared" ref="F87:W87" si="59">F79</f>
        <v>0</v>
      </c>
      <c r="G87" s="1296">
        <f t="shared" si="59"/>
        <v>0</v>
      </c>
      <c r="H87" s="1296">
        <f t="shared" si="59"/>
        <v>0</v>
      </c>
      <c r="I87" s="1296">
        <f t="shared" si="59"/>
        <v>0</v>
      </c>
      <c r="J87" s="1296">
        <f t="shared" si="59"/>
        <v>0</v>
      </c>
      <c r="K87" s="1296">
        <f t="shared" si="59"/>
        <v>0</v>
      </c>
      <c r="L87" s="1296">
        <f t="shared" si="59"/>
        <v>0</v>
      </c>
      <c r="M87" s="1296">
        <f t="shared" si="59"/>
        <v>0</v>
      </c>
      <c r="N87" s="1296">
        <f t="shared" si="59"/>
        <v>0</v>
      </c>
      <c r="O87" s="1296">
        <f t="shared" si="59"/>
        <v>0</v>
      </c>
      <c r="P87" s="1296">
        <f t="shared" si="59"/>
        <v>0</v>
      </c>
      <c r="Q87" s="1296">
        <f t="shared" si="59"/>
        <v>0</v>
      </c>
      <c r="R87" s="1296">
        <f t="shared" si="59"/>
        <v>0</v>
      </c>
      <c r="S87" s="1296">
        <f t="shared" si="59"/>
        <v>0</v>
      </c>
      <c r="T87" s="1296">
        <f t="shared" si="59"/>
        <v>0</v>
      </c>
      <c r="U87" s="1296">
        <f t="shared" si="59"/>
        <v>0</v>
      </c>
      <c r="V87" s="1296">
        <f t="shared" si="59"/>
        <v>0</v>
      </c>
      <c r="W87" s="1296">
        <f t="shared" si="59"/>
        <v>0</v>
      </c>
    </row>
    <row r="88" spans="2:23" x14ac:dyDescent="0.35">
      <c r="B88" s="1295" t="s">
        <v>1457</v>
      </c>
      <c r="C88" s="1296"/>
      <c r="D88" s="1298">
        <f t="shared" ref="D88:W88" si="60">D86-D87</f>
        <v>0</v>
      </c>
      <c r="E88" s="1298">
        <f t="shared" si="60"/>
        <v>0</v>
      </c>
      <c r="F88" s="1298">
        <f t="shared" si="60"/>
        <v>0</v>
      </c>
      <c r="G88" s="1298">
        <f t="shared" si="60"/>
        <v>0</v>
      </c>
      <c r="H88" s="1298">
        <f t="shared" si="60"/>
        <v>0</v>
      </c>
      <c r="I88" s="1298">
        <f t="shared" si="60"/>
        <v>0</v>
      </c>
      <c r="J88" s="1298">
        <f t="shared" si="60"/>
        <v>0</v>
      </c>
      <c r="K88" s="1298">
        <f t="shared" si="60"/>
        <v>0</v>
      </c>
      <c r="L88" s="1298">
        <f t="shared" si="60"/>
        <v>0</v>
      </c>
      <c r="M88" s="1298">
        <f t="shared" si="60"/>
        <v>0</v>
      </c>
      <c r="N88" s="1298">
        <f t="shared" si="60"/>
        <v>0</v>
      </c>
      <c r="O88" s="1298">
        <f t="shared" si="60"/>
        <v>0</v>
      </c>
      <c r="P88" s="1298">
        <f t="shared" si="60"/>
        <v>0</v>
      </c>
      <c r="Q88" s="1298">
        <f t="shared" si="60"/>
        <v>0</v>
      </c>
      <c r="R88" s="1298">
        <f t="shared" si="60"/>
        <v>0</v>
      </c>
      <c r="S88" s="1298">
        <f t="shared" si="60"/>
        <v>0</v>
      </c>
      <c r="T88" s="1298">
        <f t="shared" si="60"/>
        <v>0</v>
      </c>
      <c r="U88" s="1298">
        <f t="shared" si="60"/>
        <v>0</v>
      </c>
      <c r="V88" s="1298">
        <f t="shared" si="60"/>
        <v>0</v>
      </c>
      <c r="W88" s="1298">
        <f t="shared" si="60"/>
        <v>0</v>
      </c>
    </row>
    <row r="89" spans="2:23" x14ac:dyDescent="0.35">
      <c r="B89" s="1295" t="s">
        <v>1458</v>
      </c>
      <c r="C89" s="1296"/>
      <c r="D89" s="1300">
        <f>D86*D$5*(D$6-C$6+1)/365</f>
        <v>0</v>
      </c>
      <c r="E89" s="1300">
        <f>E86*E$5*(E$6-D$6)/365</f>
        <v>0</v>
      </c>
      <c r="F89" s="1300">
        <f t="shared" ref="F89:W89" si="61">F86*F$5*(F$6-E$6)/365</f>
        <v>0</v>
      </c>
      <c r="G89" s="1300">
        <f t="shared" si="61"/>
        <v>0</v>
      </c>
      <c r="H89" s="1300">
        <f t="shared" si="61"/>
        <v>0</v>
      </c>
      <c r="I89" s="1300">
        <f t="shared" si="61"/>
        <v>0</v>
      </c>
      <c r="J89" s="1300">
        <f t="shared" si="61"/>
        <v>0</v>
      </c>
      <c r="K89" s="1300">
        <f t="shared" si="61"/>
        <v>0</v>
      </c>
      <c r="L89" s="1300">
        <f t="shared" si="61"/>
        <v>0</v>
      </c>
      <c r="M89" s="1300">
        <f t="shared" si="61"/>
        <v>0</v>
      </c>
      <c r="N89" s="1300">
        <f t="shared" si="61"/>
        <v>0</v>
      </c>
      <c r="O89" s="1300">
        <f t="shared" si="61"/>
        <v>0</v>
      </c>
      <c r="P89" s="1300">
        <f t="shared" si="61"/>
        <v>0</v>
      </c>
      <c r="Q89" s="1300">
        <f t="shared" si="61"/>
        <v>0</v>
      </c>
      <c r="R89" s="1300">
        <f t="shared" si="61"/>
        <v>0</v>
      </c>
      <c r="S89" s="1300">
        <f t="shared" si="61"/>
        <v>0</v>
      </c>
      <c r="T89" s="1300">
        <f t="shared" si="61"/>
        <v>0</v>
      </c>
      <c r="U89" s="1300">
        <f t="shared" si="61"/>
        <v>0</v>
      </c>
      <c r="V89" s="1300">
        <f t="shared" si="61"/>
        <v>0</v>
      </c>
      <c r="W89" s="1300">
        <f t="shared" si="61"/>
        <v>0</v>
      </c>
    </row>
    <row r="91" spans="2:23" x14ac:dyDescent="0.35">
      <c r="B91" s="1288" t="s">
        <v>1464</v>
      </c>
      <c r="C91" s="1289">
        <v>43087</v>
      </c>
      <c r="D91" s="1289">
        <f>EOMONTH(E91,-12)</f>
        <v>43190</v>
      </c>
      <c r="E91" s="1289">
        <f>EOMONTH(F91,-12)</f>
        <v>43555</v>
      </c>
      <c r="F91" s="1289">
        <f>EOMONTH(G91,-12)</f>
        <v>43921</v>
      </c>
      <c r="G91" s="1289">
        <f>'Debt Assumptions &amp; working'!$C$17</f>
        <v>44286</v>
      </c>
      <c r="H91" s="1289">
        <f>EOMONTH(G91,12)</f>
        <v>44651</v>
      </c>
      <c r="I91" s="1289">
        <f t="shared" ref="I91:W91" si="62">EOMONTH(H91,12)</f>
        <v>45016</v>
      </c>
      <c r="J91" s="1289">
        <f t="shared" si="62"/>
        <v>45382</v>
      </c>
      <c r="K91" s="1289">
        <f t="shared" si="62"/>
        <v>45747</v>
      </c>
      <c r="L91" s="1289">
        <f t="shared" si="62"/>
        <v>46112</v>
      </c>
      <c r="M91" s="1289">
        <f t="shared" si="62"/>
        <v>46477</v>
      </c>
      <c r="N91" s="1289">
        <f t="shared" si="62"/>
        <v>46843</v>
      </c>
      <c r="O91" s="1289">
        <f t="shared" si="62"/>
        <v>47208</v>
      </c>
      <c r="P91" s="1289">
        <f t="shared" si="62"/>
        <v>47573</v>
      </c>
      <c r="Q91" s="1289">
        <f t="shared" si="62"/>
        <v>47938</v>
      </c>
      <c r="R91" s="1289">
        <f t="shared" si="62"/>
        <v>48304</v>
      </c>
      <c r="S91" s="1289">
        <f t="shared" si="62"/>
        <v>48669</v>
      </c>
      <c r="T91" s="1289">
        <f t="shared" si="62"/>
        <v>49034</v>
      </c>
      <c r="U91" s="1289">
        <f t="shared" si="62"/>
        <v>49399</v>
      </c>
      <c r="V91" s="1289">
        <f t="shared" si="62"/>
        <v>49765</v>
      </c>
      <c r="W91" s="1289">
        <f t="shared" si="62"/>
        <v>50130</v>
      </c>
    </row>
    <row r="92" spans="2:23" x14ac:dyDescent="0.35">
      <c r="B92" s="1290" t="s">
        <v>1450</v>
      </c>
      <c r="C92" s="1290">
        <v>0</v>
      </c>
      <c r="D92" s="1291">
        <f>(D91-C91+1)/365</f>
        <v>0.28493150684931506</v>
      </c>
      <c r="E92" s="1291">
        <f t="shared" ref="E92:W92" si="63">D92+1</f>
        <v>1.284931506849315</v>
      </c>
      <c r="F92" s="1291">
        <f t="shared" si="63"/>
        <v>2.2849315068493148</v>
      </c>
      <c r="G92" s="1291">
        <f t="shared" si="63"/>
        <v>3.2849315068493148</v>
      </c>
      <c r="H92" s="1291">
        <f t="shared" si="63"/>
        <v>4.2849315068493148</v>
      </c>
      <c r="I92" s="1291">
        <f t="shared" si="63"/>
        <v>5.2849315068493148</v>
      </c>
      <c r="J92" s="1291">
        <f t="shared" si="63"/>
        <v>6.2849315068493148</v>
      </c>
      <c r="K92" s="1291">
        <f t="shared" si="63"/>
        <v>7.2849315068493148</v>
      </c>
      <c r="L92" s="1291">
        <f t="shared" si="63"/>
        <v>8.2849315068493148</v>
      </c>
      <c r="M92" s="1291">
        <f t="shared" si="63"/>
        <v>9.2849315068493148</v>
      </c>
      <c r="N92" s="1291">
        <f t="shared" si="63"/>
        <v>10.284931506849315</v>
      </c>
      <c r="O92" s="1291">
        <f t="shared" si="63"/>
        <v>11.284931506849315</v>
      </c>
      <c r="P92" s="1291">
        <f t="shared" si="63"/>
        <v>12.284931506849315</v>
      </c>
      <c r="Q92" s="1291">
        <f t="shared" si="63"/>
        <v>13.284931506849315</v>
      </c>
      <c r="R92" s="1291">
        <f t="shared" si="63"/>
        <v>14.284931506849315</v>
      </c>
      <c r="S92" s="1291">
        <f t="shared" si="63"/>
        <v>15.284931506849315</v>
      </c>
      <c r="T92" s="1291">
        <f t="shared" si="63"/>
        <v>16.284931506849315</v>
      </c>
      <c r="U92" s="1291">
        <f t="shared" si="63"/>
        <v>17.284931506849315</v>
      </c>
      <c r="V92" s="1291">
        <f t="shared" si="63"/>
        <v>18.284931506849315</v>
      </c>
      <c r="W92" s="1291">
        <f t="shared" si="63"/>
        <v>19.284931506849315</v>
      </c>
    </row>
    <row r="93" spans="2:23" x14ac:dyDescent="0.35">
      <c r="B93" s="1290" t="s">
        <v>518</v>
      </c>
      <c r="C93" s="1290"/>
      <c r="D93" s="1292">
        <v>0</v>
      </c>
      <c r="E93" s="1292">
        <v>0</v>
      </c>
      <c r="F93" s="1292">
        <v>0</v>
      </c>
      <c r="G93" s="1293">
        <v>0</v>
      </c>
      <c r="H93" s="1294">
        <v>0</v>
      </c>
      <c r="I93" s="1294">
        <v>0</v>
      </c>
      <c r="J93" s="1294">
        <v>0</v>
      </c>
      <c r="K93" s="1294">
        <v>0</v>
      </c>
      <c r="L93" s="1294">
        <v>0</v>
      </c>
      <c r="M93" s="1294">
        <v>0</v>
      </c>
      <c r="N93" s="1294">
        <v>0</v>
      </c>
      <c r="O93" s="1294">
        <v>0</v>
      </c>
      <c r="P93" s="1294">
        <v>1</v>
      </c>
      <c r="Q93" s="1294"/>
      <c r="R93" s="1294"/>
      <c r="S93" s="1294"/>
      <c r="T93" s="1294"/>
      <c r="U93" s="1294"/>
      <c r="V93" s="1294"/>
      <c r="W93" s="1294"/>
    </row>
    <row r="94" spans="2:23" x14ac:dyDescent="0.35">
      <c r="B94" s="1295" t="s">
        <v>544</v>
      </c>
      <c r="C94" s="1296"/>
      <c r="D94" s="1296">
        <f>-C100</f>
        <v>0</v>
      </c>
      <c r="E94" s="1296">
        <f t="shared" ref="E94:W94" si="64">D98</f>
        <v>0</v>
      </c>
      <c r="F94" s="1296">
        <f t="shared" si="64"/>
        <v>0</v>
      </c>
      <c r="G94" s="1296">
        <f t="shared" si="64"/>
        <v>0</v>
      </c>
      <c r="H94" s="1296">
        <f t="shared" si="64"/>
        <v>0</v>
      </c>
      <c r="I94" s="1296">
        <f t="shared" si="64"/>
        <v>0</v>
      </c>
      <c r="J94" s="1296">
        <f t="shared" si="64"/>
        <v>0</v>
      </c>
      <c r="K94" s="1296">
        <f t="shared" si="64"/>
        <v>0</v>
      </c>
      <c r="L94" s="1296">
        <f t="shared" si="64"/>
        <v>0</v>
      </c>
      <c r="M94" s="1296">
        <f t="shared" si="64"/>
        <v>0</v>
      </c>
      <c r="N94" s="1296">
        <f t="shared" si="64"/>
        <v>0</v>
      </c>
      <c r="O94" s="1296">
        <f t="shared" si="64"/>
        <v>0</v>
      </c>
      <c r="P94" s="1296">
        <f t="shared" si="64"/>
        <v>0</v>
      </c>
      <c r="Q94" s="1296">
        <f t="shared" si="64"/>
        <v>0</v>
      </c>
      <c r="R94" s="1296">
        <f t="shared" si="64"/>
        <v>0</v>
      </c>
      <c r="S94" s="1296">
        <f t="shared" si="64"/>
        <v>0</v>
      </c>
      <c r="T94" s="1296">
        <f t="shared" si="64"/>
        <v>0</v>
      </c>
      <c r="U94" s="1296">
        <f t="shared" si="64"/>
        <v>0</v>
      </c>
      <c r="V94" s="1296">
        <f t="shared" si="64"/>
        <v>0</v>
      </c>
      <c r="W94" s="1296">
        <f t="shared" si="64"/>
        <v>0</v>
      </c>
    </row>
    <row r="95" spans="2:23" x14ac:dyDescent="0.35">
      <c r="B95" s="1295" t="s">
        <v>276</v>
      </c>
      <c r="C95" s="1296"/>
      <c r="D95" s="1296">
        <f>D94*(D$4-D$5)*(D91-C91)/365</f>
        <v>0</v>
      </c>
      <c r="E95" s="1296">
        <f>(D105*(E$4-E$5))+(E4*(SUM($D$95:D95)-SUM($D$97:D97)))</f>
        <v>0</v>
      </c>
      <c r="F95" s="1296">
        <f>(E105*(F$4-F$5))+(F4*(SUM($D$95:E95)-SUM($D$97:E97)))</f>
        <v>0</v>
      </c>
      <c r="G95" s="1296">
        <f>(F105*(G$4-G$5))+(G4*(SUM($D$95:F95)-SUM($D$97:F97)))</f>
        <v>0</v>
      </c>
      <c r="H95" s="1296">
        <f>(G105*(H$4-H$5))+(H4*(SUM($D$95:G95)-SUM($D$97:G97)))</f>
        <v>0</v>
      </c>
      <c r="I95" s="1296">
        <f>(H105*(I$4-I$5))+(I4*(SUM($D$95:H95)-SUM($D$97:H97)))</f>
        <v>0</v>
      </c>
      <c r="J95" s="1296">
        <f>(I105*(J$4-J$5))+(J4*(SUM($D$95:I95)-SUM($D$97:I97)))</f>
        <v>0</v>
      </c>
      <c r="K95" s="1296">
        <f>(J105*(K$4-K$5))+(K4*(SUM($D$95:J95)-SUM($D$97:J97)))</f>
        <v>0</v>
      </c>
      <c r="L95" s="1296">
        <f>(K105*(L$4-L$5))+(L4*(SUM($D$95:K95)-SUM($D$97:K97)))</f>
        <v>0</v>
      </c>
      <c r="M95" s="1296">
        <f>(L105*(M$4-M$5))+(M4*(SUM($D$95:L95)-SUM($D$97:L97)))</f>
        <v>0</v>
      </c>
      <c r="N95" s="1296">
        <f>(M105*(N$4-N$5))+(N4*(SUM($D$95:M95)-SUM($D$97:M97)))</f>
        <v>0</v>
      </c>
      <c r="O95" s="1296">
        <f>(N105*(O$4-O$5))+(O4*(SUM($D$95:N95)-SUM($D$97:N97)))</f>
        <v>0</v>
      </c>
      <c r="P95" s="1296">
        <f>(O105*(P$4-P$5))+(P4*(SUM($D$95:O95)-SUM($D$97:O97)))</f>
        <v>0</v>
      </c>
      <c r="Q95" s="1296">
        <f>(P105*(Q$4-Q$5))+(Q4*(SUM($D$95:P95)-SUM($D$97:P97)))</f>
        <v>0</v>
      </c>
      <c r="R95" s="1296">
        <f>(Q105*(R$4-R$5))+(R4*(SUM($D$95:Q95)-SUM($D$97:Q97)))</f>
        <v>0</v>
      </c>
      <c r="S95" s="1296">
        <f>(R105*(S$4-S$5))+(S4*(SUM($D$95:R95)-SUM($D$97:R97)))</f>
        <v>0</v>
      </c>
      <c r="T95" s="1296">
        <f>(S105*(T$4-T$5))+(T4*(SUM($D$95:S95)-SUM($D$97:S97)))</f>
        <v>0</v>
      </c>
      <c r="U95" s="1296">
        <f>(T105*(U$4-U$5))+(U4*(SUM($D$95:T95)-SUM($D$97:T97)))</f>
        <v>0</v>
      </c>
      <c r="V95" s="1296">
        <f>(U105*(V$4-V$5))+(V4*(SUM($D$95:U95)-SUM($D$97:U97)))</f>
        <v>0</v>
      </c>
      <c r="W95" s="1296">
        <f>(V105*(W$4-W$5))+(W4*(SUM($D$95:V95)-SUM($D$97:V97)))</f>
        <v>0</v>
      </c>
    </row>
    <row r="96" spans="2:23" x14ac:dyDescent="0.35">
      <c r="B96" s="1295" t="s">
        <v>545</v>
      </c>
      <c r="C96" s="1296"/>
      <c r="D96" s="1296">
        <f>$D$94*D93</f>
        <v>0</v>
      </c>
      <c r="E96" s="1296">
        <f t="shared" ref="E96:W96" si="65">$D$94*E93</f>
        <v>0</v>
      </c>
      <c r="F96" s="1296">
        <f t="shared" si="65"/>
        <v>0</v>
      </c>
      <c r="G96" s="1296">
        <f t="shared" si="65"/>
        <v>0</v>
      </c>
      <c r="H96" s="1296">
        <f t="shared" si="65"/>
        <v>0</v>
      </c>
      <c r="I96" s="1296">
        <f t="shared" si="65"/>
        <v>0</v>
      </c>
      <c r="J96" s="1296">
        <f t="shared" si="65"/>
        <v>0</v>
      </c>
      <c r="K96" s="1296">
        <f t="shared" si="65"/>
        <v>0</v>
      </c>
      <c r="L96" s="1296">
        <f t="shared" si="65"/>
        <v>0</v>
      </c>
      <c r="M96" s="1296">
        <f t="shared" si="65"/>
        <v>0</v>
      </c>
      <c r="N96" s="1296">
        <f t="shared" si="65"/>
        <v>0</v>
      </c>
      <c r="O96" s="1296">
        <f t="shared" si="65"/>
        <v>0</v>
      </c>
      <c r="P96" s="1296">
        <f t="shared" si="65"/>
        <v>0</v>
      </c>
      <c r="Q96" s="1296">
        <f t="shared" si="65"/>
        <v>0</v>
      </c>
      <c r="R96" s="1296">
        <f t="shared" si="65"/>
        <v>0</v>
      </c>
      <c r="S96" s="1296">
        <f t="shared" si="65"/>
        <v>0</v>
      </c>
      <c r="T96" s="1296">
        <f t="shared" si="65"/>
        <v>0</v>
      </c>
      <c r="U96" s="1296">
        <f t="shared" si="65"/>
        <v>0</v>
      </c>
      <c r="V96" s="1296">
        <f t="shared" si="65"/>
        <v>0</v>
      </c>
      <c r="W96" s="1296">
        <f t="shared" si="65"/>
        <v>0</v>
      </c>
    </row>
    <row r="97" spans="2:23" x14ac:dyDescent="0.35">
      <c r="B97" s="1295" t="s">
        <v>1451</v>
      </c>
      <c r="C97" s="1297"/>
      <c r="D97" s="1297"/>
      <c r="E97" s="1297"/>
      <c r="F97" s="1297"/>
      <c r="G97" s="1297"/>
      <c r="H97" s="1297"/>
      <c r="I97" s="1297"/>
      <c r="J97" s="1297"/>
      <c r="K97" s="1297"/>
      <c r="L97" s="1297"/>
      <c r="M97" s="1297"/>
      <c r="N97" s="1297"/>
      <c r="O97" s="1297"/>
      <c r="P97" s="1297">
        <f>P94+P95-P96-P98</f>
        <v>0</v>
      </c>
      <c r="Q97" s="1297"/>
      <c r="R97" s="1297"/>
      <c r="S97" s="1297"/>
      <c r="T97" s="1297"/>
      <c r="U97" s="1297"/>
      <c r="V97" s="1297"/>
      <c r="W97" s="1297"/>
    </row>
    <row r="98" spans="2:23" x14ac:dyDescent="0.35">
      <c r="B98" s="1295" t="s">
        <v>546</v>
      </c>
      <c r="C98" s="1296"/>
      <c r="D98" s="1296">
        <f t="shared" ref="D98:O98" si="66">D94+D95-D96-D97</f>
        <v>0</v>
      </c>
      <c r="E98" s="1296">
        <f t="shared" si="66"/>
        <v>0</v>
      </c>
      <c r="F98" s="1296">
        <f t="shared" si="66"/>
        <v>0</v>
      </c>
      <c r="G98" s="1296">
        <f t="shared" si="66"/>
        <v>0</v>
      </c>
      <c r="H98" s="1296">
        <f t="shared" si="66"/>
        <v>0</v>
      </c>
      <c r="I98" s="1296">
        <f t="shared" si="66"/>
        <v>0</v>
      </c>
      <c r="J98" s="1296">
        <f t="shared" si="66"/>
        <v>0</v>
      </c>
      <c r="K98" s="1296">
        <f t="shared" si="66"/>
        <v>0</v>
      </c>
      <c r="L98" s="1296">
        <f t="shared" si="66"/>
        <v>0</v>
      </c>
      <c r="M98" s="1296">
        <f t="shared" si="66"/>
        <v>0</v>
      </c>
      <c r="N98" s="1296">
        <f t="shared" si="66"/>
        <v>0</v>
      </c>
      <c r="O98" s="1296">
        <f t="shared" si="66"/>
        <v>0</v>
      </c>
      <c r="P98" s="1296">
        <v>0</v>
      </c>
      <c r="Q98" s="1296">
        <f t="shared" ref="Q98:W98" si="67">Q94+Q95-Q96-Q97</f>
        <v>0</v>
      </c>
      <c r="R98" s="1296">
        <f t="shared" si="67"/>
        <v>0</v>
      </c>
      <c r="S98" s="1296">
        <f t="shared" si="67"/>
        <v>0</v>
      </c>
      <c r="T98" s="1296">
        <f t="shared" si="67"/>
        <v>0</v>
      </c>
      <c r="U98" s="1296">
        <f t="shared" si="67"/>
        <v>0</v>
      </c>
      <c r="V98" s="1296">
        <f t="shared" si="67"/>
        <v>0</v>
      </c>
      <c r="W98" s="1296">
        <f t="shared" si="67"/>
        <v>0</v>
      </c>
    </row>
    <row r="99" spans="2:23" x14ac:dyDescent="0.35">
      <c r="B99" s="1295" t="s">
        <v>1452</v>
      </c>
      <c r="C99" s="1296"/>
      <c r="D99" s="1296">
        <f>D106</f>
        <v>0</v>
      </c>
      <c r="E99" s="1296">
        <f t="shared" ref="E99:W99" si="68">E106</f>
        <v>0</v>
      </c>
      <c r="F99" s="1296">
        <f t="shared" si="68"/>
        <v>0</v>
      </c>
      <c r="G99" s="1296">
        <f t="shared" si="68"/>
        <v>0</v>
      </c>
      <c r="H99" s="1296">
        <f t="shared" si="68"/>
        <v>0</v>
      </c>
      <c r="I99" s="1296">
        <f t="shared" si="68"/>
        <v>0</v>
      </c>
      <c r="J99" s="1296">
        <f t="shared" si="68"/>
        <v>0</v>
      </c>
      <c r="K99" s="1296">
        <f t="shared" si="68"/>
        <v>0</v>
      </c>
      <c r="L99" s="1296">
        <f t="shared" si="68"/>
        <v>0</v>
      </c>
      <c r="M99" s="1296">
        <f t="shared" si="68"/>
        <v>0</v>
      </c>
      <c r="N99" s="1296">
        <f t="shared" si="68"/>
        <v>0</v>
      </c>
      <c r="O99" s="1296">
        <f t="shared" si="68"/>
        <v>0</v>
      </c>
      <c r="P99" s="1296">
        <f t="shared" si="68"/>
        <v>0</v>
      </c>
      <c r="Q99" s="1296">
        <f t="shared" si="68"/>
        <v>0</v>
      </c>
      <c r="R99" s="1296">
        <f t="shared" si="68"/>
        <v>0</v>
      </c>
      <c r="S99" s="1296">
        <f t="shared" si="68"/>
        <v>0</v>
      </c>
      <c r="T99" s="1296">
        <f t="shared" si="68"/>
        <v>0</v>
      </c>
      <c r="U99" s="1296">
        <f t="shared" si="68"/>
        <v>0</v>
      </c>
      <c r="V99" s="1296">
        <f t="shared" si="68"/>
        <v>0</v>
      </c>
      <c r="W99" s="1296">
        <f t="shared" si="68"/>
        <v>0</v>
      </c>
    </row>
    <row r="100" spans="2:23" x14ac:dyDescent="0.35">
      <c r="B100" s="1295" t="s">
        <v>1453</v>
      </c>
      <c r="C100" s="1298">
        <f>C83</f>
        <v>0</v>
      </c>
      <c r="D100" s="1298">
        <f>D96+D97+D99</f>
        <v>0</v>
      </c>
      <c r="E100" s="1298">
        <f t="shared" ref="E100:W100" si="69">E96+E97+E99</f>
        <v>0</v>
      </c>
      <c r="F100" s="1298">
        <f t="shared" si="69"/>
        <v>0</v>
      </c>
      <c r="G100" s="1298">
        <f t="shared" si="69"/>
        <v>0</v>
      </c>
      <c r="H100" s="1298">
        <f t="shared" si="69"/>
        <v>0</v>
      </c>
      <c r="I100" s="1298">
        <f t="shared" si="69"/>
        <v>0</v>
      </c>
      <c r="J100" s="1298">
        <f t="shared" si="69"/>
        <v>0</v>
      </c>
      <c r="K100" s="1298">
        <f t="shared" si="69"/>
        <v>0</v>
      </c>
      <c r="L100" s="1298">
        <f t="shared" si="69"/>
        <v>0</v>
      </c>
      <c r="M100" s="1298">
        <f t="shared" si="69"/>
        <v>0</v>
      </c>
      <c r="N100" s="1298">
        <f t="shared" si="69"/>
        <v>0</v>
      </c>
      <c r="O100" s="1298">
        <f t="shared" si="69"/>
        <v>0</v>
      </c>
      <c r="P100" s="1298">
        <f t="shared" si="69"/>
        <v>0</v>
      </c>
      <c r="Q100" s="1298">
        <f t="shared" si="69"/>
        <v>0</v>
      </c>
      <c r="R100" s="1298">
        <f t="shared" si="69"/>
        <v>0</v>
      </c>
      <c r="S100" s="1298">
        <f t="shared" si="69"/>
        <v>0</v>
      </c>
      <c r="T100" s="1298">
        <f t="shared" si="69"/>
        <v>0</v>
      </c>
      <c r="U100" s="1298">
        <f t="shared" si="69"/>
        <v>0</v>
      </c>
      <c r="V100" s="1298">
        <f t="shared" si="69"/>
        <v>0</v>
      </c>
      <c r="W100" s="1298">
        <f t="shared" si="69"/>
        <v>0</v>
      </c>
    </row>
    <row r="101" spans="2:23" x14ac:dyDescent="0.35">
      <c r="B101" s="1295" t="s">
        <v>1454</v>
      </c>
      <c r="C101" s="1299"/>
      <c r="D101" s="1296"/>
      <c r="E101" s="1296"/>
      <c r="F101" s="1296"/>
      <c r="G101" s="1296"/>
      <c r="H101" s="1296"/>
      <c r="I101" s="1296"/>
      <c r="J101" s="1296"/>
      <c r="K101" s="1296"/>
      <c r="L101" s="1296"/>
      <c r="M101" s="1296"/>
      <c r="N101" s="1296"/>
      <c r="O101" s="1296"/>
      <c r="P101" s="1296"/>
      <c r="Q101" s="1296"/>
      <c r="R101" s="1296"/>
      <c r="S101" s="1296"/>
      <c r="T101" s="1296"/>
      <c r="U101" s="1296"/>
      <c r="V101" s="1296"/>
      <c r="W101" s="1296"/>
    </row>
    <row r="102" spans="2:23" x14ac:dyDescent="0.35">
      <c r="B102" s="213"/>
      <c r="C102" s="214"/>
      <c r="D102" s="214"/>
      <c r="E102" s="214"/>
      <c r="F102" s="214"/>
      <c r="G102" s="214"/>
      <c r="H102" s="214"/>
      <c r="I102" s="214"/>
      <c r="J102" s="214"/>
      <c r="K102" s="214"/>
      <c r="L102" s="214"/>
      <c r="M102" s="214"/>
      <c r="N102" s="214"/>
      <c r="O102" s="214"/>
      <c r="P102" s="214"/>
      <c r="Q102" s="214"/>
      <c r="R102" s="214"/>
      <c r="S102" s="214"/>
      <c r="T102" s="214"/>
      <c r="U102" s="214"/>
      <c r="V102" s="214"/>
      <c r="W102" s="214"/>
    </row>
    <row r="103" spans="2:23" x14ac:dyDescent="0.35">
      <c r="B103" s="1295" t="s">
        <v>1455</v>
      </c>
      <c r="C103" s="1296"/>
      <c r="D103" s="1296">
        <f>D94</f>
        <v>0</v>
      </c>
      <c r="E103" s="1296">
        <f t="shared" ref="E103:W103" si="70">D105</f>
        <v>0</v>
      </c>
      <c r="F103" s="1296">
        <f t="shared" si="70"/>
        <v>0</v>
      </c>
      <c r="G103" s="1296">
        <f t="shared" si="70"/>
        <v>0</v>
      </c>
      <c r="H103" s="1296">
        <f t="shared" si="70"/>
        <v>0</v>
      </c>
      <c r="I103" s="1296">
        <f t="shared" si="70"/>
        <v>0</v>
      </c>
      <c r="J103" s="1296">
        <f t="shared" si="70"/>
        <v>0</v>
      </c>
      <c r="K103" s="1296">
        <f t="shared" si="70"/>
        <v>0</v>
      </c>
      <c r="L103" s="1296">
        <f t="shared" si="70"/>
        <v>0</v>
      </c>
      <c r="M103" s="1296">
        <f t="shared" si="70"/>
        <v>0</v>
      </c>
      <c r="N103" s="1296">
        <f t="shared" si="70"/>
        <v>0</v>
      </c>
      <c r="O103" s="1296">
        <f t="shared" si="70"/>
        <v>0</v>
      </c>
      <c r="P103" s="1296">
        <f t="shared" si="70"/>
        <v>0</v>
      </c>
      <c r="Q103" s="1296">
        <f t="shared" si="70"/>
        <v>0</v>
      </c>
      <c r="R103" s="1296">
        <f t="shared" si="70"/>
        <v>0</v>
      </c>
      <c r="S103" s="1296">
        <f t="shared" si="70"/>
        <v>0</v>
      </c>
      <c r="T103" s="1296">
        <f t="shared" si="70"/>
        <v>0</v>
      </c>
      <c r="U103" s="1296">
        <f t="shared" si="70"/>
        <v>0</v>
      </c>
      <c r="V103" s="1296">
        <f t="shared" si="70"/>
        <v>0</v>
      </c>
      <c r="W103" s="1296">
        <f t="shared" si="70"/>
        <v>0</v>
      </c>
    </row>
    <row r="104" spans="2:23" x14ac:dyDescent="0.35">
      <c r="B104" s="1295" t="s">
        <v>1456</v>
      </c>
      <c r="C104" s="1296"/>
      <c r="D104" s="1296">
        <f>D96</f>
        <v>0</v>
      </c>
      <c r="E104" s="1296">
        <f>E96</f>
        <v>0</v>
      </c>
      <c r="F104" s="1296">
        <f t="shared" ref="F104:W104" si="71">F96</f>
        <v>0</v>
      </c>
      <c r="G104" s="1296">
        <f t="shared" si="71"/>
        <v>0</v>
      </c>
      <c r="H104" s="1296">
        <f t="shared" si="71"/>
        <v>0</v>
      </c>
      <c r="I104" s="1296">
        <f t="shared" si="71"/>
        <v>0</v>
      </c>
      <c r="J104" s="1296">
        <f t="shared" si="71"/>
        <v>0</v>
      </c>
      <c r="K104" s="1296">
        <f t="shared" si="71"/>
        <v>0</v>
      </c>
      <c r="L104" s="1296">
        <f t="shared" si="71"/>
        <v>0</v>
      </c>
      <c r="M104" s="1296">
        <f t="shared" si="71"/>
        <v>0</v>
      </c>
      <c r="N104" s="1296">
        <f t="shared" si="71"/>
        <v>0</v>
      </c>
      <c r="O104" s="1296">
        <f t="shared" si="71"/>
        <v>0</v>
      </c>
      <c r="P104" s="1296">
        <f t="shared" si="71"/>
        <v>0</v>
      </c>
      <c r="Q104" s="1296">
        <f t="shared" si="71"/>
        <v>0</v>
      </c>
      <c r="R104" s="1296">
        <f t="shared" si="71"/>
        <v>0</v>
      </c>
      <c r="S104" s="1296">
        <f t="shared" si="71"/>
        <v>0</v>
      </c>
      <c r="T104" s="1296">
        <f t="shared" si="71"/>
        <v>0</v>
      </c>
      <c r="U104" s="1296">
        <f t="shared" si="71"/>
        <v>0</v>
      </c>
      <c r="V104" s="1296">
        <f t="shared" si="71"/>
        <v>0</v>
      </c>
      <c r="W104" s="1296">
        <f t="shared" si="71"/>
        <v>0</v>
      </c>
    </row>
    <row r="105" spans="2:23" x14ac:dyDescent="0.35">
      <c r="B105" s="1295" t="s">
        <v>1457</v>
      </c>
      <c r="C105" s="1296"/>
      <c r="D105" s="1298">
        <f t="shared" ref="D105:W105" si="72">D103-D104</f>
        <v>0</v>
      </c>
      <c r="E105" s="1298">
        <f t="shared" si="72"/>
        <v>0</v>
      </c>
      <c r="F105" s="1298">
        <f t="shared" si="72"/>
        <v>0</v>
      </c>
      <c r="G105" s="1298">
        <f t="shared" si="72"/>
        <v>0</v>
      </c>
      <c r="H105" s="1298">
        <f t="shared" si="72"/>
        <v>0</v>
      </c>
      <c r="I105" s="1298">
        <f t="shared" si="72"/>
        <v>0</v>
      </c>
      <c r="J105" s="1298">
        <f t="shared" si="72"/>
        <v>0</v>
      </c>
      <c r="K105" s="1298">
        <f t="shared" si="72"/>
        <v>0</v>
      </c>
      <c r="L105" s="1298">
        <f t="shared" si="72"/>
        <v>0</v>
      </c>
      <c r="M105" s="1298">
        <f t="shared" si="72"/>
        <v>0</v>
      </c>
      <c r="N105" s="1298">
        <f t="shared" si="72"/>
        <v>0</v>
      </c>
      <c r="O105" s="1298">
        <f t="shared" si="72"/>
        <v>0</v>
      </c>
      <c r="P105" s="1298">
        <f t="shared" si="72"/>
        <v>0</v>
      </c>
      <c r="Q105" s="1298">
        <f t="shared" si="72"/>
        <v>0</v>
      </c>
      <c r="R105" s="1298">
        <f t="shared" si="72"/>
        <v>0</v>
      </c>
      <c r="S105" s="1298">
        <f t="shared" si="72"/>
        <v>0</v>
      </c>
      <c r="T105" s="1298">
        <f t="shared" si="72"/>
        <v>0</v>
      </c>
      <c r="U105" s="1298">
        <f t="shared" si="72"/>
        <v>0</v>
      </c>
      <c r="V105" s="1298">
        <f t="shared" si="72"/>
        <v>0</v>
      </c>
      <c r="W105" s="1298">
        <f t="shared" si="72"/>
        <v>0</v>
      </c>
    </row>
    <row r="106" spans="2:23" x14ac:dyDescent="0.35">
      <c r="B106" s="1295" t="s">
        <v>1458</v>
      </c>
      <c r="C106" s="1296"/>
      <c r="D106" s="1300">
        <f>D103*D$5*(D$6-C$6+1)/365</f>
        <v>0</v>
      </c>
      <c r="E106" s="1300">
        <f>E103*E$5*(E$6-D$6)/365</f>
        <v>0</v>
      </c>
      <c r="F106" s="1300">
        <f t="shared" ref="F106:W106" si="73">F103*F$5*(F$6-E$6)/365</f>
        <v>0</v>
      </c>
      <c r="G106" s="1300">
        <f t="shared" si="73"/>
        <v>0</v>
      </c>
      <c r="H106" s="1300">
        <f t="shared" si="73"/>
        <v>0</v>
      </c>
      <c r="I106" s="1300">
        <f t="shared" si="73"/>
        <v>0</v>
      </c>
      <c r="J106" s="1300">
        <f t="shared" si="73"/>
        <v>0</v>
      </c>
      <c r="K106" s="1300">
        <f t="shared" si="73"/>
        <v>0</v>
      </c>
      <c r="L106" s="1300">
        <f t="shared" si="73"/>
        <v>0</v>
      </c>
      <c r="M106" s="1300">
        <f t="shared" si="73"/>
        <v>0</v>
      </c>
      <c r="N106" s="1300">
        <f t="shared" si="73"/>
        <v>0</v>
      </c>
      <c r="O106" s="1300">
        <f t="shared" si="73"/>
        <v>0</v>
      </c>
      <c r="P106" s="1300">
        <f t="shared" si="73"/>
        <v>0</v>
      </c>
      <c r="Q106" s="1300">
        <f t="shared" si="73"/>
        <v>0</v>
      </c>
      <c r="R106" s="1300">
        <f t="shared" si="73"/>
        <v>0</v>
      </c>
      <c r="S106" s="1300">
        <f t="shared" si="73"/>
        <v>0</v>
      </c>
      <c r="T106" s="1300">
        <f t="shared" si="73"/>
        <v>0</v>
      </c>
      <c r="U106" s="1300">
        <f t="shared" si="73"/>
        <v>0</v>
      </c>
      <c r="V106" s="1300">
        <f t="shared" si="73"/>
        <v>0</v>
      </c>
      <c r="W106" s="1300">
        <f t="shared" si="73"/>
        <v>0</v>
      </c>
    </row>
    <row r="108" spans="2:23" x14ac:dyDescent="0.35">
      <c r="B108" s="1288" t="s">
        <v>1465</v>
      </c>
      <c r="C108" s="1289">
        <v>43087</v>
      </c>
      <c r="D108" s="1289">
        <f>EOMONTH(E108,-12)</f>
        <v>43190</v>
      </c>
      <c r="E108" s="1289">
        <f>EOMONTH(F108,-12)</f>
        <v>43555</v>
      </c>
      <c r="F108" s="1289">
        <f>EOMONTH(G108,-12)</f>
        <v>43921</v>
      </c>
      <c r="G108" s="1289">
        <f>'Debt Assumptions &amp; working'!$C$17</f>
        <v>44286</v>
      </c>
      <c r="H108" s="1289">
        <f>EOMONTH(G108,12)</f>
        <v>44651</v>
      </c>
      <c r="I108" s="1289">
        <f t="shared" ref="I108:W108" si="74">EOMONTH(H108,12)</f>
        <v>45016</v>
      </c>
      <c r="J108" s="1289">
        <f t="shared" si="74"/>
        <v>45382</v>
      </c>
      <c r="K108" s="1289">
        <f t="shared" si="74"/>
        <v>45747</v>
      </c>
      <c r="L108" s="1289">
        <f t="shared" si="74"/>
        <v>46112</v>
      </c>
      <c r="M108" s="1289">
        <f t="shared" si="74"/>
        <v>46477</v>
      </c>
      <c r="N108" s="1289">
        <f t="shared" si="74"/>
        <v>46843</v>
      </c>
      <c r="O108" s="1289">
        <f t="shared" si="74"/>
        <v>47208</v>
      </c>
      <c r="P108" s="1289">
        <f t="shared" si="74"/>
        <v>47573</v>
      </c>
      <c r="Q108" s="1289">
        <f t="shared" si="74"/>
        <v>47938</v>
      </c>
      <c r="R108" s="1289">
        <f t="shared" si="74"/>
        <v>48304</v>
      </c>
      <c r="S108" s="1289">
        <f t="shared" si="74"/>
        <v>48669</v>
      </c>
      <c r="T108" s="1289">
        <f t="shared" si="74"/>
        <v>49034</v>
      </c>
      <c r="U108" s="1289">
        <f t="shared" si="74"/>
        <v>49399</v>
      </c>
      <c r="V108" s="1289">
        <f t="shared" si="74"/>
        <v>49765</v>
      </c>
      <c r="W108" s="1289">
        <f t="shared" si="74"/>
        <v>50130</v>
      </c>
    </row>
    <row r="109" spans="2:23" x14ac:dyDescent="0.35">
      <c r="B109" s="1290" t="s">
        <v>1450</v>
      </c>
      <c r="C109" s="1290">
        <v>0</v>
      </c>
      <c r="D109" s="1291">
        <f>(D108-C108+1)/365</f>
        <v>0.28493150684931506</v>
      </c>
      <c r="E109" s="1291">
        <f t="shared" ref="E109:W109" si="75">D109+1</f>
        <v>1.284931506849315</v>
      </c>
      <c r="F109" s="1291">
        <f t="shared" si="75"/>
        <v>2.2849315068493148</v>
      </c>
      <c r="G109" s="1291">
        <f t="shared" si="75"/>
        <v>3.2849315068493148</v>
      </c>
      <c r="H109" s="1291">
        <f t="shared" si="75"/>
        <v>4.2849315068493148</v>
      </c>
      <c r="I109" s="1291">
        <f t="shared" si="75"/>
        <v>5.2849315068493148</v>
      </c>
      <c r="J109" s="1291">
        <f t="shared" si="75"/>
        <v>6.2849315068493148</v>
      </c>
      <c r="K109" s="1291">
        <f t="shared" si="75"/>
        <v>7.2849315068493148</v>
      </c>
      <c r="L109" s="1291">
        <f t="shared" si="75"/>
        <v>8.2849315068493148</v>
      </c>
      <c r="M109" s="1291">
        <f t="shared" si="75"/>
        <v>9.2849315068493148</v>
      </c>
      <c r="N109" s="1291">
        <f t="shared" si="75"/>
        <v>10.284931506849315</v>
      </c>
      <c r="O109" s="1291">
        <f t="shared" si="75"/>
        <v>11.284931506849315</v>
      </c>
      <c r="P109" s="1291">
        <f t="shared" si="75"/>
        <v>12.284931506849315</v>
      </c>
      <c r="Q109" s="1291">
        <f t="shared" si="75"/>
        <v>13.284931506849315</v>
      </c>
      <c r="R109" s="1291">
        <f t="shared" si="75"/>
        <v>14.284931506849315</v>
      </c>
      <c r="S109" s="1291">
        <f t="shared" si="75"/>
        <v>15.284931506849315</v>
      </c>
      <c r="T109" s="1291">
        <f t="shared" si="75"/>
        <v>16.284931506849315</v>
      </c>
      <c r="U109" s="1291">
        <f t="shared" si="75"/>
        <v>17.284931506849315</v>
      </c>
      <c r="V109" s="1291">
        <f t="shared" si="75"/>
        <v>18.284931506849315</v>
      </c>
      <c r="W109" s="1291">
        <f t="shared" si="75"/>
        <v>19.284931506849315</v>
      </c>
    </row>
    <row r="110" spans="2:23" x14ac:dyDescent="0.35">
      <c r="B110" s="1290" t="s">
        <v>518</v>
      </c>
      <c r="C110" s="1290"/>
      <c r="D110" s="1292">
        <v>0</v>
      </c>
      <c r="E110" s="1292">
        <v>0</v>
      </c>
      <c r="F110" s="1292">
        <v>0</v>
      </c>
      <c r="G110" s="1293">
        <v>0</v>
      </c>
      <c r="H110" s="1294">
        <v>0</v>
      </c>
      <c r="I110" s="1294">
        <v>0</v>
      </c>
      <c r="J110" s="1294">
        <v>0</v>
      </c>
      <c r="K110" s="1294">
        <v>0</v>
      </c>
      <c r="L110" s="1294">
        <v>0</v>
      </c>
      <c r="M110" s="1294">
        <v>0</v>
      </c>
      <c r="N110" s="1294">
        <v>0</v>
      </c>
      <c r="O110" s="1294">
        <v>0</v>
      </c>
      <c r="P110" s="1294">
        <v>0</v>
      </c>
      <c r="Q110" s="1294">
        <v>1</v>
      </c>
      <c r="R110" s="1294"/>
      <c r="S110" s="1294"/>
      <c r="T110" s="1294"/>
      <c r="U110" s="1294"/>
      <c r="V110" s="1294"/>
      <c r="W110" s="1294"/>
    </row>
    <row r="111" spans="2:23" x14ac:dyDescent="0.35">
      <c r="B111" s="1295" t="s">
        <v>544</v>
      </c>
      <c r="C111" s="1296"/>
      <c r="D111" s="1296">
        <f>-C117</f>
        <v>0</v>
      </c>
      <c r="E111" s="1296">
        <f t="shared" ref="E111:W111" si="76">D115</f>
        <v>0</v>
      </c>
      <c r="F111" s="1296">
        <f t="shared" si="76"/>
        <v>0</v>
      </c>
      <c r="G111" s="1296">
        <f t="shared" si="76"/>
        <v>0</v>
      </c>
      <c r="H111" s="1296">
        <f t="shared" si="76"/>
        <v>0</v>
      </c>
      <c r="I111" s="1296">
        <f t="shared" si="76"/>
        <v>0</v>
      </c>
      <c r="J111" s="1296">
        <f t="shared" si="76"/>
        <v>0</v>
      </c>
      <c r="K111" s="1296">
        <f t="shared" si="76"/>
        <v>0</v>
      </c>
      <c r="L111" s="1296">
        <f t="shared" si="76"/>
        <v>0</v>
      </c>
      <c r="M111" s="1296">
        <f t="shared" si="76"/>
        <v>0</v>
      </c>
      <c r="N111" s="1296">
        <f t="shared" si="76"/>
        <v>0</v>
      </c>
      <c r="O111" s="1296">
        <f t="shared" si="76"/>
        <v>0</v>
      </c>
      <c r="P111" s="1296">
        <f t="shared" si="76"/>
        <v>0</v>
      </c>
      <c r="Q111" s="1296">
        <f t="shared" si="76"/>
        <v>0</v>
      </c>
      <c r="R111" s="1296">
        <f t="shared" si="76"/>
        <v>0</v>
      </c>
      <c r="S111" s="1296">
        <f t="shared" si="76"/>
        <v>0</v>
      </c>
      <c r="T111" s="1296">
        <f t="shared" si="76"/>
        <v>0</v>
      </c>
      <c r="U111" s="1296">
        <f t="shared" si="76"/>
        <v>0</v>
      </c>
      <c r="V111" s="1296">
        <f t="shared" si="76"/>
        <v>0</v>
      </c>
      <c r="W111" s="1296">
        <f t="shared" si="76"/>
        <v>0</v>
      </c>
    </row>
    <row r="112" spans="2:23" x14ac:dyDescent="0.35">
      <c r="B112" s="1295" t="s">
        <v>276</v>
      </c>
      <c r="C112" s="1296"/>
      <c r="D112" s="1296">
        <f>D111*(D$4-D$5)*(D108-C108)/365</f>
        <v>0</v>
      </c>
      <c r="E112" s="1296">
        <f>(D122*(E$4-E$5))+(E4*(SUM($D$112:D112)-SUM($D$114:D114)))</f>
        <v>0</v>
      </c>
      <c r="F112" s="1296">
        <f>(E122*(F$4-F$5))+(F4*(SUM($D$112:E112)-SUM($D$114:E114)))</f>
        <v>0</v>
      </c>
      <c r="G112" s="1296">
        <f>(F122*(G$4-G$5))+(G4*(SUM($D$112:F112)-SUM($D$114:F114)))</f>
        <v>0</v>
      </c>
      <c r="H112" s="1296">
        <f>(G122*(H$4-H$5))+(H4*(SUM($D$112:G112)-SUM($D$114:G114)))</f>
        <v>0</v>
      </c>
      <c r="I112" s="1296">
        <f>(H122*(I$4-I$5))+(I4*(SUM($D$112:H112)-SUM($D$114:H114)))</f>
        <v>0</v>
      </c>
      <c r="J112" s="1296">
        <f>(I122*(J$4-J$5))+(J4*(SUM($D$112:I112)-SUM($D$114:I114)))</f>
        <v>0</v>
      </c>
      <c r="K112" s="1296">
        <f>(J122*(K$4-K$5))+(K4*(SUM($D$112:J112)-SUM($D$114:J114)))</f>
        <v>0</v>
      </c>
      <c r="L112" s="1296">
        <f>(K122*(L$4-L$5))+(L4*(SUM($D$112:K112)-SUM($D$114:K114)))</f>
        <v>0</v>
      </c>
      <c r="M112" s="1296">
        <f>(L122*(M$4-M$5))+(M4*(SUM($D$112:L112)-SUM($D$114:L114)))</f>
        <v>0</v>
      </c>
      <c r="N112" s="1296">
        <f>(M122*(N$4-N$5))+(N4*(SUM($D$112:M112)-SUM($D$114:M114)))</f>
        <v>0</v>
      </c>
      <c r="O112" s="1296">
        <f>(N122*(O$4-O$5))+(O4*(SUM($D$112:N112)-SUM($D$114:N114)))</f>
        <v>0</v>
      </c>
      <c r="P112" s="1296">
        <f>(O122*(P$4-P$5))+(P4*(SUM($D$112:O112)-SUM($D$114:O114)))</f>
        <v>0</v>
      </c>
      <c r="Q112" s="1296">
        <f>(P122*(Q$4-Q$5))+(Q4*(SUM($D$112:P112)-SUM($D$114:P114)))</f>
        <v>0</v>
      </c>
      <c r="R112" s="1296">
        <f>(Q122*(R$4-R$5))+(R4*(SUM($D$112:Q112)-SUM($D$114:Q114)))</f>
        <v>0</v>
      </c>
      <c r="S112" s="1296">
        <f>(R122*(S$4-S$5))+(S4*(SUM($D$112:R112)-SUM($D$114:R114)))</f>
        <v>0</v>
      </c>
      <c r="T112" s="1296">
        <f>(S122*(T$4-T$5))+(T4*(SUM($D$112:S112)-SUM($D$114:S114)))</f>
        <v>0</v>
      </c>
      <c r="U112" s="1296">
        <f>(T122*(U$4-U$5))+(U4*(SUM($D$112:T112)-SUM($D$114:T114)))</f>
        <v>0</v>
      </c>
      <c r="V112" s="1296">
        <f>(U122*(V$4-V$5))+(V4*(SUM($D$112:U112)-SUM($D$114:U114)))</f>
        <v>0</v>
      </c>
      <c r="W112" s="1296">
        <f>(V122*(W$4-W$5))+(W4*(SUM($D$112:V112)-SUM($D$114:V114)))</f>
        <v>0</v>
      </c>
    </row>
    <row r="113" spans="2:23" x14ac:dyDescent="0.35">
      <c r="B113" s="1295" t="s">
        <v>545</v>
      </c>
      <c r="C113" s="1296"/>
      <c r="D113" s="1296">
        <f>$D$111*D110</f>
        <v>0</v>
      </c>
      <c r="E113" s="1296">
        <f t="shared" ref="E113:W113" si="77">$D$111*E110</f>
        <v>0</v>
      </c>
      <c r="F113" s="1296">
        <f t="shared" si="77"/>
        <v>0</v>
      </c>
      <c r="G113" s="1296">
        <f t="shared" si="77"/>
        <v>0</v>
      </c>
      <c r="H113" s="1296">
        <f t="shared" si="77"/>
        <v>0</v>
      </c>
      <c r="I113" s="1296">
        <f t="shared" si="77"/>
        <v>0</v>
      </c>
      <c r="J113" s="1296">
        <f t="shared" si="77"/>
        <v>0</v>
      </c>
      <c r="K113" s="1296">
        <f t="shared" si="77"/>
        <v>0</v>
      </c>
      <c r="L113" s="1296">
        <f t="shared" si="77"/>
        <v>0</v>
      </c>
      <c r="M113" s="1296">
        <f t="shared" si="77"/>
        <v>0</v>
      </c>
      <c r="N113" s="1296">
        <f t="shared" si="77"/>
        <v>0</v>
      </c>
      <c r="O113" s="1296">
        <f t="shared" si="77"/>
        <v>0</v>
      </c>
      <c r="P113" s="1296">
        <f t="shared" si="77"/>
        <v>0</v>
      </c>
      <c r="Q113" s="1296">
        <f t="shared" si="77"/>
        <v>0</v>
      </c>
      <c r="R113" s="1296">
        <f t="shared" si="77"/>
        <v>0</v>
      </c>
      <c r="S113" s="1296">
        <f t="shared" si="77"/>
        <v>0</v>
      </c>
      <c r="T113" s="1296">
        <f t="shared" si="77"/>
        <v>0</v>
      </c>
      <c r="U113" s="1296">
        <f t="shared" si="77"/>
        <v>0</v>
      </c>
      <c r="V113" s="1296">
        <f t="shared" si="77"/>
        <v>0</v>
      </c>
      <c r="W113" s="1296">
        <f t="shared" si="77"/>
        <v>0</v>
      </c>
    </row>
    <row r="114" spans="2:23" x14ac:dyDescent="0.35">
      <c r="B114" s="1295" t="s">
        <v>1451</v>
      </c>
      <c r="C114" s="1297"/>
      <c r="D114" s="1297"/>
      <c r="E114" s="1297"/>
      <c r="F114" s="1297"/>
      <c r="G114" s="1297"/>
      <c r="H114" s="1297"/>
      <c r="I114" s="1297"/>
      <c r="J114" s="1297"/>
      <c r="K114" s="1297"/>
      <c r="L114" s="1297"/>
      <c r="M114" s="1297"/>
      <c r="N114" s="1297"/>
      <c r="O114" s="1297"/>
      <c r="P114" s="1297"/>
      <c r="Q114" s="1297">
        <f>Q111+Q112-Q113-Q115</f>
        <v>0</v>
      </c>
      <c r="R114" s="1297"/>
      <c r="S114" s="1297"/>
      <c r="T114" s="1297"/>
      <c r="U114" s="1297"/>
      <c r="V114" s="1297"/>
      <c r="W114" s="1297"/>
    </row>
    <row r="115" spans="2:23" x14ac:dyDescent="0.35">
      <c r="B115" s="1295" t="s">
        <v>546</v>
      </c>
      <c r="C115" s="1296"/>
      <c r="D115" s="1296">
        <f t="shared" ref="D115:P115" si="78">D111+D112-D113-D114</f>
        <v>0</v>
      </c>
      <c r="E115" s="1296">
        <f t="shared" si="78"/>
        <v>0</v>
      </c>
      <c r="F115" s="1296">
        <f t="shared" si="78"/>
        <v>0</v>
      </c>
      <c r="G115" s="1296">
        <f t="shared" si="78"/>
        <v>0</v>
      </c>
      <c r="H115" s="1296">
        <f t="shared" si="78"/>
        <v>0</v>
      </c>
      <c r="I115" s="1296">
        <f t="shared" si="78"/>
        <v>0</v>
      </c>
      <c r="J115" s="1296">
        <f t="shared" si="78"/>
        <v>0</v>
      </c>
      <c r="K115" s="1296">
        <f t="shared" si="78"/>
        <v>0</v>
      </c>
      <c r="L115" s="1296">
        <f t="shared" si="78"/>
        <v>0</v>
      </c>
      <c r="M115" s="1296">
        <f t="shared" si="78"/>
        <v>0</v>
      </c>
      <c r="N115" s="1296">
        <f t="shared" si="78"/>
        <v>0</v>
      </c>
      <c r="O115" s="1296">
        <f t="shared" si="78"/>
        <v>0</v>
      </c>
      <c r="P115" s="1296">
        <f t="shared" si="78"/>
        <v>0</v>
      </c>
      <c r="Q115" s="1296"/>
      <c r="R115" s="1296">
        <f t="shared" ref="R115:W115" si="79">R111+R112-R113-R114</f>
        <v>0</v>
      </c>
      <c r="S115" s="1296">
        <f t="shared" si="79"/>
        <v>0</v>
      </c>
      <c r="T115" s="1296">
        <f t="shared" si="79"/>
        <v>0</v>
      </c>
      <c r="U115" s="1296">
        <f t="shared" si="79"/>
        <v>0</v>
      </c>
      <c r="V115" s="1296">
        <f t="shared" si="79"/>
        <v>0</v>
      </c>
      <c r="W115" s="1296">
        <f t="shared" si="79"/>
        <v>0</v>
      </c>
    </row>
    <row r="116" spans="2:23" x14ac:dyDescent="0.35">
      <c r="B116" s="1295" t="s">
        <v>1452</v>
      </c>
      <c r="C116" s="1296"/>
      <c r="D116" s="1296">
        <f>D123</f>
        <v>0</v>
      </c>
      <c r="E116" s="1296">
        <f t="shared" ref="E116:W116" si="80">E123</f>
        <v>0</v>
      </c>
      <c r="F116" s="1296">
        <f t="shared" si="80"/>
        <v>0</v>
      </c>
      <c r="G116" s="1296">
        <f t="shared" si="80"/>
        <v>0</v>
      </c>
      <c r="H116" s="1296">
        <f t="shared" si="80"/>
        <v>0</v>
      </c>
      <c r="I116" s="1296">
        <f t="shared" si="80"/>
        <v>0</v>
      </c>
      <c r="J116" s="1296">
        <f t="shared" si="80"/>
        <v>0</v>
      </c>
      <c r="K116" s="1296">
        <f t="shared" si="80"/>
        <v>0</v>
      </c>
      <c r="L116" s="1296">
        <f t="shared" si="80"/>
        <v>0</v>
      </c>
      <c r="M116" s="1296">
        <f t="shared" si="80"/>
        <v>0</v>
      </c>
      <c r="N116" s="1296">
        <f t="shared" si="80"/>
        <v>0</v>
      </c>
      <c r="O116" s="1296">
        <f t="shared" si="80"/>
        <v>0</v>
      </c>
      <c r="P116" s="1296">
        <f t="shared" si="80"/>
        <v>0</v>
      </c>
      <c r="Q116" s="1296">
        <f t="shared" si="80"/>
        <v>0</v>
      </c>
      <c r="R116" s="1296">
        <f t="shared" si="80"/>
        <v>0</v>
      </c>
      <c r="S116" s="1296">
        <f t="shared" si="80"/>
        <v>0</v>
      </c>
      <c r="T116" s="1296">
        <f t="shared" si="80"/>
        <v>0</v>
      </c>
      <c r="U116" s="1296">
        <f t="shared" si="80"/>
        <v>0</v>
      </c>
      <c r="V116" s="1296">
        <f t="shared" si="80"/>
        <v>0</v>
      </c>
      <c r="W116" s="1296">
        <f t="shared" si="80"/>
        <v>0</v>
      </c>
    </row>
    <row r="117" spans="2:23" x14ac:dyDescent="0.35">
      <c r="B117" s="1295" t="s">
        <v>1453</v>
      </c>
      <c r="C117" s="1298">
        <f>C100</f>
        <v>0</v>
      </c>
      <c r="D117" s="1298">
        <f>D113+D114+D116</f>
        <v>0</v>
      </c>
      <c r="E117" s="1298">
        <f t="shared" ref="E117:W117" si="81">E113+E114+E116</f>
        <v>0</v>
      </c>
      <c r="F117" s="1298">
        <f t="shared" si="81"/>
        <v>0</v>
      </c>
      <c r="G117" s="1298">
        <f t="shared" si="81"/>
        <v>0</v>
      </c>
      <c r="H117" s="1298">
        <f t="shared" si="81"/>
        <v>0</v>
      </c>
      <c r="I117" s="1298">
        <f t="shared" si="81"/>
        <v>0</v>
      </c>
      <c r="J117" s="1298">
        <f t="shared" si="81"/>
        <v>0</v>
      </c>
      <c r="K117" s="1298">
        <f t="shared" si="81"/>
        <v>0</v>
      </c>
      <c r="L117" s="1298">
        <f t="shared" si="81"/>
        <v>0</v>
      </c>
      <c r="M117" s="1298">
        <f t="shared" si="81"/>
        <v>0</v>
      </c>
      <c r="N117" s="1298">
        <f t="shared" si="81"/>
        <v>0</v>
      </c>
      <c r="O117" s="1298">
        <f t="shared" si="81"/>
        <v>0</v>
      </c>
      <c r="P117" s="1298">
        <f t="shared" si="81"/>
        <v>0</v>
      </c>
      <c r="Q117" s="1298">
        <f t="shared" si="81"/>
        <v>0</v>
      </c>
      <c r="R117" s="1298">
        <f t="shared" si="81"/>
        <v>0</v>
      </c>
      <c r="S117" s="1298">
        <f t="shared" si="81"/>
        <v>0</v>
      </c>
      <c r="T117" s="1298">
        <f t="shared" si="81"/>
        <v>0</v>
      </c>
      <c r="U117" s="1298">
        <f t="shared" si="81"/>
        <v>0</v>
      </c>
      <c r="V117" s="1298">
        <f t="shared" si="81"/>
        <v>0</v>
      </c>
      <c r="W117" s="1298">
        <f t="shared" si="81"/>
        <v>0</v>
      </c>
    </row>
    <row r="118" spans="2:23" x14ac:dyDescent="0.35">
      <c r="B118" s="1295" t="s">
        <v>1454</v>
      </c>
      <c r="C118" s="1299"/>
      <c r="D118" s="1296"/>
      <c r="E118" s="1296"/>
      <c r="F118" s="1296"/>
      <c r="G118" s="1296"/>
      <c r="H118" s="1296"/>
      <c r="I118" s="1296"/>
      <c r="J118" s="1296"/>
      <c r="K118" s="1296"/>
      <c r="L118" s="1296"/>
      <c r="M118" s="1296"/>
      <c r="N118" s="1296"/>
      <c r="O118" s="1296"/>
      <c r="P118" s="1296"/>
      <c r="Q118" s="1296"/>
      <c r="R118" s="1296"/>
      <c r="S118" s="1296"/>
      <c r="T118" s="1296"/>
      <c r="U118" s="1296"/>
      <c r="V118" s="1296"/>
      <c r="W118" s="1296"/>
    </row>
    <row r="119" spans="2:23" x14ac:dyDescent="0.35">
      <c r="B119" s="213"/>
      <c r="C119" s="214"/>
      <c r="D119" s="214"/>
      <c r="E119" s="214"/>
      <c r="F119" s="214"/>
      <c r="G119" s="214"/>
      <c r="H119" s="214"/>
      <c r="I119" s="214"/>
      <c r="J119" s="214"/>
      <c r="K119" s="214"/>
      <c r="L119" s="214"/>
      <c r="M119" s="214"/>
      <c r="N119" s="214"/>
      <c r="O119" s="214"/>
      <c r="P119" s="214"/>
      <c r="Q119" s="214"/>
      <c r="R119" s="214"/>
      <c r="S119" s="214"/>
      <c r="T119" s="214"/>
      <c r="U119" s="214"/>
      <c r="V119" s="214"/>
      <c r="W119" s="214"/>
    </row>
    <row r="120" spans="2:23" x14ac:dyDescent="0.35">
      <c r="B120" s="1295" t="s">
        <v>1455</v>
      </c>
      <c r="C120" s="1296"/>
      <c r="D120" s="1296">
        <f>D111</f>
        <v>0</v>
      </c>
      <c r="E120" s="1296">
        <f t="shared" ref="E120:W120" si="82">D122</f>
        <v>0</v>
      </c>
      <c r="F120" s="1296">
        <f t="shared" si="82"/>
        <v>0</v>
      </c>
      <c r="G120" s="1296">
        <f t="shared" si="82"/>
        <v>0</v>
      </c>
      <c r="H120" s="1296">
        <f t="shared" si="82"/>
        <v>0</v>
      </c>
      <c r="I120" s="1296">
        <f t="shared" si="82"/>
        <v>0</v>
      </c>
      <c r="J120" s="1296">
        <f t="shared" si="82"/>
        <v>0</v>
      </c>
      <c r="K120" s="1296">
        <f t="shared" si="82"/>
        <v>0</v>
      </c>
      <c r="L120" s="1296">
        <f t="shared" si="82"/>
        <v>0</v>
      </c>
      <c r="M120" s="1296">
        <f t="shared" si="82"/>
        <v>0</v>
      </c>
      <c r="N120" s="1296">
        <f t="shared" si="82"/>
        <v>0</v>
      </c>
      <c r="O120" s="1296">
        <f t="shared" si="82"/>
        <v>0</v>
      </c>
      <c r="P120" s="1296">
        <f t="shared" si="82"/>
        <v>0</v>
      </c>
      <c r="Q120" s="1296">
        <f t="shared" si="82"/>
        <v>0</v>
      </c>
      <c r="R120" s="1296">
        <f t="shared" si="82"/>
        <v>0</v>
      </c>
      <c r="S120" s="1296">
        <f t="shared" si="82"/>
        <v>0</v>
      </c>
      <c r="T120" s="1296">
        <f t="shared" si="82"/>
        <v>0</v>
      </c>
      <c r="U120" s="1296">
        <f t="shared" si="82"/>
        <v>0</v>
      </c>
      <c r="V120" s="1296">
        <f t="shared" si="82"/>
        <v>0</v>
      </c>
      <c r="W120" s="1296">
        <f t="shared" si="82"/>
        <v>0</v>
      </c>
    </row>
    <row r="121" spans="2:23" x14ac:dyDescent="0.35">
      <c r="B121" s="1295" t="s">
        <v>1456</v>
      </c>
      <c r="C121" s="1296"/>
      <c r="D121" s="1296">
        <f>D113</f>
        <v>0</v>
      </c>
      <c r="E121" s="1296">
        <f>E113</f>
        <v>0</v>
      </c>
      <c r="F121" s="1296">
        <f t="shared" ref="F121:W121" si="83">F113</f>
        <v>0</v>
      </c>
      <c r="G121" s="1296">
        <f t="shared" si="83"/>
        <v>0</v>
      </c>
      <c r="H121" s="1296">
        <f t="shared" si="83"/>
        <v>0</v>
      </c>
      <c r="I121" s="1296">
        <f t="shared" si="83"/>
        <v>0</v>
      </c>
      <c r="J121" s="1296">
        <f t="shared" si="83"/>
        <v>0</v>
      </c>
      <c r="K121" s="1296">
        <f t="shared" si="83"/>
        <v>0</v>
      </c>
      <c r="L121" s="1296">
        <f t="shared" si="83"/>
        <v>0</v>
      </c>
      <c r="M121" s="1296">
        <f t="shared" si="83"/>
        <v>0</v>
      </c>
      <c r="N121" s="1296">
        <f t="shared" si="83"/>
        <v>0</v>
      </c>
      <c r="O121" s="1296">
        <f t="shared" si="83"/>
        <v>0</v>
      </c>
      <c r="P121" s="1296">
        <f t="shared" si="83"/>
        <v>0</v>
      </c>
      <c r="Q121" s="1296">
        <f t="shared" si="83"/>
        <v>0</v>
      </c>
      <c r="R121" s="1296">
        <f t="shared" si="83"/>
        <v>0</v>
      </c>
      <c r="S121" s="1296">
        <f t="shared" si="83"/>
        <v>0</v>
      </c>
      <c r="T121" s="1296">
        <f t="shared" si="83"/>
        <v>0</v>
      </c>
      <c r="U121" s="1296">
        <f t="shared" si="83"/>
        <v>0</v>
      </c>
      <c r="V121" s="1296">
        <f t="shared" si="83"/>
        <v>0</v>
      </c>
      <c r="W121" s="1296">
        <f t="shared" si="83"/>
        <v>0</v>
      </c>
    </row>
    <row r="122" spans="2:23" x14ac:dyDescent="0.35">
      <c r="B122" s="1295" t="s">
        <v>1457</v>
      </c>
      <c r="C122" s="1296"/>
      <c r="D122" s="1298">
        <f t="shared" ref="D122:W122" si="84">D120-D121</f>
        <v>0</v>
      </c>
      <c r="E122" s="1298">
        <f t="shared" si="84"/>
        <v>0</v>
      </c>
      <c r="F122" s="1298">
        <f t="shared" si="84"/>
        <v>0</v>
      </c>
      <c r="G122" s="1298">
        <f t="shared" si="84"/>
        <v>0</v>
      </c>
      <c r="H122" s="1298">
        <f t="shared" si="84"/>
        <v>0</v>
      </c>
      <c r="I122" s="1298">
        <f t="shared" si="84"/>
        <v>0</v>
      </c>
      <c r="J122" s="1298">
        <f t="shared" si="84"/>
        <v>0</v>
      </c>
      <c r="K122" s="1298">
        <f t="shared" si="84"/>
        <v>0</v>
      </c>
      <c r="L122" s="1298">
        <f t="shared" si="84"/>
        <v>0</v>
      </c>
      <c r="M122" s="1298">
        <f t="shared" si="84"/>
        <v>0</v>
      </c>
      <c r="N122" s="1298">
        <f t="shared" si="84"/>
        <v>0</v>
      </c>
      <c r="O122" s="1298">
        <f t="shared" si="84"/>
        <v>0</v>
      </c>
      <c r="P122" s="1298">
        <f t="shared" si="84"/>
        <v>0</v>
      </c>
      <c r="Q122" s="1298">
        <f t="shared" si="84"/>
        <v>0</v>
      </c>
      <c r="R122" s="1298">
        <f t="shared" si="84"/>
        <v>0</v>
      </c>
      <c r="S122" s="1298">
        <f t="shared" si="84"/>
        <v>0</v>
      </c>
      <c r="T122" s="1298">
        <f t="shared" si="84"/>
        <v>0</v>
      </c>
      <c r="U122" s="1298">
        <f t="shared" si="84"/>
        <v>0</v>
      </c>
      <c r="V122" s="1298">
        <f t="shared" si="84"/>
        <v>0</v>
      </c>
      <c r="W122" s="1298">
        <f t="shared" si="84"/>
        <v>0</v>
      </c>
    </row>
    <row r="123" spans="2:23" x14ac:dyDescent="0.35">
      <c r="B123" s="1295" t="s">
        <v>1458</v>
      </c>
      <c r="C123" s="1296"/>
      <c r="D123" s="1300">
        <f>D120*D$5*(D$6-C$6+1)/365</f>
        <v>0</v>
      </c>
      <c r="E123" s="1300">
        <f>E120*E$5*(E$6-D$6)/365</f>
        <v>0</v>
      </c>
      <c r="F123" s="1300">
        <f t="shared" ref="F123:W123" si="85">F120*F$5*(F$6-E$6)/365</f>
        <v>0</v>
      </c>
      <c r="G123" s="1300">
        <f t="shared" si="85"/>
        <v>0</v>
      </c>
      <c r="H123" s="1300">
        <f t="shared" si="85"/>
        <v>0</v>
      </c>
      <c r="I123" s="1300">
        <f t="shared" si="85"/>
        <v>0</v>
      </c>
      <c r="J123" s="1300">
        <f t="shared" si="85"/>
        <v>0</v>
      </c>
      <c r="K123" s="1300">
        <f t="shared" si="85"/>
        <v>0</v>
      </c>
      <c r="L123" s="1300">
        <f t="shared" si="85"/>
        <v>0</v>
      </c>
      <c r="M123" s="1300">
        <f t="shared" si="85"/>
        <v>0</v>
      </c>
      <c r="N123" s="1300">
        <f t="shared" si="85"/>
        <v>0</v>
      </c>
      <c r="O123" s="1300">
        <f t="shared" si="85"/>
        <v>0</v>
      </c>
      <c r="P123" s="1300">
        <f t="shared" si="85"/>
        <v>0</v>
      </c>
      <c r="Q123" s="1300">
        <f t="shared" si="85"/>
        <v>0</v>
      </c>
      <c r="R123" s="1300">
        <f t="shared" si="85"/>
        <v>0</v>
      </c>
      <c r="S123" s="1300">
        <f t="shared" si="85"/>
        <v>0</v>
      </c>
      <c r="T123" s="1300">
        <f t="shared" si="85"/>
        <v>0</v>
      </c>
      <c r="U123" s="1300">
        <f t="shared" si="85"/>
        <v>0</v>
      </c>
      <c r="V123" s="1300">
        <f t="shared" si="85"/>
        <v>0</v>
      </c>
      <c r="W123" s="1300">
        <f t="shared" si="85"/>
        <v>0</v>
      </c>
    </row>
    <row r="125" spans="2:23" x14ac:dyDescent="0.35">
      <c r="B125" s="1288" t="s">
        <v>1466</v>
      </c>
      <c r="C125" s="1289">
        <v>43087</v>
      </c>
      <c r="D125" s="1289">
        <f>EOMONTH(E125,-12)</f>
        <v>43190</v>
      </c>
      <c r="E125" s="1289">
        <f>EOMONTH(F125,-12)</f>
        <v>43555</v>
      </c>
      <c r="F125" s="1289">
        <f>EOMONTH(G125,-12)</f>
        <v>43921</v>
      </c>
      <c r="G125" s="1289">
        <f>'Debt Assumptions &amp; working'!$C$17</f>
        <v>44286</v>
      </c>
      <c r="H125" s="1289">
        <f>EOMONTH(G125,12)</f>
        <v>44651</v>
      </c>
      <c r="I125" s="1289">
        <f t="shared" ref="I125:W125" si="86">EOMONTH(H125,12)</f>
        <v>45016</v>
      </c>
      <c r="J125" s="1289">
        <f t="shared" si="86"/>
        <v>45382</v>
      </c>
      <c r="K125" s="1289">
        <f t="shared" si="86"/>
        <v>45747</v>
      </c>
      <c r="L125" s="1289">
        <f t="shared" si="86"/>
        <v>46112</v>
      </c>
      <c r="M125" s="1289">
        <f t="shared" si="86"/>
        <v>46477</v>
      </c>
      <c r="N125" s="1289">
        <f t="shared" si="86"/>
        <v>46843</v>
      </c>
      <c r="O125" s="1289">
        <f t="shared" si="86"/>
        <v>47208</v>
      </c>
      <c r="P125" s="1289">
        <f t="shared" si="86"/>
        <v>47573</v>
      </c>
      <c r="Q125" s="1289">
        <f t="shared" si="86"/>
        <v>47938</v>
      </c>
      <c r="R125" s="1289">
        <f t="shared" si="86"/>
        <v>48304</v>
      </c>
      <c r="S125" s="1289">
        <f t="shared" si="86"/>
        <v>48669</v>
      </c>
      <c r="T125" s="1289">
        <f t="shared" si="86"/>
        <v>49034</v>
      </c>
      <c r="U125" s="1289">
        <f t="shared" si="86"/>
        <v>49399</v>
      </c>
      <c r="V125" s="1289">
        <f t="shared" si="86"/>
        <v>49765</v>
      </c>
      <c r="W125" s="1289">
        <f t="shared" si="86"/>
        <v>50130</v>
      </c>
    </row>
    <row r="126" spans="2:23" x14ac:dyDescent="0.35">
      <c r="B126" s="1290" t="s">
        <v>1450</v>
      </c>
      <c r="C126" s="1290">
        <v>0</v>
      </c>
      <c r="D126" s="1291">
        <f>(D125-C125+1)/365</f>
        <v>0.28493150684931506</v>
      </c>
      <c r="E126" s="1291">
        <f t="shared" ref="E126:W126" si="87">D126+1</f>
        <v>1.284931506849315</v>
      </c>
      <c r="F126" s="1291">
        <f t="shared" si="87"/>
        <v>2.2849315068493148</v>
      </c>
      <c r="G126" s="1291">
        <f t="shared" si="87"/>
        <v>3.2849315068493148</v>
      </c>
      <c r="H126" s="1291">
        <f t="shared" si="87"/>
        <v>4.2849315068493148</v>
      </c>
      <c r="I126" s="1291">
        <f t="shared" si="87"/>
        <v>5.2849315068493148</v>
      </c>
      <c r="J126" s="1291">
        <f t="shared" si="87"/>
        <v>6.2849315068493148</v>
      </c>
      <c r="K126" s="1291">
        <f t="shared" si="87"/>
        <v>7.2849315068493148</v>
      </c>
      <c r="L126" s="1291">
        <f t="shared" si="87"/>
        <v>8.2849315068493148</v>
      </c>
      <c r="M126" s="1291">
        <f t="shared" si="87"/>
        <v>9.2849315068493148</v>
      </c>
      <c r="N126" s="1291">
        <f t="shared" si="87"/>
        <v>10.284931506849315</v>
      </c>
      <c r="O126" s="1291">
        <f t="shared" si="87"/>
        <v>11.284931506849315</v>
      </c>
      <c r="P126" s="1291">
        <f t="shared" si="87"/>
        <v>12.284931506849315</v>
      </c>
      <c r="Q126" s="1291">
        <f t="shared" si="87"/>
        <v>13.284931506849315</v>
      </c>
      <c r="R126" s="1291">
        <f t="shared" si="87"/>
        <v>14.284931506849315</v>
      </c>
      <c r="S126" s="1291">
        <f t="shared" si="87"/>
        <v>15.284931506849315</v>
      </c>
      <c r="T126" s="1291">
        <f t="shared" si="87"/>
        <v>16.284931506849315</v>
      </c>
      <c r="U126" s="1291">
        <f t="shared" si="87"/>
        <v>17.284931506849315</v>
      </c>
      <c r="V126" s="1291">
        <f t="shared" si="87"/>
        <v>18.284931506849315</v>
      </c>
      <c r="W126" s="1291">
        <f t="shared" si="87"/>
        <v>19.284931506849315</v>
      </c>
    </row>
    <row r="127" spans="2:23" x14ac:dyDescent="0.35">
      <c r="B127" s="1290" t="s">
        <v>518</v>
      </c>
      <c r="C127" s="1290"/>
      <c r="D127" s="1292">
        <v>0</v>
      </c>
      <c r="E127" s="1292">
        <v>0</v>
      </c>
      <c r="F127" s="1292">
        <v>0</v>
      </c>
      <c r="G127" s="1293">
        <v>0</v>
      </c>
      <c r="H127" s="1294">
        <v>0</v>
      </c>
      <c r="I127" s="1294">
        <v>0</v>
      </c>
      <c r="J127" s="1294">
        <v>0</v>
      </c>
      <c r="K127" s="1294">
        <v>0</v>
      </c>
      <c r="L127" s="1294">
        <v>0</v>
      </c>
      <c r="M127" s="1294">
        <v>0</v>
      </c>
      <c r="N127" s="1294">
        <v>0</v>
      </c>
      <c r="O127" s="1294">
        <v>0</v>
      </c>
      <c r="P127" s="1294">
        <v>0</v>
      </c>
      <c r="Q127" s="1294">
        <v>0</v>
      </c>
      <c r="R127" s="1294">
        <v>1</v>
      </c>
      <c r="S127" s="1294"/>
      <c r="T127" s="1294"/>
      <c r="U127" s="1294"/>
      <c r="V127" s="1294"/>
      <c r="W127" s="1294"/>
    </row>
    <row r="128" spans="2:23" x14ac:dyDescent="0.35">
      <c r="B128" s="1295" t="s">
        <v>544</v>
      </c>
      <c r="C128" s="1296"/>
      <c r="D128" s="1296">
        <f>-C134</f>
        <v>0</v>
      </c>
      <c r="E128" s="1296">
        <f t="shared" ref="E128:W128" si="88">D132</f>
        <v>0</v>
      </c>
      <c r="F128" s="1296">
        <f t="shared" si="88"/>
        <v>0</v>
      </c>
      <c r="G128" s="1296">
        <f t="shared" si="88"/>
        <v>0</v>
      </c>
      <c r="H128" s="1296">
        <f t="shared" si="88"/>
        <v>0</v>
      </c>
      <c r="I128" s="1296">
        <f t="shared" si="88"/>
        <v>0</v>
      </c>
      <c r="J128" s="1296">
        <f t="shared" si="88"/>
        <v>0</v>
      </c>
      <c r="K128" s="1296">
        <f t="shared" si="88"/>
        <v>0</v>
      </c>
      <c r="L128" s="1296">
        <f t="shared" si="88"/>
        <v>0</v>
      </c>
      <c r="M128" s="1296">
        <f t="shared" si="88"/>
        <v>0</v>
      </c>
      <c r="N128" s="1296">
        <f t="shared" si="88"/>
        <v>0</v>
      </c>
      <c r="O128" s="1296">
        <f t="shared" si="88"/>
        <v>0</v>
      </c>
      <c r="P128" s="1296">
        <f t="shared" si="88"/>
        <v>0</v>
      </c>
      <c r="Q128" s="1296">
        <f t="shared" si="88"/>
        <v>0</v>
      </c>
      <c r="R128" s="1296">
        <f t="shared" si="88"/>
        <v>0</v>
      </c>
      <c r="S128" s="1296">
        <f t="shared" si="88"/>
        <v>0</v>
      </c>
      <c r="T128" s="1296">
        <f t="shared" si="88"/>
        <v>0</v>
      </c>
      <c r="U128" s="1296">
        <f t="shared" si="88"/>
        <v>0</v>
      </c>
      <c r="V128" s="1296">
        <f t="shared" si="88"/>
        <v>0</v>
      </c>
      <c r="W128" s="1296">
        <f t="shared" si="88"/>
        <v>0</v>
      </c>
    </row>
    <row r="129" spans="2:23" x14ac:dyDescent="0.35">
      <c r="B129" s="1295" t="s">
        <v>276</v>
      </c>
      <c r="C129" s="1296"/>
      <c r="D129" s="1296">
        <f>D128*(D$4-D$5)*(D125-C125)/365</f>
        <v>0</v>
      </c>
      <c r="E129" s="1296">
        <f>(D139*(E$4-E$5))+(E4*(SUM($D$129:D129)-SUM($D$131:D131)))</f>
        <v>0</v>
      </c>
      <c r="F129" s="1296">
        <f>(E139*(F$4-F$5))+(F4*(SUM($D$129:E129)-SUM($D$131:E131)))</f>
        <v>0</v>
      </c>
      <c r="G129" s="1296">
        <f>(F139*(G$4-G$5))+(G4*(SUM($D$129:F129)-SUM($D$131:F131)))</f>
        <v>0</v>
      </c>
      <c r="H129" s="1296">
        <f>(G139*(H$4-H$5))+(H4*(SUM($D$129:G129)-SUM($D$131:G131)))</f>
        <v>0</v>
      </c>
      <c r="I129" s="1296">
        <f>(H139*(I$4-I$5))+(I4*(SUM($D$129:H129)-SUM($D$131:H131)))</f>
        <v>0</v>
      </c>
      <c r="J129" s="1296">
        <f>(I139*(J$4-J$5))+(J4*(SUM($D$129:I129)-SUM($D$131:I131)))</f>
        <v>0</v>
      </c>
      <c r="K129" s="1296">
        <f>(J139*(K$4-K$5))+(K4*(SUM($D$129:J129)-SUM($D$131:J131)))</f>
        <v>0</v>
      </c>
      <c r="L129" s="1296">
        <f>(K139*(L$4-L$5))+(L4*(SUM($D$129:K129)-SUM($D$131:K131)))</f>
        <v>0</v>
      </c>
      <c r="M129" s="1296">
        <f>(L139*(M$4-M$5))+(M4*(SUM($D$129:L129)-SUM($D$131:L131)))</f>
        <v>0</v>
      </c>
      <c r="N129" s="1296">
        <f>(M139*(N$4-N$5))+(N4*(SUM($D$129:M129)-SUM($D$131:M131)))</f>
        <v>0</v>
      </c>
      <c r="O129" s="1296">
        <f>(N139*(O$4-O$5))+(O4*(SUM($D$129:N129)-SUM($D$131:N131)))</f>
        <v>0</v>
      </c>
      <c r="P129" s="1296">
        <f>(O139*(P$4-P$5))+(P4*(SUM($D$129:O129)-SUM($D$131:O131)))</f>
        <v>0</v>
      </c>
      <c r="Q129" s="1296">
        <f>(P139*(Q$4-Q$5))+(Q4*(SUM($D$129:P129)-SUM($D$131:P131)))</f>
        <v>0</v>
      </c>
      <c r="R129" s="1296">
        <f>(Q139*(R$4-R$5))+(R4*(SUM($D$129:Q129)-SUM($D$131:Q131)))</f>
        <v>0</v>
      </c>
      <c r="S129" s="1296">
        <f>(R139*(S$4-S$5))+(S4*(SUM($D$129:R129)-SUM($D$131:R131)))</f>
        <v>0</v>
      </c>
      <c r="T129" s="1296">
        <f>(S139*(T$4-T$5))+(T4*(SUM($D$129:S129)-SUM($D$131:S131)))</f>
        <v>0</v>
      </c>
      <c r="U129" s="1296">
        <f>(T139*(U$4-U$5))+(U4*(SUM($D$129:T129)-SUM($D$131:T131)))</f>
        <v>0</v>
      </c>
      <c r="V129" s="1296">
        <f>(U139*(V$4-V$5))+(V4*(SUM($D$129:U129)-SUM($D$131:U131)))</f>
        <v>0</v>
      </c>
      <c r="W129" s="1296">
        <f>(V139*(W$4-W$5))+(W4*(SUM($D$129:V129)-SUM($D$131:V131)))</f>
        <v>0</v>
      </c>
    </row>
    <row r="130" spans="2:23" x14ac:dyDescent="0.35">
      <c r="B130" s="1295" t="s">
        <v>545</v>
      </c>
      <c r="C130" s="1296"/>
      <c r="D130" s="1296">
        <f>$D$128*D127</f>
        <v>0</v>
      </c>
      <c r="E130" s="1296">
        <f t="shared" ref="E130:W130" si="89">$D$128*E127</f>
        <v>0</v>
      </c>
      <c r="F130" s="1296">
        <f t="shared" si="89"/>
        <v>0</v>
      </c>
      <c r="G130" s="1296">
        <f t="shared" si="89"/>
        <v>0</v>
      </c>
      <c r="H130" s="1296">
        <f t="shared" si="89"/>
        <v>0</v>
      </c>
      <c r="I130" s="1296">
        <f t="shared" si="89"/>
        <v>0</v>
      </c>
      <c r="J130" s="1296">
        <f t="shared" si="89"/>
        <v>0</v>
      </c>
      <c r="K130" s="1296">
        <f t="shared" si="89"/>
        <v>0</v>
      </c>
      <c r="L130" s="1296">
        <f t="shared" si="89"/>
        <v>0</v>
      </c>
      <c r="M130" s="1296">
        <f t="shared" si="89"/>
        <v>0</v>
      </c>
      <c r="N130" s="1296">
        <f t="shared" si="89"/>
        <v>0</v>
      </c>
      <c r="O130" s="1296">
        <f t="shared" si="89"/>
        <v>0</v>
      </c>
      <c r="P130" s="1296">
        <f t="shared" si="89"/>
        <v>0</v>
      </c>
      <c r="Q130" s="1296">
        <f t="shared" si="89"/>
        <v>0</v>
      </c>
      <c r="R130" s="1296">
        <f t="shared" si="89"/>
        <v>0</v>
      </c>
      <c r="S130" s="1296">
        <f t="shared" si="89"/>
        <v>0</v>
      </c>
      <c r="T130" s="1296">
        <f t="shared" si="89"/>
        <v>0</v>
      </c>
      <c r="U130" s="1296">
        <f t="shared" si="89"/>
        <v>0</v>
      </c>
      <c r="V130" s="1296">
        <f t="shared" si="89"/>
        <v>0</v>
      </c>
      <c r="W130" s="1296">
        <f t="shared" si="89"/>
        <v>0</v>
      </c>
    </row>
    <row r="131" spans="2:23" x14ac:dyDescent="0.35">
      <c r="B131" s="1295" t="s">
        <v>1451</v>
      </c>
      <c r="C131" s="1297"/>
      <c r="D131" s="1297"/>
      <c r="E131" s="1297"/>
      <c r="F131" s="1297"/>
      <c r="G131" s="1297"/>
      <c r="H131" s="1297"/>
      <c r="I131" s="1297"/>
      <c r="J131" s="1297"/>
      <c r="K131" s="1297"/>
      <c r="L131" s="1297"/>
      <c r="M131" s="1297"/>
      <c r="N131" s="1297"/>
      <c r="O131" s="1297"/>
      <c r="P131" s="1297"/>
      <c r="Q131" s="1297"/>
      <c r="R131" s="1297">
        <f>R128+R129-R130-R132</f>
        <v>0</v>
      </c>
      <c r="S131" s="1297"/>
      <c r="T131" s="1297"/>
      <c r="U131" s="1297"/>
      <c r="V131" s="1297"/>
      <c r="W131" s="1297"/>
    </row>
    <row r="132" spans="2:23" x14ac:dyDescent="0.35">
      <c r="B132" s="1295" t="s">
        <v>546</v>
      </c>
      <c r="C132" s="1296"/>
      <c r="D132" s="1296">
        <f t="shared" ref="D132:Q132" si="90">D128+D129-D130-D131</f>
        <v>0</v>
      </c>
      <c r="E132" s="1296">
        <f t="shared" si="90"/>
        <v>0</v>
      </c>
      <c r="F132" s="1296">
        <f t="shared" si="90"/>
        <v>0</v>
      </c>
      <c r="G132" s="1296">
        <f t="shared" si="90"/>
        <v>0</v>
      </c>
      <c r="H132" s="1296">
        <f t="shared" si="90"/>
        <v>0</v>
      </c>
      <c r="I132" s="1296">
        <f t="shared" si="90"/>
        <v>0</v>
      </c>
      <c r="J132" s="1296">
        <f t="shared" si="90"/>
        <v>0</v>
      </c>
      <c r="K132" s="1296">
        <f t="shared" si="90"/>
        <v>0</v>
      </c>
      <c r="L132" s="1296">
        <f t="shared" si="90"/>
        <v>0</v>
      </c>
      <c r="M132" s="1296">
        <f t="shared" si="90"/>
        <v>0</v>
      </c>
      <c r="N132" s="1296">
        <f t="shared" si="90"/>
        <v>0</v>
      </c>
      <c r="O132" s="1296">
        <f t="shared" si="90"/>
        <v>0</v>
      </c>
      <c r="P132" s="1296">
        <f t="shared" si="90"/>
        <v>0</v>
      </c>
      <c r="Q132" s="1296">
        <f t="shared" si="90"/>
        <v>0</v>
      </c>
      <c r="R132" s="1296">
        <v>0</v>
      </c>
      <c r="S132" s="1296">
        <f>S128+S129-S130-S131</f>
        <v>0</v>
      </c>
      <c r="T132" s="1296">
        <f>T128+T129-T130-T131</f>
        <v>0</v>
      </c>
      <c r="U132" s="1296">
        <f>U128+U129-U130-U131</f>
        <v>0</v>
      </c>
      <c r="V132" s="1296">
        <f>V128+V129-V130-V131</f>
        <v>0</v>
      </c>
      <c r="W132" s="1296">
        <f>W128+W129-W130-W131</f>
        <v>0</v>
      </c>
    </row>
    <row r="133" spans="2:23" x14ac:dyDescent="0.35">
      <c r="B133" s="1295" t="s">
        <v>1452</v>
      </c>
      <c r="C133" s="1296"/>
      <c r="D133" s="1296">
        <f>D140</f>
        <v>0</v>
      </c>
      <c r="E133" s="1296">
        <f t="shared" ref="E133:W133" si="91">E140</f>
        <v>0</v>
      </c>
      <c r="F133" s="1296">
        <f t="shared" si="91"/>
        <v>0</v>
      </c>
      <c r="G133" s="1296">
        <f t="shared" si="91"/>
        <v>0</v>
      </c>
      <c r="H133" s="1296">
        <f t="shared" si="91"/>
        <v>0</v>
      </c>
      <c r="I133" s="1296">
        <f t="shared" si="91"/>
        <v>0</v>
      </c>
      <c r="J133" s="1296">
        <f t="shared" si="91"/>
        <v>0</v>
      </c>
      <c r="K133" s="1296">
        <f t="shared" si="91"/>
        <v>0</v>
      </c>
      <c r="L133" s="1296">
        <f t="shared" si="91"/>
        <v>0</v>
      </c>
      <c r="M133" s="1296">
        <f t="shared" si="91"/>
        <v>0</v>
      </c>
      <c r="N133" s="1296">
        <f t="shared" si="91"/>
        <v>0</v>
      </c>
      <c r="O133" s="1296">
        <f t="shared" si="91"/>
        <v>0</v>
      </c>
      <c r="P133" s="1296">
        <f t="shared" si="91"/>
        <v>0</v>
      </c>
      <c r="Q133" s="1296">
        <f t="shared" si="91"/>
        <v>0</v>
      </c>
      <c r="R133" s="1296">
        <f t="shared" si="91"/>
        <v>0</v>
      </c>
      <c r="S133" s="1296">
        <f t="shared" si="91"/>
        <v>0</v>
      </c>
      <c r="T133" s="1296">
        <f t="shared" si="91"/>
        <v>0</v>
      </c>
      <c r="U133" s="1296">
        <f t="shared" si="91"/>
        <v>0</v>
      </c>
      <c r="V133" s="1296">
        <f t="shared" si="91"/>
        <v>0</v>
      </c>
      <c r="W133" s="1296">
        <f t="shared" si="91"/>
        <v>0</v>
      </c>
    </row>
    <row r="134" spans="2:23" x14ac:dyDescent="0.35">
      <c r="B134" s="1295" t="s">
        <v>1453</v>
      </c>
      <c r="C134" s="1298">
        <f>C117</f>
        <v>0</v>
      </c>
      <c r="D134" s="1298">
        <f>D130+D131+D133</f>
        <v>0</v>
      </c>
      <c r="E134" s="1298">
        <f t="shared" ref="E134:W134" si="92">E130+E131+E133</f>
        <v>0</v>
      </c>
      <c r="F134" s="1298">
        <f t="shared" si="92"/>
        <v>0</v>
      </c>
      <c r="G134" s="1298">
        <f t="shared" si="92"/>
        <v>0</v>
      </c>
      <c r="H134" s="1298">
        <f t="shared" si="92"/>
        <v>0</v>
      </c>
      <c r="I134" s="1298">
        <f t="shared" si="92"/>
        <v>0</v>
      </c>
      <c r="J134" s="1298">
        <f t="shared" si="92"/>
        <v>0</v>
      </c>
      <c r="K134" s="1298">
        <f t="shared" si="92"/>
        <v>0</v>
      </c>
      <c r="L134" s="1298">
        <f t="shared" si="92"/>
        <v>0</v>
      </c>
      <c r="M134" s="1298">
        <f t="shared" si="92"/>
        <v>0</v>
      </c>
      <c r="N134" s="1298">
        <f t="shared" si="92"/>
        <v>0</v>
      </c>
      <c r="O134" s="1298">
        <f t="shared" si="92"/>
        <v>0</v>
      </c>
      <c r="P134" s="1298">
        <f t="shared" si="92"/>
        <v>0</v>
      </c>
      <c r="Q134" s="1298">
        <f t="shared" si="92"/>
        <v>0</v>
      </c>
      <c r="R134" s="1298">
        <f t="shared" si="92"/>
        <v>0</v>
      </c>
      <c r="S134" s="1298">
        <f t="shared" si="92"/>
        <v>0</v>
      </c>
      <c r="T134" s="1298">
        <f t="shared" si="92"/>
        <v>0</v>
      </c>
      <c r="U134" s="1298">
        <f t="shared" si="92"/>
        <v>0</v>
      </c>
      <c r="V134" s="1298">
        <f t="shared" si="92"/>
        <v>0</v>
      </c>
      <c r="W134" s="1298">
        <f t="shared" si="92"/>
        <v>0</v>
      </c>
    </row>
    <row r="135" spans="2:23" x14ac:dyDescent="0.35">
      <c r="B135" s="1295" t="s">
        <v>1454</v>
      </c>
      <c r="C135" s="1299"/>
      <c r="D135" s="1296"/>
      <c r="E135" s="1296"/>
      <c r="F135" s="1296"/>
      <c r="G135" s="1296"/>
      <c r="H135" s="1296"/>
      <c r="I135" s="1296"/>
      <c r="J135" s="1296"/>
      <c r="K135" s="1296"/>
      <c r="L135" s="1296"/>
      <c r="M135" s="1296"/>
      <c r="N135" s="1296"/>
      <c r="O135" s="1296"/>
      <c r="P135" s="1296"/>
      <c r="Q135" s="1296"/>
      <c r="R135" s="1296"/>
      <c r="S135" s="1296"/>
      <c r="T135" s="1296"/>
      <c r="U135" s="1296"/>
      <c r="V135" s="1296"/>
      <c r="W135" s="1296"/>
    </row>
    <row r="136" spans="2:23" x14ac:dyDescent="0.35">
      <c r="B136" s="213"/>
      <c r="C136" s="214"/>
      <c r="D136" s="214"/>
      <c r="E136" s="214"/>
      <c r="F136" s="214"/>
      <c r="G136" s="214"/>
      <c r="H136" s="214"/>
      <c r="I136" s="214"/>
      <c r="J136" s="214"/>
      <c r="K136" s="214"/>
      <c r="L136" s="214"/>
      <c r="M136" s="214"/>
      <c r="N136" s="214"/>
      <c r="O136" s="214"/>
      <c r="P136" s="214"/>
      <c r="Q136" s="214"/>
      <c r="R136" s="214"/>
      <c r="S136" s="214"/>
      <c r="T136" s="214"/>
      <c r="U136" s="214"/>
      <c r="V136" s="214"/>
      <c r="W136" s="214"/>
    </row>
    <row r="137" spans="2:23" x14ac:dyDescent="0.35">
      <c r="B137" s="1295" t="s">
        <v>1455</v>
      </c>
      <c r="C137" s="1296"/>
      <c r="D137" s="1296">
        <f>D128</f>
        <v>0</v>
      </c>
      <c r="E137" s="1296">
        <f t="shared" ref="E137:W137" si="93">D139</f>
        <v>0</v>
      </c>
      <c r="F137" s="1296">
        <f t="shared" si="93"/>
        <v>0</v>
      </c>
      <c r="G137" s="1296">
        <f t="shared" si="93"/>
        <v>0</v>
      </c>
      <c r="H137" s="1296">
        <f t="shared" si="93"/>
        <v>0</v>
      </c>
      <c r="I137" s="1296">
        <f t="shared" si="93"/>
        <v>0</v>
      </c>
      <c r="J137" s="1296">
        <f t="shared" si="93"/>
        <v>0</v>
      </c>
      <c r="K137" s="1296">
        <f t="shared" si="93"/>
        <v>0</v>
      </c>
      <c r="L137" s="1296">
        <f t="shared" si="93"/>
        <v>0</v>
      </c>
      <c r="M137" s="1296">
        <f t="shared" si="93"/>
        <v>0</v>
      </c>
      <c r="N137" s="1296">
        <f t="shared" si="93"/>
        <v>0</v>
      </c>
      <c r="O137" s="1296">
        <f t="shared" si="93"/>
        <v>0</v>
      </c>
      <c r="P137" s="1296">
        <f t="shared" si="93"/>
        <v>0</v>
      </c>
      <c r="Q137" s="1296">
        <f t="shared" si="93"/>
        <v>0</v>
      </c>
      <c r="R137" s="1296">
        <f t="shared" si="93"/>
        <v>0</v>
      </c>
      <c r="S137" s="1296">
        <f t="shared" si="93"/>
        <v>0</v>
      </c>
      <c r="T137" s="1296">
        <f t="shared" si="93"/>
        <v>0</v>
      </c>
      <c r="U137" s="1296">
        <f t="shared" si="93"/>
        <v>0</v>
      </c>
      <c r="V137" s="1296">
        <f t="shared" si="93"/>
        <v>0</v>
      </c>
      <c r="W137" s="1296">
        <f t="shared" si="93"/>
        <v>0</v>
      </c>
    </row>
    <row r="138" spans="2:23" x14ac:dyDescent="0.35">
      <c r="B138" s="1295" t="s">
        <v>1456</v>
      </c>
      <c r="C138" s="1296"/>
      <c r="D138" s="1296">
        <f>D130</f>
        <v>0</v>
      </c>
      <c r="E138" s="1296">
        <f>E130</f>
        <v>0</v>
      </c>
      <c r="F138" s="1296">
        <f t="shared" ref="F138:W138" si="94">F130</f>
        <v>0</v>
      </c>
      <c r="G138" s="1296">
        <f t="shared" si="94"/>
        <v>0</v>
      </c>
      <c r="H138" s="1296">
        <f t="shared" si="94"/>
        <v>0</v>
      </c>
      <c r="I138" s="1296">
        <f t="shared" si="94"/>
        <v>0</v>
      </c>
      <c r="J138" s="1296">
        <f t="shared" si="94"/>
        <v>0</v>
      </c>
      <c r="K138" s="1296">
        <f t="shared" si="94"/>
        <v>0</v>
      </c>
      <c r="L138" s="1296">
        <f t="shared" si="94"/>
        <v>0</v>
      </c>
      <c r="M138" s="1296">
        <f t="shared" si="94"/>
        <v>0</v>
      </c>
      <c r="N138" s="1296">
        <f t="shared" si="94"/>
        <v>0</v>
      </c>
      <c r="O138" s="1296">
        <f t="shared" si="94"/>
        <v>0</v>
      </c>
      <c r="P138" s="1296">
        <f t="shared" si="94"/>
        <v>0</v>
      </c>
      <c r="Q138" s="1296">
        <f t="shared" si="94"/>
        <v>0</v>
      </c>
      <c r="R138" s="1296">
        <f t="shared" si="94"/>
        <v>0</v>
      </c>
      <c r="S138" s="1296">
        <f t="shared" si="94"/>
        <v>0</v>
      </c>
      <c r="T138" s="1296">
        <f t="shared" si="94"/>
        <v>0</v>
      </c>
      <c r="U138" s="1296">
        <f t="shared" si="94"/>
        <v>0</v>
      </c>
      <c r="V138" s="1296">
        <f t="shared" si="94"/>
        <v>0</v>
      </c>
      <c r="W138" s="1296">
        <f t="shared" si="94"/>
        <v>0</v>
      </c>
    </row>
    <row r="139" spans="2:23" x14ac:dyDescent="0.35">
      <c r="B139" s="1295" t="s">
        <v>1457</v>
      </c>
      <c r="C139" s="1296"/>
      <c r="D139" s="1298">
        <f t="shared" ref="D139:W139" si="95">D137-D138</f>
        <v>0</v>
      </c>
      <c r="E139" s="1298">
        <f t="shared" si="95"/>
        <v>0</v>
      </c>
      <c r="F139" s="1298">
        <f t="shared" si="95"/>
        <v>0</v>
      </c>
      <c r="G139" s="1298">
        <f t="shared" si="95"/>
        <v>0</v>
      </c>
      <c r="H139" s="1298">
        <f t="shared" si="95"/>
        <v>0</v>
      </c>
      <c r="I139" s="1298">
        <f t="shared" si="95"/>
        <v>0</v>
      </c>
      <c r="J139" s="1298">
        <f t="shared" si="95"/>
        <v>0</v>
      </c>
      <c r="K139" s="1298">
        <f t="shared" si="95"/>
        <v>0</v>
      </c>
      <c r="L139" s="1298">
        <f t="shared" si="95"/>
        <v>0</v>
      </c>
      <c r="M139" s="1298">
        <f t="shared" si="95"/>
        <v>0</v>
      </c>
      <c r="N139" s="1298">
        <f t="shared" si="95"/>
        <v>0</v>
      </c>
      <c r="O139" s="1298">
        <f t="shared" si="95"/>
        <v>0</v>
      </c>
      <c r="P139" s="1298">
        <f t="shared" si="95"/>
        <v>0</v>
      </c>
      <c r="Q139" s="1298">
        <f t="shared" si="95"/>
        <v>0</v>
      </c>
      <c r="R139" s="1298">
        <f t="shared" si="95"/>
        <v>0</v>
      </c>
      <c r="S139" s="1298">
        <f t="shared" si="95"/>
        <v>0</v>
      </c>
      <c r="T139" s="1298">
        <f t="shared" si="95"/>
        <v>0</v>
      </c>
      <c r="U139" s="1298">
        <f t="shared" si="95"/>
        <v>0</v>
      </c>
      <c r="V139" s="1298">
        <f t="shared" si="95"/>
        <v>0</v>
      </c>
      <c r="W139" s="1298">
        <f t="shared" si="95"/>
        <v>0</v>
      </c>
    </row>
    <row r="140" spans="2:23" x14ac:dyDescent="0.35">
      <c r="B140" s="1295" t="s">
        <v>1458</v>
      </c>
      <c r="C140" s="1296"/>
      <c r="D140" s="1300">
        <f>D137*D$5*(D$6-C$6+1)/365</f>
        <v>0</v>
      </c>
      <c r="E140" s="1300">
        <f>E137*E$5*(E$6-D$6)/365</f>
        <v>0</v>
      </c>
      <c r="F140" s="1300">
        <f t="shared" ref="F140:W140" si="96">F137*F$5*(F$6-E$6)/365</f>
        <v>0</v>
      </c>
      <c r="G140" s="1300">
        <f t="shared" si="96"/>
        <v>0</v>
      </c>
      <c r="H140" s="1300">
        <f t="shared" si="96"/>
        <v>0</v>
      </c>
      <c r="I140" s="1300">
        <f t="shared" si="96"/>
        <v>0</v>
      </c>
      <c r="J140" s="1300">
        <f t="shared" si="96"/>
        <v>0</v>
      </c>
      <c r="K140" s="1300">
        <f t="shared" si="96"/>
        <v>0</v>
      </c>
      <c r="L140" s="1300">
        <f t="shared" si="96"/>
        <v>0</v>
      </c>
      <c r="M140" s="1300">
        <f t="shared" si="96"/>
        <v>0</v>
      </c>
      <c r="N140" s="1300">
        <f t="shared" si="96"/>
        <v>0</v>
      </c>
      <c r="O140" s="1300">
        <f t="shared" si="96"/>
        <v>0</v>
      </c>
      <c r="P140" s="1300">
        <f t="shared" si="96"/>
        <v>0</v>
      </c>
      <c r="Q140" s="1300">
        <f t="shared" si="96"/>
        <v>0</v>
      </c>
      <c r="R140" s="1300">
        <f t="shared" si="96"/>
        <v>0</v>
      </c>
      <c r="S140" s="1300">
        <f t="shared" si="96"/>
        <v>0</v>
      </c>
      <c r="T140" s="1300">
        <f t="shared" si="96"/>
        <v>0</v>
      </c>
      <c r="U140" s="1300">
        <f t="shared" si="96"/>
        <v>0</v>
      </c>
      <c r="V140" s="1300">
        <f t="shared" si="96"/>
        <v>0</v>
      </c>
      <c r="W140" s="1300">
        <f t="shared" si="96"/>
        <v>0</v>
      </c>
    </row>
    <row r="142" spans="2:23" x14ac:dyDescent="0.35">
      <c r="B142" s="1288" t="s">
        <v>1467</v>
      </c>
      <c r="C142" s="1289">
        <v>43087</v>
      </c>
      <c r="D142" s="1289">
        <f>EOMONTH(E142,-12)</f>
        <v>43190</v>
      </c>
      <c r="E142" s="1289">
        <f>EOMONTH(F142,-12)</f>
        <v>43555</v>
      </c>
      <c r="F142" s="1289">
        <f>EOMONTH(G142,-12)</f>
        <v>43921</v>
      </c>
      <c r="G142" s="1289">
        <f>'Debt Assumptions &amp; working'!$C$17</f>
        <v>44286</v>
      </c>
      <c r="H142" s="1289">
        <f>EOMONTH(G142,12)</f>
        <v>44651</v>
      </c>
      <c r="I142" s="1289">
        <f t="shared" ref="I142:W142" si="97">EOMONTH(H142,12)</f>
        <v>45016</v>
      </c>
      <c r="J142" s="1289">
        <f t="shared" si="97"/>
        <v>45382</v>
      </c>
      <c r="K142" s="1289">
        <f t="shared" si="97"/>
        <v>45747</v>
      </c>
      <c r="L142" s="1289">
        <f t="shared" si="97"/>
        <v>46112</v>
      </c>
      <c r="M142" s="1289">
        <f t="shared" si="97"/>
        <v>46477</v>
      </c>
      <c r="N142" s="1289">
        <f t="shared" si="97"/>
        <v>46843</v>
      </c>
      <c r="O142" s="1289">
        <f t="shared" si="97"/>
        <v>47208</v>
      </c>
      <c r="P142" s="1289">
        <f t="shared" si="97"/>
        <v>47573</v>
      </c>
      <c r="Q142" s="1289">
        <f t="shared" si="97"/>
        <v>47938</v>
      </c>
      <c r="R142" s="1289">
        <f t="shared" si="97"/>
        <v>48304</v>
      </c>
      <c r="S142" s="1289">
        <f t="shared" si="97"/>
        <v>48669</v>
      </c>
      <c r="T142" s="1289">
        <f t="shared" si="97"/>
        <v>49034</v>
      </c>
      <c r="U142" s="1289">
        <f t="shared" si="97"/>
        <v>49399</v>
      </c>
      <c r="V142" s="1289">
        <f t="shared" si="97"/>
        <v>49765</v>
      </c>
      <c r="W142" s="1289">
        <f t="shared" si="97"/>
        <v>50130</v>
      </c>
    </row>
    <row r="143" spans="2:23" x14ac:dyDescent="0.35">
      <c r="B143" s="1290" t="s">
        <v>1450</v>
      </c>
      <c r="C143" s="1290">
        <v>0</v>
      </c>
      <c r="D143" s="1291">
        <f>(D142-C142+1)/365</f>
        <v>0.28493150684931506</v>
      </c>
      <c r="E143" s="1291">
        <f t="shared" ref="E143:W143" si="98">D143+1</f>
        <v>1.284931506849315</v>
      </c>
      <c r="F143" s="1291">
        <f t="shared" si="98"/>
        <v>2.2849315068493148</v>
      </c>
      <c r="G143" s="1291">
        <f t="shared" si="98"/>
        <v>3.2849315068493148</v>
      </c>
      <c r="H143" s="1291">
        <f t="shared" si="98"/>
        <v>4.2849315068493148</v>
      </c>
      <c r="I143" s="1291">
        <f t="shared" si="98"/>
        <v>5.2849315068493148</v>
      </c>
      <c r="J143" s="1291">
        <f t="shared" si="98"/>
        <v>6.2849315068493148</v>
      </c>
      <c r="K143" s="1291">
        <f t="shared" si="98"/>
        <v>7.2849315068493148</v>
      </c>
      <c r="L143" s="1291">
        <f t="shared" si="98"/>
        <v>8.2849315068493148</v>
      </c>
      <c r="M143" s="1291">
        <f t="shared" si="98"/>
        <v>9.2849315068493148</v>
      </c>
      <c r="N143" s="1291">
        <f t="shared" si="98"/>
        <v>10.284931506849315</v>
      </c>
      <c r="O143" s="1291">
        <f t="shared" si="98"/>
        <v>11.284931506849315</v>
      </c>
      <c r="P143" s="1291">
        <f t="shared" si="98"/>
        <v>12.284931506849315</v>
      </c>
      <c r="Q143" s="1291">
        <f t="shared" si="98"/>
        <v>13.284931506849315</v>
      </c>
      <c r="R143" s="1291">
        <f t="shared" si="98"/>
        <v>14.284931506849315</v>
      </c>
      <c r="S143" s="1291">
        <f t="shared" si="98"/>
        <v>15.284931506849315</v>
      </c>
      <c r="T143" s="1291">
        <f t="shared" si="98"/>
        <v>16.284931506849315</v>
      </c>
      <c r="U143" s="1291">
        <f t="shared" si="98"/>
        <v>17.284931506849315</v>
      </c>
      <c r="V143" s="1291">
        <f t="shared" si="98"/>
        <v>18.284931506849315</v>
      </c>
      <c r="W143" s="1291">
        <f t="shared" si="98"/>
        <v>19.284931506849315</v>
      </c>
    </row>
    <row r="144" spans="2:23" x14ac:dyDescent="0.35">
      <c r="B144" s="1290" t="s">
        <v>518</v>
      </c>
      <c r="C144" s="1290"/>
      <c r="D144" s="1292">
        <v>0</v>
      </c>
      <c r="E144" s="1292">
        <v>0</v>
      </c>
      <c r="F144" s="1292">
        <v>0</v>
      </c>
      <c r="G144" s="1293">
        <v>0</v>
      </c>
      <c r="H144" s="1294">
        <v>0</v>
      </c>
      <c r="I144" s="1294">
        <v>0</v>
      </c>
      <c r="J144" s="1294">
        <v>0</v>
      </c>
      <c r="K144" s="1294">
        <v>0</v>
      </c>
      <c r="L144" s="1294">
        <v>0</v>
      </c>
      <c r="M144" s="1294">
        <v>0</v>
      </c>
      <c r="N144" s="1294">
        <v>0</v>
      </c>
      <c r="O144" s="1294">
        <v>0</v>
      </c>
      <c r="P144" s="1294">
        <v>0</v>
      </c>
      <c r="Q144" s="1294">
        <v>0</v>
      </c>
      <c r="R144" s="1294">
        <v>0</v>
      </c>
      <c r="S144" s="1294">
        <v>1</v>
      </c>
      <c r="T144" s="1294"/>
      <c r="U144" s="1294"/>
      <c r="V144" s="1294"/>
      <c r="W144" s="1294"/>
    </row>
    <row r="145" spans="2:23" x14ac:dyDescent="0.35">
      <c r="B145" s="1295" t="s">
        <v>544</v>
      </c>
      <c r="C145" s="1296"/>
      <c r="D145" s="1296">
        <f>-C151</f>
        <v>0</v>
      </c>
      <c r="E145" s="1296">
        <f t="shared" ref="E145:W145" si="99">D149</f>
        <v>0</v>
      </c>
      <c r="F145" s="1296">
        <f t="shared" si="99"/>
        <v>0</v>
      </c>
      <c r="G145" s="1296">
        <f t="shared" si="99"/>
        <v>0</v>
      </c>
      <c r="H145" s="1296">
        <f t="shared" si="99"/>
        <v>0</v>
      </c>
      <c r="I145" s="1296">
        <f t="shared" si="99"/>
        <v>0</v>
      </c>
      <c r="J145" s="1296">
        <f t="shared" si="99"/>
        <v>0</v>
      </c>
      <c r="K145" s="1296">
        <f t="shared" si="99"/>
        <v>0</v>
      </c>
      <c r="L145" s="1296">
        <f t="shared" si="99"/>
        <v>0</v>
      </c>
      <c r="M145" s="1296">
        <f t="shared" si="99"/>
        <v>0</v>
      </c>
      <c r="N145" s="1296">
        <f t="shared" si="99"/>
        <v>0</v>
      </c>
      <c r="O145" s="1296">
        <f t="shared" si="99"/>
        <v>0</v>
      </c>
      <c r="P145" s="1296">
        <f t="shared" si="99"/>
        <v>0</v>
      </c>
      <c r="Q145" s="1296">
        <f t="shared" si="99"/>
        <v>0</v>
      </c>
      <c r="R145" s="1296">
        <f t="shared" si="99"/>
        <v>0</v>
      </c>
      <c r="S145" s="1296">
        <f t="shared" si="99"/>
        <v>0</v>
      </c>
      <c r="T145" s="1296">
        <f t="shared" si="99"/>
        <v>0</v>
      </c>
      <c r="U145" s="1296">
        <f t="shared" si="99"/>
        <v>0</v>
      </c>
      <c r="V145" s="1296">
        <f t="shared" si="99"/>
        <v>0</v>
      </c>
      <c r="W145" s="1296">
        <f t="shared" si="99"/>
        <v>0</v>
      </c>
    </row>
    <row r="146" spans="2:23" x14ac:dyDescent="0.35">
      <c r="B146" s="1295" t="s">
        <v>276</v>
      </c>
      <c r="C146" s="1296"/>
      <c r="D146" s="1296">
        <f>D145*(D$4-D$5)*(D142-C142)/365</f>
        <v>0</v>
      </c>
      <c r="E146" s="1296">
        <f>(D156*(E$4-E$5))+(E4*(SUM($D$146:D146)-SUM($D$148:D148)))</f>
        <v>0</v>
      </c>
      <c r="F146" s="1296">
        <f>(E156*(F$4-F$5))+(F4*(SUM($D$146:E146)-SUM($D$148:E148)))</f>
        <v>0</v>
      </c>
      <c r="G146" s="1296">
        <f>(F156*(G$4-G$5))+(G4*(SUM($D$146:F146)-SUM($D$148:F148)))</f>
        <v>0</v>
      </c>
      <c r="H146" s="1296">
        <f>(G156*(H$4-H$5))+(H4*(SUM($D$146:G146)-SUM($D$148:G148)))</f>
        <v>0</v>
      </c>
      <c r="I146" s="1296">
        <f>(H156*(I$4-I$5))+(I4*(SUM($D$146:H146)-SUM($D$148:H148)))</f>
        <v>0</v>
      </c>
      <c r="J146" s="1296">
        <f>(I156*(J$4-J$5))+(J4*(SUM($D$146:I146)-SUM($D$148:I148)))</f>
        <v>0</v>
      </c>
      <c r="K146" s="1296">
        <f>(J156*(K$4-K$5))+(K4*(SUM($D$146:J146)-SUM($D$148:J148)))</f>
        <v>0</v>
      </c>
      <c r="L146" s="1296">
        <f>(K156*(L$4-L$5))+(L4*(SUM($D$146:K146)-SUM($D$148:K148)))</f>
        <v>0</v>
      </c>
      <c r="M146" s="1296">
        <f>(L156*(M$4-M$5))+(M4*(SUM($D$146:L146)-SUM($D$148:L148)))</f>
        <v>0</v>
      </c>
      <c r="N146" s="1296">
        <f>(M156*(N$4-N$5))+(N4*(SUM($D$146:M146)-SUM($D$148:M148)))</f>
        <v>0</v>
      </c>
      <c r="O146" s="1296">
        <f>(N156*(O$4-O$5))+(O4*(SUM($D$146:N146)-SUM($D$148:N148)))</f>
        <v>0</v>
      </c>
      <c r="P146" s="1296">
        <f>(O156*(P$4-P$5))+(P4*(SUM($D$146:O146)-SUM($D$148:O148)))</f>
        <v>0</v>
      </c>
      <c r="Q146" s="1296">
        <f>(P156*(Q$4-Q$5))+(Q4*(SUM($D$146:P146)-SUM($D$148:P148)))</f>
        <v>0</v>
      </c>
      <c r="R146" s="1296">
        <f>(Q156*(R$4-R$5))+(R4*(SUM($D$146:Q146)-SUM($D$148:Q148)))</f>
        <v>0</v>
      </c>
      <c r="S146" s="1296">
        <f>(R156*(S$4-S$5))+(S4*(SUM($D$146:R146)-SUM($D$148:R148)))</f>
        <v>0</v>
      </c>
      <c r="T146" s="1296">
        <f>(S156*(T$4-T$5))+(T4*(SUM($D$146:S146)-SUM($D$148:S148)))</f>
        <v>0</v>
      </c>
      <c r="U146" s="1296">
        <f>(T156*(U$4-U$5))+(U4*(SUM($D$146:T146)-SUM($D$148:T148)))</f>
        <v>0</v>
      </c>
      <c r="V146" s="1296">
        <f>(U156*(V$4-V$5))+(V4*(SUM($D$146:U146)-SUM($D$148:U148)))</f>
        <v>0</v>
      </c>
      <c r="W146" s="1296">
        <f>(V156*(W$4-W$5))+(W4*(SUM($D$146:V146)-SUM($D$148:V148)))</f>
        <v>0</v>
      </c>
    </row>
    <row r="147" spans="2:23" x14ac:dyDescent="0.35">
      <c r="B147" s="1295" t="s">
        <v>545</v>
      </c>
      <c r="C147" s="1296"/>
      <c r="D147" s="1296">
        <f>$D$145*D144</f>
        <v>0</v>
      </c>
      <c r="E147" s="1296">
        <f t="shared" ref="E147:W147" si="100">$D$145*E144</f>
        <v>0</v>
      </c>
      <c r="F147" s="1296">
        <f t="shared" si="100"/>
        <v>0</v>
      </c>
      <c r="G147" s="1296">
        <f t="shared" si="100"/>
        <v>0</v>
      </c>
      <c r="H147" s="1296">
        <f t="shared" si="100"/>
        <v>0</v>
      </c>
      <c r="I147" s="1296">
        <f t="shared" si="100"/>
        <v>0</v>
      </c>
      <c r="J147" s="1296">
        <f t="shared" si="100"/>
        <v>0</v>
      </c>
      <c r="K147" s="1296">
        <f t="shared" si="100"/>
        <v>0</v>
      </c>
      <c r="L147" s="1296">
        <f t="shared" si="100"/>
        <v>0</v>
      </c>
      <c r="M147" s="1296">
        <f t="shared" si="100"/>
        <v>0</v>
      </c>
      <c r="N147" s="1296">
        <f t="shared" si="100"/>
        <v>0</v>
      </c>
      <c r="O147" s="1296">
        <f t="shared" si="100"/>
        <v>0</v>
      </c>
      <c r="P147" s="1296">
        <f t="shared" si="100"/>
        <v>0</v>
      </c>
      <c r="Q147" s="1296">
        <f t="shared" si="100"/>
        <v>0</v>
      </c>
      <c r="R147" s="1296">
        <f t="shared" si="100"/>
        <v>0</v>
      </c>
      <c r="S147" s="1296">
        <f t="shared" si="100"/>
        <v>0</v>
      </c>
      <c r="T147" s="1296">
        <f t="shared" si="100"/>
        <v>0</v>
      </c>
      <c r="U147" s="1296">
        <f t="shared" si="100"/>
        <v>0</v>
      </c>
      <c r="V147" s="1296">
        <f t="shared" si="100"/>
        <v>0</v>
      </c>
      <c r="W147" s="1296">
        <f t="shared" si="100"/>
        <v>0</v>
      </c>
    </row>
    <row r="148" spans="2:23" x14ac:dyDescent="0.35">
      <c r="B148" s="1295" t="s">
        <v>1451</v>
      </c>
      <c r="C148" s="1297"/>
      <c r="D148" s="1297"/>
      <c r="E148" s="1297"/>
      <c r="F148" s="1297"/>
      <c r="G148" s="1297"/>
      <c r="H148" s="1297"/>
      <c r="I148" s="1297"/>
      <c r="J148" s="1297"/>
      <c r="K148" s="1297"/>
      <c r="L148" s="1297"/>
      <c r="M148" s="1297"/>
      <c r="N148" s="1297"/>
      <c r="O148" s="1297"/>
      <c r="P148" s="1297"/>
      <c r="Q148" s="1297"/>
      <c r="R148" s="1297"/>
      <c r="S148" s="1297">
        <f>S145+S146-S147-S149</f>
        <v>0</v>
      </c>
      <c r="T148" s="1297"/>
      <c r="U148" s="1297"/>
      <c r="V148" s="1297"/>
      <c r="W148" s="1297"/>
    </row>
    <row r="149" spans="2:23" x14ac:dyDescent="0.35">
      <c r="B149" s="1295" t="s">
        <v>546</v>
      </c>
      <c r="C149" s="1296"/>
      <c r="D149" s="1296">
        <f t="shared" ref="D149:R149" si="101">D145+D146-D147-D148</f>
        <v>0</v>
      </c>
      <c r="E149" s="1296">
        <f t="shared" si="101"/>
        <v>0</v>
      </c>
      <c r="F149" s="1296">
        <f t="shared" si="101"/>
        <v>0</v>
      </c>
      <c r="G149" s="1296">
        <f t="shared" si="101"/>
        <v>0</v>
      </c>
      <c r="H149" s="1296">
        <f t="shared" si="101"/>
        <v>0</v>
      </c>
      <c r="I149" s="1296">
        <f t="shared" si="101"/>
        <v>0</v>
      </c>
      <c r="J149" s="1296">
        <f t="shared" si="101"/>
        <v>0</v>
      </c>
      <c r="K149" s="1296">
        <f t="shared" si="101"/>
        <v>0</v>
      </c>
      <c r="L149" s="1296">
        <f t="shared" si="101"/>
        <v>0</v>
      </c>
      <c r="M149" s="1296">
        <f t="shared" si="101"/>
        <v>0</v>
      </c>
      <c r="N149" s="1296">
        <f t="shared" si="101"/>
        <v>0</v>
      </c>
      <c r="O149" s="1296">
        <f t="shared" si="101"/>
        <v>0</v>
      </c>
      <c r="P149" s="1296">
        <f t="shared" si="101"/>
        <v>0</v>
      </c>
      <c r="Q149" s="1296">
        <f t="shared" si="101"/>
        <v>0</v>
      </c>
      <c r="R149" s="1296">
        <f t="shared" si="101"/>
        <v>0</v>
      </c>
      <c r="S149" s="1296">
        <v>0</v>
      </c>
      <c r="T149" s="1296">
        <f>T145+T146-T147-T148</f>
        <v>0</v>
      </c>
      <c r="U149" s="1296">
        <f>U145+U146-U147-U148</f>
        <v>0</v>
      </c>
      <c r="V149" s="1296">
        <f>V145+V146-V147-V148</f>
        <v>0</v>
      </c>
      <c r="W149" s="1296">
        <f>W145+W146-W147-W148</f>
        <v>0</v>
      </c>
    </row>
    <row r="150" spans="2:23" x14ac:dyDescent="0.35">
      <c r="B150" s="1295" t="s">
        <v>1452</v>
      </c>
      <c r="C150" s="1296"/>
      <c r="D150" s="1296">
        <f>D157</f>
        <v>0</v>
      </c>
      <c r="E150" s="1296">
        <f t="shared" ref="E150:W150" si="102">E157</f>
        <v>0</v>
      </c>
      <c r="F150" s="1296">
        <f t="shared" si="102"/>
        <v>0</v>
      </c>
      <c r="G150" s="1296">
        <f t="shared" si="102"/>
        <v>0</v>
      </c>
      <c r="H150" s="1296">
        <f t="shared" si="102"/>
        <v>0</v>
      </c>
      <c r="I150" s="1296">
        <f t="shared" si="102"/>
        <v>0</v>
      </c>
      <c r="J150" s="1296">
        <f t="shared" si="102"/>
        <v>0</v>
      </c>
      <c r="K150" s="1296">
        <f t="shared" si="102"/>
        <v>0</v>
      </c>
      <c r="L150" s="1296">
        <f t="shared" si="102"/>
        <v>0</v>
      </c>
      <c r="M150" s="1296">
        <f t="shared" si="102"/>
        <v>0</v>
      </c>
      <c r="N150" s="1296">
        <f t="shared" si="102"/>
        <v>0</v>
      </c>
      <c r="O150" s="1296">
        <f t="shared" si="102"/>
        <v>0</v>
      </c>
      <c r="P150" s="1296">
        <f t="shared" si="102"/>
        <v>0</v>
      </c>
      <c r="Q150" s="1296">
        <f t="shared" si="102"/>
        <v>0</v>
      </c>
      <c r="R150" s="1296">
        <f t="shared" si="102"/>
        <v>0</v>
      </c>
      <c r="S150" s="1296">
        <f t="shared" si="102"/>
        <v>0</v>
      </c>
      <c r="T150" s="1296">
        <f t="shared" si="102"/>
        <v>0</v>
      </c>
      <c r="U150" s="1296">
        <f t="shared" si="102"/>
        <v>0</v>
      </c>
      <c r="V150" s="1296">
        <f t="shared" si="102"/>
        <v>0</v>
      </c>
      <c r="W150" s="1296">
        <f t="shared" si="102"/>
        <v>0</v>
      </c>
    </row>
    <row r="151" spans="2:23" x14ac:dyDescent="0.35">
      <c r="B151" s="1295" t="s">
        <v>1453</v>
      </c>
      <c r="C151" s="1298">
        <f>C134</f>
        <v>0</v>
      </c>
      <c r="D151" s="1298">
        <f>D147+D148+D150</f>
        <v>0</v>
      </c>
      <c r="E151" s="1298">
        <f t="shared" ref="E151:W151" si="103">E147+E148+E150</f>
        <v>0</v>
      </c>
      <c r="F151" s="1298">
        <f t="shared" si="103"/>
        <v>0</v>
      </c>
      <c r="G151" s="1298">
        <f t="shared" si="103"/>
        <v>0</v>
      </c>
      <c r="H151" s="1298">
        <f t="shared" si="103"/>
        <v>0</v>
      </c>
      <c r="I151" s="1298">
        <f t="shared" si="103"/>
        <v>0</v>
      </c>
      <c r="J151" s="1298">
        <f t="shared" si="103"/>
        <v>0</v>
      </c>
      <c r="K151" s="1298">
        <f t="shared" si="103"/>
        <v>0</v>
      </c>
      <c r="L151" s="1298">
        <f t="shared" si="103"/>
        <v>0</v>
      </c>
      <c r="M151" s="1298">
        <f t="shared" si="103"/>
        <v>0</v>
      </c>
      <c r="N151" s="1298">
        <f t="shared" si="103"/>
        <v>0</v>
      </c>
      <c r="O151" s="1298">
        <f t="shared" si="103"/>
        <v>0</v>
      </c>
      <c r="P151" s="1298">
        <f t="shared" si="103"/>
        <v>0</v>
      </c>
      <c r="Q151" s="1298">
        <f t="shared" si="103"/>
        <v>0</v>
      </c>
      <c r="R151" s="1298">
        <f t="shared" si="103"/>
        <v>0</v>
      </c>
      <c r="S151" s="1298">
        <f t="shared" si="103"/>
        <v>0</v>
      </c>
      <c r="T151" s="1298">
        <f t="shared" si="103"/>
        <v>0</v>
      </c>
      <c r="U151" s="1298">
        <f t="shared" si="103"/>
        <v>0</v>
      </c>
      <c r="V151" s="1298">
        <f t="shared" si="103"/>
        <v>0</v>
      </c>
      <c r="W151" s="1298">
        <f t="shared" si="103"/>
        <v>0</v>
      </c>
    </row>
    <row r="152" spans="2:23" x14ac:dyDescent="0.35">
      <c r="B152" s="1295" t="s">
        <v>1454</v>
      </c>
      <c r="C152" s="1299"/>
      <c r="D152" s="1296"/>
      <c r="E152" s="1296"/>
      <c r="F152" s="1296"/>
      <c r="G152" s="1296"/>
      <c r="H152" s="1296"/>
      <c r="I152" s="1296"/>
      <c r="J152" s="1296"/>
      <c r="K152" s="1296"/>
      <c r="L152" s="1296"/>
      <c r="M152" s="1296"/>
      <c r="N152" s="1296"/>
      <c r="O152" s="1296"/>
      <c r="P152" s="1296"/>
      <c r="Q152" s="1296"/>
      <c r="R152" s="1296"/>
      <c r="S152" s="1296"/>
      <c r="T152" s="1296"/>
      <c r="U152" s="1296"/>
      <c r="V152" s="1296"/>
      <c r="W152" s="1296"/>
    </row>
    <row r="153" spans="2:23" x14ac:dyDescent="0.35">
      <c r="B153" s="213"/>
      <c r="C153" s="214"/>
      <c r="D153" s="214"/>
      <c r="E153" s="214"/>
      <c r="F153" s="214"/>
      <c r="G153" s="214"/>
      <c r="H153" s="214"/>
      <c r="I153" s="214"/>
      <c r="J153" s="214"/>
      <c r="K153" s="214"/>
      <c r="L153" s="214"/>
      <c r="M153" s="214"/>
      <c r="N153" s="214"/>
      <c r="O153" s="214"/>
      <c r="P153" s="214"/>
      <c r="Q153" s="214"/>
      <c r="R153" s="214"/>
      <c r="S153" s="214"/>
      <c r="T153" s="214"/>
      <c r="U153" s="214"/>
      <c r="V153" s="214"/>
      <c r="W153" s="214"/>
    </row>
    <row r="154" spans="2:23" x14ac:dyDescent="0.35">
      <c r="B154" s="1295" t="s">
        <v>1455</v>
      </c>
      <c r="C154" s="1296"/>
      <c r="D154" s="1296">
        <f>D145</f>
        <v>0</v>
      </c>
      <c r="E154" s="1296">
        <f t="shared" ref="E154:W154" si="104">D156</f>
        <v>0</v>
      </c>
      <c r="F154" s="1296">
        <f t="shared" si="104"/>
        <v>0</v>
      </c>
      <c r="G154" s="1296">
        <f t="shared" si="104"/>
        <v>0</v>
      </c>
      <c r="H154" s="1296">
        <f t="shared" si="104"/>
        <v>0</v>
      </c>
      <c r="I154" s="1296">
        <f t="shared" si="104"/>
        <v>0</v>
      </c>
      <c r="J154" s="1296">
        <f t="shared" si="104"/>
        <v>0</v>
      </c>
      <c r="K154" s="1296">
        <f t="shared" si="104"/>
        <v>0</v>
      </c>
      <c r="L154" s="1296">
        <f t="shared" si="104"/>
        <v>0</v>
      </c>
      <c r="M154" s="1296">
        <f t="shared" si="104"/>
        <v>0</v>
      </c>
      <c r="N154" s="1296">
        <f t="shared" si="104"/>
        <v>0</v>
      </c>
      <c r="O154" s="1296">
        <f t="shared" si="104"/>
        <v>0</v>
      </c>
      <c r="P154" s="1296">
        <f t="shared" si="104"/>
        <v>0</v>
      </c>
      <c r="Q154" s="1296">
        <f t="shared" si="104"/>
        <v>0</v>
      </c>
      <c r="R154" s="1296">
        <f t="shared" si="104"/>
        <v>0</v>
      </c>
      <c r="S154" s="1296">
        <f t="shared" si="104"/>
        <v>0</v>
      </c>
      <c r="T154" s="1296">
        <f t="shared" si="104"/>
        <v>0</v>
      </c>
      <c r="U154" s="1296">
        <f t="shared" si="104"/>
        <v>0</v>
      </c>
      <c r="V154" s="1296">
        <f t="shared" si="104"/>
        <v>0</v>
      </c>
      <c r="W154" s="1296">
        <f t="shared" si="104"/>
        <v>0</v>
      </c>
    </row>
    <row r="155" spans="2:23" x14ac:dyDescent="0.35">
      <c r="B155" s="1295" t="s">
        <v>1456</v>
      </c>
      <c r="C155" s="1296"/>
      <c r="D155" s="1296">
        <f>D147</f>
        <v>0</v>
      </c>
      <c r="E155" s="1296">
        <f>E147</f>
        <v>0</v>
      </c>
      <c r="F155" s="1296">
        <f t="shared" ref="F155:W155" si="105">F147</f>
        <v>0</v>
      </c>
      <c r="G155" s="1296">
        <f t="shared" si="105"/>
        <v>0</v>
      </c>
      <c r="H155" s="1296">
        <f t="shared" si="105"/>
        <v>0</v>
      </c>
      <c r="I155" s="1296">
        <f t="shared" si="105"/>
        <v>0</v>
      </c>
      <c r="J155" s="1296">
        <f t="shared" si="105"/>
        <v>0</v>
      </c>
      <c r="K155" s="1296">
        <f t="shared" si="105"/>
        <v>0</v>
      </c>
      <c r="L155" s="1296">
        <f t="shared" si="105"/>
        <v>0</v>
      </c>
      <c r="M155" s="1296">
        <f t="shared" si="105"/>
        <v>0</v>
      </c>
      <c r="N155" s="1296">
        <f t="shared" si="105"/>
        <v>0</v>
      </c>
      <c r="O155" s="1296">
        <f t="shared" si="105"/>
        <v>0</v>
      </c>
      <c r="P155" s="1296">
        <f t="shared" si="105"/>
        <v>0</v>
      </c>
      <c r="Q155" s="1296">
        <f t="shared" si="105"/>
        <v>0</v>
      </c>
      <c r="R155" s="1296">
        <f t="shared" si="105"/>
        <v>0</v>
      </c>
      <c r="S155" s="1296">
        <f t="shared" si="105"/>
        <v>0</v>
      </c>
      <c r="T155" s="1296">
        <f t="shared" si="105"/>
        <v>0</v>
      </c>
      <c r="U155" s="1296">
        <f t="shared" si="105"/>
        <v>0</v>
      </c>
      <c r="V155" s="1296">
        <f t="shared" si="105"/>
        <v>0</v>
      </c>
      <c r="W155" s="1296">
        <f t="shared" si="105"/>
        <v>0</v>
      </c>
    </row>
    <row r="156" spans="2:23" x14ac:dyDescent="0.35">
      <c r="B156" s="1295" t="s">
        <v>1457</v>
      </c>
      <c r="C156" s="1296"/>
      <c r="D156" s="1298">
        <f t="shared" ref="D156:W156" si="106">D154-D155</f>
        <v>0</v>
      </c>
      <c r="E156" s="1298">
        <f t="shared" si="106"/>
        <v>0</v>
      </c>
      <c r="F156" s="1298">
        <f t="shared" si="106"/>
        <v>0</v>
      </c>
      <c r="G156" s="1298">
        <f t="shared" si="106"/>
        <v>0</v>
      </c>
      <c r="H156" s="1298">
        <f t="shared" si="106"/>
        <v>0</v>
      </c>
      <c r="I156" s="1298">
        <f t="shared" si="106"/>
        <v>0</v>
      </c>
      <c r="J156" s="1298">
        <f t="shared" si="106"/>
        <v>0</v>
      </c>
      <c r="K156" s="1298">
        <f t="shared" si="106"/>
        <v>0</v>
      </c>
      <c r="L156" s="1298">
        <f t="shared" si="106"/>
        <v>0</v>
      </c>
      <c r="M156" s="1298">
        <f t="shared" si="106"/>
        <v>0</v>
      </c>
      <c r="N156" s="1298">
        <f t="shared" si="106"/>
        <v>0</v>
      </c>
      <c r="O156" s="1298">
        <f t="shared" si="106"/>
        <v>0</v>
      </c>
      <c r="P156" s="1298">
        <f t="shared" si="106"/>
        <v>0</v>
      </c>
      <c r="Q156" s="1298">
        <f t="shared" si="106"/>
        <v>0</v>
      </c>
      <c r="R156" s="1298">
        <f t="shared" si="106"/>
        <v>0</v>
      </c>
      <c r="S156" s="1298">
        <f t="shared" si="106"/>
        <v>0</v>
      </c>
      <c r="T156" s="1298">
        <f t="shared" si="106"/>
        <v>0</v>
      </c>
      <c r="U156" s="1298">
        <f t="shared" si="106"/>
        <v>0</v>
      </c>
      <c r="V156" s="1298">
        <f t="shared" si="106"/>
        <v>0</v>
      </c>
      <c r="W156" s="1298">
        <f t="shared" si="106"/>
        <v>0</v>
      </c>
    </row>
    <row r="157" spans="2:23" x14ac:dyDescent="0.35">
      <c r="B157" s="1295" t="s">
        <v>1458</v>
      </c>
      <c r="C157" s="1296"/>
      <c r="D157" s="1300">
        <f>D154*D$5*(D$6-C$6+1)/365</f>
        <v>0</v>
      </c>
      <c r="E157" s="1300">
        <f>E154*E$5*(E$6-D$6)/365</f>
        <v>0</v>
      </c>
      <c r="F157" s="1300">
        <f t="shared" ref="F157:W157" si="107">F154*F$5*(F$6-E$6)/365</f>
        <v>0</v>
      </c>
      <c r="G157" s="1300">
        <f t="shared" si="107"/>
        <v>0</v>
      </c>
      <c r="H157" s="1300">
        <f t="shared" si="107"/>
        <v>0</v>
      </c>
      <c r="I157" s="1300">
        <f t="shared" si="107"/>
        <v>0</v>
      </c>
      <c r="J157" s="1300">
        <f t="shared" si="107"/>
        <v>0</v>
      </c>
      <c r="K157" s="1300">
        <f t="shared" si="107"/>
        <v>0</v>
      </c>
      <c r="L157" s="1300">
        <f t="shared" si="107"/>
        <v>0</v>
      </c>
      <c r="M157" s="1300">
        <f t="shared" si="107"/>
        <v>0</v>
      </c>
      <c r="N157" s="1300">
        <f t="shared" si="107"/>
        <v>0</v>
      </c>
      <c r="O157" s="1300">
        <f t="shared" si="107"/>
        <v>0</v>
      </c>
      <c r="P157" s="1300">
        <f t="shared" si="107"/>
        <v>0</v>
      </c>
      <c r="Q157" s="1300">
        <f t="shared" si="107"/>
        <v>0</v>
      </c>
      <c r="R157" s="1300">
        <f t="shared" si="107"/>
        <v>0</v>
      </c>
      <c r="S157" s="1300">
        <f t="shared" si="107"/>
        <v>0</v>
      </c>
      <c r="T157" s="1300">
        <f t="shared" si="107"/>
        <v>0</v>
      </c>
      <c r="U157" s="1300">
        <f t="shared" si="107"/>
        <v>0</v>
      </c>
      <c r="V157" s="1300">
        <f t="shared" si="107"/>
        <v>0</v>
      </c>
      <c r="W157" s="1300">
        <f t="shared" si="107"/>
        <v>0</v>
      </c>
    </row>
    <row r="159" spans="2:23" x14ac:dyDescent="0.35">
      <c r="B159" s="1288" t="s">
        <v>1468</v>
      </c>
      <c r="C159" s="1289">
        <v>43087</v>
      </c>
      <c r="D159" s="1289">
        <f>EOMONTH(E159,-12)</f>
        <v>43190</v>
      </c>
      <c r="E159" s="1289">
        <f>EOMONTH(F159,-12)</f>
        <v>43555</v>
      </c>
      <c r="F159" s="1289">
        <f>EOMONTH(G159,-12)</f>
        <v>43921</v>
      </c>
      <c r="G159" s="1289">
        <f>'Debt Assumptions &amp; working'!$C$17</f>
        <v>44286</v>
      </c>
      <c r="H159" s="1289">
        <f>EOMONTH(G159,12)</f>
        <v>44651</v>
      </c>
      <c r="I159" s="1289">
        <f t="shared" ref="I159:W159" si="108">EOMONTH(H159,12)</f>
        <v>45016</v>
      </c>
      <c r="J159" s="1289">
        <f t="shared" si="108"/>
        <v>45382</v>
      </c>
      <c r="K159" s="1289">
        <f t="shared" si="108"/>
        <v>45747</v>
      </c>
      <c r="L159" s="1289">
        <f t="shared" si="108"/>
        <v>46112</v>
      </c>
      <c r="M159" s="1289">
        <f t="shared" si="108"/>
        <v>46477</v>
      </c>
      <c r="N159" s="1289">
        <f t="shared" si="108"/>
        <v>46843</v>
      </c>
      <c r="O159" s="1289">
        <f t="shared" si="108"/>
        <v>47208</v>
      </c>
      <c r="P159" s="1289">
        <f t="shared" si="108"/>
        <v>47573</v>
      </c>
      <c r="Q159" s="1289">
        <f t="shared" si="108"/>
        <v>47938</v>
      </c>
      <c r="R159" s="1289">
        <f t="shared" si="108"/>
        <v>48304</v>
      </c>
      <c r="S159" s="1289">
        <f t="shared" si="108"/>
        <v>48669</v>
      </c>
      <c r="T159" s="1289">
        <f t="shared" si="108"/>
        <v>49034</v>
      </c>
      <c r="U159" s="1289">
        <f t="shared" si="108"/>
        <v>49399</v>
      </c>
      <c r="V159" s="1289">
        <f t="shared" si="108"/>
        <v>49765</v>
      </c>
      <c r="W159" s="1289">
        <f t="shared" si="108"/>
        <v>50130</v>
      </c>
    </row>
    <row r="160" spans="2:23" x14ac:dyDescent="0.35">
      <c r="B160" s="1290" t="s">
        <v>1450</v>
      </c>
      <c r="C160" s="1290">
        <v>0</v>
      </c>
      <c r="D160" s="1291">
        <f>(D159-C159+1)/365</f>
        <v>0.28493150684931506</v>
      </c>
      <c r="E160" s="1291">
        <f t="shared" ref="E160:W160" si="109">D160+1</f>
        <v>1.284931506849315</v>
      </c>
      <c r="F160" s="1291">
        <f t="shared" si="109"/>
        <v>2.2849315068493148</v>
      </c>
      <c r="G160" s="1291">
        <f t="shared" si="109"/>
        <v>3.2849315068493148</v>
      </c>
      <c r="H160" s="1291">
        <f t="shared" si="109"/>
        <v>4.2849315068493148</v>
      </c>
      <c r="I160" s="1291">
        <f t="shared" si="109"/>
        <v>5.2849315068493148</v>
      </c>
      <c r="J160" s="1291">
        <f t="shared" si="109"/>
        <v>6.2849315068493148</v>
      </c>
      <c r="K160" s="1291">
        <f t="shared" si="109"/>
        <v>7.2849315068493148</v>
      </c>
      <c r="L160" s="1291">
        <f t="shared" si="109"/>
        <v>8.2849315068493148</v>
      </c>
      <c r="M160" s="1291">
        <f t="shared" si="109"/>
        <v>9.2849315068493148</v>
      </c>
      <c r="N160" s="1291">
        <f t="shared" si="109"/>
        <v>10.284931506849315</v>
      </c>
      <c r="O160" s="1291">
        <f t="shared" si="109"/>
        <v>11.284931506849315</v>
      </c>
      <c r="P160" s="1291">
        <f t="shared" si="109"/>
        <v>12.284931506849315</v>
      </c>
      <c r="Q160" s="1291">
        <f t="shared" si="109"/>
        <v>13.284931506849315</v>
      </c>
      <c r="R160" s="1291">
        <f t="shared" si="109"/>
        <v>14.284931506849315</v>
      </c>
      <c r="S160" s="1291">
        <f t="shared" si="109"/>
        <v>15.284931506849315</v>
      </c>
      <c r="T160" s="1291">
        <f t="shared" si="109"/>
        <v>16.284931506849315</v>
      </c>
      <c r="U160" s="1291">
        <f t="shared" si="109"/>
        <v>17.284931506849315</v>
      </c>
      <c r="V160" s="1291">
        <f t="shared" si="109"/>
        <v>18.284931506849315</v>
      </c>
      <c r="W160" s="1291">
        <f t="shared" si="109"/>
        <v>19.284931506849315</v>
      </c>
    </row>
    <row r="161" spans="2:23" x14ac:dyDescent="0.35">
      <c r="B161" s="1290" t="s">
        <v>518</v>
      </c>
      <c r="C161" s="1290"/>
      <c r="D161" s="1292">
        <v>0</v>
      </c>
      <c r="E161" s="1292">
        <v>0</v>
      </c>
      <c r="F161" s="1292">
        <v>0</v>
      </c>
      <c r="G161" s="1293">
        <v>0</v>
      </c>
      <c r="H161" s="1294">
        <v>0</v>
      </c>
      <c r="I161" s="1294">
        <v>0</v>
      </c>
      <c r="J161" s="1294">
        <v>0</v>
      </c>
      <c r="K161" s="1294">
        <v>0</v>
      </c>
      <c r="L161" s="1294">
        <v>0</v>
      </c>
      <c r="M161" s="1294">
        <v>0</v>
      </c>
      <c r="N161" s="1294">
        <v>0</v>
      </c>
      <c r="O161" s="1294">
        <v>0</v>
      </c>
      <c r="P161" s="1294">
        <v>0</v>
      </c>
      <c r="Q161" s="1294">
        <v>0</v>
      </c>
      <c r="R161" s="1294">
        <v>0</v>
      </c>
      <c r="S161" s="1294">
        <v>0</v>
      </c>
      <c r="T161" s="1294">
        <v>1</v>
      </c>
      <c r="U161" s="1294"/>
      <c r="V161" s="1294"/>
      <c r="W161" s="1294"/>
    </row>
    <row r="162" spans="2:23" x14ac:dyDescent="0.35">
      <c r="B162" s="1295" t="s">
        <v>544</v>
      </c>
      <c r="C162" s="1296"/>
      <c r="D162" s="1296">
        <f>-C168</f>
        <v>0</v>
      </c>
      <c r="E162" s="1296">
        <f t="shared" ref="E162:W162" si="110">D166</f>
        <v>0</v>
      </c>
      <c r="F162" s="1296">
        <f t="shared" si="110"/>
        <v>0</v>
      </c>
      <c r="G162" s="1296">
        <f t="shared" si="110"/>
        <v>0</v>
      </c>
      <c r="H162" s="1296">
        <f t="shared" si="110"/>
        <v>0</v>
      </c>
      <c r="I162" s="1296">
        <f t="shared" si="110"/>
        <v>0</v>
      </c>
      <c r="J162" s="1296">
        <f t="shared" si="110"/>
        <v>0</v>
      </c>
      <c r="K162" s="1296">
        <f t="shared" si="110"/>
        <v>0</v>
      </c>
      <c r="L162" s="1296">
        <f t="shared" si="110"/>
        <v>0</v>
      </c>
      <c r="M162" s="1296">
        <f t="shared" si="110"/>
        <v>0</v>
      </c>
      <c r="N162" s="1296">
        <f t="shared" si="110"/>
        <v>0</v>
      </c>
      <c r="O162" s="1296">
        <f t="shared" si="110"/>
        <v>0</v>
      </c>
      <c r="P162" s="1296">
        <f t="shared" si="110"/>
        <v>0</v>
      </c>
      <c r="Q162" s="1296">
        <f t="shared" si="110"/>
        <v>0</v>
      </c>
      <c r="R162" s="1296">
        <f t="shared" si="110"/>
        <v>0</v>
      </c>
      <c r="S162" s="1296">
        <f t="shared" si="110"/>
        <v>0</v>
      </c>
      <c r="T162" s="1296">
        <f t="shared" si="110"/>
        <v>0</v>
      </c>
      <c r="U162" s="1296">
        <f t="shared" si="110"/>
        <v>0</v>
      </c>
      <c r="V162" s="1296">
        <f t="shared" si="110"/>
        <v>0</v>
      </c>
      <c r="W162" s="1296">
        <f t="shared" si="110"/>
        <v>0</v>
      </c>
    </row>
    <row r="163" spans="2:23" x14ac:dyDescent="0.35">
      <c r="B163" s="1295" t="s">
        <v>276</v>
      </c>
      <c r="C163" s="1296"/>
      <c r="D163" s="1296">
        <f>D162*(D$4-D$5)*(D159-C159)/365</f>
        <v>0</v>
      </c>
      <c r="E163" s="1296">
        <f>(D173*(E$4-E$5))+(E4*(SUM($D$163:D163)-SUM($D$165:D165)))</f>
        <v>0</v>
      </c>
      <c r="F163" s="1296">
        <f>(E173*(F$4-F$5))+(F4*(SUM($D$163:E163)-SUM($D$165:E165)))</f>
        <v>0</v>
      </c>
      <c r="G163" s="1296">
        <f>(F173*(G$4-G$5))+(G4*(SUM($D$163:F163)-SUM($D$165:F165)))</f>
        <v>0</v>
      </c>
      <c r="H163" s="1296">
        <f>(G173*(H$4-H$5))+(H4*(SUM($D$163:G163)-SUM($D$165:G165)))</f>
        <v>0</v>
      </c>
      <c r="I163" s="1296">
        <f>(H173*(I$4-I$5))+(I4*(SUM($D$163:H163)-SUM($D$165:H165)))</f>
        <v>0</v>
      </c>
      <c r="J163" s="1296">
        <f>(I173*(J$4-J$5))+(J4*(SUM($D$163:I163)-SUM($D$165:I165)))</f>
        <v>0</v>
      </c>
      <c r="K163" s="1296">
        <f>(J173*(K$4-K$5))+(K4*(SUM($D$163:J163)-SUM($D$165:J165)))</f>
        <v>0</v>
      </c>
      <c r="L163" s="1296">
        <f>(K173*(L$4-L$5))+(L4*(SUM($D$163:K163)-SUM($D$165:K165)))</f>
        <v>0</v>
      </c>
      <c r="M163" s="1296">
        <f>(L173*(M$4-M$5))+(M4*(SUM($D$163:L163)-SUM($D$165:L165)))</f>
        <v>0</v>
      </c>
      <c r="N163" s="1296">
        <f>(M173*(N$4-N$5))+(N4*(SUM($D$163:M163)-SUM($D$165:M165)))</f>
        <v>0</v>
      </c>
      <c r="O163" s="1296">
        <f>(N173*(O$4-O$5))+(O4*(SUM($D$163:N163)-SUM($D$165:N165)))</f>
        <v>0</v>
      </c>
      <c r="P163" s="1296">
        <f>(O173*(P$4-P$5))+(P4*(SUM($D$163:O163)-SUM($D$165:O165)))</f>
        <v>0</v>
      </c>
      <c r="Q163" s="1296">
        <f>(P173*(Q$4-Q$5))+(Q4*(SUM($D$163:P163)-SUM($D$165:P165)))</f>
        <v>0</v>
      </c>
      <c r="R163" s="1296">
        <f>(Q173*(R$4-R$5))+(R4*(SUM($D$163:Q163)-SUM($D$165:Q165)))</f>
        <v>0</v>
      </c>
      <c r="S163" s="1296">
        <f>(R173*(S$4-S$5))+(S4*(SUM($D$163:R163)-SUM($D$165:R165)))</f>
        <v>0</v>
      </c>
      <c r="T163" s="1296">
        <f>(S173*(T$4-T$5))+(T4*(SUM($D$163:S163)-SUM($D$165:S165)))</f>
        <v>0</v>
      </c>
      <c r="U163" s="1296">
        <f>(T173*(U$4-U$5))+(U4*(SUM($D$163:T163)-SUM($D$165:T165)))</f>
        <v>0</v>
      </c>
      <c r="V163" s="1296">
        <f>(U173*(V$4-V$5))+(V4*(SUM($D$163:U163)-SUM($D$165:U165)))</f>
        <v>0</v>
      </c>
      <c r="W163" s="1296">
        <f>(V173*(W$4-W$5))+(W4*(SUM($D$163:V163)-SUM($D$165:V165)))</f>
        <v>0</v>
      </c>
    </row>
    <row r="164" spans="2:23" x14ac:dyDescent="0.35">
      <c r="B164" s="1295" t="s">
        <v>545</v>
      </c>
      <c r="C164" s="1296"/>
      <c r="D164" s="1296">
        <f>$D$162*D161</f>
        <v>0</v>
      </c>
      <c r="E164" s="1296">
        <f t="shared" ref="E164:W164" si="111">$D$162*E161</f>
        <v>0</v>
      </c>
      <c r="F164" s="1296">
        <f t="shared" si="111"/>
        <v>0</v>
      </c>
      <c r="G164" s="1296">
        <f t="shared" si="111"/>
        <v>0</v>
      </c>
      <c r="H164" s="1296">
        <f t="shared" si="111"/>
        <v>0</v>
      </c>
      <c r="I164" s="1296">
        <f t="shared" si="111"/>
        <v>0</v>
      </c>
      <c r="J164" s="1296">
        <f t="shared" si="111"/>
        <v>0</v>
      </c>
      <c r="K164" s="1296">
        <f t="shared" si="111"/>
        <v>0</v>
      </c>
      <c r="L164" s="1296">
        <f t="shared" si="111"/>
        <v>0</v>
      </c>
      <c r="M164" s="1296">
        <f t="shared" si="111"/>
        <v>0</v>
      </c>
      <c r="N164" s="1296">
        <f t="shared" si="111"/>
        <v>0</v>
      </c>
      <c r="O164" s="1296">
        <f t="shared" si="111"/>
        <v>0</v>
      </c>
      <c r="P164" s="1296">
        <f t="shared" si="111"/>
        <v>0</v>
      </c>
      <c r="Q164" s="1296">
        <f t="shared" si="111"/>
        <v>0</v>
      </c>
      <c r="R164" s="1296">
        <f t="shared" si="111"/>
        <v>0</v>
      </c>
      <c r="S164" s="1296">
        <f t="shared" si="111"/>
        <v>0</v>
      </c>
      <c r="T164" s="1296">
        <f t="shared" si="111"/>
        <v>0</v>
      </c>
      <c r="U164" s="1296">
        <f t="shared" si="111"/>
        <v>0</v>
      </c>
      <c r="V164" s="1296">
        <f t="shared" si="111"/>
        <v>0</v>
      </c>
      <c r="W164" s="1296">
        <f t="shared" si="111"/>
        <v>0</v>
      </c>
    </row>
    <row r="165" spans="2:23" x14ac:dyDescent="0.35">
      <c r="B165" s="1295" t="s">
        <v>1451</v>
      </c>
      <c r="C165" s="1297"/>
      <c r="D165" s="1297"/>
      <c r="E165" s="1297"/>
      <c r="F165" s="1297"/>
      <c r="G165" s="1297"/>
      <c r="H165" s="1297"/>
      <c r="I165" s="1297"/>
      <c r="J165" s="1297"/>
      <c r="K165" s="1297"/>
      <c r="L165" s="1297"/>
      <c r="M165" s="1297"/>
      <c r="N165" s="1297"/>
      <c r="O165" s="1297"/>
      <c r="P165" s="1297"/>
      <c r="Q165" s="1297"/>
      <c r="R165" s="1297"/>
      <c r="S165" s="1297"/>
      <c r="T165" s="1297">
        <f>T162+T163-T164-T166</f>
        <v>0</v>
      </c>
      <c r="U165" s="1297"/>
      <c r="V165" s="1297"/>
      <c r="W165" s="1297"/>
    </row>
    <row r="166" spans="2:23" x14ac:dyDescent="0.35">
      <c r="B166" s="1295" t="s">
        <v>546</v>
      </c>
      <c r="C166" s="1296"/>
      <c r="D166" s="1296">
        <f t="shared" ref="D166:S166" si="112">D162+D163-D164-D165</f>
        <v>0</v>
      </c>
      <c r="E166" s="1296">
        <f t="shared" si="112"/>
        <v>0</v>
      </c>
      <c r="F166" s="1296">
        <f t="shared" si="112"/>
        <v>0</v>
      </c>
      <c r="G166" s="1296">
        <f t="shared" si="112"/>
        <v>0</v>
      </c>
      <c r="H166" s="1296">
        <f t="shared" si="112"/>
        <v>0</v>
      </c>
      <c r="I166" s="1296">
        <f t="shared" si="112"/>
        <v>0</v>
      </c>
      <c r="J166" s="1296">
        <f t="shared" si="112"/>
        <v>0</v>
      </c>
      <c r="K166" s="1296">
        <f t="shared" si="112"/>
        <v>0</v>
      </c>
      <c r="L166" s="1296">
        <f t="shared" si="112"/>
        <v>0</v>
      </c>
      <c r="M166" s="1296">
        <f t="shared" si="112"/>
        <v>0</v>
      </c>
      <c r="N166" s="1296">
        <f t="shared" si="112"/>
        <v>0</v>
      </c>
      <c r="O166" s="1296">
        <f t="shared" si="112"/>
        <v>0</v>
      </c>
      <c r="P166" s="1296">
        <f t="shared" si="112"/>
        <v>0</v>
      </c>
      <c r="Q166" s="1296">
        <f t="shared" si="112"/>
        <v>0</v>
      </c>
      <c r="R166" s="1296">
        <f t="shared" si="112"/>
        <v>0</v>
      </c>
      <c r="S166" s="1296">
        <f t="shared" si="112"/>
        <v>0</v>
      </c>
      <c r="T166" s="1296">
        <v>0</v>
      </c>
      <c r="U166" s="1296">
        <f>U162+U163-U164-U165</f>
        <v>0</v>
      </c>
      <c r="V166" s="1296">
        <f>V162+V163-V164-V165</f>
        <v>0</v>
      </c>
      <c r="W166" s="1296">
        <f>W162+W163-W164-W165</f>
        <v>0</v>
      </c>
    </row>
    <row r="167" spans="2:23" x14ac:dyDescent="0.35">
      <c r="B167" s="1295" t="s">
        <v>1452</v>
      </c>
      <c r="C167" s="1296"/>
      <c r="D167" s="1296">
        <f>D174</f>
        <v>0</v>
      </c>
      <c r="E167" s="1296">
        <f t="shared" ref="E167:W167" si="113">E174</f>
        <v>0</v>
      </c>
      <c r="F167" s="1296">
        <f t="shared" si="113"/>
        <v>0</v>
      </c>
      <c r="G167" s="1296">
        <f t="shared" si="113"/>
        <v>0</v>
      </c>
      <c r="H167" s="1296">
        <f t="shared" si="113"/>
        <v>0</v>
      </c>
      <c r="I167" s="1296">
        <f t="shared" si="113"/>
        <v>0</v>
      </c>
      <c r="J167" s="1296">
        <f t="shared" si="113"/>
        <v>0</v>
      </c>
      <c r="K167" s="1296">
        <f t="shared" si="113"/>
        <v>0</v>
      </c>
      <c r="L167" s="1296">
        <f t="shared" si="113"/>
        <v>0</v>
      </c>
      <c r="M167" s="1296">
        <f t="shared" si="113"/>
        <v>0</v>
      </c>
      <c r="N167" s="1296">
        <f t="shared" si="113"/>
        <v>0</v>
      </c>
      <c r="O167" s="1296">
        <f t="shared" si="113"/>
        <v>0</v>
      </c>
      <c r="P167" s="1296">
        <f t="shared" si="113"/>
        <v>0</v>
      </c>
      <c r="Q167" s="1296">
        <f t="shared" si="113"/>
        <v>0</v>
      </c>
      <c r="R167" s="1296">
        <f t="shared" si="113"/>
        <v>0</v>
      </c>
      <c r="S167" s="1296">
        <f t="shared" si="113"/>
        <v>0</v>
      </c>
      <c r="T167" s="1296">
        <f t="shared" si="113"/>
        <v>0</v>
      </c>
      <c r="U167" s="1296">
        <f t="shared" si="113"/>
        <v>0</v>
      </c>
      <c r="V167" s="1296">
        <f t="shared" si="113"/>
        <v>0</v>
      </c>
      <c r="W167" s="1296">
        <f t="shared" si="113"/>
        <v>0</v>
      </c>
    </row>
    <row r="168" spans="2:23" x14ac:dyDescent="0.35">
      <c r="B168" s="1295" t="s">
        <v>1453</v>
      </c>
      <c r="C168" s="1298">
        <f>C151</f>
        <v>0</v>
      </c>
      <c r="D168" s="1298">
        <f>D164+D165+D167</f>
        <v>0</v>
      </c>
      <c r="E168" s="1298">
        <f t="shared" ref="E168:W168" si="114">E164+E165+E167</f>
        <v>0</v>
      </c>
      <c r="F168" s="1298">
        <f t="shared" si="114"/>
        <v>0</v>
      </c>
      <c r="G168" s="1298">
        <f t="shared" si="114"/>
        <v>0</v>
      </c>
      <c r="H168" s="1298">
        <f t="shared" si="114"/>
        <v>0</v>
      </c>
      <c r="I168" s="1298">
        <f t="shared" si="114"/>
        <v>0</v>
      </c>
      <c r="J168" s="1298">
        <f t="shared" si="114"/>
        <v>0</v>
      </c>
      <c r="K168" s="1298">
        <f t="shared" si="114"/>
        <v>0</v>
      </c>
      <c r="L168" s="1298">
        <f t="shared" si="114"/>
        <v>0</v>
      </c>
      <c r="M168" s="1298">
        <f t="shared" si="114"/>
        <v>0</v>
      </c>
      <c r="N168" s="1298">
        <f t="shared" si="114"/>
        <v>0</v>
      </c>
      <c r="O168" s="1298">
        <f t="shared" si="114"/>
        <v>0</v>
      </c>
      <c r="P168" s="1298">
        <f t="shared" si="114"/>
        <v>0</v>
      </c>
      <c r="Q168" s="1298">
        <f t="shared" si="114"/>
        <v>0</v>
      </c>
      <c r="R168" s="1298">
        <f t="shared" si="114"/>
        <v>0</v>
      </c>
      <c r="S168" s="1298">
        <f t="shared" si="114"/>
        <v>0</v>
      </c>
      <c r="T168" s="1298">
        <f t="shared" si="114"/>
        <v>0</v>
      </c>
      <c r="U168" s="1298">
        <f t="shared" si="114"/>
        <v>0</v>
      </c>
      <c r="V168" s="1298">
        <f t="shared" si="114"/>
        <v>0</v>
      </c>
      <c r="W168" s="1298">
        <f t="shared" si="114"/>
        <v>0</v>
      </c>
    </row>
    <row r="169" spans="2:23" x14ac:dyDescent="0.35">
      <c r="B169" s="1295" t="s">
        <v>1454</v>
      </c>
      <c r="C169" s="1299"/>
      <c r="D169" s="1296"/>
      <c r="E169" s="1296"/>
      <c r="F169" s="1296"/>
      <c r="G169" s="1296"/>
      <c r="H169" s="1296"/>
      <c r="I169" s="1296"/>
      <c r="J169" s="1296"/>
      <c r="K169" s="1296"/>
      <c r="L169" s="1296"/>
      <c r="M169" s="1296"/>
      <c r="N169" s="1296"/>
      <c r="O169" s="1296"/>
      <c r="P169" s="1296"/>
      <c r="Q169" s="1296"/>
      <c r="R169" s="1296"/>
      <c r="S169" s="1296"/>
      <c r="T169" s="1296"/>
      <c r="U169" s="1296"/>
      <c r="V169" s="1296"/>
      <c r="W169" s="1296"/>
    </row>
    <row r="170" spans="2:23" x14ac:dyDescent="0.35">
      <c r="B170" s="213"/>
      <c r="C170" s="214"/>
      <c r="D170" s="214"/>
      <c r="E170" s="214"/>
      <c r="F170" s="214"/>
      <c r="G170" s="214"/>
      <c r="H170" s="214"/>
      <c r="I170" s="214"/>
      <c r="J170" s="214"/>
      <c r="K170" s="214"/>
      <c r="L170" s="214"/>
      <c r="M170" s="214"/>
      <c r="N170" s="214"/>
      <c r="O170" s="214"/>
      <c r="P170" s="214"/>
      <c r="Q170" s="214"/>
      <c r="R170" s="214"/>
      <c r="S170" s="214"/>
      <c r="T170" s="214"/>
      <c r="U170" s="214"/>
      <c r="V170" s="214"/>
      <c r="W170" s="214"/>
    </row>
    <row r="171" spans="2:23" x14ac:dyDescent="0.35">
      <c r="B171" s="1295" t="s">
        <v>1455</v>
      </c>
      <c r="C171" s="1296"/>
      <c r="D171" s="1296">
        <f>D162</f>
        <v>0</v>
      </c>
      <c r="E171" s="1296">
        <f t="shared" ref="E171:W171" si="115">D173</f>
        <v>0</v>
      </c>
      <c r="F171" s="1296">
        <f t="shared" si="115"/>
        <v>0</v>
      </c>
      <c r="G171" s="1296">
        <f t="shared" si="115"/>
        <v>0</v>
      </c>
      <c r="H171" s="1296">
        <f t="shared" si="115"/>
        <v>0</v>
      </c>
      <c r="I171" s="1296">
        <f t="shared" si="115"/>
        <v>0</v>
      </c>
      <c r="J171" s="1296">
        <f t="shared" si="115"/>
        <v>0</v>
      </c>
      <c r="K171" s="1296">
        <f t="shared" si="115"/>
        <v>0</v>
      </c>
      <c r="L171" s="1296">
        <f t="shared" si="115"/>
        <v>0</v>
      </c>
      <c r="M171" s="1296">
        <f t="shared" si="115"/>
        <v>0</v>
      </c>
      <c r="N171" s="1296">
        <f t="shared" si="115"/>
        <v>0</v>
      </c>
      <c r="O171" s="1296">
        <f t="shared" si="115"/>
        <v>0</v>
      </c>
      <c r="P171" s="1296">
        <f t="shared" si="115"/>
        <v>0</v>
      </c>
      <c r="Q171" s="1296">
        <f t="shared" si="115"/>
        <v>0</v>
      </c>
      <c r="R171" s="1296">
        <f t="shared" si="115"/>
        <v>0</v>
      </c>
      <c r="S171" s="1296">
        <f t="shared" si="115"/>
        <v>0</v>
      </c>
      <c r="T171" s="1296">
        <f t="shared" si="115"/>
        <v>0</v>
      </c>
      <c r="U171" s="1296">
        <f t="shared" si="115"/>
        <v>0</v>
      </c>
      <c r="V171" s="1296">
        <f t="shared" si="115"/>
        <v>0</v>
      </c>
      <c r="W171" s="1296">
        <f t="shared" si="115"/>
        <v>0</v>
      </c>
    </row>
    <row r="172" spans="2:23" x14ac:dyDescent="0.35">
      <c r="B172" s="1295" t="s">
        <v>1456</v>
      </c>
      <c r="C172" s="1296"/>
      <c r="D172" s="1296">
        <f>D164</f>
        <v>0</v>
      </c>
      <c r="E172" s="1296">
        <f>E164</f>
        <v>0</v>
      </c>
      <c r="F172" s="1296">
        <f t="shared" ref="F172:W172" si="116">F164</f>
        <v>0</v>
      </c>
      <c r="G172" s="1296">
        <f t="shared" si="116"/>
        <v>0</v>
      </c>
      <c r="H172" s="1296">
        <f t="shared" si="116"/>
        <v>0</v>
      </c>
      <c r="I172" s="1296">
        <f t="shared" si="116"/>
        <v>0</v>
      </c>
      <c r="J172" s="1296">
        <f t="shared" si="116"/>
        <v>0</v>
      </c>
      <c r="K172" s="1296">
        <f t="shared" si="116"/>
        <v>0</v>
      </c>
      <c r="L172" s="1296">
        <f t="shared" si="116"/>
        <v>0</v>
      </c>
      <c r="M172" s="1296">
        <f t="shared" si="116"/>
        <v>0</v>
      </c>
      <c r="N172" s="1296">
        <f t="shared" si="116"/>
        <v>0</v>
      </c>
      <c r="O172" s="1296">
        <f t="shared" si="116"/>
        <v>0</v>
      </c>
      <c r="P172" s="1296">
        <f t="shared" si="116"/>
        <v>0</v>
      </c>
      <c r="Q172" s="1296">
        <f t="shared" si="116"/>
        <v>0</v>
      </c>
      <c r="R172" s="1296">
        <f t="shared" si="116"/>
        <v>0</v>
      </c>
      <c r="S172" s="1296">
        <f t="shared" si="116"/>
        <v>0</v>
      </c>
      <c r="T172" s="1296">
        <f t="shared" si="116"/>
        <v>0</v>
      </c>
      <c r="U172" s="1296">
        <f t="shared" si="116"/>
        <v>0</v>
      </c>
      <c r="V172" s="1296">
        <f t="shared" si="116"/>
        <v>0</v>
      </c>
      <c r="W172" s="1296">
        <f t="shared" si="116"/>
        <v>0</v>
      </c>
    </row>
    <row r="173" spans="2:23" x14ac:dyDescent="0.35">
      <c r="B173" s="1295" t="s">
        <v>1457</v>
      </c>
      <c r="C173" s="1296"/>
      <c r="D173" s="1298">
        <f t="shared" ref="D173:W173" si="117">D171-D172</f>
        <v>0</v>
      </c>
      <c r="E173" s="1298">
        <f t="shared" si="117"/>
        <v>0</v>
      </c>
      <c r="F173" s="1298">
        <f t="shared" si="117"/>
        <v>0</v>
      </c>
      <c r="G173" s="1298">
        <f t="shared" si="117"/>
        <v>0</v>
      </c>
      <c r="H173" s="1298">
        <f t="shared" si="117"/>
        <v>0</v>
      </c>
      <c r="I173" s="1298">
        <f t="shared" si="117"/>
        <v>0</v>
      </c>
      <c r="J173" s="1298">
        <f t="shared" si="117"/>
        <v>0</v>
      </c>
      <c r="K173" s="1298">
        <f t="shared" si="117"/>
        <v>0</v>
      </c>
      <c r="L173" s="1298">
        <f t="shared" si="117"/>
        <v>0</v>
      </c>
      <c r="M173" s="1298">
        <f t="shared" si="117"/>
        <v>0</v>
      </c>
      <c r="N173" s="1298">
        <f t="shared" si="117"/>
        <v>0</v>
      </c>
      <c r="O173" s="1298">
        <f t="shared" si="117"/>
        <v>0</v>
      </c>
      <c r="P173" s="1298">
        <f t="shared" si="117"/>
        <v>0</v>
      </c>
      <c r="Q173" s="1298">
        <f t="shared" si="117"/>
        <v>0</v>
      </c>
      <c r="R173" s="1298">
        <f t="shared" si="117"/>
        <v>0</v>
      </c>
      <c r="S173" s="1298">
        <f t="shared" si="117"/>
        <v>0</v>
      </c>
      <c r="T173" s="1298">
        <f t="shared" si="117"/>
        <v>0</v>
      </c>
      <c r="U173" s="1298">
        <f t="shared" si="117"/>
        <v>0</v>
      </c>
      <c r="V173" s="1298">
        <f t="shared" si="117"/>
        <v>0</v>
      </c>
      <c r="W173" s="1298">
        <f t="shared" si="117"/>
        <v>0</v>
      </c>
    </row>
    <row r="174" spans="2:23" x14ac:dyDescent="0.35">
      <c r="B174" s="1295" t="s">
        <v>1458</v>
      </c>
      <c r="C174" s="1296"/>
      <c r="D174" s="1300">
        <f>D171*D$5*(D$6-C$6+1)/365</f>
        <v>0</v>
      </c>
      <c r="E174" s="1300">
        <f>E171*E$5*(E$6-D$6)/365</f>
        <v>0</v>
      </c>
      <c r="F174" s="1300">
        <f t="shared" ref="F174:W174" si="118">F171*F$5*(F$6-E$6)/365</f>
        <v>0</v>
      </c>
      <c r="G174" s="1300">
        <f t="shared" si="118"/>
        <v>0</v>
      </c>
      <c r="H174" s="1300">
        <f t="shared" si="118"/>
        <v>0</v>
      </c>
      <c r="I174" s="1300">
        <f t="shared" si="118"/>
        <v>0</v>
      </c>
      <c r="J174" s="1300">
        <f t="shared" si="118"/>
        <v>0</v>
      </c>
      <c r="K174" s="1300">
        <f t="shared" si="118"/>
        <v>0</v>
      </c>
      <c r="L174" s="1300">
        <f t="shared" si="118"/>
        <v>0</v>
      </c>
      <c r="M174" s="1300">
        <f t="shared" si="118"/>
        <v>0</v>
      </c>
      <c r="N174" s="1300">
        <f t="shared" si="118"/>
        <v>0</v>
      </c>
      <c r="O174" s="1300">
        <f t="shared" si="118"/>
        <v>0</v>
      </c>
      <c r="P174" s="1300">
        <f t="shared" si="118"/>
        <v>0</v>
      </c>
      <c r="Q174" s="1300">
        <f t="shared" si="118"/>
        <v>0</v>
      </c>
      <c r="R174" s="1300">
        <f t="shared" si="118"/>
        <v>0</v>
      </c>
      <c r="S174" s="1300">
        <f t="shared" si="118"/>
        <v>0</v>
      </c>
      <c r="T174" s="1300">
        <f t="shared" si="118"/>
        <v>0</v>
      </c>
      <c r="U174" s="1300">
        <f t="shared" si="118"/>
        <v>0</v>
      </c>
      <c r="V174" s="1300">
        <f t="shared" si="118"/>
        <v>0</v>
      </c>
      <c r="W174" s="1300">
        <f t="shared" si="118"/>
        <v>0</v>
      </c>
    </row>
    <row r="176" spans="2:23" x14ac:dyDescent="0.35">
      <c r="B176" s="1288" t="s">
        <v>1469</v>
      </c>
      <c r="C176" s="1289">
        <v>43087</v>
      </c>
      <c r="D176" s="1289">
        <f>EOMONTH(E176,-12)</f>
        <v>43190</v>
      </c>
      <c r="E176" s="1289">
        <f>EOMONTH(F176,-12)</f>
        <v>43555</v>
      </c>
      <c r="F176" s="1289">
        <f>EOMONTH(G176,-12)</f>
        <v>43921</v>
      </c>
      <c r="G176" s="1289">
        <f>'Debt Assumptions &amp; working'!$C$17</f>
        <v>44286</v>
      </c>
      <c r="H176" s="1289">
        <f>EOMONTH(G176,12)</f>
        <v>44651</v>
      </c>
      <c r="I176" s="1289">
        <f t="shared" ref="I176:W176" si="119">EOMONTH(H176,12)</f>
        <v>45016</v>
      </c>
      <c r="J176" s="1289">
        <f t="shared" si="119"/>
        <v>45382</v>
      </c>
      <c r="K176" s="1289">
        <f t="shared" si="119"/>
        <v>45747</v>
      </c>
      <c r="L176" s="1289">
        <f t="shared" si="119"/>
        <v>46112</v>
      </c>
      <c r="M176" s="1289">
        <f t="shared" si="119"/>
        <v>46477</v>
      </c>
      <c r="N176" s="1289">
        <f t="shared" si="119"/>
        <v>46843</v>
      </c>
      <c r="O176" s="1289">
        <f t="shared" si="119"/>
        <v>47208</v>
      </c>
      <c r="P176" s="1289">
        <f t="shared" si="119"/>
        <v>47573</v>
      </c>
      <c r="Q176" s="1289">
        <f t="shared" si="119"/>
        <v>47938</v>
      </c>
      <c r="R176" s="1289">
        <f t="shared" si="119"/>
        <v>48304</v>
      </c>
      <c r="S176" s="1289">
        <f t="shared" si="119"/>
        <v>48669</v>
      </c>
      <c r="T176" s="1289">
        <f t="shared" si="119"/>
        <v>49034</v>
      </c>
      <c r="U176" s="1289">
        <f t="shared" si="119"/>
        <v>49399</v>
      </c>
      <c r="V176" s="1289">
        <f t="shared" si="119"/>
        <v>49765</v>
      </c>
      <c r="W176" s="1289">
        <f t="shared" si="119"/>
        <v>50130</v>
      </c>
    </row>
    <row r="177" spans="2:23" x14ac:dyDescent="0.35">
      <c r="B177" s="1290" t="s">
        <v>1450</v>
      </c>
      <c r="C177" s="1290">
        <v>0</v>
      </c>
      <c r="D177" s="1291">
        <f>(D176-C176+1)/365</f>
        <v>0.28493150684931506</v>
      </c>
      <c r="E177" s="1291">
        <f t="shared" ref="E177:W177" si="120">D177+1</f>
        <v>1.284931506849315</v>
      </c>
      <c r="F177" s="1291">
        <f t="shared" si="120"/>
        <v>2.2849315068493148</v>
      </c>
      <c r="G177" s="1291">
        <f t="shared" si="120"/>
        <v>3.2849315068493148</v>
      </c>
      <c r="H177" s="1291">
        <f t="shared" si="120"/>
        <v>4.2849315068493148</v>
      </c>
      <c r="I177" s="1291">
        <f t="shared" si="120"/>
        <v>5.2849315068493148</v>
      </c>
      <c r="J177" s="1291">
        <f t="shared" si="120"/>
        <v>6.2849315068493148</v>
      </c>
      <c r="K177" s="1291">
        <f t="shared" si="120"/>
        <v>7.2849315068493148</v>
      </c>
      <c r="L177" s="1291">
        <f t="shared" si="120"/>
        <v>8.2849315068493148</v>
      </c>
      <c r="M177" s="1291">
        <f t="shared" si="120"/>
        <v>9.2849315068493148</v>
      </c>
      <c r="N177" s="1291">
        <f t="shared" si="120"/>
        <v>10.284931506849315</v>
      </c>
      <c r="O177" s="1291">
        <f t="shared" si="120"/>
        <v>11.284931506849315</v>
      </c>
      <c r="P177" s="1291">
        <f t="shared" si="120"/>
        <v>12.284931506849315</v>
      </c>
      <c r="Q177" s="1291">
        <f t="shared" si="120"/>
        <v>13.284931506849315</v>
      </c>
      <c r="R177" s="1291">
        <f t="shared" si="120"/>
        <v>14.284931506849315</v>
      </c>
      <c r="S177" s="1291">
        <f t="shared" si="120"/>
        <v>15.284931506849315</v>
      </c>
      <c r="T177" s="1291">
        <f t="shared" si="120"/>
        <v>16.284931506849315</v>
      </c>
      <c r="U177" s="1291">
        <f t="shared" si="120"/>
        <v>17.284931506849315</v>
      </c>
      <c r="V177" s="1291">
        <f t="shared" si="120"/>
        <v>18.284931506849315</v>
      </c>
      <c r="W177" s="1291">
        <f t="shared" si="120"/>
        <v>19.284931506849315</v>
      </c>
    </row>
    <row r="178" spans="2:23" x14ac:dyDescent="0.35">
      <c r="B178" s="1290" t="s">
        <v>518</v>
      </c>
      <c r="C178" s="1290"/>
      <c r="D178" s="1292">
        <v>0</v>
      </c>
      <c r="E178" s="1292">
        <v>0</v>
      </c>
      <c r="F178" s="1292">
        <v>0</v>
      </c>
      <c r="G178" s="1293">
        <v>0</v>
      </c>
      <c r="H178" s="1294">
        <v>0</v>
      </c>
      <c r="I178" s="1294">
        <v>0</v>
      </c>
      <c r="J178" s="1294">
        <v>0</v>
      </c>
      <c r="K178" s="1294">
        <v>0</v>
      </c>
      <c r="L178" s="1294">
        <v>0</v>
      </c>
      <c r="M178" s="1294">
        <v>0</v>
      </c>
      <c r="N178" s="1294">
        <v>0</v>
      </c>
      <c r="O178" s="1294">
        <v>0</v>
      </c>
      <c r="P178" s="1294">
        <v>0</v>
      </c>
      <c r="Q178" s="1294">
        <v>0</v>
      </c>
      <c r="R178" s="1294">
        <v>0</v>
      </c>
      <c r="S178" s="1294">
        <v>0</v>
      </c>
      <c r="T178" s="1294">
        <v>0</v>
      </c>
      <c r="U178" s="1294">
        <v>1</v>
      </c>
      <c r="V178" s="1294"/>
      <c r="W178" s="1294"/>
    </row>
    <row r="179" spans="2:23" x14ac:dyDescent="0.35">
      <c r="B179" s="1295" t="s">
        <v>544</v>
      </c>
      <c r="C179" s="1296"/>
      <c r="D179" s="1296">
        <f>-C185</f>
        <v>0</v>
      </c>
      <c r="E179" s="1296">
        <f t="shared" ref="E179:W179" si="121">D183</f>
        <v>0</v>
      </c>
      <c r="F179" s="1296">
        <f t="shared" si="121"/>
        <v>0</v>
      </c>
      <c r="G179" s="1296">
        <f t="shared" si="121"/>
        <v>0</v>
      </c>
      <c r="H179" s="1296">
        <f t="shared" si="121"/>
        <v>0</v>
      </c>
      <c r="I179" s="1296">
        <f t="shared" si="121"/>
        <v>0</v>
      </c>
      <c r="J179" s="1296">
        <f t="shared" si="121"/>
        <v>0</v>
      </c>
      <c r="K179" s="1296">
        <f t="shared" si="121"/>
        <v>0</v>
      </c>
      <c r="L179" s="1296">
        <f t="shared" si="121"/>
        <v>0</v>
      </c>
      <c r="M179" s="1296">
        <f t="shared" si="121"/>
        <v>0</v>
      </c>
      <c r="N179" s="1296">
        <f t="shared" si="121"/>
        <v>0</v>
      </c>
      <c r="O179" s="1296">
        <f t="shared" si="121"/>
        <v>0</v>
      </c>
      <c r="P179" s="1296">
        <f t="shared" si="121"/>
        <v>0</v>
      </c>
      <c r="Q179" s="1296">
        <f t="shared" si="121"/>
        <v>0</v>
      </c>
      <c r="R179" s="1296">
        <f t="shared" si="121"/>
        <v>0</v>
      </c>
      <c r="S179" s="1296">
        <f t="shared" si="121"/>
        <v>0</v>
      </c>
      <c r="T179" s="1296">
        <f t="shared" si="121"/>
        <v>0</v>
      </c>
      <c r="U179" s="1296">
        <f t="shared" si="121"/>
        <v>0</v>
      </c>
      <c r="V179" s="1296">
        <f t="shared" si="121"/>
        <v>0</v>
      </c>
      <c r="W179" s="1296">
        <f t="shared" si="121"/>
        <v>0</v>
      </c>
    </row>
    <row r="180" spans="2:23" x14ac:dyDescent="0.35">
      <c r="B180" s="1295" t="s">
        <v>276</v>
      </c>
      <c r="C180" s="1296"/>
      <c r="D180" s="1296">
        <f>D179*(D$4-D$5)*(D176-C176)/365</f>
        <v>0</v>
      </c>
      <c r="E180" s="1296">
        <f>(D190*(E$4-E$5))+(E4*(SUM($D$180:D180)-SUM($D$182:D182)))</f>
        <v>0</v>
      </c>
      <c r="F180" s="1296">
        <f>(E190*(F$4-F$5))+(F4*(SUM($D$180:E180)-SUM($D$182:E182)))</f>
        <v>0</v>
      </c>
      <c r="G180" s="1296">
        <f>(F190*(G$4-G$5))+(G4*(SUM($D$180:F180)-SUM($D$182:F182)))</f>
        <v>0</v>
      </c>
      <c r="H180" s="1296">
        <f>(G190*(H$4-H$5))+(H4*(SUM($D$180:G180)-SUM($D$182:G182)))</f>
        <v>0</v>
      </c>
      <c r="I180" s="1296">
        <f>(H190*(I$4-I$5))+(I4*(SUM($D$180:H180)-SUM($D$182:H182)))</f>
        <v>0</v>
      </c>
      <c r="J180" s="1296">
        <f>(I190*(J$4-J$5))+(J4*(SUM($D$180:I180)-SUM($D$182:I182)))</f>
        <v>0</v>
      </c>
      <c r="K180" s="1296">
        <f>(J190*(K$4-K$5))+(K4*(SUM($D$180:J180)-SUM($D$182:J182)))</f>
        <v>0</v>
      </c>
      <c r="L180" s="1296">
        <f>(K190*(L$4-L$5))+(L4*(SUM($D$180:K180)-SUM($D$182:K182)))</f>
        <v>0</v>
      </c>
      <c r="M180" s="1296">
        <f>(L190*(M$4-M$5))+(M4*(SUM($D$180:L180)-SUM($D$182:L182)))</f>
        <v>0</v>
      </c>
      <c r="N180" s="1296">
        <f>(M190*(N$4-N$5))+(N4*(SUM($D$180:M180)-SUM($D$182:M182)))</f>
        <v>0</v>
      </c>
      <c r="O180" s="1296">
        <f>(N190*(O$4-O$5))+(O4*(SUM($D$180:N180)-SUM($D$182:N182)))</f>
        <v>0</v>
      </c>
      <c r="P180" s="1296">
        <f>(O190*(P$4-P$5))+(P4*(SUM($D$180:O180)-SUM($D$182:O182)))</f>
        <v>0</v>
      </c>
      <c r="Q180" s="1296">
        <f>(P190*(Q$4-Q$5))+(Q4*(SUM($D$180:P180)-SUM($D$182:P182)))</f>
        <v>0</v>
      </c>
      <c r="R180" s="1296">
        <f>(Q190*(R$4-R$5))+(R4*(SUM($D$180:Q180)-SUM($D$182:Q182)))</f>
        <v>0</v>
      </c>
      <c r="S180" s="1296">
        <f>(R190*(S$4-S$5))+(S4*(SUM($D$180:R180)-SUM($D$182:R182)))</f>
        <v>0</v>
      </c>
      <c r="T180" s="1296">
        <f>(S190*(T$4-T$5))+(T4*(SUM($D$180:S180)-SUM($D$182:S182)))</f>
        <v>0</v>
      </c>
      <c r="U180" s="1296">
        <f>(T190*(U$4-U$5))+(U4*(SUM($D$180:T180)-SUM($D$182:T182)))</f>
        <v>0</v>
      </c>
      <c r="V180" s="1296">
        <f>(U190*(V$4-V$5))+(V4*(SUM($D$180:U180)-SUM($D$182:U182)))</f>
        <v>0</v>
      </c>
      <c r="W180" s="1296">
        <f>(V190*(W$4-W$5))+(W4*(SUM($D$180:V180)-SUM($D$182:V182)))</f>
        <v>0</v>
      </c>
    </row>
    <row r="181" spans="2:23" x14ac:dyDescent="0.35">
      <c r="B181" s="1295" t="s">
        <v>545</v>
      </c>
      <c r="C181" s="1296"/>
      <c r="D181" s="1296">
        <f>$D$179*D178</f>
        <v>0</v>
      </c>
      <c r="E181" s="1296">
        <f t="shared" ref="E181:W181" si="122">$D$179*E178</f>
        <v>0</v>
      </c>
      <c r="F181" s="1296">
        <f t="shared" si="122"/>
        <v>0</v>
      </c>
      <c r="G181" s="1296">
        <f t="shared" si="122"/>
        <v>0</v>
      </c>
      <c r="H181" s="1296">
        <f t="shared" si="122"/>
        <v>0</v>
      </c>
      <c r="I181" s="1296">
        <f t="shared" si="122"/>
        <v>0</v>
      </c>
      <c r="J181" s="1296">
        <f t="shared" si="122"/>
        <v>0</v>
      </c>
      <c r="K181" s="1296">
        <f t="shared" si="122"/>
        <v>0</v>
      </c>
      <c r="L181" s="1296">
        <f t="shared" si="122"/>
        <v>0</v>
      </c>
      <c r="M181" s="1296">
        <f t="shared" si="122"/>
        <v>0</v>
      </c>
      <c r="N181" s="1296">
        <f t="shared" si="122"/>
        <v>0</v>
      </c>
      <c r="O181" s="1296">
        <f t="shared" si="122"/>
        <v>0</v>
      </c>
      <c r="P181" s="1296">
        <f t="shared" si="122"/>
        <v>0</v>
      </c>
      <c r="Q181" s="1296">
        <f t="shared" si="122"/>
        <v>0</v>
      </c>
      <c r="R181" s="1296">
        <f t="shared" si="122"/>
        <v>0</v>
      </c>
      <c r="S181" s="1296">
        <f t="shared" si="122"/>
        <v>0</v>
      </c>
      <c r="T181" s="1296">
        <f t="shared" si="122"/>
        <v>0</v>
      </c>
      <c r="U181" s="1296">
        <f t="shared" si="122"/>
        <v>0</v>
      </c>
      <c r="V181" s="1296">
        <f t="shared" si="122"/>
        <v>0</v>
      </c>
      <c r="W181" s="1296">
        <f t="shared" si="122"/>
        <v>0</v>
      </c>
    </row>
    <row r="182" spans="2:23" x14ac:dyDescent="0.35">
      <c r="B182" s="1295" t="s">
        <v>1451</v>
      </c>
      <c r="C182" s="1297"/>
      <c r="D182" s="1297"/>
      <c r="E182" s="1297"/>
      <c r="F182" s="1297"/>
      <c r="G182" s="1297"/>
      <c r="H182" s="1297"/>
      <c r="I182" s="1297"/>
      <c r="J182" s="1297"/>
      <c r="K182" s="1297"/>
      <c r="L182" s="1297"/>
      <c r="M182" s="1297"/>
      <c r="N182" s="1297"/>
      <c r="O182" s="1297"/>
      <c r="P182" s="1297"/>
      <c r="Q182" s="1297"/>
      <c r="R182" s="1297"/>
      <c r="S182" s="1297"/>
      <c r="T182" s="1297"/>
      <c r="U182" s="1297">
        <f>U179+U180-U181-U183</f>
        <v>0</v>
      </c>
      <c r="V182" s="1297"/>
      <c r="W182" s="1297"/>
    </row>
    <row r="183" spans="2:23" x14ac:dyDescent="0.35">
      <c r="B183" s="1295" t="s">
        <v>546</v>
      </c>
      <c r="C183" s="1296"/>
      <c r="D183" s="1296">
        <f t="shared" ref="D183:T183" si="123">D179+D180-D181-D182</f>
        <v>0</v>
      </c>
      <c r="E183" s="1296">
        <f t="shared" si="123"/>
        <v>0</v>
      </c>
      <c r="F183" s="1296">
        <f t="shared" si="123"/>
        <v>0</v>
      </c>
      <c r="G183" s="1296">
        <f t="shared" si="123"/>
        <v>0</v>
      </c>
      <c r="H183" s="1296">
        <f t="shared" si="123"/>
        <v>0</v>
      </c>
      <c r="I183" s="1296">
        <f t="shared" si="123"/>
        <v>0</v>
      </c>
      <c r="J183" s="1296">
        <f t="shared" si="123"/>
        <v>0</v>
      </c>
      <c r="K183" s="1296">
        <f t="shared" si="123"/>
        <v>0</v>
      </c>
      <c r="L183" s="1296">
        <f t="shared" si="123"/>
        <v>0</v>
      </c>
      <c r="M183" s="1296">
        <f t="shared" si="123"/>
        <v>0</v>
      </c>
      <c r="N183" s="1296">
        <f t="shared" si="123"/>
        <v>0</v>
      </c>
      <c r="O183" s="1296">
        <f t="shared" si="123"/>
        <v>0</v>
      </c>
      <c r="P183" s="1296">
        <f t="shared" si="123"/>
        <v>0</v>
      </c>
      <c r="Q183" s="1296">
        <f t="shared" si="123"/>
        <v>0</v>
      </c>
      <c r="R183" s="1296">
        <f t="shared" si="123"/>
        <v>0</v>
      </c>
      <c r="S183" s="1296">
        <f t="shared" si="123"/>
        <v>0</v>
      </c>
      <c r="T183" s="1296">
        <f t="shared" si="123"/>
        <v>0</v>
      </c>
      <c r="U183" s="1296"/>
      <c r="V183" s="1296">
        <f>V179+V180-V181-V182</f>
        <v>0</v>
      </c>
      <c r="W183" s="1296">
        <f>W179+W180-W181-W182</f>
        <v>0</v>
      </c>
    </row>
    <row r="184" spans="2:23" x14ac:dyDescent="0.35">
      <c r="B184" s="1295" t="s">
        <v>1452</v>
      </c>
      <c r="C184" s="1296"/>
      <c r="D184" s="1296">
        <f>D191</f>
        <v>0</v>
      </c>
      <c r="E184" s="1296">
        <f t="shared" ref="E184:W184" si="124">E191</f>
        <v>0</v>
      </c>
      <c r="F184" s="1296">
        <f t="shared" si="124"/>
        <v>0</v>
      </c>
      <c r="G184" s="1296">
        <f t="shared" si="124"/>
        <v>0</v>
      </c>
      <c r="H184" s="1296">
        <f t="shared" si="124"/>
        <v>0</v>
      </c>
      <c r="I184" s="1296">
        <f t="shared" si="124"/>
        <v>0</v>
      </c>
      <c r="J184" s="1296">
        <f t="shared" si="124"/>
        <v>0</v>
      </c>
      <c r="K184" s="1296">
        <f t="shared" si="124"/>
        <v>0</v>
      </c>
      <c r="L184" s="1296">
        <f t="shared" si="124"/>
        <v>0</v>
      </c>
      <c r="M184" s="1296">
        <f t="shared" si="124"/>
        <v>0</v>
      </c>
      <c r="N184" s="1296">
        <f t="shared" si="124"/>
        <v>0</v>
      </c>
      <c r="O184" s="1296">
        <f t="shared" si="124"/>
        <v>0</v>
      </c>
      <c r="P184" s="1296">
        <f t="shared" si="124"/>
        <v>0</v>
      </c>
      <c r="Q184" s="1296">
        <f t="shared" si="124"/>
        <v>0</v>
      </c>
      <c r="R184" s="1296">
        <f t="shared" si="124"/>
        <v>0</v>
      </c>
      <c r="S184" s="1296">
        <f t="shared" si="124"/>
        <v>0</v>
      </c>
      <c r="T184" s="1296">
        <f t="shared" si="124"/>
        <v>0</v>
      </c>
      <c r="U184" s="1296">
        <f t="shared" si="124"/>
        <v>0</v>
      </c>
      <c r="V184" s="1296">
        <f t="shared" si="124"/>
        <v>0</v>
      </c>
      <c r="W184" s="1296">
        <f t="shared" si="124"/>
        <v>0</v>
      </c>
    </row>
    <row r="185" spans="2:23" x14ac:dyDescent="0.35">
      <c r="B185" s="1295" t="s">
        <v>1453</v>
      </c>
      <c r="C185" s="1298">
        <f>C168</f>
        <v>0</v>
      </c>
      <c r="D185" s="1298">
        <f>D181+D182+D184</f>
        <v>0</v>
      </c>
      <c r="E185" s="1298">
        <f t="shared" ref="E185:W185" si="125">E181+E182+E184</f>
        <v>0</v>
      </c>
      <c r="F185" s="1298">
        <f t="shared" si="125"/>
        <v>0</v>
      </c>
      <c r="G185" s="1298">
        <f t="shared" si="125"/>
        <v>0</v>
      </c>
      <c r="H185" s="1298">
        <f t="shared" si="125"/>
        <v>0</v>
      </c>
      <c r="I185" s="1298">
        <f t="shared" si="125"/>
        <v>0</v>
      </c>
      <c r="J185" s="1298">
        <f t="shared" si="125"/>
        <v>0</v>
      </c>
      <c r="K185" s="1298">
        <f t="shared" si="125"/>
        <v>0</v>
      </c>
      <c r="L185" s="1298">
        <f t="shared" si="125"/>
        <v>0</v>
      </c>
      <c r="M185" s="1298">
        <f t="shared" si="125"/>
        <v>0</v>
      </c>
      <c r="N185" s="1298">
        <f t="shared" si="125"/>
        <v>0</v>
      </c>
      <c r="O185" s="1298">
        <f t="shared" si="125"/>
        <v>0</v>
      </c>
      <c r="P185" s="1298">
        <f t="shared" si="125"/>
        <v>0</v>
      </c>
      <c r="Q185" s="1298">
        <f t="shared" si="125"/>
        <v>0</v>
      </c>
      <c r="R185" s="1298">
        <f t="shared" si="125"/>
        <v>0</v>
      </c>
      <c r="S185" s="1298">
        <f t="shared" si="125"/>
        <v>0</v>
      </c>
      <c r="T185" s="1298">
        <f t="shared" si="125"/>
        <v>0</v>
      </c>
      <c r="U185" s="1298">
        <f t="shared" si="125"/>
        <v>0</v>
      </c>
      <c r="V185" s="1298">
        <f t="shared" si="125"/>
        <v>0</v>
      </c>
      <c r="W185" s="1298">
        <f t="shared" si="125"/>
        <v>0</v>
      </c>
    </row>
    <row r="186" spans="2:23" x14ac:dyDescent="0.35">
      <c r="B186" s="1295" t="s">
        <v>1454</v>
      </c>
      <c r="C186" s="1299"/>
      <c r="D186" s="1296"/>
      <c r="E186" s="1296"/>
      <c r="F186" s="1296"/>
      <c r="G186" s="1296"/>
      <c r="H186" s="1296"/>
      <c r="I186" s="1296"/>
      <c r="J186" s="1296"/>
      <c r="K186" s="1296"/>
      <c r="L186" s="1296"/>
      <c r="M186" s="1296"/>
      <c r="N186" s="1296"/>
      <c r="O186" s="1296"/>
      <c r="P186" s="1296"/>
      <c r="Q186" s="1296"/>
      <c r="R186" s="1296"/>
      <c r="S186" s="1296"/>
      <c r="T186" s="1296"/>
      <c r="U186" s="1296"/>
      <c r="V186" s="1296"/>
      <c r="W186" s="1296"/>
    </row>
    <row r="187" spans="2:23" x14ac:dyDescent="0.35">
      <c r="B187" s="213"/>
      <c r="C187" s="214"/>
      <c r="D187" s="214"/>
      <c r="E187" s="214"/>
      <c r="F187" s="214"/>
      <c r="G187" s="214"/>
      <c r="H187" s="214"/>
      <c r="I187" s="214"/>
      <c r="J187" s="214"/>
      <c r="K187" s="214"/>
      <c r="L187" s="214"/>
      <c r="M187" s="214"/>
      <c r="N187" s="214"/>
      <c r="O187" s="214"/>
      <c r="P187" s="214"/>
      <c r="Q187" s="214"/>
      <c r="R187" s="214"/>
      <c r="S187" s="214"/>
      <c r="T187" s="214"/>
      <c r="U187" s="214"/>
      <c r="V187" s="214"/>
      <c r="W187" s="214"/>
    </row>
    <row r="188" spans="2:23" x14ac:dyDescent="0.35">
      <c r="B188" s="1295" t="s">
        <v>1455</v>
      </c>
      <c r="C188" s="1296"/>
      <c r="D188" s="1296">
        <f>D179</f>
        <v>0</v>
      </c>
      <c r="E188" s="1296">
        <f t="shared" ref="E188:W188" si="126">D190</f>
        <v>0</v>
      </c>
      <c r="F188" s="1296">
        <f t="shared" si="126"/>
        <v>0</v>
      </c>
      <c r="G188" s="1296">
        <f t="shared" si="126"/>
        <v>0</v>
      </c>
      <c r="H188" s="1296">
        <f t="shared" si="126"/>
        <v>0</v>
      </c>
      <c r="I188" s="1296">
        <f t="shared" si="126"/>
        <v>0</v>
      </c>
      <c r="J188" s="1296">
        <f t="shared" si="126"/>
        <v>0</v>
      </c>
      <c r="K188" s="1296">
        <f t="shared" si="126"/>
        <v>0</v>
      </c>
      <c r="L188" s="1296">
        <f t="shared" si="126"/>
        <v>0</v>
      </c>
      <c r="M188" s="1296">
        <f t="shared" si="126"/>
        <v>0</v>
      </c>
      <c r="N188" s="1296">
        <f t="shared" si="126"/>
        <v>0</v>
      </c>
      <c r="O188" s="1296">
        <f t="shared" si="126"/>
        <v>0</v>
      </c>
      <c r="P188" s="1296">
        <f t="shared" si="126"/>
        <v>0</v>
      </c>
      <c r="Q188" s="1296">
        <f t="shared" si="126"/>
        <v>0</v>
      </c>
      <c r="R188" s="1296">
        <f t="shared" si="126"/>
        <v>0</v>
      </c>
      <c r="S188" s="1296">
        <f t="shared" si="126"/>
        <v>0</v>
      </c>
      <c r="T188" s="1296">
        <f t="shared" si="126"/>
        <v>0</v>
      </c>
      <c r="U188" s="1296">
        <f t="shared" si="126"/>
        <v>0</v>
      </c>
      <c r="V188" s="1296">
        <f t="shared" si="126"/>
        <v>0</v>
      </c>
      <c r="W188" s="1296">
        <f t="shared" si="126"/>
        <v>0</v>
      </c>
    </row>
    <row r="189" spans="2:23" x14ac:dyDescent="0.35">
      <c r="B189" s="1295" t="s">
        <v>1456</v>
      </c>
      <c r="C189" s="1296"/>
      <c r="D189" s="1296">
        <f>D181</f>
        <v>0</v>
      </c>
      <c r="E189" s="1296">
        <f>E181</f>
        <v>0</v>
      </c>
      <c r="F189" s="1296">
        <f t="shared" ref="F189:W189" si="127">F181</f>
        <v>0</v>
      </c>
      <c r="G189" s="1296">
        <f t="shared" si="127"/>
        <v>0</v>
      </c>
      <c r="H189" s="1296">
        <f t="shared" si="127"/>
        <v>0</v>
      </c>
      <c r="I189" s="1296">
        <f t="shared" si="127"/>
        <v>0</v>
      </c>
      <c r="J189" s="1296">
        <f t="shared" si="127"/>
        <v>0</v>
      </c>
      <c r="K189" s="1296">
        <f t="shared" si="127"/>
        <v>0</v>
      </c>
      <c r="L189" s="1296">
        <f t="shared" si="127"/>
        <v>0</v>
      </c>
      <c r="M189" s="1296">
        <f t="shared" si="127"/>
        <v>0</v>
      </c>
      <c r="N189" s="1296">
        <f t="shared" si="127"/>
        <v>0</v>
      </c>
      <c r="O189" s="1296">
        <f t="shared" si="127"/>
        <v>0</v>
      </c>
      <c r="P189" s="1296">
        <f t="shared" si="127"/>
        <v>0</v>
      </c>
      <c r="Q189" s="1296">
        <f t="shared" si="127"/>
        <v>0</v>
      </c>
      <c r="R189" s="1296">
        <f t="shared" si="127"/>
        <v>0</v>
      </c>
      <c r="S189" s="1296">
        <f t="shared" si="127"/>
        <v>0</v>
      </c>
      <c r="T189" s="1296">
        <f t="shared" si="127"/>
        <v>0</v>
      </c>
      <c r="U189" s="1296">
        <f t="shared" si="127"/>
        <v>0</v>
      </c>
      <c r="V189" s="1296">
        <f t="shared" si="127"/>
        <v>0</v>
      </c>
      <c r="W189" s="1296">
        <f t="shared" si="127"/>
        <v>0</v>
      </c>
    </row>
    <row r="190" spans="2:23" x14ac:dyDescent="0.35">
      <c r="B190" s="1295" t="s">
        <v>1457</v>
      </c>
      <c r="C190" s="1296"/>
      <c r="D190" s="1298">
        <f t="shared" ref="D190:W190" si="128">D188-D189</f>
        <v>0</v>
      </c>
      <c r="E190" s="1298">
        <f t="shared" si="128"/>
        <v>0</v>
      </c>
      <c r="F190" s="1298">
        <f t="shared" si="128"/>
        <v>0</v>
      </c>
      <c r="G190" s="1298">
        <f t="shared" si="128"/>
        <v>0</v>
      </c>
      <c r="H190" s="1298">
        <f t="shared" si="128"/>
        <v>0</v>
      </c>
      <c r="I190" s="1298">
        <f t="shared" si="128"/>
        <v>0</v>
      </c>
      <c r="J190" s="1298">
        <f t="shared" si="128"/>
        <v>0</v>
      </c>
      <c r="K190" s="1298">
        <f t="shared" si="128"/>
        <v>0</v>
      </c>
      <c r="L190" s="1298">
        <f t="shared" si="128"/>
        <v>0</v>
      </c>
      <c r="M190" s="1298">
        <f t="shared" si="128"/>
        <v>0</v>
      </c>
      <c r="N190" s="1298">
        <f t="shared" si="128"/>
        <v>0</v>
      </c>
      <c r="O190" s="1298">
        <f t="shared" si="128"/>
        <v>0</v>
      </c>
      <c r="P190" s="1298">
        <f t="shared" si="128"/>
        <v>0</v>
      </c>
      <c r="Q190" s="1298">
        <f t="shared" si="128"/>
        <v>0</v>
      </c>
      <c r="R190" s="1298">
        <f t="shared" si="128"/>
        <v>0</v>
      </c>
      <c r="S190" s="1298">
        <f t="shared" si="128"/>
        <v>0</v>
      </c>
      <c r="T190" s="1298">
        <f t="shared" si="128"/>
        <v>0</v>
      </c>
      <c r="U190" s="1298">
        <f t="shared" si="128"/>
        <v>0</v>
      </c>
      <c r="V190" s="1298">
        <f t="shared" si="128"/>
        <v>0</v>
      </c>
      <c r="W190" s="1298">
        <f t="shared" si="128"/>
        <v>0</v>
      </c>
    </row>
    <row r="191" spans="2:23" x14ac:dyDescent="0.35">
      <c r="B191" s="1295" t="s">
        <v>1458</v>
      </c>
      <c r="C191" s="1296"/>
      <c r="D191" s="1300">
        <f>D188*D$5*(D$6-C$6+1)/365</f>
        <v>0</v>
      </c>
      <c r="E191" s="1300">
        <f>E188*E$5*(E$6-D$6)/365</f>
        <v>0</v>
      </c>
      <c r="F191" s="1300">
        <f t="shared" ref="F191:W191" si="129">F188*F$5*(F$6-E$6)/365</f>
        <v>0</v>
      </c>
      <c r="G191" s="1300">
        <f t="shared" si="129"/>
        <v>0</v>
      </c>
      <c r="H191" s="1300">
        <f t="shared" si="129"/>
        <v>0</v>
      </c>
      <c r="I191" s="1300">
        <f t="shared" si="129"/>
        <v>0</v>
      </c>
      <c r="J191" s="1300">
        <f t="shared" si="129"/>
        <v>0</v>
      </c>
      <c r="K191" s="1300">
        <f t="shared" si="129"/>
        <v>0</v>
      </c>
      <c r="L191" s="1300">
        <f t="shared" si="129"/>
        <v>0</v>
      </c>
      <c r="M191" s="1300">
        <f t="shared" si="129"/>
        <v>0</v>
      </c>
      <c r="N191" s="1300">
        <f t="shared" si="129"/>
        <v>0</v>
      </c>
      <c r="O191" s="1300">
        <f t="shared" si="129"/>
        <v>0</v>
      </c>
      <c r="P191" s="1300">
        <f t="shared" si="129"/>
        <v>0</v>
      </c>
      <c r="Q191" s="1300">
        <f t="shared" si="129"/>
        <v>0</v>
      </c>
      <c r="R191" s="1300">
        <f t="shared" si="129"/>
        <v>0</v>
      </c>
      <c r="S191" s="1300">
        <f t="shared" si="129"/>
        <v>0</v>
      </c>
      <c r="T191" s="1300">
        <f t="shared" si="129"/>
        <v>0</v>
      </c>
      <c r="U191" s="1300">
        <f t="shared" si="129"/>
        <v>0</v>
      </c>
      <c r="V191" s="1300">
        <f t="shared" si="129"/>
        <v>0</v>
      </c>
      <c r="W191" s="1300">
        <f t="shared" si="129"/>
        <v>0</v>
      </c>
    </row>
    <row r="193" spans="2:23" x14ac:dyDescent="0.35">
      <c r="B193" s="1288" t="s">
        <v>1470</v>
      </c>
      <c r="C193" s="1289">
        <v>43087</v>
      </c>
      <c r="D193" s="1289">
        <f>EOMONTH(E193,-12)</f>
        <v>43190</v>
      </c>
      <c r="E193" s="1289">
        <f>EOMONTH(F193,-12)</f>
        <v>43555</v>
      </c>
      <c r="F193" s="1289">
        <f>EOMONTH(G193,-12)</f>
        <v>43921</v>
      </c>
      <c r="G193" s="1289">
        <f>'Debt Assumptions &amp; working'!$C$17</f>
        <v>44286</v>
      </c>
      <c r="H193" s="1289">
        <f>EOMONTH(G193,12)</f>
        <v>44651</v>
      </c>
      <c r="I193" s="1289">
        <f t="shared" ref="I193:W193" si="130">EOMONTH(H193,12)</f>
        <v>45016</v>
      </c>
      <c r="J193" s="1289">
        <f t="shared" si="130"/>
        <v>45382</v>
      </c>
      <c r="K193" s="1289">
        <f t="shared" si="130"/>
        <v>45747</v>
      </c>
      <c r="L193" s="1289">
        <f t="shared" si="130"/>
        <v>46112</v>
      </c>
      <c r="M193" s="1289">
        <f t="shared" si="130"/>
        <v>46477</v>
      </c>
      <c r="N193" s="1289">
        <f t="shared" si="130"/>
        <v>46843</v>
      </c>
      <c r="O193" s="1289">
        <f t="shared" si="130"/>
        <v>47208</v>
      </c>
      <c r="P193" s="1289">
        <f t="shared" si="130"/>
        <v>47573</v>
      </c>
      <c r="Q193" s="1289">
        <f t="shared" si="130"/>
        <v>47938</v>
      </c>
      <c r="R193" s="1289">
        <f t="shared" si="130"/>
        <v>48304</v>
      </c>
      <c r="S193" s="1289">
        <f t="shared" si="130"/>
        <v>48669</v>
      </c>
      <c r="T193" s="1289">
        <f t="shared" si="130"/>
        <v>49034</v>
      </c>
      <c r="U193" s="1289">
        <f t="shared" si="130"/>
        <v>49399</v>
      </c>
      <c r="V193" s="1289">
        <f t="shared" si="130"/>
        <v>49765</v>
      </c>
      <c r="W193" s="1289">
        <f t="shared" si="130"/>
        <v>50130</v>
      </c>
    </row>
    <row r="194" spans="2:23" x14ac:dyDescent="0.35">
      <c r="B194" s="1290" t="s">
        <v>1450</v>
      </c>
      <c r="C194" s="1290">
        <v>0</v>
      </c>
      <c r="D194" s="1291">
        <f>(D193-C193+1)/365</f>
        <v>0.28493150684931506</v>
      </c>
      <c r="E194" s="1291">
        <f t="shared" ref="E194:W194" si="131">D194+1</f>
        <v>1.284931506849315</v>
      </c>
      <c r="F194" s="1291">
        <f t="shared" si="131"/>
        <v>2.2849315068493148</v>
      </c>
      <c r="G194" s="1291">
        <f t="shared" si="131"/>
        <v>3.2849315068493148</v>
      </c>
      <c r="H194" s="1291">
        <f t="shared" si="131"/>
        <v>4.2849315068493148</v>
      </c>
      <c r="I194" s="1291">
        <f t="shared" si="131"/>
        <v>5.2849315068493148</v>
      </c>
      <c r="J194" s="1291">
        <f t="shared" si="131"/>
        <v>6.2849315068493148</v>
      </c>
      <c r="K194" s="1291">
        <f t="shared" si="131"/>
        <v>7.2849315068493148</v>
      </c>
      <c r="L194" s="1291">
        <f t="shared" si="131"/>
        <v>8.2849315068493148</v>
      </c>
      <c r="M194" s="1291">
        <f t="shared" si="131"/>
        <v>9.2849315068493148</v>
      </c>
      <c r="N194" s="1291">
        <f t="shared" si="131"/>
        <v>10.284931506849315</v>
      </c>
      <c r="O194" s="1291">
        <f t="shared" si="131"/>
        <v>11.284931506849315</v>
      </c>
      <c r="P194" s="1291">
        <f t="shared" si="131"/>
        <v>12.284931506849315</v>
      </c>
      <c r="Q194" s="1291">
        <f t="shared" si="131"/>
        <v>13.284931506849315</v>
      </c>
      <c r="R194" s="1291">
        <f t="shared" si="131"/>
        <v>14.284931506849315</v>
      </c>
      <c r="S194" s="1291">
        <f t="shared" si="131"/>
        <v>15.284931506849315</v>
      </c>
      <c r="T194" s="1291">
        <f t="shared" si="131"/>
        <v>16.284931506849315</v>
      </c>
      <c r="U194" s="1291">
        <f t="shared" si="131"/>
        <v>17.284931506849315</v>
      </c>
      <c r="V194" s="1291">
        <f t="shared" si="131"/>
        <v>18.284931506849315</v>
      </c>
      <c r="W194" s="1291">
        <f t="shared" si="131"/>
        <v>19.284931506849315</v>
      </c>
    </row>
    <row r="195" spans="2:23" x14ac:dyDescent="0.35">
      <c r="B195" s="1290" t="s">
        <v>518</v>
      </c>
      <c r="C195" s="1290"/>
      <c r="D195" s="1292">
        <v>0</v>
      </c>
      <c r="E195" s="1292">
        <v>0</v>
      </c>
      <c r="F195" s="1292">
        <v>0</v>
      </c>
      <c r="G195" s="1293">
        <v>0</v>
      </c>
      <c r="H195" s="1294">
        <v>0</v>
      </c>
      <c r="I195" s="1294">
        <v>0</v>
      </c>
      <c r="J195" s="1294">
        <v>0</v>
      </c>
      <c r="K195" s="1294">
        <v>0</v>
      </c>
      <c r="L195" s="1294">
        <v>0</v>
      </c>
      <c r="M195" s="1294">
        <v>0</v>
      </c>
      <c r="N195" s="1294">
        <v>0</v>
      </c>
      <c r="O195" s="1294">
        <v>0</v>
      </c>
      <c r="P195" s="1294">
        <v>0</v>
      </c>
      <c r="Q195" s="1294">
        <v>0</v>
      </c>
      <c r="R195" s="1294">
        <v>0</v>
      </c>
      <c r="S195" s="1294">
        <v>0</v>
      </c>
      <c r="T195" s="1294">
        <v>0</v>
      </c>
      <c r="U195" s="1294">
        <v>0</v>
      </c>
      <c r="V195" s="1294">
        <v>1</v>
      </c>
      <c r="W195" s="1294"/>
    </row>
    <row r="196" spans="2:23" x14ac:dyDescent="0.35">
      <c r="B196" s="1295" t="s">
        <v>544</v>
      </c>
      <c r="C196" s="1296"/>
      <c r="D196" s="1296">
        <f>-C202</f>
        <v>0</v>
      </c>
      <c r="E196" s="1296">
        <f t="shared" ref="E196:W196" si="132">D200</f>
        <v>0</v>
      </c>
      <c r="F196" s="1296">
        <f t="shared" si="132"/>
        <v>0</v>
      </c>
      <c r="G196" s="1296">
        <f t="shared" si="132"/>
        <v>0</v>
      </c>
      <c r="H196" s="1296">
        <f t="shared" si="132"/>
        <v>0</v>
      </c>
      <c r="I196" s="1296">
        <f t="shared" si="132"/>
        <v>0</v>
      </c>
      <c r="J196" s="1296">
        <f t="shared" si="132"/>
        <v>0</v>
      </c>
      <c r="K196" s="1296">
        <f t="shared" si="132"/>
        <v>0</v>
      </c>
      <c r="L196" s="1296">
        <f t="shared" si="132"/>
        <v>0</v>
      </c>
      <c r="M196" s="1296">
        <f t="shared" si="132"/>
        <v>0</v>
      </c>
      <c r="N196" s="1296">
        <f t="shared" si="132"/>
        <v>0</v>
      </c>
      <c r="O196" s="1296">
        <f t="shared" si="132"/>
        <v>0</v>
      </c>
      <c r="P196" s="1296">
        <f t="shared" si="132"/>
        <v>0</v>
      </c>
      <c r="Q196" s="1296">
        <f t="shared" si="132"/>
        <v>0</v>
      </c>
      <c r="R196" s="1296">
        <f t="shared" si="132"/>
        <v>0</v>
      </c>
      <c r="S196" s="1296">
        <f t="shared" si="132"/>
        <v>0</v>
      </c>
      <c r="T196" s="1296">
        <f t="shared" si="132"/>
        <v>0</v>
      </c>
      <c r="U196" s="1296">
        <f t="shared" si="132"/>
        <v>0</v>
      </c>
      <c r="V196" s="1296">
        <f t="shared" si="132"/>
        <v>0</v>
      </c>
      <c r="W196" s="1296">
        <f t="shared" si="132"/>
        <v>0</v>
      </c>
    </row>
    <row r="197" spans="2:23" x14ac:dyDescent="0.35">
      <c r="B197" s="1295" t="s">
        <v>276</v>
      </c>
      <c r="C197" s="1296"/>
      <c r="D197" s="1296">
        <f>D196*(D$4-D$5)*(D193-C193)/365</f>
        <v>0</v>
      </c>
      <c r="E197" s="1296">
        <f>(D207*(E$4-E$5))+(E4*(SUM($D$197:D197)-SUM($D$199:D199)))</f>
        <v>0</v>
      </c>
      <c r="F197" s="1296">
        <f>(E207*(F$4-F$5))+(F4*(SUM($D$197:E197)-SUM($D$199:E199)))</f>
        <v>0</v>
      </c>
      <c r="G197" s="1296">
        <f>(F207*(G$4-G$5))+(G4*(SUM($D$197:F197)-SUM($D$199:F199)))</f>
        <v>0</v>
      </c>
      <c r="H197" s="1296">
        <f>(G207*(H$4-H$5))+(H4*(SUM($D$197:G197)-SUM($D$199:G199)))</f>
        <v>0</v>
      </c>
      <c r="I197" s="1296">
        <f>(H207*(I$4-I$5))+(I4*(SUM($D$197:H197)-SUM($D$199:H199)))</f>
        <v>0</v>
      </c>
      <c r="J197" s="1296">
        <f>(I207*(J$4-J$5))+(J4*(SUM($D$197:I197)-SUM($D$199:I199)))</f>
        <v>0</v>
      </c>
      <c r="K197" s="1296">
        <f>(J207*(K$4-K$5))+(K4*(SUM($D$197:J197)-SUM($D$199:J199)))</f>
        <v>0</v>
      </c>
      <c r="L197" s="1296">
        <f>(K207*(L$4-L$5))+(L4*(SUM($D$197:K197)-SUM($D$199:K199)))</f>
        <v>0</v>
      </c>
      <c r="M197" s="1296">
        <f>(L207*(M$4-M$5))+(M4*(SUM($D$197:L197)-SUM($D$199:L199)))</f>
        <v>0</v>
      </c>
      <c r="N197" s="1296">
        <f>(M207*(N$4-N$5))+(N4*(SUM($D$197:M197)-SUM($D$199:M199)))</f>
        <v>0</v>
      </c>
      <c r="O197" s="1296">
        <f>(N207*(O$4-O$5))+(O4*(SUM($D$197:N197)-SUM($D$199:N199)))</f>
        <v>0</v>
      </c>
      <c r="P197" s="1296">
        <f>(O207*(P$4-P$5))+(P4*(SUM($D$197:O197)-SUM($D$199:O199)))</f>
        <v>0</v>
      </c>
      <c r="Q197" s="1296">
        <f>(P207*(Q$4-Q$5))+(Q4*(SUM($D$197:P197)-SUM($D$199:P199)))</f>
        <v>0</v>
      </c>
      <c r="R197" s="1296">
        <f>(Q207*(R$4-R$5))+(R4*(SUM($D$197:Q197)-SUM($D$199:Q199)))</f>
        <v>0</v>
      </c>
      <c r="S197" s="1296">
        <f>(R207*(S$4-S$5))+(S4*(SUM($D$197:R197)-SUM($D$199:R199)))</f>
        <v>0</v>
      </c>
      <c r="T197" s="1296">
        <f>(S207*(T$4-T$5))+(T4*(SUM($D$197:S197)-SUM($D$199:S199)))</f>
        <v>0</v>
      </c>
      <c r="U197" s="1296">
        <f>(T207*(U$4-U$5))+(U4*(SUM($D$197:T197)-SUM($D$199:T199)))</f>
        <v>0</v>
      </c>
      <c r="V197" s="1296">
        <f>(U207*(V$4-V$5))+(V4*(SUM($D$197:U197)-SUM($D$199:U199)))</f>
        <v>0</v>
      </c>
      <c r="W197" s="1296">
        <f>(V207*(W$4-W$5))+(W4*(SUM($D$197:V197)-SUM($D$199:V199)))</f>
        <v>0</v>
      </c>
    </row>
    <row r="198" spans="2:23" x14ac:dyDescent="0.35">
      <c r="B198" s="1295" t="s">
        <v>545</v>
      </c>
      <c r="C198" s="1296"/>
      <c r="D198" s="1296">
        <f>$D$196*D195</f>
        <v>0</v>
      </c>
      <c r="E198" s="1296">
        <f t="shared" ref="E198:W198" si="133">$D$196*E195</f>
        <v>0</v>
      </c>
      <c r="F198" s="1296">
        <f t="shared" si="133"/>
        <v>0</v>
      </c>
      <c r="G198" s="1296">
        <f t="shared" si="133"/>
        <v>0</v>
      </c>
      <c r="H198" s="1296">
        <f t="shared" si="133"/>
        <v>0</v>
      </c>
      <c r="I198" s="1296">
        <f t="shared" si="133"/>
        <v>0</v>
      </c>
      <c r="J198" s="1296">
        <f t="shared" si="133"/>
        <v>0</v>
      </c>
      <c r="K198" s="1296">
        <f t="shared" si="133"/>
        <v>0</v>
      </c>
      <c r="L198" s="1296">
        <f t="shared" si="133"/>
        <v>0</v>
      </c>
      <c r="M198" s="1296">
        <f t="shared" si="133"/>
        <v>0</v>
      </c>
      <c r="N198" s="1296">
        <f t="shared" si="133"/>
        <v>0</v>
      </c>
      <c r="O198" s="1296">
        <f t="shared" si="133"/>
        <v>0</v>
      </c>
      <c r="P198" s="1296">
        <f t="shared" si="133"/>
        <v>0</v>
      </c>
      <c r="Q198" s="1296">
        <f t="shared" si="133"/>
        <v>0</v>
      </c>
      <c r="R198" s="1296">
        <f t="shared" si="133"/>
        <v>0</v>
      </c>
      <c r="S198" s="1296">
        <f t="shared" si="133"/>
        <v>0</v>
      </c>
      <c r="T198" s="1296">
        <f t="shared" si="133"/>
        <v>0</v>
      </c>
      <c r="U198" s="1296">
        <f t="shared" si="133"/>
        <v>0</v>
      </c>
      <c r="V198" s="1296">
        <f t="shared" si="133"/>
        <v>0</v>
      </c>
      <c r="W198" s="1296">
        <f t="shared" si="133"/>
        <v>0</v>
      </c>
    </row>
    <row r="199" spans="2:23" x14ac:dyDescent="0.35">
      <c r="B199" s="1295" t="s">
        <v>1451</v>
      </c>
      <c r="C199" s="1297"/>
      <c r="D199" s="1297"/>
      <c r="E199" s="1297"/>
      <c r="F199" s="1297"/>
      <c r="G199" s="1297"/>
      <c r="H199" s="1297"/>
      <c r="I199" s="1297"/>
      <c r="J199" s="1297"/>
      <c r="K199" s="1297"/>
      <c r="L199" s="1297"/>
      <c r="M199" s="1297"/>
      <c r="N199" s="1297"/>
      <c r="O199" s="1297"/>
      <c r="P199" s="1297"/>
      <c r="Q199" s="1297"/>
      <c r="R199" s="1297"/>
      <c r="S199" s="1297"/>
      <c r="T199" s="1297"/>
      <c r="U199" s="1297"/>
      <c r="V199" s="1297">
        <f>V196+V197-V198-V200</f>
        <v>0</v>
      </c>
      <c r="W199" s="1297"/>
    </row>
    <row r="200" spans="2:23" x14ac:dyDescent="0.35">
      <c r="B200" s="1295" t="s">
        <v>546</v>
      </c>
      <c r="C200" s="1296"/>
      <c r="D200" s="1296">
        <f t="shared" ref="D200:U200" si="134">D196+D197-D198-D199</f>
        <v>0</v>
      </c>
      <c r="E200" s="1296">
        <f t="shared" si="134"/>
        <v>0</v>
      </c>
      <c r="F200" s="1296">
        <f t="shared" si="134"/>
        <v>0</v>
      </c>
      <c r="G200" s="1296">
        <f t="shared" si="134"/>
        <v>0</v>
      </c>
      <c r="H200" s="1296">
        <f t="shared" si="134"/>
        <v>0</v>
      </c>
      <c r="I200" s="1296">
        <f t="shared" si="134"/>
        <v>0</v>
      </c>
      <c r="J200" s="1296">
        <f t="shared" si="134"/>
        <v>0</v>
      </c>
      <c r="K200" s="1296">
        <f t="shared" si="134"/>
        <v>0</v>
      </c>
      <c r="L200" s="1296">
        <f t="shared" si="134"/>
        <v>0</v>
      </c>
      <c r="M200" s="1296">
        <f t="shared" si="134"/>
        <v>0</v>
      </c>
      <c r="N200" s="1296">
        <f t="shared" si="134"/>
        <v>0</v>
      </c>
      <c r="O200" s="1296">
        <f t="shared" si="134"/>
        <v>0</v>
      </c>
      <c r="P200" s="1296">
        <f t="shared" si="134"/>
        <v>0</v>
      </c>
      <c r="Q200" s="1296">
        <f t="shared" si="134"/>
        <v>0</v>
      </c>
      <c r="R200" s="1296">
        <f t="shared" si="134"/>
        <v>0</v>
      </c>
      <c r="S200" s="1296">
        <f t="shared" si="134"/>
        <v>0</v>
      </c>
      <c r="T200" s="1296">
        <f t="shared" si="134"/>
        <v>0</v>
      </c>
      <c r="U200" s="1296">
        <f t="shared" si="134"/>
        <v>0</v>
      </c>
      <c r="V200" s="1296">
        <v>0</v>
      </c>
      <c r="W200" s="1296">
        <f>W196+W197-W198-W199</f>
        <v>0</v>
      </c>
    </row>
    <row r="201" spans="2:23" x14ac:dyDescent="0.35">
      <c r="B201" s="1295" t="s">
        <v>1452</v>
      </c>
      <c r="C201" s="1296"/>
      <c r="D201" s="1296">
        <f>D208</f>
        <v>0</v>
      </c>
      <c r="E201" s="1296">
        <f t="shared" ref="E201:W201" si="135">E208</f>
        <v>0</v>
      </c>
      <c r="F201" s="1296">
        <f t="shared" si="135"/>
        <v>0</v>
      </c>
      <c r="G201" s="1296">
        <f t="shared" si="135"/>
        <v>0</v>
      </c>
      <c r="H201" s="1296">
        <f t="shared" si="135"/>
        <v>0</v>
      </c>
      <c r="I201" s="1296">
        <f t="shared" si="135"/>
        <v>0</v>
      </c>
      <c r="J201" s="1296">
        <f t="shared" si="135"/>
        <v>0</v>
      </c>
      <c r="K201" s="1296">
        <f t="shared" si="135"/>
        <v>0</v>
      </c>
      <c r="L201" s="1296">
        <f t="shared" si="135"/>
        <v>0</v>
      </c>
      <c r="M201" s="1296">
        <f t="shared" si="135"/>
        <v>0</v>
      </c>
      <c r="N201" s="1296">
        <f t="shared" si="135"/>
        <v>0</v>
      </c>
      <c r="O201" s="1296">
        <f t="shared" si="135"/>
        <v>0</v>
      </c>
      <c r="P201" s="1296">
        <f t="shared" si="135"/>
        <v>0</v>
      </c>
      <c r="Q201" s="1296">
        <f t="shared" si="135"/>
        <v>0</v>
      </c>
      <c r="R201" s="1296">
        <f t="shared" si="135"/>
        <v>0</v>
      </c>
      <c r="S201" s="1296">
        <f t="shared" si="135"/>
        <v>0</v>
      </c>
      <c r="T201" s="1296">
        <f t="shared" si="135"/>
        <v>0</v>
      </c>
      <c r="U201" s="1296">
        <f t="shared" si="135"/>
        <v>0</v>
      </c>
      <c r="V201" s="1296">
        <f t="shared" si="135"/>
        <v>0</v>
      </c>
      <c r="W201" s="1296">
        <f t="shared" si="135"/>
        <v>0</v>
      </c>
    </row>
    <row r="202" spans="2:23" x14ac:dyDescent="0.35">
      <c r="B202" s="1295" t="s">
        <v>1453</v>
      </c>
      <c r="C202" s="1298">
        <f>C185</f>
        <v>0</v>
      </c>
      <c r="D202" s="1298">
        <f>D198+D199+D201</f>
        <v>0</v>
      </c>
      <c r="E202" s="1298">
        <f t="shared" ref="E202:W202" si="136">E198+E199+E201</f>
        <v>0</v>
      </c>
      <c r="F202" s="1298">
        <f t="shared" si="136"/>
        <v>0</v>
      </c>
      <c r="G202" s="1298">
        <f t="shared" si="136"/>
        <v>0</v>
      </c>
      <c r="H202" s="1298">
        <f t="shared" si="136"/>
        <v>0</v>
      </c>
      <c r="I202" s="1298">
        <f t="shared" si="136"/>
        <v>0</v>
      </c>
      <c r="J202" s="1298">
        <f t="shared" si="136"/>
        <v>0</v>
      </c>
      <c r="K202" s="1298">
        <f t="shared" si="136"/>
        <v>0</v>
      </c>
      <c r="L202" s="1298">
        <f t="shared" si="136"/>
        <v>0</v>
      </c>
      <c r="M202" s="1298">
        <f t="shared" si="136"/>
        <v>0</v>
      </c>
      <c r="N202" s="1298">
        <f t="shared" si="136"/>
        <v>0</v>
      </c>
      <c r="O202" s="1298">
        <f t="shared" si="136"/>
        <v>0</v>
      </c>
      <c r="P202" s="1298">
        <f t="shared" si="136"/>
        <v>0</v>
      </c>
      <c r="Q202" s="1298">
        <f t="shared" si="136"/>
        <v>0</v>
      </c>
      <c r="R202" s="1298">
        <f t="shared" si="136"/>
        <v>0</v>
      </c>
      <c r="S202" s="1298">
        <f t="shared" si="136"/>
        <v>0</v>
      </c>
      <c r="T202" s="1298">
        <f t="shared" si="136"/>
        <v>0</v>
      </c>
      <c r="U202" s="1298">
        <f t="shared" si="136"/>
        <v>0</v>
      </c>
      <c r="V202" s="1298">
        <f t="shared" si="136"/>
        <v>0</v>
      </c>
      <c r="W202" s="1298">
        <f t="shared" si="136"/>
        <v>0</v>
      </c>
    </row>
    <row r="203" spans="2:23" x14ac:dyDescent="0.35">
      <c r="B203" s="1295" t="s">
        <v>1454</v>
      </c>
      <c r="C203" s="1299"/>
      <c r="D203" s="1296"/>
      <c r="E203" s="1296"/>
      <c r="F203" s="1296"/>
      <c r="G203" s="1296"/>
      <c r="H203" s="1296"/>
      <c r="I203" s="1296"/>
      <c r="J203" s="1296"/>
      <c r="K203" s="1296"/>
      <c r="L203" s="1296"/>
      <c r="M203" s="1296"/>
      <c r="N203" s="1296"/>
      <c r="O203" s="1296"/>
      <c r="P203" s="1296"/>
      <c r="Q203" s="1296"/>
      <c r="R203" s="1296"/>
      <c r="S203" s="1296"/>
      <c r="T203" s="1296"/>
      <c r="U203" s="1296"/>
      <c r="V203" s="1296"/>
      <c r="W203" s="1296"/>
    </row>
    <row r="204" spans="2:23" x14ac:dyDescent="0.35">
      <c r="B204" s="213"/>
      <c r="C204" s="214"/>
      <c r="D204" s="214"/>
      <c r="E204" s="214"/>
      <c r="F204" s="214"/>
      <c r="G204" s="214"/>
      <c r="H204" s="214"/>
      <c r="I204" s="214"/>
      <c r="J204" s="214"/>
      <c r="K204" s="214"/>
      <c r="L204" s="214"/>
      <c r="M204" s="214"/>
      <c r="N204" s="214"/>
      <c r="O204" s="214"/>
      <c r="P204" s="214"/>
      <c r="Q204" s="214"/>
      <c r="R204" s="214"/>
      <c r="S204" s="214"/>
      <c r="T204" s="214"/>
      <c r="U204" s="214"/>
      <c r="V204" s="214"/>
      <c r="W204" s="214"/>
    </row>
    <row r="205" spans="2:23" x14ac:dyDescent="0.35">
      <c r="B205" s="1295" t="s">
        <v>1455</v>
      </c>
      <c r="C205" s="1296"/>
      <c r="D205" s="1296">
        <f>D196</f>
        <v>0</v>
      </c>
      <c r="E205" s="1296">
        <f t="shared" ref="E205:W205" si="137">D207</f>
        <v>0</v>
      </c>
      <c r="F205" s="1296">
        <f t="shared" si="137"/>
        <v>0</v>
      </c>
      <c r="G205" s="1296">
        <f t="shared" si="137"/>
        <v>0</v>
      </c>
      <c r="H205" s="1296">
        <f t="shared" si="137"/>
        <v>0</v>
      </c>
      <c r="I205" s="1296">
        <f t="shared" si="137"/>
        <v>0</v>
      </c>
      <c r="J205" s="1296">
        <f t="shared" si="137"/>
        <v>0</v>
      </c>
      <c r="K205" s="1296">
        <f t="shared" si="137"/>
        <v>0</v>
      </c>
      <c r="L205" s="1296">
        <f t="shared" si="137"/>
        <v>0</v>
      </c>
      <c r="M205" s="1296">
        <f t="shared" si="137"/>
        <v>0</v>
      </c>
      <c r="N205" s="1296">
        <f t="shared" si="137"/>
        <v>0</v>
      </c>
      <c r="O205" s="1296">
        <f t="shared" si="137"/>
        <v>0</v>
      </c>
      <c r="P205" s="1296">
        <f t="shared" si="137"/>
        <v>0</v>
      </c>
      <c r="Q205" s="1296">
        <f t="shared" si="137"/>
        <v>0</v>
      </c>
      <c r="R205" s="1296">
        <f t="shared" si="137"/>
        <v>0</v>
      </c>
      <c r="S205" s="1296">
        <f t="shared" si="137"/>
        <v>0</v>
      </c>
      <c r="T205" s="1296">
        <f t="shared" si="137"/>
        <v>0</v>
      </c>
      <c r="U205" s="1296">
        <f t="shared" si="137"/>
        <v>0</v>
      </c>
      <c r="V205" s="1296">
        <f t="shared" si="137"/>
        <v>0</v>
      </c>
      <c r="W205" s="1296">
        <f t="shared" si="137"/>
        <v>0</v>
      </c>
    </row>
    <row r="206" spans="2:23" x14ac:dyDescent="0.35">
      <c r="B206" s="1295" t="s">
        <v>1456</v>
      </c>
      <c r="C206" s="1296"/>
      <c r="D206" s="1296">
        <f>D198</f>
        <v>0</v>
      </c>
      <c r="E206" s="1296">
        <f>E198</f>
        <v>0</v>
      </c>
      <c r="F206" s="1296">
        <f t="shared" ref="F206:W206" si="138">F198</f>
        <v>0</v>
      </c>
      <c r="G206" s="1296">
        <f t="shared" si="138"/>
        <v>0</v>
      </c>
      <c r="H206" s="1296">
        <f t="shared" si="138"/>
        <v>0</v>
      </c>
      <c r="I206" s="1296">
        <f t="shared" si="138"/>
        <v>0</v>
      </c>
      <c r="J206" s="1296">
        <f t="shared" si="138"/>
        <v>0</v>
      </c>
      <c r="K206" s="1296">
        <f t="shared" si="138"/>
        <v>0</v>
      </c>
      <c r="L206" s="1296">
        <f t="shared" si="138"/>
        <v>0</v>
      </c>
      <c r="M206" s="1296">
        <f t="shared" si="138"/>
        <v>0</v>
      </c>
      <c r="N206" s="1296">
        <f t="shared" si="138"/>
        <v>0</v>
      </c>
      <c r="O206" s="1296">
        <f t="shared" si="138"/>
        <v>0</v>
      </c>
      <c r="P206" s="1296">
        <f t="shared" si="138"/>
        <v>0</v>
      </c>
      <c r="Q206" s="1296">
        <f t="shared" si="138"/>
        <v>0</v>
      </c>
      <c r="R206" s="1296">
        <f t="shared" si="138"/>
        <v>0</v>
      </c>
      <c r="S206" s="1296">
        <f t="shared" si="138"/>
        <v>0</v>
      </c>
      <c r="T206" s="1296">
        <f t="shared" si="138"/>
        <v>0</v>
      </c>
      <c r="U206" s="1296">
        <f t="shared" si="138"/>
        <v>0</v>
      </c>
      <c r="V206" s="1296">
        <f t="shared" si="138"/>
        <v>0</v>
      </c>
      <c r="W206" s="1296">
        <f t="shared" si="138"/>
        <v>0</v>
      </c>
    </row>
    <row r="207" spans="2:23" x14ac:dyDescent="0.35">
      <c r="B207" s="1295" t="s">
        <v>1457</v>
      </c>
      <c r="C207" s="1296"/>
      <c r="D207" s="1298">
        <f t="shared" ref="D207:W207" si="139">D205-D206</f>
        <v>0</v>
      </c>
      <c r="E207" s="1298">
        <f t="shared" si="139"/>
        <v>0</v>
      </c>
      <c r="F207" s="1298">
        <f t="shared" si="139"/>
        <v>0</v>
      </c>
      <c r="G207" s="1298">
        <f t="shared" si="139"/>
        <v>0</v>
      </c>
      <c r="H207" s="1298">
        <f t="shared" si="139"/>
        <v>0</v>
      </c>
      <c r="I207" s="1298">
        <f t="shared" si="139"/>
        <v>0</v>
      </c>
      <c r="J207" s="1298">
        <f t="shared" si="139"/>
        <v>0</v>
      </c>
      <c r="K207" s="1298">
        <f t="shared" si="139"/>
        <v>0</v>
      </c>
      <c r="L207" s="1298">
        <f t="shared" si="139"/>
        <v>0</v>
      </c>
      <c r="M207" s="1298">
        <f t="shared" si="139"/>
        <v>0</v>
      </c>
      <c r="N207" s="1298">
        <f t="shared" si="139"/>
        <v>0</v>
      </c>
      <c r="O207" s="1298">
        <f t="shared" si="139"/>
        <v>0</v>
      </c>
      <c r="P207" s="1298">
        <f t="shared" si="139"/>
        <v>0</v>
      </c>
      <c r="Q207" s="1298">
        <f t="shared" si="139"/>
        <v>0</v>
      </c>
      <c r="R207" s="1298">
        <f t="shared" si="139"/>
        <v>0</v>
      </c>
      <c r="S207" s="1298">
        <f t="shared" si="139"/>
        <v>0</v>
      </c>
      <c r="T207" s="1298">
        <f t="shared" si="139"/>
        <v>0</v>
      </c>
      <c r="U207" s="1298">
        <f t="shared" si="139"/>
        <v>0</v>
      </c>
      <c r="V207" s="1298">
        <f t="shared" si="139"/>
        <v>0</v>
      </c>
      <c r="W207" s="1298">
        <f t="shared" si="139"/>
        <v>0</v>
      </c>
    </row>
    <row r="208" spans="2:23" x14ac:dyDescent="0.35">
      <c r="B208" s="1295" t="s">
        <v>1458</v>
      </c>
      <c r="C208" s="1296"/>
      <c r="D208" s="1300">
        <f>D205*D$5*(D$6-C$6+1)/365</f>
        <v>0</v>
      </c>
      <c r="E208" s="1300">
        <f>E205*E$5*(E$6-D$6)/365</f>
        <v>0</v>
      </c>
      <c r="F208" s="1300">
        <f t="shared" ref="F208:W208" si="140">F205*F$5*(F$6-E$6)/365</f>
        <v>0</v>
      </c>
      <c r="G208" s="1300">
        <f t="shared" si="140"/>
        <v>0</v>
      </c>
      <c r="H208" s="1300">
        <f t="shared" si="140"/>
        <v>0</v>
      </c>
      <c r="I208" s="1300">
        <f t="shared" si="140"/>
        <v>0</v>
      </c>
      <c r="J208" s="1300">
        <f t="shared" si="140"/>
        <v>0</v>
      </c>
      <c r="K208" s="1300">
        <f t="shared" si="140"/>
        <v>0</v>
      </c>
      <c r="L208" s="1300">
        <f t="shared" si="140"/>
        <v>0</v>
      </c>
      <c r="M208" s="1300">
        <f t="shared" si="140"/>
        <v>0</v>
      </c>
      <c r="N208" s="1300">
        <f t="shared" si="140"/>
        <v>0</v>
      </c>
      <c r="O208" s="1300">
        <f t="shared" si="140"/>
        <v>0</v>
      </c>
      <c r="P208" s="1300">
        <f t="shared" si="140"/>
        <v>0</v>
      </c>
      <c r="Q208" s="1300">
        <f t="shared" si="140"/>
        <v>0</v>
      </c>
      <c r="R208" s="1300">
        <f t="shared" si="140"/>
        <v>0</v>
      </c>
      <c r="S208" s="1300">
        <f t="shared" si="140"/>
        <v>0</v>
      </c>
      <c r="T208" s="1300">
        <f t="shared" si="140"/>
        <v>0</v>
      </c>
      <c r="U208" s="1300">
        <f t="shared" si="140"/>
        <v>0</v>
      </c>
      <c r="V208" s="1300">
        <f t="shared" si="140"/>
        <v>0</v>
      </c>
      <c r="W208" s="1300">
        <f t="shared" si="140"/>
        <v>0</v>
      </c>
    </row>
    <row r="210" spans="2:23" x14ac:dyDescent="0.35">
      <c r="B210" s="1288" t="s">
        <v>1471</v>
      </c>
      <c r="C210" s="1289">
        <v>43087</v>
      </c>
      <c r="D210" s="1289">
        <f>EOMONTH(E210,-12)</f>
        <v>43190</v>
      </c>
      <c r="E210" s="1289">
        <f>EOMONTH(F210,-12)</f>
        <v>43555</v>
      </c>
      <c r="F210" s="1289">
        <f>EOMONTH(G210,-12)</f>
        <v>43921</v>
      </c>
      <c r="G210" s="1289">
        <f>'Debt Assumptions &amp; working'!$C$17</f>
        <v>44286</v>
      </c>
      <c r="H210" s="1289">
        <f>EOMONTH(G210,12)</f>
        <v>44651</v>
      </c>
      <c r="I210" s="1289">
        <f t="shared" ref="I210:W210" si="141">EOMONTH(H210,12)</f>
        <v>45016</v>
      </c>
      <c r="J210" s="1289">
        <f t="shared" si="141"/>
        <v>45382</v>
      </c>
      <c r="K210" s="1289">
        <f t="shared" si="141"/>
        <v>45747</v>
      </c>
      <c r="L210" s="1289">
        <f t="shared" si="141"/>
        <v>46112</v>
      </c>
      <c r="M210" s="1289">
        <f t="shared" si="141"/>
        <v>46477</v>
      </c>
      <c r="N210" s="1289">
        <f t="shared" si="141"/>
        <v>46843</v>
      </c>
      <c r="O210" s="1289">
        <f t="shared" si="141"/>
        <v>47208</v>
      </c>
      <c r="P210" s="1289">
        <f t="shared" si="141"/>
        <v>47573</v>
      </c>
      <c r="Q210" s="1289">
        <f t="shared" si="141"/>
        <v>47938</v>
      </c>
      <c r="R210" s="1289">
        <f t="shared" si="141"/>
        <v>48304</v>
      </c>
      <c r="S210" s="1289">
        <f t="shared" si="141"/>
        <v>48669</v>
      </c>
      <c r="T210" s="1289">
        <f t="shared" si="141"/>
        <v>49034</v>
      </c>
      <c r="U210" s="1289">
        <f t="shared" si="141"/>
        <v>49399</v>
      </c>
      <c r="V210" s="1289">
        <f t="shared" si="141"/>
        <v>49765</v>
      </c>
      <c r="W210" s="1289">
        <f t="shared" si="141"/>
        <v>50130</v>
      </c>
    </row>
    <row r="211" spans="2:23" x14ac:dyDescent="0.35">
      <c r="B211" s="1290" t="s">
        <v>1450</v>
      </c>
      <c r="C211" s="1290">
        <v>0</v>
      </c>
      <c r="D211" s="1291">
        <f>(D210-C210+1)/365</f>
        <v>0.28493150684931506</v>
      </c>
      <c r="E211" s="1291">
        <f t="shared" ref="E211:W211" si="142">D211+1</f>
        <v>1.284931506849315</v>
      </c>
      <c r="F211" s="1291">
        <f t="shared" si="142"/>
        <v>2.2849315068493148</v>
      </c>
      <c r="G211" s="1291">
        <f t="shared" si="142"/>
        <v>3.2849315068493148</v>
      </c>
      <c r="H211" s="1291">
        <f t="shared" si="142"/>
        <v>4.2849315068493148</v>
      </c>
      <c r="I211" s="1291">
        <f t="shared" si="142"/>
        <v>5.2849315068493148</v>
      </c>
      <c r="J211" s="1291">
        <f t="shared" si="142"/>
        <v>6.2849315068493148</v>
      </c>
      <c r="K211" s="1291">
        <f t="shared" si="142"/>
        <v>7.2849315068493148</v>
      </c>
      <c r="L211" s="1291">
        <f t="shared" si="142"/>
        <v>8.2849315068493148</v>
      </c>
      <c r="M211" s="1291">
        <f t="shared" si="142"/>
        <v>9.2849315068493148</v>
      </c>
      <c r="N211" s="1291">
        <f t="shared" si="142"/>
        <v>10.284931506849315</v>
      </c>
      <c r="O211" s="1291">
        <f t="shared" si="142"/>
        <v>11.284931506849315</v>
      </c>
      <c r="P211" s="1291">
        <f t="shared" si="142"/>
        <v>12.284931506849315</v>
      </c>
      <c r="Q211" s="1291">
        <f t="shared" si="142"/>
        <v>13.284931506849315</v>
      </c>
      <c r="R211" s="1291">
        <f t="shared" si="142"/>
        <v>14.284931506849315</v>
      </c>
      <c r="S211" s="1291">
        <f t="shared" si="142"/>
        <v>15.284931506849315</v>
      </c>
      <c r="T211" s="1291">
        <f t="shared" si="142"/>
        <v>16.284931506849315</v>
      </c>
      <c r="U211" s="1291">
        <f t="shared" si="142"/>
        <v>17.284931506849315</v>
      </c>
      <c r="V211" s="1291">
        <f t="shared" si="142"/>
        <v>18.284931506849315</v>
      </c>
      <c r="W211" s="1291">
        <f t="shared" si="142"/>
        <v>19.284931506849315</v>
      </c>
    </row>
    <row r="212" spans="2:23" x14ac:dyDescent="0.35">
      <c r="B212" s="1290" t="s">
        <v>518</v>
      </c>
      <c r="C212" s="1290"/>
      <c r="D212" s="1292">
        <v>0</v>
      </c>
      <c r="E212" s="1292">
        <v>0</v>
      </c>
      <c r="F212" s="1292">
        <v>0</v>
      </c>
      <c r="G212" s="1293">
        <v>0</v>
      </c>
      <c r="H212" s="1294">
        <v>0</v>
      </c>
      <c r="I212" s="1294">
        <v>0</v>
      </c>
      <c r="J212" s="1294">
        <v>0</v>
      </c>
      <c r="K212" s="1294">
        <v>0</v>
      </c>
      <c r="L212" s="1294">
        <v>0</v>
      </c>
      <c r="M212" s="1294">
        <v>0</v>
      </c>
      <c r="N212" s="1294">
        <v>0</v>
      </c>
      <c r="O212" s="1294">
        <v>0</v>
      </c>
      <c r="P212" s="1294">
        <v>0</v>
      </c>
      <c r="Q212" s="1294">
        <v>0</v>
      </c>
      <c r="R212" s="1294">
        <v>0</v>
      </c>
      <c r="S212" s="1294">
        <v>0</v>
      </c>
      <c r="T212" s="1294">
        <v>0</v>
      </c>
      <c r="U212" s="1294">
        <v>0</v>
      </c>
      <c r="V212" s="1294">
        <v>0</v>
      </c>
      <c r="W212" s="1294">
        <v>1</v>
      </c>
    </row>
    <row r="213" spans="2:23" x14ac:dyDescent="0.35">
      <c r="B213" s="1295" t="s">
        <v>544</v>
      </c>
      <c r="C213" s="1296"/>
      <c r="D213" s="1296">
        <f>-C219</f>
        <v>0</v>
      </c>
      <c r="E213" s="1296">
        <f t="shared" ref="E213:W213" si="143">D217</f>
        <v>0</v>
      </c>
      <c r="F213" s="1296">
        <f t="shared" si="143"/>
        <v>0</v>
      </c>
      <c r="G213" s="1296">
        <f t="shared" si="143"/>
        <v>0</v>
      </c>
      <c r="H213" s="1296">
        <f t="shared" si="143"/>
        <v>0</v>
      </c>
      <c r="I213" s="1296">
        <f t="shared" si="143"/>
        <v>0</v>
      </c>
      <c r="J213" s="1296">
        <f t="shared" si="143"/>
        <v>0</v>
      </c>
      <c r="K213" s="1296">
        <f t="shared" si="143"/>
        <v>0</v>
      </c>
      <c r="L213" s="1296">
        <f t="shared" si="143"/>
        <v>0</v>
      </c>
      <c r="M213" s="1296">
        <f t="shared" si="143"/>
        <v>0</v>
      </c>
      <c r="N213" s="1296">
        <f t="shared" si="143"/>
        <v>0</v>
      </c>
      <c r="O213" s="1296">
        <f t="shared" si="143"/>
        <v>0</v>
      </c>
      <c r="P213" s="1296">
        <f t="shared" si="143"/>
        <v>0</v>
      </c>
      <c r="Q213" s="1296">
        <f t="shared" si="143"/>
        <v>0</v>
      </c>
      <c r="R213" s="1296">
        <f t="shared" si="143"/>
        <v>0</v>
      </c>
      <c r="S213" s="1296">
        <f t="shared" si="143"/>
        <v>0</v>
      </c>
      <c r="T213" s="1296">
        <f t="shared" si="143"/>
        <v>0</v>
      </c>
      <c r="U213" s="1296">
        <f t="shared" si="143"/>
        <v>0</v>
      </c>
      <c r="V213" s="1296">
        <f t="shared" si="143"/>
        <v>0</v>
      </c>
      <c r="W213" s="1296">
        <f t="shared" si="143"/>
        <v>0</v>
      </c>
    </row>
    <row r="214" spans="2:23" x14ac:dyDescent="0.35">
      <c r="B214" s="1295" t="s">
        <v>276</v>
      </c>
      <c r="C214" s="1296"/>
      <c r="D214" s="1296">
        <f>D213*(D$4-D$5)*(D210-C210)/365</f>
        <v>0</v>
      </c>
      <c r="E214" s="1296">
        <f>(D224*(E$4-E$5))+(E4*(SUM($D$214:D214)-SUM($D$216:D216)))</f>
        <v>0</v>
      </c>
      <c r="F214" s="1296">
        <f>(E224*(F$4-F$5))+(F4*(SUM($D$214:E214)-SUM($D$216:E216)))</f>
        <v>0</v>
      </c>
      <c r="G214" s="1296">
        <f>(F224*(G$4-G$5))+(G4*(SUM($D$214:F214)-SUM($D$216:F216)))</f>
        <v>0</v>
      </c>
      <c r="H214" s="1296">
        <f>(G224*(H$4-H$5))+(H4*(SUM($D$214:G214)-SUM($D$216:G216)))</f>
        <v>0</v>
      </c>
      <c r="I214" s="1296">
        <f>(H224*(I$4-I$5))+(I4*(SUM($D$214:H214)-SUM($D$216:H216)))</f>
        <v>0</v>
      </c>
      <c r="J214" s="1296">
        <f>(I224*(J$4-J$5))+(J4*(SUM($D$214:I214)-SUM($D$216:I216)))</f>
        <v>0</v>
      </c>
      <c r="K214" s="1296">
        <f>(J224*(K$4-K$5))+(K4*(SUM($D$214:J214)-SUM($D$216:J216)))</f>
        <v>0</v>
      </c>
      <c r="L214" s="1296">
        <f>(K224*(L$4-L$5))+(L4*(SUM($D$214:K214)-SUM($D$216:K216)))</f>
        <v>0</v>
      </c>
      <c r="M214" s="1296">
        <f>(L224*(M$4-M$5))+(M4*(SUM($D$214:L214)-SUM($D$216:L216)))</f>
        <v>0</v>
      </c>
      <c r="N214" s="1296">
        <f>(M224*(N$4-N$5))+(N4*(SUM($D$214:M214)-SUM($D$216:M216)))</f>
        <v>0</v>
      </c>
      <c r="O214" s="1296">
        <f>(N224*(O$4-O$5))+(O4*(SUM($D$214:N214)-SUM($D$216:N216)))</f>
        <v>0</v>
      </c>
      <c r="P214" s="1296">
        <f>(O224*(P$4-P$5))+(P4*(SUM($D$214:O214)-SUM($D$216:O216)))</f>
        <v>0</v>
      </c>
      <c r="Q214" s="1296">
        <f>(P224*(Q$4-Q$5))+(Q4*(SUM($D$214:P214)-SUM($D$216:P216)))</f>
        <v>0</v>
      </c>
      <c r="R214" s="1296">
        <f>(Q224*(R$4-R$5))+(R4*(SUM($D$214:Q214)-SUM($D$216:Q216)))</f>
        <v>0</v>
      </c>
      <c r="S214" s="1296">
        <f>(R224*(S$4-S$5))+(S4*(SUM($D$214:R214)-SUM($D$216:R216)))</f>
        <v>0</v>
      </c>
      <c r="T214" s="1296">
        <f>(S224*(T$4-T$5))+(T4*(SUM($D$214:S214)-SUM($D$216:S216)))</f>
        <v>0</v>
      </c>
      <c r="U214" s="1296">
        <f>(T224*(U$4-U$5))+(U4*(SUM($D$214:T214)-SUM($D$216:T216)))</f>
        <v>0</v>
      </c>
      <c r="V214" s="1296">
        <f>(U224*(V$4-V$5))+(V4*(SUM($D$214:U214)-SUM($D$216:U216)))</f>
        <v>0</v>
      </c>
      <c r="W214" s="1296">
        <f>(V224*(W$4-W$5))+(W4*(SUM($D$214:V214)-SUM($D$216:V216)))</f>
        <v>0</v>
      </c>
    </row>
    <row r="215" spans="2:23" x14ac:dyDescent="0.35">
      <c r="B215" s="1295" t="s">
        <v>545</v>
      </c>
      <c r="C215" s="1296"/>
      <c r="D215" s="1296">
        <f>$D$213*D212</f>
        <v>0</v>
      </c>
      <c r="E215" s="1296">
        <f t="shared" ref="E215:W215" si="144">$D$213*E212</f>
        <v>0</v>
      </c>
      <c r="F215" s="1296">
        <f t="shared" si="144"/>
        <v>0</v>
      </c>
      <c r="G215" s="1296">
        <f t="shared" si="144"/>
        <v>0</v>
      </c>
      <c r="H215" s="1296">
        <f t="shared" si="144"/>
        <v>0</v>
      </c>
      <c r="I215" s="1296">
        <f t="shared" si="144"/>
        <v>0</v>
      </c>
      <c r="J215" s="1296">
        <f t="shared" si="144"/>
        <v>0</v>
      </c>
      <c r="K215" s="1296">
        <f t="shared" si="144"/>
        <v>0</v>
      </c>
      <c r="L215" s="1296">
        <f t="shared" si="144"/>
        <v>0</v>
      </c>
      <c r="M215" s="1296">
        <f t="shared" si="144"/>
        <v>0</v>
      </c>
      <c r="N215" s="1296">
        <f t="shared" si="144"/>
        <v>0</v>
      </c>
      <c r="O215" s="1296">
        <f t="shared" si="144"/>
        <v>0</v>
      </c>
      <c r="P215" s="1296">
        <f t="shared" si="144"/>
        <v>0</v>
      </c>
      <c r="Q215" s="1296">
        <f t="shared" si="144"/>
        <v>0</v>
      </c>
      <c r="R215" s="1296">
        <f t="shared" si="144"/>
        <v>0</v>
      </c>
      <c r="S215" s="1296">
        <f t="shared" si="144"/>
        <v>0</v>
      </c>
      <c r="T215" s="1296">
        <f t="shared" si="144"/>
        <v>0</v>
      </c>
      <c r="U215" s="1296">
        <f t="shared" si="144"/>
        <v>0</v>
      </c>
      <c r="V215" s="1296">
        <f t="shared" si="144"/>
        <v>0</v>
      </c>
      <c r="W215" s="1296">
        <f t="shared" si="144"/>
        <v>0</v>
      </c>
    </row>
    <row r="216" spans="2:23" x14ac:dyDescent="0.35">
      <c r="B216" s="1295" t="s">
        <v>1451</v>
      </c>
      <c r="C216" s="1297"/>
      <c r="D216" s="1297"/>
      <c r="E216" s="1297"/>
      <c r="F216" s="1297"/>
      <c r="G216" s="1297"/>
      <c r="H216" s="1297"/>
      <c r="I216" s="1297"/>
      <c r="J216" s="1297"/>
      <c r="K216" s="1297"/>
      <c r="L216" s="1297"/>
      <c r="M216" s="1297"/>
      <c r="N216" s="1297"/>
      <c r="O216" s="1297"/>
      <c r="P216" s="1297"/>
      <c r="Q216" s="1297"/>
      <c r="R216" s="1297"/>
      <c r="S216" s="1297"/>
      <c r="T216" s="1297"/>
      <c r="U216" s="1297"/>
      <c r="V216" s="1297"/>
      <c r="W216" s="1297">
        <f>W213+W214-W215-W217</f>
        <v>0</v>
      </c>
    </row>
    <row r="217" spans="2:23" x14ac:dyDescent="0.35">
      <c r="B217" s="1295" t="s">
        <v>546</v>
      </c>
      <c r="C217" s="1296"/>
      <c r="D217" s="1296">
        <f t="shared" ref="D217:V217" si="145">D213+D214-D215-D216</f>
        <v>0</v>
      </c>
      <c r="E217" s="1296">
        <f t="shared" si="145"/>
        <v>0</v>
      </c>
      <c r="F217" s="1296">
        <f t="shared" si="145"/>
        <v>0</v>
      </c>
      <c r="G217" s="1296">
        <f t="shared" si="145"/>
        <v>0</v>
      </c>
      <c r="H217" s="1296">
        <f t="shared" si="145"/>
        <v>0</v>
      </c>
      <c r="I217" s="1296">
        <f t="shared" si="145"/>
        <v>0</v>
      </c>
      <c r="J217" s="1296">
        <f t="shared" si="145"/>
        <v>0</v>
      </c>
      <c r="K217" s="1296">
        <f t="shared" si="145"/>
        <v>0</v>
      </c>
      <c r="L217" s="1296">
        <f t="shared" si="145"/>
        <v>0</v>
      </c>
      <c r="M217" s="1296">
        <f t="shared" si="145"/>
        <v>0</v>
      </c>
      <c r="N217" s="1296">
        <f t="shared" si="145"/>
        <v>0</v>
      </c>
      <c r="O217" s="1296">
        <f t="shared" si="145"/>
        <v>0</v>
      </c>
      <c r="P217" s="1296">
        <f t="shared" si="145"/>
        <v>0</v>
      </c>
      <c r="Q217" s="1296">
        <f t="shared" si="145"/>
        <v>0</v>
      </c>
      <c r="R217" s="1296">
        <f t="shared" si="145"/>
        <v>0</v>
      </c>
      <c r="S217" s="1296">
        <f t="shared" si="145"/>
        <v>0</v>
      </c>
      <c r="T217" s="1296">
        <f t="shared" si="145"/>
        <v>0</v>
      </c>
      <c r="U217" s="1296">
        <f t="shared" si="145"/>
        <v>0</v>
      </c>
      <c r="V217" s="1296">
        <f t="shared" si="145"/>
        <v>0</v>
      </c>
      <c r="W217" s="1296">
        <v>0</v>
      </c>
    </row>
    <row r="218" spans="2:23" x14ac:dyDescent="0.35">
      <c r="B218" s="1295" t="s">
        <v>1452</v>
      </c>
      <c r="C218" s="1296"/>
      <c r="D218" s="1296">
        <f>D225</f>
        <v>0</v>
      </c>
      <c r="E218" s="1296">
        <f t="shared" ref="E218:W218" si="146">E225</f>
        <v>0</v>
      </c>
      <c r="F218" s="1296">
        <f t="shared" si="146"/>
        <v>0</v>
      </c>
      <c r="G218" s="1296">
        <f t="shared" si="146"/>
        <v>0</v>
      </c>
      <c r="H218" s="1296">
        <f t="shared" si="146"/>
        <v>0</v>
      </c>
      <c r="I218" s="1296">
        <f t="shared" si="146"/>
        <v>0</v>
      </c>
      <c r="J218" s="1296">
        <f t="shared" si="146"/>
        <v>0</v>
      </c>
      <c r="K218" s="1296">
        <f t="shared" si="146"/>
        <v>0</v>
      </c>
      <c r="L218" s="1296">
        <f t="shared" si="146"/>
        <v>0</v>
      </c>
      <c r="M218" s="1296">
        <f t="shared" si="146"/>
        <v>0</v>
      </c>
      <c r="N218" s="1296">
        <f t="shared" si="146"/>
        <v>0</v>
      </c>
      <c r="O218" s="1296">
        <f t="shared" si="146"/>
        <v>0</v>
      </c>
      <c r="P218" s="1296">
        <f t="shared" si="146"/>
        <v>0</v>
      </c>
      <c r="Q218" s="1296">
        <f t="shared" si="146"/>
        <v>0</v>
      </c>
      <c r="R218" s="1296">
        <f t="shared" si="146"/>
        <v>0</v>
      </c>
      <c r="S218" s="1296">
        <f t="shared" si="146"/>
        <v>0</v>
      </c>
      <c r="T218" s="1296">
        <f t="shared" si="146"/>
        <v>0</v>
      </c>
      <c r="U218" s="1296">
        <f t="shared" si="146"/>
        <v>0</v>
      </c>
      <c r="V218" s="1296">
        <f t="shared" si="146"/>
        <v>0</v>
      </c>
      <c r="W218" s="1296">
        <f t="shared" si="146"/>
        <v>0</v>
      </c>
    </row>
    <row r="219" spans="2:23" x14ac:dyDescent="0.35">
      <c r="B219" s="1295" t="s">
        <v>1453</v>
      </c>
      <c r="C219" s="1298">
        <f>C202</f>
        <v>0</v>
      </c>
      <c r="D219" s="1298">
        <f>D215+D216+D218</f>
        <v>0</v>
      </c>
      <c r="E219" s="1298">
        <f t="shared" ref="E219:W219" si="147">E215+E216+E218</f>
        <v>0</v>
      </c>
      <c r="F219" s="1298">
        <f t="shared" si="147"/>
        <v>0</v>
      </c>
      <c r="G219" s="1298">
        <f t="shared" si="147"/>
        <v>0</v>
      </c>
      <c r="H219" s="1298">
        <f t="shared" si="147"/>
        <v>0</v>
      </c>
      <c r="I219" s="1298">
        <f t="shared" si="147"/>
        <v>0</v>
      </c>
      <c r="J219" s="1298">
        <f t="shared" si="147"/>
        <v>0</v>
      </c>
      <c r="K219" s="1298">
        <f t="shared" si="147"/>
        <v>0</v>
      </c>
      <c r="L219" s="1298">
        <f t="shared" si="147"/>
        <v>0</v>
      </c>
      <c r="M219" s="1298">
        <f t="shared" si="147"/>
        <v>0</v>
      </c>
      <c r="N219" s="1298">
        <f t="shared" si="147"/>
        <v>0</v>
      </c>
      <c r="O219" s="1298">
        <f t="shared" si="147"/>
        <v>0</v>
      </c>
      <c r="P219" s="1298">
        <f t="shared" si="147"/>
        <v>0</v>
      </c>
      <c r="Q219" s="1298">
        <f t="shared" si="147"/>
        <v>0</v>
      </c>
      <c r="R219" s="1298">
        <f t="shared" si="147"/>
        <v>0</v>
      </c>
      <c r="S219" s="1298">
        <f t="shared" si="147"/>
        <v>0</v>
      </c>
      <c r="T219" s="1298">
        <f t="shared" si="147"/>
        <v>0</v>
      </c>
      <c r="U219" s="1298">
        <f t="shared" si="147"/>
        <v>0</v>
      </c>
      <c r="V219" s="1298">
        <f t="shared" si="147"/>
        <v>0</v>
      </c>
      <c r="W219" s="1298">
        <f t="shared" si="147"/>
        <v>0</v>
      </c>
    </row>
    <row r="220" spans="2:23" x14ac:dyDescent="0.35">
      <c r="B220" s="1295" t="s">
        <v>1454</v>
      </c>
      <c r="C220" s="1299"/>
      <c r="D220" s="1296"/>
      <c r="E220" s="1296"/>
      <c r="F220" s="1296"/>
      <c r="G220" s="1296"/>
      <c r="H220" s="1296"/>
      <c r="I220" s="1296"/>
      <c r="J220" s="1296"/>
      <c r="K220" s="1296"/>
      <c r="L220" s="1296"/>
      <c r="M220" s="1296"/>
      <c r="N220" s="1296"/>
      <c r="O220" s="1296"/>
      <c r="P220" s="1296"/>
      <c r="Q220" s="1296"/>
      <c r="R220" s="1296"/>
      <c r="S220" s="1296"/>
      <c r="T220" s="1296"/>
      <c r="U220" s="1296"/>
      <c r="V220" s="1296"/>
      <c r="W220" s="1296"/>
    </row>
    <row r="221" spans="2:23" x14ac:dyDescent="0.35">
      <c r="B221" s="213"/>
      <c r="C221" s="214"/>
      <c r="D221" s="214"/>
      <c r="E221" s="214"/>
      <c r="F221" s="214"/>
      <c r="G221" s="214"/>
      <c r="H221" s="214"/>
      <c r="I221" s="214"/>
      <c r="J221" s="214"/>
      <c r="K221" s="214"/>
      <c r="L221" s="214"/>
      <c r="M221" s="214"/>
      <c r="N221" s="214"/>
      <c r="O221" s="214"/>
      <c r="P221" s="214"/>
      <c r="Q221" s="214"/>
      <c r="R221" s="214"/>
      <c r="S221" s="214"/>
      <c r="T221" s="214"/>
      <c r="U221" s="214"/>
      <c r="V221" s="214"/>
      <c r="W221" s="214"/>
    </row>
    <row r="222" spans="2:23" x14ac:dyDescent="0.35">
      <c r="B222" s="1295" t="s">
        <v>1455</v>
      </c>
      <c r="C222" s="1296"/>
      <c r="D222" s="1296">
        <f>D213</f>
        <v>0</v>
      </c>
      <c r="E222" s="1296">
        <f t="shared" ref="E222:W222" si="148">D224</f>
        <v>0</v>
      </c>
      <c r="F222" s="1296">
        <f t="shared" si="148"/>
        <v>0</v>
      </c>
      <c r="G222" s="1296">
        <f t="shared" si="148"/>
        <v>0</v>
      </c>
      <c r="H222" s="1296">
        <f t="shared" si="148"/>
        <v>0</v>
      </c>
      <c r="I222" s="1296">
        <f t="shared" si="148"/>
        <v>0</v>
      </c>
      <c r="J222" s="1296">
        <f t="shared" si="148"/>
        <v>0</v>
      </c>
      <c r="K222" s="1296">
        <f t="shared" si="148"/>
        <v>0</v>
      </c>
      <c r="L222" s="1296">
        <f t="shared" si="148"/>
        <v>0</v>
      </c>
      <c r="M222" s="1296">
        <f t="shared" si="148"/>
        <v>0</v>
      </c>
      <c r="N222" s="1296">
        <f t="shared" si="148"/>
        <v>0</v>
      </c>
      <c r="O222" s="1296">
        <f t="shared" si="148"/>
        <v>0</v>
      </c>
      <c r="P222" s="1296">
        <f t="shared" si="148"/>
        <v>0</v>
      </c>
      <c r="Q222" s="1296">
        <f t="shared" si="148"/>
        <v>0</v>
      </c>
      <c r="R222" s="1296">
        <f t="shared" si="148"/>
        <v>0</v>
      </c>
      <c r="S222" s="1296">
        <f t="shared" si="148"/>
        <v>0</v>
      </c>
      <c r="T222" s="1296">
        <f t="shared" si="148"/>
        <v>0</v>
      </c>
      <c r="U222" s="1296">
        <f t="shared" si="148"/>
        <v>0</v>
      </c>
      <c r="V222" s="1296">
        <f t="shared" si="148"/>
        <v>0</v>
      </c>
      <c r="W222" s="1296">
        <f t="shared" si="148"/>
        <v>0</v>
      </c>
    </row>
    <row r="223" spans="2:23" x14ac:dyDescent="0.35">
      <c r="B223" s="1295" t="s">
        <v>1456</v>
      </c>
      <c r="C223" s="1296"/>
      <c r="D223" s="1296">
        <f>D215</f>
        <v>0</v>
      </c>
      <c r="E223" s="1296">
        <f>E215</f>
        <v>0</v>
      </c>
      <c r="F223" s="1296">
        <f t="shared" ref="F223:W223" si="149">F215</f>
        <v>0</v>
      </c>
      <c r="G223" s="1296">
        <f t="shared" si="149"/>
        <v>0</v>
      </c>
      <c r="H223" s="1296">
        <f t="shared" si="149"/>
        <v>0</v>
      </c>
      <c r="I223" s="1296">
        <f t="shared" si="149"/>
        <v>0</v>
      </c>
      <c r="J223" s="1296">
        <f t="shared" si="149"/>
        <v>0</v>
      </c>
      <c r="K223" s="1296">
        <f t="shared" si="149"/>
        <v>0</v>
      </c>
      <c r="L223" s="1296">
        <f t="shared" si="149"/>
        <v>0</v>
      </c>
      <c r="M223" s="1296">
        <f t="shared" si="149"/>
        <v>0</v>
      </c>
      <c r="N223" s="1296">
        <f t="shared" si="149"/>
        <v>0</v>
      </c>
      <c r="O223" s="1296">
        <f t="shared" si="149"/>
        <v>0</v>
      </c>
      <c r="P223" s="1296">
        <f t="shared" si="149"/>
        <v>0</v>
      </c>
      <c r="Q223" s="1296">
        <f t="shared" si="149"/>
        <v>0</v>
      </c>
      <c r="R223" s="1296">
        <f t="shared" si="149"/>
        <v>0</v>
      </c>
      <c r="S223" s="1296">
        <f t="shared" si="149"/>
        <v>0</v>
      </c>
      <c r="T223" s="1296">
        <f t="shared" si="149"/>
        <v>0</v>
      </c>
      <c r="U223" s="1296">
        <f t="shared" si="149"/>
        <v>0</v>
      </c>
      <c r="V223" s="1296">
        <f t="shared" si="149"/>
        <v>0</v>
      </c>
      <c r="W223" s="1296">
        <f t="shared" si="149"/>
        <v>0</v>
      </c>
    </row>
    <row r="224" spans="2:23" x14ac:dyDescent="0.35">
      <c r="B224" s="1295" t="s">
        <v>1457</v>
      </c>
      <c r="C224" s="1296"/>
      <c r="D224" s="1298">
        <f t="shared" ref="D224:W224" si="150">D222-D223</f>
        <v>0</v>
      </c>
      <c r="E224" s="1298">
        <f t="shared" si="150"/>
        <v>0</v>
      </c>
      <c r="F224" s="1298">
        <f t="shared" si="150"/>
        <v>0</v>
      </c>
      <c r="G224" s="1298">
        <f t="shared" si="150"/>
        <v>0</v>
      </c>
      <c r="H224" s="1298">
        <f t="shared" si="150"/>
        <v>0</v>
      </c>
      <c r="I224" s="1298">
        <f t="shared" si="150"/>
        <v>0</v>
      </c>
      <c r="J224" s="1298">
        <f t="shared" si="150"/>
        <v>0</v>
      </c>
      <c r="K224" s="1298">
        <f t="shared" si="150"/>
        <v>0</v>
      </c>
      <c r="L224" s="1298">
        <f t="shared" si="150"/>
        <v>0</v>
      </c>
      <c r="M224" s="1298">
        <f t="shared" si="150"/>
        <v>0</v>
      </c>
      <c r="N224" s="1298">
        <f t="shared" si="150"/>
        <v>0</v>
      </c>
      <c r="O224" s="1298">
        <f t="shared" si="150"/>
        <v>0</v>
      </c>
      <c r="P224" s="1298">
        <f t="shared" si="150"/>
        <v>0</v>
      </c>
      <c r="Q224" s="1298">
        <f t="shared" si="150"/>
        <v>0</v>
      </c>
      <c r="R224" s="1298">
        <f t="shared" si="150"/>
        <v>0</v>
      </c>
      <c r="S224" s="1298">
        <f t="shared" si="150"/>
        <v>0</v>
      </c>
      <c r="T224" s="1298">
        <f t="shared" si="150"/>
        <v>0</v>
      </c>
      <c r="U224" s="1298">
        <f t="shared" si="150"/>
        <v>0</v>
      </c>
      <c r="V224" s="1298">
        <f t="shared" si="150"/>
        <v>0</v>
      </c>
      <c r="W224" s="1298">
        <f t="shared" si="150"/>
        <v>0</v>
      </c>
    </row>
    <row r="225" spans="2:24" x14ac:dyDescent="0.35">
      <c r="B225" s="1295" t="s">
        <v>1458</v>
      </c>
      <c r="C225" s="1296"/>
      <c r="D225" s="1300">
        <f>D222*D$5*(D$6-C$6+1)/365</f>
        <v>0</v>
      </c>
      <c r="E225" s="1300">
        <f>E222*E$5*(E$6-D$6)/365</f>
        <v>0</v>
      </c>
      <c r="F225" s="1300">
        <f t="shared" ref="F225:W225" si="151">F222*F$5*(F$6-E$6)/365</f>
        <v>0</v>
      </c>
      <c r="G225" s="1300">
        <f t="shared" si="151"/>
        <v>0</v>
      </c>
      <c r="H225" s="1300">
        <f t="shared" si="151"/>
        <v>0</v>
      </c>
      <c r="I225" s="1300">
        <f t="shared" si="151"/>
        <v>0</v>
      </c>
      <c r="J225" s="1300">
        <f t="shared" si="151"/>
        <v>0</v>
      </c>
      <c r="K225" s="1300">
        <f t="shared" si="151"/>
        <v>0</v>
      </c>
      <c r="L225" s="1300">
        <f t="shared" si="151"/>
        <v>0</v>
      </c>
      <c r="M225" s="1300">
        <f t="shared" si="151"/>
        <v>0</v>
      </c>
      <c r="N225" s="1300">
        <f t="shared" si="151"/>
        <v>0</v>
      </c>
      <c r="O225" s="1300">
        <f t="shared" si="151"/>
        <v>0</v>
      </c>
      <c r="P225" s="1300">
        <f t="shared" si="151"/>
        <v>0</v>
      </c>
      <c r="Q225" s="1300">
        <f t="shared" si="151"/>
        <v>0</v>
      </c>
      <c r="R225" s="1300">
        <f t="shared" si="151"/>
        <v>0</v>
      </c>
      <c r="S225" s="1300">
        <f t="shared" si="151"/>
        <v>0</v>
      </c>
      <c r="T225" s="1300">
        <f t="shared" si="151"/>
        <v>0</v>
      </c>
      <c r="U225" s="1300">
        <f t="shared" si="151"/>
        <v>0</v>
      </c>
      <c r="V225" s="1300">
        <f t="shared" si="151"/>
        <v>0</v>
      </c>
      <c r="W225" s="1300">
        <f t="shared" si="151"/>
        <v>0</v>
      </c>
    </row>
    <row r="227" spans="2:24" x14ac:dyDescent="0.35">
      <c r="B227" s="1288" t="s">
        <v>1472</v>
      </c>
      <c r="C227" s="1289">
        <f>C210</f>
        <v>43087</v>
      </c>
      <c r="D227" s="1289">
        <f t="shared" ref="D227:W227" si="152">D210</f>
        <v>43190</v>
      </c>
      <c r="E227" s="1289">
        <f t="shared" si="152"/>
        <v>43555</v>
      </c>
      <c r="F227" s="1289">
        <f t="shared" si="152"/>
        <v>43921</v>
      </c>
      <c r="G227" s="1289">
        <f t="shared" si="152"/>
        <v>44286</v>
      </c>
      <c r="H227" s="1289">
        <f t="shared" si="152"/>
        <v>44651</v>
      </c>
      <c r="I227" s="1289">
        <f t="shared" si="152"/>
        <v>45016</v>
      </c>
      <c r="J227" s="1289">
        <f t="shared" si="152"/>
        <v>45382</v>
      </c>
      <c r="K227" s="1289">
        <f t="shared" si="152"/>
        <v>45747</v>
      </c>
      <c r="L227" s="1289">
        <f t="shared" si="152"/>
        <v>46112</v>
      </c>
      <c r="M227" s="1289">
        <f t="shared" si="152"/>
        <v>46477</v>
      </c>
      <c r="N227" s="1289">
        <f t="shared" si="152"/>
        <v>46843</v>
      </c>
      <c r="O227" s="1289">
        <f t="shared" si="152"/>
        <v>47208</v>
      </c>
      <c r="P227" s="1289">
        <f t="shared" si="152"/>
        <v>47573</v>
      </c>
      <c r="Q227" s="1289">
        <f t="shared" si="152"/>
        <v>47938</v>
      </c>
      <c r="R227" s="1289">
        <f t="shared" si="152"/>
        <v>48304</v>
      </c>
      <c r="S227" s="1289">
        <f t="shared" si="152"/>
        <v>48669</v>
      </c>
      <c r="T227" s="1289">
        <f t="shared" si="152"/>
        <v>49034</v>
      </c>
      <c r="U227" s="1289">
        <f t="shared" si="152"/>
        <v>49399</v>
      </c>
      <c r="V227" s="1289">
        <f t="shared" si="152"/>
        <v>49765</v>
      </c>
      <c r="W227" s="1289">
        <f t="shared" si="152"/>
        <v>50130</v>
      </c>
    </row>
    <row r="229" spans="2:24" x14ac:dyDescent="0.35">
      <c r="B229" s="1295" t="s">
        <v>206</v>
      </c>
      <c r="C229" s="1296"/>
      <c r="D229" s="1296">
        <f>D234</f>
        <v>0</v>
      </c>
      <c r="E229" s="1296">
        <f t="shared" ref="E229:W229" si="153">E234</f>
        <v>0</v>
      </c>
      <c r="F229" s="1296">
        <f t="shared" si="153"/>
        <v>0</v>
      </c>
      <c r="G229" s="1296">
        <f t="shared" si="153"/>
        <v>0</v>
      </c>
      <c r="H229" s="1296">
        <f t="shared" si="153"/>
        <v>0</v>
      </c>
      <c r="I229" s="1296">
        <f t="shared" si="153"/>
        <v>0</v>
      </c>
      <c r="J229" s="1296">
        <f t="shared" si="153"/>
        <v>0</v>
      </c>
      <c r="K229" s="1296">
        <f t="shared" si="153"/>
        <v>0</v>
      </c>
      <c r="L229" s="1296">
        <f t="shared" si="153"/>
        <v>0</v>
      </c>
      <c r="M229" s="1296">
        <f t="shared" si="153"/>
        <v>0</v>
      </c>
      <c r="N229" s="1296">
        <f t="shared" si="153"/>
        <v>0</v>
      </c>
      <c r="O229" s="1296">
        <f t="shared" si="153"/>
        <v>0</v>
      </c>
      <c r="P229" s="1296">
        <f t="shared" si="153"/>
        <v>0</v>
      </c>
      <c r="Q229" s="1296">
        <f t="shared" si="153"/>
        <v>0</v>
      </c>
      <c r="R229" s="1296">
        <f t="shared" si="153"/>
        <v>0</v>
      </c>
      <c r="S229" s="1296">
        <f t="shared" si="153"/>
        <v>0</v>
      </c>
      <c r="T229" s="1296">
        <f t="shared" si="153"/>
        <v>0</v>
      </c>
      <c r="U229" s="1296">
        <f t="shared" si="153"/>
        <v>0</v>
      </c>
      <c r="V229" s="1296">
        <f t="shared" si="153"/>
        <v>0</v>
      </c>
      <c r="W229" s="1296">
        <f t="shared" si="153"/>
        <v>0</v>
      </c>
      <c r="X229" s="214"/>
    </row>
    <row r="230" spans="2:24" x14ac:dyDescent="0.35">
      <c r="B230" s="1295" t="s">
        <v>1452</v>
      </c>
      <c r="C230" s="1296">
        <f t="shared" ref="C230:W230" si="154">C236</f>
        <v>0</v>
      </c>
      <c r="D230" s="1296">
        <f t="shared" si="154"/>
        <v>0</v>
      </c>
      <c r="E230" s="1296">
        <f t="shared" si="154"/>
        <v>0</v>
      </c>
      <c r="F230" s="1296">
        <f t="shared" si="154"/>
        <v>0</v>
      </c>
      <c r="G230" s="1296">
        <f t="shared" si="154"/>
        <v>0</v>
      </c>
      <c r="H230" s="1296">
        <f t="shared" si="154"/>
        <v>0</v>
      </c>
      <c r="I230" s="1296">
        <f t="shared" si="154"/>
        <v>0</v>
      </c>
      <c r="J230" s="1296">
        <f t="shared" si="154"/>
        <v>0</v>
      </c>
      <c r="K230" s="1296">
        <f t="shared" si="154"/>
        <v>0</v>
      </c>
      <c r="L230" s="1296">
        <f t="shared" si="154"/>
        <v>0</v>
      </c>
      <c r="M230" s="1296">
        <f t="shared" si="154"/>
        <v>0</v>
      </c>
      <c r="N230" s="1296">
        <f t="shared" si="154"/>
        <v>0</v>
      </c>
      <c r="O230" s="1296">
        <f t="shared" si="154"/>
        <v>0</v>
      </c>
      <c r="P230" s="1296">
        <f t="shared" si="154"/>
        <v>0</v>
      </c>
      <c r="Q230" s="1296">
        <f t="shared" si="154"/>
        <v>0</v>
      </c>
      <c r="R230" s="1296">
        <f t="shared" si="154"/>
        <v>0</v>
      </c>
      <c r="S230" s="1296">
        <f t="shared" si="154"/>
        <v>0</v>
      </c>
      <c r="T230" s="1296">
        <f t="shared" si="154"/>
        <v>0</v>
      </c>
      <c r="U230" s="1296">
        <f t="shared" si="154"/>
        <v>0</v>
      </c>
      <c r="V230" s="1296">
        <f t="shared" si="154"/>
        <v>0</v>
      </c>
      <c r="W230" s="1296">
        <f t="shared" si="154"/>
        <v>0</v>
      </c>
      <c r="X230" s="214"/>
    </row>
    <row r="231" spans="2:24" s="606" customFormat="1" x14ac:dyDescent="0.35">
      <c r="B231" s="1302" t="s">
        <v>208</v>
      </c>
      <c r="C231" s="1297"/>
      <c r="D231" s="1297">
        <f>D12+D29+D46+D63+D80+D97+D114+D131+D148+D165+D182+D199+D216</f>
        <v>0</v>
      </c>
      <c r="E231" s="1297">
        <f t="shared" ref="E231:W231" si="155">E12+E29+E46+E63+E80+E97+E114+E131+E148+E165+E182+E199+E216</f>
        <v>0</v>
      </c>
      <c r="F231" s="1297">
        <f t="shared" si="155"/>
        <v>0</v>
      </c>
      <c r="G231" s="1297">
        <f t="shared" si="155"/>
        <v>0</v>
      </c>
      <c r="H231" s="1297">
        <f t="shared" si="155"/>
        <v>0</v>
      </c>
      <c r="I231" s="1297">
        <f t="shared" si="155"/>
        <v>0</v>
      </c>
      <c r="J231" s="1297">
        <f t="shared" si="155"/>
        <v>0</v>
      </c>
      <c r="K231" s="1297">
        <f t="shared" si="155"/>
        <v>0</v>
      </c>
      <c r="L231" s="1297">
        <f t="shared" si="155"/>
        <v>0</v>
      </c>
      <c r="M231" s="1297">
        <f t="shared" si="155"/>
        <v>0</v>
      </c>
      <c r="N231" s="1297">
        <f t="shared" si="155"/>
        <v>0</v>
      </c>
      <c r="O231" s="1297">
        <f t="shared" si="155"/>
        <v>0</v>
      </c>
      <c r="P231" s="1297">
        <f t="shared" si="155"/>
        <v>0</v>
      </c>
      <c r="Q231" s="1297">
        <f t="shared" si="155"/>
        <v>0</v>
      </c>
      <c r="R231" s="1297">
        <f t="shared" si="155"/>
        <v>0</v>
      </c>
      <c r="S231" s="1297">
        <f t="shared" si="155"/>
        <v>0</v>
      </c>
      <c r="T231" s="1297">
        <f t="shared" si="155"/>
        <v>0</v>
      </c>
      <c r="U231" s="1297">
        <f t="shared" si="155"/>
        <v>0</v>
      </c>
      <c r="V231" s="1297">
        <f t="shared" si="155"/>
        <v>0</v>
      </c>
      <c r="W231" s="1297">
        <f t="shared" si="155"/>
        <v>0</v>
      </c>
      <c r="X231" s="259"/>
    </row>
    <row r="232" spans="2:24" x14ac:dyDescent="0.35">
      <c r="B232" s="658"/>
      <c r="C232" s="658"/>
      <c r="D232" s="658"/>
      <c r="E232" s="658"/>
      <c r="F232" s="658"/>
      <c r="G232" s="658"/>
      <c r="H232" s="658"/>
      <c r="I232" s="658"/>
      <c r="J232" s="658"/>
      <c r="K232" s="658"/>
      <c r="L232" s="658"/>
      <c r="M232" s="658"/>
      <c r="N232" s="658"/>
      <c r="O232" s="658"/>
      <c r="P232" s="658"/>
      <c r="Q232" s="658"/>
      <c r="R232" s="658"/>
      <c r="S232" s="658"/>
      <c r="T232" s="658"/>
      <c r="U232" s="658"/>
      <c r="V232" s="658"/>
      <c r="W232" s="16"/>
      <c r="X232" s="16"/>
    </row>
    <row r="233" spans="2:24" x14ac:dyDescent="0.35">
      <c r="B233" s="1295" t="s">
        <v>1455</v>
      </c>
      <c r="C233" s="1296"/>
      <c r="D233" s="1296">
        <f>D18+D35+D52+D69+D86+D103+D120+D137+D154+D171+D188+D205+D222</f>
        <v>0</v>
      </c>
      <c r="E233" s="1296">
        <f t="shared" ref="E233:W236" si="156">E18+E35+E52+E69+E86+E103+E120+E137+E154+E171+E188+E205+E222</f>
        <v>0</v>
      </c>
      <c r="F233" s="1296">
        <f t="shared" si="156"/>
        <v>0</v>
      </c>
      <c r="G233" s="1296">
        <f t="shared" si="156"/>
        <v>0</v>
      </c>
      <c r="H233" s="1296">
        <f t="shared" si="156"/>
        <v>0</v>
      </c>
      <c r="I233" s="1296">
        <f t="shared" si="156"/>
        <v>0</v>
      </c>
      <c r="J233" s="1296">
        <f t="shared" si="156"/>
        <v>0</v>
      </c>
      <c r="K233" s="1296">
        <f t="shared" si="156"/>
        <v>0</v>
      </c>
      <c r="L233" s="1296">
        <f t="shared" si="156"/>
        <v>0</v>
      </c>
      <c r="M233" s="1296">
        <f t="shared" si="156"/>
        <v>0</v>
      </c>
      <c r="N233" s="1296">
        <f t="shared" si="156"/>
        <v>0</v>
      </c>
      <c r="O233" s="1296">
        <f t="shared" si="156"/>
        <v>0</v>
      </c>
      <c r="P233" s="1296">
        <f t="shared" si="156"/>
        <v>0</v>
      </c>
      <c r="Q233" s="1296">
        <f t="shared" si="156"/>
        <v>0</v>
      </c>
      <c r="R233" s="1296">
        <f t="shared" si="156"/>
        <v>0</v>
      </c>
      <c r="S233" s="1296">
        <f t="shared" si="156"/>
        <v>0</v>
      </c>
      <c r="T233" s="1296">
        <f t="shared" si="156"/>
        <v>0</v>
      </c>
      <c r="U233" s="1296">
        <f t="shared" si="156"/>
        <v>0</v>
      </c>
      <c r="V233" s="1301">
        <f t="shared" si="156"/>
        <v>0</v>
      </c>
      <c r="W233" s="1296">
        <f t="shared" si="156"/>
        <v>0</v>
      </c>
      <c r="X233" s="214"/>
    </row>
    <row r="234" spans="2:24" x14ac:dyDescent="0.35">
      <c r="B234" s="1295" t="s">
        <v>1456</v>
      </c>
      <c r="C234" s="1296"/>
      <c r="D234" s="1296">
        <f>D19+D36+D53+D70+D87+D104+D121+D138+D155+D172+D189+D206+D223</f>
        <v>0</v>
      </c>
      <c r="E234" s="1296">
        <f t="shared" ref="E234:S234" si="157">E19+E36+E53+E70+E87+E104+E121+E138+E155+E172+E189+E206+E223</f>
        <v>0</v>
      </c>
      <c r="F234" s="1296">
        <f t="shared" si="157"/>
        <v>0</v>
      </c>
      <c r="G234" s="1296">
        <f t="shared" si="157"/>
        <v>0</v>
      </c>
      <c r="H234" s="1296">
        <f t="shared" si="157"/>
        <v>0</v>
      </c>
      <c r="I234" s="1296">
        <f t="shared" si="157"/>
        <v>0</v>
      </c>
      <c r="J234" s="1296">
        <f t="shared" si="157"/>
        <v>0</v>
      </c>
      <c r="K234" s="1296">
        <f t="shared" si="157"/>
        <v>0</v>
      </c>
      <c r="L234" s="1296">
        <f t="shared" si="157"/>
        <v>0</v>
      </c>
      <c r="M234" s="1296">
        <f t="shared" si="157"/>
        <v>0</v>
      </c>
      <c r="N234" s="1296">
        <f t="shared" si="157"/>
        <v>0</v>
      </c>
      <c r="O234" s="1296">
        <f t="shared" si="157"/>
        <v>0</v>
      </c>
      <c r="P234" s="1296">
        <f t="shared" si="157"/>
        <v>0</v>
      </c>
      <c r="Q234" s="1296">
        <f t="shared" si="157"/>
        <v>0</v>
      </c>
      <c r="R234" s="1296">
        <f t="shared" si="157"/>
        <v>0</v>
      </c>
      <c r="S234" s="1296">
        <f t="shared" si="157"/>
        <v>0</v>
      </c>
      <c r="T234" s="1296">
        <f t="shared" si="156"/>
        <v>0</v>
      </c>
      <c r="U234" s="1296">
        <f t="shared" si="156"/>
        <v>0</v>
      </c>
      <c r="V234" s="1301">
        <f t="shared" si="156"/>
        <v>0</v>
      </c>
      <c r="W234" s="1296">
        <f t="shared" si="156"/>
        <v>0</v>
      </c>
      <c r="X234" s="214"/>
    </row>
    <row r="235" spans="2:24" x14ac:dyDescent="0.35">
      <c r="B235" s="1295" t="s">
        <v>1457</v>
      </c>
      <c r="C235" s="1296"/>
      <c r="D235" s="1296">
        <f>D20+D37+D54+D71+D88+D105+D122+D139+D156+D173+D190+D207+D224</f>
        <v>0</v>
      </c>
      <c r="E235" s="1296">
        <f t="shared" si="156"/>
        <v>0</v>
      </c>
      <c r="F235" s="1296">
        <f t="shared" si="156"/>
        <v>0</v>
      </c>
      <c r="G235" s="1296">
        <f t="shared" si="156"/>
        <v>0</v>
      </c>
      <c r="H235" s="1296">
        <f t="shared" si="156"/>
        <v>0</v>
      </c>
      <c r="I235" s="1296">
        <f t="shared" si="156"/>
        <v>0</v>
      </c>
      <c r="J235" s="1296">
        <f t="shared" si="156"/>
        <v>0</v>
      </c>
      <c r="K235" s="1296">
        <f t="shared" si="156"/>
        <v>0</v>
      </c>
      <c r="L235" s="1296">
        <f t="shared" si="156"/>
        <v>0</v>
      </c>
      <c r="M235" s="1296">
        <f t="shared" si="156"/>
        <v>0</v>
      </c>
      <c r="N235" s="1296">
        <f t="shared" si="156"/>
        <v>0</v>
      </c>
      <c r="O235" s="1296">
        <f t="shared" si="156"/>
        <v>0</v>
      </c>
      <c r="P235" s="1296">
        <f t="shared" si="156"/>
        <v>0</v>
      </c>
      <c r="Q235" s="1296">
        <f t="shared" si="156"/>
        <v>0</v>
      </c>
      <c r="R235" s="1296">
        <f t="shared" si="156"/>
        <v>0</v>
      </c>
      <c r="S235" s="1296">
        <f t="shared" si="156"/>
        <v>0</v>
      </c>
      <c r="T235" s="1296">
        <f t="shared" si="156"/>
        <v>0</v>
      </c>
      <c r="U235" s="1296">
        <f t="shared" si="156"/>
        <v>0</v>
      </c>
      <c r="V235" s="1301">
        <f t="shared" si="156"/>
        <v>0</v>
      </c>
      <c r="W235" s="1296">
        <f t="shared" si="156"/>
        <v>0</v>
      </c>
      <c r="X235" s="214"/>
    </row>
    <row r="236" spans="2:24" x14ac:dyDescent="0.35">
      <c r="B236" s="1295" t="s">
        <v>1458</v>
      </c>
      <c r="C236" s="1296"/>
      <c r="D236" s="1296">
        <f>D21+D38+D55+D72+D89+D106+D123+D140+D157+D174+D191+D208+D225</f>
        <v>0</v>
      </c>
      <c r="E236" s="1296">
        <f t="shared" si="156"/>
        <v>0</v>
      </c>
      <c r="F236" s="1296">
        <f t="shared" si="156"/>
        <v>0</v>
      </c>
      <c r="G236" s="1296">
        <f t="shared" si="156"/>
        <v>0</v>
      </c>
      <c r="H236" s="1296">
        <f t="shared" si="156"/>
        <v>0</v>
      </c>
      <c r="I236" s="1296">
        <f t="shared" si="156"/>
        <v>0</v>
      </c>
      <c r="J236" s="1296">
        <f t="shared" si="156"/>
        <v>0</v>
      </c>
      <c r="K236" s="1296">
        <f t="shared" si="156"/>
        <v>0</v>
      </c>
      <c r="L236" s="1296">
        <f t="shared" si="156"/>
        <v>0</v>
      </c>
      <c r="M236" s="1296">
        <f t="shared" si="156"/>
        <v>0</v>
      </c>
      <c r="N236" s="1296">
        <f t="shared" si="156"/>
        <v>0</v>
      </c>
      <c r="O236" s="1296">
        <f t="shared" si="156"/>
        <v>0</v>
      </c>
      <c r="P236" s="1296">
        <f t="shared" si="156"/>
        <v>0</v>
      </c>
      <c r="Q236" s="1296">
        <f t="shared" si="156"/>
        <v>0</v>
      </c>
      <c r="R236" s="1296">
        <f t="shared" si="156"/>
        <v>0</v>
      </c>
      <c r="S236" s="1296">
        <f t="shared" si="156"/>
        <v>0</v>
      </c>
      <c r="T236" s="1296">
        <f t="shared" si="156"/>
        <v>0</v>
      </c>
      <c r="U236" s="1296">
        <f t="shared" si="156"/>
        <v>0</v>
      </c>
      <c r="V236" s="1301">
        <f t="shared" si="156"/>
        <v>0</v>
      </c>
      <c r="W236" s="1296">
        <f t="shared" si="156"/>
        <v>0</v>
      </c>
      <c r="X236" s="214"/>
    </row>
    <row r="237" spans="2:24" x14ac:dyDescent="0.35">
      <c r="X237" s="16"/>
    </row>
  </sheetData>
  <pageMargins left="0.7" right="0.7" top="0.75" bottom="0.75" header="0.3" footer="0.3"/>
  <pageSetup paperSize="9" orientation="portrait" horizont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dimension ref="B1:R204"/>
  <sheetViews>
    <sheetView showGridLines="0" zoomScale="80" zoomScaleNormal="80" workbookViewId="0">
      <selection activeCell="H74" sqref="H74"/>
    </sheetView>
  </sheetViews>
  <sheetFormatPr defaultColWidth="8.7265625" defaultRowHeight="14" x14ac:dyDescent="0.35"/>
  <cols>
    <col min="1" max="1" width="8.7265625" style="1231"/>
    <col min="2" max="2" width="49.453125" style="1231" bestFit="1" customWidth="1"/>
    <col min="3" max="5" width="11.54296875" style="1231" customWidth="1"/>
    <col min="6" max="13" width="11.7265625" style="1231" customWidth="1"/>
    <col min="14" max="15" width="11.7265625" style="1231" bestFit="1" customWidth="1"/>
    <col min="16" max="16" width="10.26953125" style="1231" bestFit="1" customWidth="1"/>
    <col min="17" max="21" width="10.453125" style="1231" bestFit="1" customWidth="1"/>
    <col min="22" max="16384" width="8.7265625" style="1231"/>
  </cols>
  <sheetData>
    <row r="1" spans="2:17" x14ac:dyDescent="0.35">
      <c r="B1" s="1266" t="s">
        <v>1439</v>
      </c>
      <c r="C1" s="1266"/>
      <c r="D1" s="1266"/>
      <c r="E1" s="1266"/>
    </row>
    <row r="3" spans="2:17" x14ac:dyDescent="0.35">
      <c r="B3" s="1817" t="s">
        <v>1655</v>
      </c>
      <c r="C3" s="1817"/>
      <c r="D3" s="1817"/>
      <c r="E3" s="1817"/>
      <c r="F3" s="1817"/>
      <c r="G3" s="1817"/>
      <c r="H3" s="1817"/>
      <c r="I3" s="1817"/>
      <c r="J3" s="1817"/>
      <c r="K3" s="1817"/>
    </row>
    <row r="4" spans="2:17" x14ac:dyDescent="0.35">
      <c r="B4" s="1750" t="s">
        <v>251</v>
      </c>
      <c r="C4" s="1750" t="s">
        <v>687</v>
      </c>
      <c r="D4" s="1750" t="s">
        <v>1401</v>
      </c>
      <c r="E4" s="1750" t="s">
        <v>1402</v>
      </c>
      <c r="F4" s="1750" t="s">
        <v>1403</v>
      </c>
      <c r="G4" s="1750" t="s">
        <v>1404</v>
      </c>
      <c r="H4" s="1750" t="s">
        <v>1405</v>
      </c>
      <c r="I4" s="1750" t="s">
        <v>1406</v>
      </c>
      <c r="J4" s="1750" t="s">
        <v>1407</v>
      </c>
      <c r="K4" s="1750" t="s">
        <v>1408</v>
      </c>
    </row>
    <row r="5" spans="2:17" x14ac:dyDescent="0.35">
      <c r="B5" s="1751" t="s">
        <v>1648</v>
      </c>
      <c r="C5" s="1752" t="s">
        <v>1647</v>
      </c>
      <c r="D5" s="1753">
        <f>Assumptions!J17</f>
        <v>1450</v>
      </c>
      <c r="E5" s="1753">
        <f>Assumptions!K17</f>
        <v>1600</v>
      </c>
      <c r="F5" s="1753">
        <f>Assumptions!L17</f>
        <v>1650</v>
      </c>
      <c r="G5" s="1753">
        <f>Assumptions!M17</f>
        <v>1650</v>
      </c>
      <c r="H5" s="1753">
        <f>Assumptions!N17</f>
        <v>1650</v>
      </c>
      <c r="I5" s="1753">
        <f>Assumptions!O17</f>
        <v>1650</v>
      </c>
      <c r="J5" s="1753">
        <f>Assumptions!P17</f>
        <v>1650</v>
      </c>
      <c r="K5" s="1753">
        <f>Assumptions!Q17</f>
        <v>1650</v>
      </c>
    </row>
    <row r="6" spans="2:17" x14ac:dyDescent="0.35">
      <c r="B6" s="1751" t="s">
        <v>1649</v>
      </c>
      <c r="C6" s="1752" t="s">
        <v>30</v>
      </c>
      <c r="D6" s="1753">
        <f>Assumptions!J102</f>
        <v>124.89480010000014</v>
      </c>
      <c r="E6" s="1753">
        <f>Assumptions!K102</f>
        <v>4.0856207306205761E-14</v>
      </c>
      <c r="F6" s="1753">
        <f>Assumptions!L102</f>
        <v>0</v>
      </c>
      <c r="G6" s="1753">
        <f>Assumptions!M102</f>
        <v>0</v>
      </c>
      <c r="H6" s="1753">
        <f>Assumptions!N102</f>
        <v>0</v>
      </c>
      <c r="I6" s="1753">
        <f>Assumptions!O102</f>
        <v>0</v>
      </c>
      <c r="J6" s="1753">
        <f>Assumptions!P102</f>
        <v>0</v>
      </c>
      <c r="K6" s="1753">
        <f>Assumptions!Q102</f>
        <v>0</v>
      </c>
    </row>
    <row r="7" spans="2:17" x14ac:dyDescent="0.35">
      <c r="B7" s="1751" t="s">
        <v>1650</v>
      </c>
      <c r="C7" s="1752" t="s">
        <v>30</v>
      </c>
      <c r="D7" s="1753">
        <f>Assumptions!J103</f>
        <v>1875.7351038325942</v>
      </c>
      <c r="E7" s="1753">
        <f>Assumptions!K103</f>
        <v>2492.2618604534368</v>
      </c>
      <c r="F7" s="1753">
        <f>Assumptions!L103</f>
        <v>2557.537795177383</v>
      </c>
      <c r="G7" s="1753">
        <f>Assumptions!M103</f>
        <v>2592.9199182372504</v>
      </c>
      <c r="H7" s="1753">
        <f>Assumptions!N103</f>
        <v>2594.689024390244</v>
      </c>
      <c r="I7" s="1753">
        <f>Assumptions!O103</f>
        <v>2594.689024390244</v>
      </c>
      <c r="J7" s="1753">
        <f>Assumptions!P103</f>
        <v>2594.689024390244</v>
      </c>
      <c r="K7" s="1753">
        <f>Assumptions!Q103</f>
        <v>2594.689024390244</v>
      </c>
    </row>
    <row r="8" spans="2:17" x14ac:dyDescent="0.35">
      <c r="B8" s="1754" t="s">
        <v>1651</v>
      </c>
      <c r="C8" s="1750" t="s">
        <v>30</v>
      </c>
      <c r="D8" s="1755">
        <f t="shared" ref="D8:K8" si="0">SUM(D6:D7)</f>
        <v>2000.6299039325943</v>
      </c>
      <c r="E8" s="1755">
        <f t="shared" si="0"/>
        <v>2492.2618604534368</v>
      </c>
      <c r="F8" s="1755">
        <f t="shared" si="0"/>
        <v>2557.537795177383</v>
      </c>
      <c r="G8" s="1755">
        <f t="shared" si="0"/>
        <v>2592.9199182372504</v>
      </c>
      <c r="H8" s="1755">
        <f t="shared" si="0"/>
        <v>2594.689024390244</v>
      </c>
      <c r="I8" s="1755">
        <f t="shared" si="0"/>
        <v>2594.689024390244</v>
      </c>
      <c r="J8" s="1755">
        <f t="shared" si="0"/>
        <v>2594.689024390244</v>
      </c>
      <c r="K8" s="1755">
        <f t="shared" si="0"/>
        <v>2594.689024390244</v>
      </c>
    </row>
    <row r="9" spans="2:17" x14ac:dyDescent="0.35">
      <c r="B9" s="1751"/>
      <c r="C9" s="1752"/>
      <c r="D9" s="1753"/>
      <c r="E9" s="1753"/>
      <c r="F9" s="1753"/>
      <c r="G9" s="1753"/>
      <c r="H9" s="1753"/>
      <c r="I9" s="1753"/>
      <c r="J9" s="1753"/>
      <c r="K9" s="1753"/>
    </row>
    <row r="10" spans="2:17" x14ac:dyDescent="0.35">
      <c r="B10" s="1751" t="s">
        <v>1654</v>
      </c>
      <c r="C10" s="1752" t="s">
        <v>32</v>
      </c>
      <c r="D10" s="1753">
        <f>Assumptions!J43</f>
        <v>370.40389737784767</v>
      </c>
      <c r="E10" s="1753">
        <f>Assumptions!K43</f>
        <v>377.8119753254046</v>
      </c>
      <c r="F10" s="1753">
        <f>Assumptions!L43</f>
        <v>385.36821483191278</v>
      </c>
      <c r="G10" s="1753">
        <f>Assumptions!M43</f>
        <v>393.075579128551</v>
      </c>
      <c r="H10" s="1753">
        <f>Assumptions!N43</f>
        <v>400.93709071112204</v>
      </c>
      <c r="I10" s="1753">
        <f>Assumptions!O43</f>
        <v>408.95583252534448</v>
      </c>
      <c r="J10" s="1753">
        <f>Assumptions!P43</f>
        <v>417.13494917585143</v>
      </c>
      <c r="K10" s="1753">
        <f>Assumptions!Q43</f>
        <v>425.47764815936841</v>
      </c>
    </row>
    <row r="11" spans="2:17" x14ac:dyDescent="0.35">
      <c r="B11" s="1751" t="s">
        <v>1652</v>
      </c>
      <c r="C11" s="1752" t="s">
        <v>32</v>
      </c>
      <c r="D11" s="1753">
        <f>Assumptions!J46</f>
        <v>3500</v>
      </c>
      <c r="E11" s="1753">
        <f>Assumptions!K46</f>
        <v>3587.4999999999995</v>
      </c>
      <c r="F11" s="1753">
        <f>Assumptions!L46</f>
        <v>3677.1874999999991</v>
      </c>
      <c r="G11" s="1753">
        <f>Assumptions!M46</f>
        <v>3769.1171874999986</v>
      </c>
      <c r="H11" s="1753">
        <f>Assumptions!N46</f>
        <v>3863.3451171874981</v>
      </c>
      <c r="I11" s="1753">
        <f>Assumptions!O46</f>
        <v>3959.9287451171854</v>
      </c>
      <c r="J11" s="1753">
        <f>Assumptions!P46</f>
        <v>4058.9269637451148</v>
      </c>
      <c r="K11" s="1753">
        <f>Assumptions!Q46</f>
        <v>4160.400137838742</v>
      </c>
    </row>
    <row r="12" spans="2:17" x14ac:dyDescent="0.35">
      <c r="B12" s="1751" t="s">
        <v>1656</v>
      </c>
      <c r="C12" s="1752" t="s">
        <v>33</v>
      </c>
      <c r="D12" s="1756">
        <f>Assumptions!J120</f>
        <v>46.972621999999994</v>
      </c>
      <c r="E12" s="1756">
        <f>Assumptions!K120</f>
        <v>47.593199999999996</v>
      </c>
      <c r="F12" s="1756">
        <f>Assumptions!L120</f>
        <v>48.545063999999996</v>
      </c>
      <c r="G12" s="1756">
        <f>Assumptions!M120</f>
        <v>49.515965279999996</v>
      </c>
      <c r="H12" s="1756">
        <f>Assumptions!N120</f>
        <v>50.5062845856</v>
      </c>
      <c r="I12" s="1756">
        <f>Assumptions!O120</f>
        <v>51.516410277311998</v>
      </c>
      <c r="J12" s="1756">
        <f>Assumptions!P120</f>
        <v>52.546738482858238</v>
      </c>
      <c r="K12" s="1756">
        <f>Assumptions!Q120</f>
        <v>53.597673252515406</v>
      </c>
    </row>
    <row r="13" spans="2:17" x14ac:dyDescent="0.35">
      <c r="B13" s="1751" t="s">
        <v>1653</v>
      </c>
      <c r="C13" s="1752" t="s">
        <v>33</v>
      </c>
      <c r="D13" s="1756">
        <f>Assumptions!J121</f>
        <v>59.475835999999994</v>
      </c>
      <c r="E13" s="1756">
        <f>Assumptions!K121</f>
        <v>60.261600000000001</v>
      </c>
      <c r="F13" s="1756">
        <f>Assumptions!L121</f>
        <v>61.466832000000004</v>
      </c>
      <c r="G13" s="1756">
        <f>Assumptions!M121</f>
        <v>62.696168640000003</v>
      </c>
      <c r="H13" s="1756">
        <f>Assumptions!N121</f>
        <v>63.950092012800006</v>
      </c>
      <c r="I13" s="1756">
        <f>Assumptions!O121</f>
        <v>65.229093853056014</v>
      </c>
      <c r="J13" s="1756">
        <f>Assumptions!P121</f>
        <v>66.533675730117139</v>
      </c>
      <c r="K13" s="1756">
        <f>Assumptions!Q121</f>
        <v>67.864349244719477</v>
      </c>
    </row>
    <row r="16" spans="2:17" x14ac:dyDescent="0.35">
      <c r="B16" s="1243" t="s">
        <v>1400</v>
      </c>
      <c r="C16" s="1232" t="s">
        <v>1401</v>
      </c>
      <c r="D16" s="1232" t="s">
        <v>1402</v>
      </c>
      <c r="E16" s="1232" t="s">
        <v>1403</v>
      </c>
      <c r="F16" s="1232" t="s">
        <v>1404</v>
      </c>
      <c r="G16" s="1232" t="s">
        <v>1405</v>
      </c>
      <c r="H16" s="1232" t="s">
        <v>1406</v>
      </c>
      <c r="I16" s="1232" t="s">
        <v>1407</v>
      </c>
      <c r="J16" s="1232" t="s">
        <v>1408</v>
      </c>
      <c r="K16" s="1232" t="s">
        <v>1409</v>
      </c>
      <c r="P16" s="1233"/>
      <c r="Q16" s="1233"/>
    </row>
    <row r="17" spans="2:11" x14ac:dyDescent="0.35">
      <c r="B17" s="1234" t="s">
        <v>37</v>
      </c>
      <c r="C17" s="1573">
        <f>'P&amp;L'!J17</f>
        <v>6633.9478780913587</v>
      </c>
      <c r="D17" s="1573">
        <f>'P&amp;L'!K17</f>
        <v>7267.4294791370885</v>
      </c>
      <c r="E17" s="1573">
        <f>'P&amp;L'!L17</f>
        <v>7850.1739707979596</v>
      </c>
      <c r="F17" s="1573">
        <f>'P&amp;L'!M17</f>
        <v>8138.1301007556276</v>
      </c>
      <c r="G17" s="1573">
        <f>'P&amp;L'!N17</f>
        <v>8335.0247087800526</v>
      </c>
      <c r="H17" s="1573">
        <f>'P&amp;L'!O17</f>
        <v>8533.927142562985</v>
      </c>
      <c r="I17" s="1573">
        <f>'P&amp;L'!P17</f>
        <v>8737.529603541152</v>
      </c>
      <c r="J17" s="1573">
        <f>'P&amp;L'!Q17</f>
        <v>8946.038767418313</v>
      </c>
      <c r="K17" s="1326">
        <f>'P&amp;L'!R17</f>
        <v>9159.5736345944315</v>
      </c>
    </row>
    <row r="18" spans="2:11" x14ac:dyDescent="0.35">
      <c r="B18" s="1235" t="s">
        <v>72</v>
      </c>
      <c r="C18" s="1574">
        <f>'P&amp;L'!J36</f>
        <v>393.21076018756958</v>
      </c>
      <c r="D18" s="1574">
        <f>'P&amp;L'!K36</f>
        <v>465.29540558861845</v>
      </c>
      <c r="E18" s="1574">
        <f>'P&amp;L'!L36</f>
        <v>544.7902245309815</v>
      </c>
      <c r="F18" s="1574">
        <f>'P&amp;L'!M36</f>
        <v>565.71099102413427</v>
      </c>
      <c r="G18" s="1574">
        <f>'P&amp;L'!N36</f>
        <v>577.2414238969759</v>
      </c>
      <c r="H18" s="1574">
        <f>'P&amp;L'!O36</f>
        <v>589.97793642805391</v>
      </c>
      <c r="I18" s="1574">
        <f>'P&amp;L'!P36</f>
        <v>601.38803126051698</v>
      </c>
      <c r="J18" s="1574">
        <f>'P&amp;L'!Q36</f>
        <v>611.18410003354984</v>
      </c>
      <c r="K18" s="1327">
        <f>'P&amp;L'!R36</f>
        <v>683.67385951186952</v>
      </c>
    </row>
    <row r="19" spans="2:11" x14ac:dyDescent="0.35">
      <c r="B19" s="1236" t="s">
        <v>1397</v>
      </c>
      <c r="C19" s="1572">
        <f t="shared" ref="C19:K19" si="1">C18/C17</f>
        <v>5.9272512750085028E-2</v>
      </c>
      <c r="D19" s="1572">
        <f t="shared" si="1"/>
        <v>6.4024756886098627E-2</v>
      </c>
      <c r="E19" s="1572">
        <f t="shared" si="1"/>
        <v>6.9398490601298657E-2</v>
      </c>
      <c r="F19" s="1572">
        <f t="shared" si="1"/>
        <v>6.951363323272601E-2</v>
      </c>
      <c r="G19" s="1572">
        <f t="shared" si="1"/>
        <v>6.9254914540194959E-2</v>
      </c>
      <c r="H19" s="1572">
        <f t="shared" si="1"/>
        <v>6.9133228649860073E-2</v>
      </c>
      <c r="I19" s="1572">
        <f t="shared" si="1"/>
        <v>6.8828153785800747E-2</v>
      </c>
      <c r="J19" s="1572">
        <f t="shared" si="1"/>
        <v>6.8318963948546363E-2</v>
      </c>
      <c r="K19" s="1258">
        <f t="shared" si="1"/>
        <v>7.4640358469277301E-2</v>
      </c>
    </row>
    <row r="20" spans="2:11" x14ac:dyDescent="0.35">
      <c r="B20" s="1234" t="s">
        <v>1398</v>
      </c>
      <c r="C20" s="1573">
        <f>'Working - Corporate'!J32</f>
        <v>121.55663532003958</v>
      </c>
      <c r="D20" s="1573">
        <f>'Working - Corporate'!K32</f>
        <v>108.36891172302285</v>
      </c>
      <c r="E20" s="1573">
        <f>'Working - Corporate'!L32</f>
        <v>95.408682436146904</v>
      </c>
      <c r="F20" s="1573">
        <f>'Working - Corporate'!M32</f>
        <v>82.257427392664169</v>
      </c>
      <c r="G20" s="1573">
        <f>'Working - Corporate'!N32</f>
        <v>68.312547160369704</v>
      </c>
      <c r="H20" s="1573">
        <f>'Working - Corporate'!O32</f>
        <v>52.118772793477291</v>
      </c>
      <c r="I20" s="1573">
        <f>'Working - Corporate'!P32</f>
        <v>31.713748792299171</v>
      </c>
      <c r="J20" s="1573">
        <f>'Working - Corporate'!Q32</f>
        <v>11.904377832176719</v>
      </c>
      <c r="K20" s="1326">
        <f>'Working - Corporate'!R32</f>
        <v>4.4375392249662573E-14</v>
      </c>
    </row>
    <row r="21" spans="2:11" x14ac:dyDescent="0.35">
      <c r="B21" s="1234" t="s">
        <v>1399</v>
      </c>
      <c r="C21" s="1573">
        <f>SUM('Working - Corporate'!J33:J39)</f>
        <v>1806.2942975052122</v>
      </c>
      <c r="D21" s="1573">
        <f>SUM('Working - Corporate'!K33:K39)</f>
        <v>7.0076387267514146</v>
      </c>
      <c r="E21" s="1573">
        <f>SUM('Working - Corporate'!L33:L39)</f>
        <v>54.061782303741502</v>
      </c>
      <c r="F21" s="1573">
        <f>SUM('Working - Corporate'!M33:M39)</f>
        <v>61.442611006873769</v>
      </c>
      <c r="G21" s="1573">
        <f>SUM('Working - Corporate'!N33:N39)</f>
        <v>61.606446167338625</v>
      </c>
      <c r="H21" s="1573">
        <f>SUM('Working - Corporate'!O33:O39)</f>
        <v>61.789941547059257</v>
      </c>
      <c r="I21" s="1573">
        <f>SUM('Working - Corporate'!P33:P39)</f>
        <v>61.995456372346368</v>
      </c>
      <c r="J21" s="1573">
        <f>SUM('Working - Corporate'!Q33:Q39)</f>
        <v>62.225632976667939</v>
      </c>
      <c r="K21" s="1326">
        <f>SUM('Working - Corporate'!R33:R39)</f>
        <v>62.48343077350809</v>
      </c>
    </row>
    <row r="22" spans="2:11" x14ac:dyDescent="0.35">
      <c r="B22" s="1234" t="s">
        <v>54</v>
      </c>
      <c r="C22" s="1573">
        <f>'P&amp;L'!J39</f>
        <v>215.8294257165827</v>
      </c>
      <c r="D22" s="1573">
        <f>'P&amp;L'!K39</f>
        <v>215.20442435589436</v>
      </c>
      <c r="E22" s="1573">
        <f>'P&amp;L'!L39</f>
        <v>214.13942299520602</v>
      </c>
      <c r="F22" s="1573">
        <f>'P&amp;L'!M39</f>
        <v>214.62442163451766</v>
      </c>
      <c r="G22" s="1573">
        <f>'P&amp;L'!N39</f>
        <v>214.64630845948335</v>
      </c>
      <c r="H22" s="1573">
        <f>'P&amp;L'!O39</f>
        <v>214.72379655027177</v>
      </c>
      <c r="I22" s="1573">
        <f>'P&amp;L'!P39</f>
        <v>215.20879518958344</v>
      </c>
      <c r="J22" s="1573">
        <f>'P&amp;L'!Q39</f>
        <v>215.69379382889508</v>
      </c>
      <c r="K22" s="1326">
        <f>'P&amp;L'!R39</f>
        <v>216.12553979254363</v>
      </c>
    </row>
    <row r="23" spans="2:11" x14ac:dyDescent="0.35">
      <c r="B23" s="1235" t="s">
        <v>250</v>
      </c>
      <c r="C23" s="1574">
        <f>'P&amp;L'!J45</f>
        <v>-1750.4695983542647</v>
      </c>
      <c r="D23" s="1574">
        <f>'P&amp;L'!K45</f>
        <v>134.71443078294979</v>
      </c>
      <c r="E23" s="1574">
        <f>'P&amp;L'!L45</f>
        <v>181.18033679588706</v>
      </c>
      <c r="F23" s="1574">
        <f>'P&amp;L'!M45</f>
        <v>207.38653099007865</v>
      </c>
      <c r="G23" s="1574">
        <f>'P&amp;L'!N45</f>
        <v>232.67612210978422</v>
      </c>
      <c r="H23" s="1574">
        <f>'P&amp;L'!O45</f>
        <v>261.34542553724555</v>
      </c>
      <c r="I23" s="1574">
        <f>'P&amp;L'!P45</f>
        <v>292.470030906288</v>
      </c>
      <c r="J23" s="1574">
        <f>'P&amp;L'!Q45</f>
        <v>321.36029539581011</v>
      </c>
      <c r="K23" s="1327">
        <f>'P&amp;L'!R45</f>
        <v>405.0648889458177</v>
      </c>
    </row>
    <row r="24" spans="2:11" x14ac:dyDescent="0.35">
      <c r="B24" s="1237" t="s">
        <v>1426</v>
      </c>
      <c r="C24" s="1575"/>
      <c r="D24" s="1575"/>
      <c r="E24" s="1575"/>
      <c r="F24" s="1575"/>
      <c r="G24" s="1575"/>
      <c r="H24" s="1575"/>
      <c r="I24" s="1575"/>
      <c r="J24" s="1575"/>
      <c r="K24" s="1245"/>
    </row>
    <row r="25" spans="2:11" x14ac:dyDescent="0.35">
      <c r="B25" s="1235" t="s">
        <v>72</v>
      </c>
      <c r="C25" s="1573">
        <f>Cashflow!D49</f>
        <v>393.21076018756958</v>
      </c>
      <c r="D25" s="1573">
        <f>Cashflow!E49</f>
        <v>465.29540558861845</v>
      </c>
      <c r="E25" s="1573">
        <f>Cashflow!F49</f>
        <v>544.7902245309815</v>
      </c>
      <c r="F25" s="1573">
        <f>Cashflow!G49</f>
        <v>565.71099102413427</v>
      </c>
      <c r="G25" s="1573">
        <f>Cashflow!H49</f>
        <v>577.2414238969759</v>
      </c>
      <c r="H25" s="1573">
        <f>Cashflow!I49</f>
        <v>589.97793642805391</v>
      </c>
      <c r="I25" s="1573">
        <f>Cashflow!J49</f>
        <v>601.38803126051698</v>
      </c>
      <c r="J25" s="1573">
        <f>Cashflow!K49</f>
        <v>611.18410003354984</v>
      </c>
      <c r="K25" s="1326">
        <f>Cashflow!L49</f>
        <v>683.67385951186952</v>
      </c>
    </row>
    <row r="26" spans="2:11" hidden="1" x14ac:dyDescent="0.35">
      <c r="B26" s="1234" t="s">
        <v>543</v>
      </c>
      <c r="C26" s="1573">
        <f>Cashflow!D50</f>
        <v>0</v>
      </c>
      <c r="D26" s="1573">
        <f>Cashflow!E50</f>
        <v>0</v>
      </c>
      <c r="E26" s="1573">
        <f>Cashflow!F50</f>
        <v>0</v>
      </c>
      <c r="F26" s="1573">
        <f>Cashflow!G50</f>
        <v>0</v>
      </c>
      <c r="G26" s="1573">
        <f>Cashflow!H50</f>
        <v>0</v>
      </c>
      <c r="H26" s="1573">
        <f>Cashflow!I50</f>
        <v>0</v>
      </c>
      <c r="I26" s="1573">
        <f>Cashflow!J50</f>
        <v>0</v>
      </c>
      <c r="J26" s="1573">
        <f>Cashflow!K50</f>
        <v>-8.7890706411512625</v>
      </c>
      <c r="K26" s="1326">
        <f>Cashflow!L50</f>
        <v>-70.772937396613258</v>
      </c>
    </row>
    <row r="27" spans="2:11" x14ac:dyDescent="0.35">
      <c r="B27" s="1234" t="s">
        <v>589</v>
      </c>
      <c r="C27" s="1573">
        <f>Cashflow!D51</f>
        <v>0</v>
      </c>
      <c r="D27" s="1573">
        <f>Cashflow!E51</f>
        <v>-15</v>
      </c>
      <c r="E27" s="1573">
        <f>Cashflow!F51</f>
        <v>-15</v>
      </c>
      <c r="F27" s="1573">
        <f>Cashflow!G51</f>
        <v>-15</v>
      </c>
      <c r="G27" s="1573">
        <f>Cashflow!H51</f>
        <v>-15</v>
      </c>
      <c r="H27" s="1573">
        <f>Cashflow!I51</f>
        <v>-15</v>
      </c>
      <c r="I27" s="1573">
        <f>Cashflow!J51</f>
        <v>-15</v>
      </c>
      <c r="J27" s="1573">
        <f>Cashflow!K51</f>
        <v>-15</v>
      </c>
      <c r="K27" s="1326">
        <f>Cashflow!L51</f>
        <v>-15</v>
      </c>
    </row>
    <row r="28" spans="2:11" x14ac:dyDescent="0.35">
      <c r="B28" s="1234" t="s">
        <v>590</v>
      </c>
      <c r="C28" s="1573">
        <f>Cashflow!D52</f>
        <v>-2242.6805346419105</v>
      </c>
      <c r="D28" s="1573">
        <f>Cashflow!E52</f>
        <v>-132.11628146701321</v>
      </c>
      <c r="E28" s="1573">
        <f>Cashflow!F52</f>
        <v>-1104.436593066436</v>
      </c>
      <c r="F28" s="1573">
        <f>Cashflow!G52</f>
        <v>-332.81325469579576</v>
      </c>
      <c r="G28" s="1573">
        <f>Cashflow!H52</f>
        <v>-221.91277362214433</v>
      </c>
      <c r="H28" s="1573">
        <f>Cashflow!I52</f>
        <v>-170.85064239418625</v>
      </c>
      <c r="I28" s="1573">
        <f>Cashflow!J52</f>
        <v>-214.34440526125789</v>
      </c>
      <c r="J28" s="1573">
        <f>Cashflow!K52</f>
        <v>-260.11035767638566</v>
      </c>
      <c r="K28" s="1326">
        <f>Cashflow!L52</f>
        <v>-409.39181075308022</v>
      </c>
    </row>
    <row r="29" spans="2:11" x14ac:dyDescent="0.35">
      <c r="B29" s="1234" t="s">
        <v>1583</v>
      </c>
      <c r="C29" s="1573">
        <f>-'Working - Corporate'!J33</f>
        <v>0</v>
      </c>
      <c r="D29" s="1573">
        <f>-'Working - Corporate'!K33</f>
        <v>0</v>
      </c>
      <c r="E29" s="1573">
        <f>-'Working - Corporate'!L33</f>
        <v>-46.923535190139923</v>
      </c>
      <c r="F29" s="1573">
        <f>-'Working - Corporate'!M33</f>
        <v>-54.308082499999998</v>
      </c>
      <c r="G29" s="1573">
        <f>-'Working - Corporate'!N33</f>
        <v>-54.308082499999998</v>
      </c>
      <c r="H29" s="1573">
        <f>-'Working - Corporate'!O33</f>
        <v>-54.308082499999998</v>
      </c>
      <c r="I29" s="1573">
        <f>-'Working - Corporate'!P33</f>
        <v>-54.308082499999998</v>
      </c>
      <c r="J29" s="1573">
        <f>-'Working - Corporate'!Q33</f>
        <v>-54.308082499999998</v>
      </c>
      <c r="K29" s="1573">
        <f>-'Working - Corporate'!R33</f>
        <v>-54.308082499999998</v>
      </c>
    </row>
    <row r="30" spans="2:11" x14ac:dyDescent="0.35">
      <c r="B30" s="1234" t="s">
        <v>592</v>
      </c>
      <c r="C30" s="1573">
        <f>Cashflow!D55</f>
        <v>2361</v>
      </c>
      <c r="D30" s="1573">
        <f>Cashflow!E55</f>
        <v>0</v>
      </c>
      <c r="E30" s="1573">
        <f>Cashflow!F55</f>
        <v>0</v>
      </c>
      <c r="F30" s="1573">
        <f>Cashflow!G55</f>
        <v>0</v>
      </c>
      <c r="G30" s="1573">
        <f>Cashflow!H55</f>
        <v>0</v>
      </c>
      <c r="H30" s="1573">
        <f>Cashflow!I55</f>
        <v>0</v>
      </c>
      <c r="I30" s="1573">
        <f>Cashflow!J55</f>
        <v>0</v>
      </c>
      <c r="J30" s="1573">
        <f>Cashflow!K55</f>
        <v>0</v>
      </c>
      <c r="K30" s="1326">
        <f>Cashflow!L55</f>
        <v>0</v>
      </c>
    </row>
    <row r="31" spans="2:11" x14ac:dyDescent="0.35">
      <c r="B31" s="1234" t="s">
        <v>597</v>
      </c>
      <c r="C31" s="1573">
        <f>Cashflow!D56</f>
        <v>-178.41232734095769</v>
      </c>
      <c r="D31" s="1573">
        <f>Cashflow!E56</f>
        <v>0</v>
      </c>
      <c r="E31" s="1573">
        <f>Cashflow!F56</f>
        <v>0</v>
      </c>
      <c r="F31" s="1573">
        <f>Cashflow!G56</f>
        <v>0</v>
      </c>
      <c r="G31" s="1573">
        <f>Cashflow!H56</f>
        <v>0</v>
      </c>
      <c r="H31" s="1573">
        <f>Cashflow!I56</f>
        <v>0</v>
      </c>
      <c r="I31" s="1573">
        <f>Cashflow!J56</f>
        <v>0</v>
      </c>
      <c r="J31" s="1573">
        <f>Cashflow!K56</f>
        <v>0</v>
      </c>
      <c r="K31" s="1326">
        <f>Cashflow!L56</f>
        <v>0</v>
      </c>
    </row>
    <row r="32" spans="2:11" x14ac:dyDescent="0.35">
      <c r="B32" s="1234" t="s">
        <v>599</v>
      </c>
      <c r="C32" s="1573">
        <f>Cashflow!D57</f>
        <v>0</v>
      </c>
      <c r="D32" s="1573">
        <f>Cashflow!E57</f>
        <v>0</v>
      </c>
      <c r="E32" s="1573">
        <f>Cashflow!F57</f>
        <v>0</v>
      </c>
      <c r="F32" s="1573">
        <f>Cashflow!G57</f>
        <v>0</v>
      </c>
      <c r="G32" s="1573">
        <f>Cashflow!H57</f>
        <v>0</v>
      </c>
      <c r="H32" s="1573">
        <f>Cashflow!I57</f>
        <v>0</v>
      </c>
      <c r="I32" s="1573">
        <f>Cashflow!J57</f>
        <v>0</v>
      </c>
      <c r="J32" s="1573">
        <f>Cashflow!K57</f>
        <v>0</v>
      </c>
      <c r="K32" s="1326">
        <f>Cashflow!L57</f>
        <v>0</v>
      </c>
    </row>
    <row r="33" spans="2:13" x14ac:dyDescent="0.35">
      <c r="B33" s="1234" t="s">
        <v>598</v>
      </c>
      <c r="C33" s="1573">
        <f>Cashflow!D58</f>
        <v>-21.199235502999997</v>
      </c>
      <c r="D33" s="1573">
        <f>Cashflow!E58</f>
        <v>-5.9192355029999995</v>
      </c>
      <c r="E33" s="1573">
        <f>Cashflow!F58</f>
        <v>-5.9192355029999995</v>
      </c>
      <c r="F33" s="1573">
        <f>Cashflow!G58</f>
        <v>-5.7692355029999991</v>
      </c>
      <c r="G33" s="1573">
        <f>Cashflow!H58</f>
        <v>-5.7692355029999991</v>
      </c>
      <c r="H33" s="1573">
        <f>Cashflow!I58</f>
        <v>-5.7692355029999991</v>
      </c>
      <c r="I33" s="1573">
        <f>Cashflow!J58</f>
        <v>-5.7692355029999991</v>
      </c>
      <c r="J33" s="1573">
        <f>Cashflow!K58</f>
        <v>-5.7692355029999991</v>
      </c>
      <c r="K33" s="1326">
        <f>Cashflow!L58</f>
        <v>-5.7692355029999991</v>
      </c>
    </row>
    <row r="34" spans="2:13" x14ac:dyDescent="0.35">
      <c r="B34" s="1234" t="s">
        <v>623</v>
      </c>
      <c r="C34" s="1573">
        <f>Cashflow!D59</f>
        <v>0</v>
      </c>
      <c r="D34" s="1573">
        <f>Cashflow!E59</f>
        <v>0</v>
      </c>
      <c r="E34" s="1573">
        <f>Cashflow!F59</f>
        <v>924.60167862344667</v>
      </c>
      <c r="F34" s="1573">
        <f>Cashflow!G59</f>
        <v>145.50832137655323</v>
      </c>
      <c r="G34" s="1573">
        <f>Cashflow!H59</f>
        <v>0</v>
      </c>
      <c r="H34" s="1573">
        <f>Cashflow!I59</f>
        <v>0</v>
      </c>
      <c r="I34" s="1573">
        <f>Cashflow!J59</f>
        <v>0</v>
      </c>
      <c r="J34" s="1573">
        <f>Cashflow!K59</f>
        <v>0</v>
      </c>
      <c r="K34" s="1326">
        <f>Cashflow!L59</f>
        <v>0</v>
      </c>
    </row>
    <row r="35" spans="2:13" x14ac:dyDescent="0.35">
      <c r="B35" s="1234" t="s">
        <v>1476</v>
      </c>
      <c r="C35" s="1573"/>
      <c r="D35" s="1573"/>
      <c r="E35" s="1573"/>
      <c r="F35" s="1573"/>
      <c r="G35" s="1573"/>
      <c r="H35" s="1573"/>
      <c r="I35" s="1573"/>
      <c r="J35" s="1573"/>
      <c r="K35" s="1326"/>
    </row>
    <row r="36" spans="2:13" x14ac:dyDescent="0.35">
      <c r="B36" s="1235" t="s">
        <v>1410</v>
      </c>
      <c r="C36" s="1574">
        <f t="shared" ref="C36:K36" si="2">SUM(C25:C35)</f>
        <v>311.91866270170135</v>
      </c>
      <c r="D36" s="1574">
        <f t="shared" si="2"/>
        <v>312.25988861860526</v>
      </c>
      <c r="E36" s="1574">
        <f t="shared" si="2"/>
        <v>297.11253939485232</v>
      </c>
      <c r="F36" s="1574">
        <f t="shared" si="2"/>
        <v>303.32873970189172</v>
      </c>
      <c r="G36" s="1574">
        <f t="shared" si="2"/>
        <v>280.25133227183159</v>
      </c>
      <c r="H36" s="1574">
        <f t="shared" si="2"/>
        <v>344.04997603086764</v>
      </c>
      <c r="I36" s="1574">
        <f t="shared" si="2"/>
        <v>311.9663079962591</v>
      </c>
      <c r="J36" s="1574">
        <f t="shared" si="2"/>
        <v>267.20735371301288</v>
      </c>
      <c r="K36" s="1327">
        <f t="shared" si="2"/>
        <v>128.43179335917597</v>
      </c>
    </row>
    <row r="37" spans="2:13" x14ac:dyDescent="0.35">
      <c r="B37" s="1234" t="s">
        <v>1411</v>
      </c>
      <c r="C37" s="1573">
        <f>Cashflow!D63+Cashflow!D67</f>
        <v>122.47673532003958</v>
      </c>
      <c r="D37" s="1573">
        <f>Cashflow!E63+Cashflow!E67</f>
        <v>108.36891172302285</v>
      </c>
      <c r="E37" s="1573">
        <f>Cashflow!F63+Cashflow!F67</f>
        <v>95.408682436146904</v>
      </c>
      <c r="F37" s="1573">
        <f>Cashflow!G63+Cashflow!G67</f>
        <v>82.257427392664169</v>
      </c>
      <c r="G37" s="1573">
        <f>Cashflow!H63+Cashflow!H67</f>
        <v>68.312547160369704</v>
      </c>
      <c r="H37" s="1573">
        <f>Cashflow!I63+Cashflow!I67</f>
        <v>52.118772793477291</v>
      </c>
      <c r="I37" s="1573">
        <f>Cashflow!J63+Cashflow!J67</f>
        <v>31.713748792299171</v>
      </c>
      <c r="J37" s="1573">
        <f>Cashflow!K63+Cashflow!K67</f>
        <v>11.904377832176719</v>
      </c>
      <c r="K37" s="1326">
        <f>Cashflow!L63+Cashflow!L67</f>
        <v>4.4375392249662573E-14</v>
      </c>
    </row>
    <row r="38" spans="2:13" x14ac:dyDescent="0.35">
      <c r="B38" s="1234" t="s">
        <v>349</v>
      </c>
      <c r="C38" s="1573">
        <f>Cashflow!D65</f>
        <v>142.50265155554999</v>
      </c>
      <c r="D38" s="1573">
        <f>Cashflow!E65</f>
        <v>129.54786505050001</v>
      </c>
      <c r="E38" s="1573">
        <f>Cashflow!F65</f>
        <v>129.54786505050001</v>
      </c>
      <c r="F38" s="1573">
        <f>Cashflow!G65</f>
        <v>142.50265155554999</v>
      </c>
      <c r="G38" s="1573">
        <f>Cashflow!H65</f>
        <v>142.50265155554999</v>
      </c>
      <c r="H38" s="1573">
        <f>Cashflow!I65</f>
        <v>207.27658408080001</v>
      </c>
      <c r="I38" s="1573">
        <f>Cashflow!J65</f>
        <v>207.27658408080001</v>
      </c>
      <c r="J38" s="1573">
        <f>Cashflow!K65</f>
        <v>194.32179757574988</v>
      </c>
      <c r="K38" s="1326">
        <f>Cashflow!L65</f>
        <v>0</v>
      </c>
    </row>
    <row r="39" spans="2:13" x14ac:dyDescent="0.35">
      <c r="B39" s="1237" t="s">
        <v>1412</v>
      </c>
      <c r="C39" s="1576">
        <f t="shared" ref="C39:K39" si="3">SUM(C37:C38)</f>
        <v>264.97938687558957</v>
      </c>
      <c r="D39" s="1576">
        <f t="shared" si="3"/>
        <v>237.91677677352286</v>
      </c>
      <c r="E39" s="1576">
        <f t="shared" si="3"/>
        <v>224.95654748664691</v>
      </c>
      <c r="F39" s="1576">
        <f t="shared" si="3"/>
        <v>224.76007894821416</v>
      </c>
      <c r="G39" s="1576">
        <f t="shared" si="3"/>
        <v>210.81519871591968</v>
      </c>
      <c r="H39" s="1576">
        <f t="shared" si="3"/>
        <v>259.3953568742773</v>
      </c>
      <c r="I39" s="1576">
        <f t="shared" si="3"/>
        <v>238.99033287309919</v>
      </c>
      <c r="J39" s="1576">
        <f t="shared" si="3"/>
        <v>206.2261754079266</v>
      </c>
      <c r="K39" s="1328">
        <f t="shared" si="3"/>
        <v>4.4375392249662573E-14</v>
      </c>
    </row>
    <row r="40" spans="2:13" x14ac:dyDescent="0.35">
      <c r="B40" s="1237" t="s">
        <v>1063</v>
      </c>
      <c r="C40" s="1577">
        <f>Cashflow!D71</f>
        <v>1.3557607893114045</v>
      </c>
      <c r="D40" s="1577">
        <f>Cashflow!E71</f>
        <v>1.3124752817068084</v>
      </c>
      <c r="E40" s="1577">
        <f>Cashflow!F71</f>
        <v>1.3207552423540305</v>
      </c>
      <c r="F40" s="1577">
        <f>Cashflow!G71</f>
        <v>1.3495667963872719</v>
      </c>
      <c r="G40" s="1577">
        <f>Cashflow!H71</f>
        <v>1.3293696753310436</v>
      </c>
      <c r="H40" s="1577">
        <f>Cashflow!I71</f>
        <v>1.3263536409312846</v>
      </c>
      <c r="I40" s="1577">
        <f>Cashflow!J71</f>
        <v>1.3053511589605142</v>
      </c>
      <c r="J40" s="1577">
        <f>Cashflow!K71</f>
        <v>1.2957004763554489</v>
      </c>
      <c r="K40" s="1346" t="str">
        <f>Cashflow!L71</f>
        <v>n/a</v>
      </c>
    </row>
    <row r="41" spans="2:13" x14ac:dyDescent="0.35">
      <c r="B41" s="1237" t="s">
        <v>1413</v>
      </c>
      <c r="C41" s="1347">
        <f>Cashflow!C72</f>
        <v>1.325145603926924</v>
      </c>
      <c r="D41" s="1348"/>
      <c r="E41" s="1348"/>
      <c r="F41" s="1348"/>
      <c r="G41" s="1348"/>
      <c r="H41" s="1348"/>
      <c r="I41" s="1348"/>
      <c r="J41" s="1348"/>
      <c r="K41" s="1349"/>
    </row>
    <row r="43" spans="2:13" x14ac:dyDescent="0.35">
      <c r="B43" s="1244" t="s">
        <v>251</v>
      </c>
      <c r="C43" s="1238" t="s">
        <v>974</v>
      </c>
      <c r="D43" s="1238" t="s">
        <v>350</v>
      </c>
      <c r="E43" s="1238" t="s">
        <v>1401</v>
      </c>
      <c r="F43" s="1238" t="s">
        <v>1402</v>
      </c>
      <c r="G43" s="1238" t="s">
        <v>1403</v>
      </c>
      <c r="H43" s="1238" t="s">
        <v>1404</v>
      </c>
      <c r="I43" s="1238" t="s">
        <v>1405</v>
      </c>
      <c r="J43" s="1238" t="s">
        <v>1406</v>
      </c>
      <c r="K43" s="1238" t="s">
        <v>1407</v>
      </c>
      <c r="L43" s="1238" t="s">
        <v>1408</v>
      </c>
      <c r="M43" s="1238" t="s">
        <v>1409</v>
      </c>
    </row>
    <row r="44" spans="2:13" x14ac:dyDescent="0.35">
      <c r="B44" s="1239" t="s">
        <v>1414</v>
      </c>
      <c r="C44" s="1579">
        <f>'Balance Sheet'!F8+'Balance Sheet'!F9+'Balance Sheet'!F10+'Balance Sheet'!F11</f>
        <v>7017.2101000000002</v>
      </c>
      <c r="D44" s="1579">
        <f>'Balance Sheet'!G8+'Balance Sheet'!G9+'Balance Sheet'!G10+'Balance Sheet'!G11</f>
        <v>6807.7800004000019</v>
      </c>
      <c r="E44" s="1579">
        <f>'Balance Sheet'!H8+'Balance Sheet'!H9+'Balance Sheet'!H10+'Balance Sheet'!H11</f>
        <v>6591.9505746834184</v>
      </c>
      <c r="F44" s="1579">
        <f>'Balance Sheet'!I8+'Balance Sheet'!I9+'Balance Sheet'!I10+'Balance Sheet'!I11</f>
        <v>6391.7461503275235</v>
      </c>
      <c r="G44" s="1579">
        <f>'Balance Sheet'!J8+'Balance Sheet'!J9+'Balance Sheet'!J10+'Balance Sheet'!J11</f>
        <v>6192.606727332317</v>
      </c>
      <c r="H44" s="1579">
        <f>'Balance Sheet'!K8+'Balance Sheet'!K9+'Balance Sheet'!K10+'Balance Sheet'!K11</f>
        <v>5992.9823056978003</v>
      </c>
      <c r="I44" s="1579">
        <f>'Balance Sheet'!L8+'Balance Sheet'!L9+'Balance Sheet'!L10+'Balance Sheet'!L11</f>
        <v>5793.3359972383168</v>
      </c>
      <c r="J44" s="1579">
        <f>'Balance Sheet'!M8+'Balance Sheet'!M9+'Balance Sheet'!M10+'Balance Sheet'!M11</f>
        <v>5593.612200688045</v>
      </c>
      <c r="K44" s="1579">
        <f>'Balance Sheet'!N8+'Balance Sheet'!N9+'Balance Sheet'!N10+'Balance Sheet'!N11</f>
        <v>5393.4034054984622</v>
      </c>
      <c r="L44" s="1579">
        <f>'Balance Sheet'!O8+'Balance Sheet'!O9+'Balance Sheet'!O10+'Balance Sheet'!O11</f>
        <v>5192.7096116695666</v>
      </c>
      <c r="M44" s="1353">
        <f>'Balance Sheet'!P8+'Balance Sheet'!P9+'Balance Sheet'!P10+'Balance Sheet'!P11</f>
        <v>4991.5840718770232</v>
      </c>
    </row>
    <row r="45" spans="2:13" x14ac:dyDescent="0.35">
      <c r="B45" s="1239" t="s">
        <v>1415</v>
      </c>
      <c r="C45" s="1579">
        <f>'Balance Sheet'!F13</f>
        <v>140.24</v>
      </c>
      <c r="D45" s="1579">
        <f>'Balance Sheet'!G13</f>
        <v>92.339999999999918</v>
      </c>
      <c r="E45" s="1579">
        <f>'Balance Sheet'!H13</f>
        <v>92.339999999999918</v>
      </c>
      <c r="F45" s="1579">
        <f>'Balance Sheet'!I13</f>
        <v>92.339999999999918</v>
      </c>
      <c r="G45" s="1579">
        <f>'Balance Sheet'!J13</f>
        <v>92.339999999999918</v>
      </c>
      <c r="H45" s="1579">
        <f>'Balance Sheet'!K13</f>
        <v>92.339999999999918</v>
      </c>
      <c r="I45" s="1579">
        <f>'Balance Sheet'!L13</f>
        <v>92.339999999999918</v>
      </c>
      <c r="J45" s="1579">
        <f>'Balance Sheet'!M13</f>
        <v>92.339999999999918</v>
      </c>
      <c r="K45" s="1579">
        <f>'Balance Sheet'!N13</f>
        <v>92.339999999999918</v>
      </c>
      <c r="L45" s="1579">
        <f>'Balance Sheet'!O13</f>
        <v>92.339999999999918</v>
      </c>
      <c r="M45" s="1353">
        <f>'Balance Sheet'!P13</f>
        <v>92.339999999999918</v>
      </c>
    </row>
    <row r="46" spans="2:13" x14ac:dyDescent="0.35">
      <c r="B46" s="1239" t="s">
        <v>1416</v>
      </c>
      <c r="C46" s="1579">
        <f>'Balance Sheet'!F14+'Balance Sheet'!F15</f>
        <v>146.42000000000002</v>
      </c>
      <c r="D46" s="1579">
        <f>'Balance Sheet'!G14+'Balance Sheet'!G15</f>
        <v>151.37</v>
      </c>
      <c r="E46" s="1579">
        <f>'Balance Sheet'!H14+'Balance Sheet'!H15</f>
        <v>151.37</v>
      </c>
      <c r="F46" s="1579">
        <f>'Balance Sheet'!I14+'Balance Sheet'!I15</f>
        <v>151.37</v>
      </c>
      <c r="G46" s="1579">
        <f>'Balance Sheet'!J14+'Balance Sheet'!J15</f>
        <v>151.37</v>
      </c>
      <c r="H46" s="1579">
        <f>'Balance Sheet'!K14+'Balance Sheet'!K15</f>
        <v>151.37</v>
      </c>
      <c r="I46" s="1579">
        <f>'Balance Sheet'!L14+'Balance Sheet'!L15</f>
        <v>151.37</v>
      </c>
      <c r="J46" s="1579">
        <f>'Balance Sheet'!M14+'Balance Sheet'!M15</f>
        <v>151.37</v>
      </c>
      <c r="K46" s="1579">
        <f>'Balance Sheet'!N14+'Balance Sheet'!N15</f>
        <v>151.37</v>
      </c>
      <c r="L46" s="1579">
        <f>'Balance Sheet'!O14+'Balance Sheet'!O15</f>
        <v>160.15907064115123</v>
      </c>
      <c r="M46" s="1353">
        <f>'Balance Sheet'!P14+'Balance Sheet'!P15</f>
        <v>230.93200803776449</v>
      </c>
    </row>
    <row r="47" spans="2:13" x14ac:dyDescent="0.35">
      <c r="B47" s="1240" t="s">
        <v>409</v>
      </c>
      <c r="C47" s="1580">
        <f>SUM(C44:C46)</f>
        <v>7303.8701000000001</v>
      </c>
      <c r="D47" s="1580">
        <f>SUM(D44:D46)</f>
        <v>7051.4900004000019</v>
      </c>
      <c r="E47" s="1580">
        <f t="shared" ref="E47:M47" si="4">SUM(E44:E46)</f>
        <v>6835.6605746834184</v>
      </c>
      <c r="F47" s="1580">
        <f t="shared" si="4"/>
        <v>6635.4561503275236</v>
      </c>
      <c r="G47" s="1580">
        <f t="shared" si="4"/>
        <v>6436.316727332317</v>
      </c>
      <c r="H47" s="1580">
        <f t="shared" si="4"/>
        <v>6236.6923056978003</v>
      </c>
      <c r="I47" s="1580">
        <f t="shared" si="4"/>
        <v>6037.0459972383169</v>
      </c>
      <c r="J47" s="1580">
        <f t="shared" si="4"/>
        <v>5837.3222006880451</v>
      </c>
      <c r="K47" s="1580">
        <f t="shared" si="4"/>
        <v>5637.1134054984623</v>
      </c>
      <c r="L47" s="1580">
        <f t="shared" si="4"/>
        <v>5445.2086823107184</v>
      </c>
      <c r="M47" s="1354">
        <f t="shared" si="4"/>
        <v>5314.8560799147881</v>
      </c>
    </row>
    <row r="48" spans="2:13" x14ac:dyDescent="0.35">
      <c r="B48" s="1239" t="s">
        <v>152</v>
      </c>
      <c r="C48" s="1579">
        <f>'Balance Sheet'!F20</f>
        <v>2541.3423543232998</v>
      </c>
      <c r="D48" s="1579">
        <f>'Balance Sheet'!G20</f>
        <v>2745.5590438654717</v>
      </c>
      <c r="E48" s="1579">
        <f>'Balance Sheet'!H20</f>
        <v>2824.3231018543015</v>
      </c>
      <c r="F48" s="1579">
        <f>'Balance Sheet'!I20</f>
        <v>3101.7233190208435</v>
      </c>
      <c r="G48" s="1579">
        <f>'Balance Sheet'!J20</f>
        <v>3257.3345510905697</v>
      </c>
      <c r="H48" s="1579">
        <f>'Balance Sheet'!K20</f>
        <v>3332.7959833703671</v>
      </c>
      <c r="I48" s="1579">
        <f>'Balance Sheet'!L20</f>
        <v>3405.476827321063</v>
      </c>
      <c r="J48" s="1579">
        <f>'Balance Sheet'!M20</f>
        <v>3480.4364206510777</v>
      </c>
      <c r="K48" s="1579">
        <f>'Balance Sheet'!N20</f>
        <v>3557.9425975902141</v>
      </c>
      <c r="L48" s="1579">
        <f>'Balance Sheet'!O20</f>
        <v>3637.8827328340431</v>
      </c>
      <c r="M48" s="1353">
        <f>'Balance Sheet'!P20</f>
        <v>3676.612286164584</v>
      </c>
    </row>
    <row r="49" spans="2:13" x14ac:dyDescent="0.35">
      <c r="B49" s="1239" t="s">
        <v>1417</v>
      </c>
      <c r="C49" s="1579">
        <f>'Balance Sheet'!F22</f>
        <v>770.13</v>
      </c>
      <c r="D49" s="1579">
        <f>'Balance Sheet'!G22</f>
        <v>770.13</v>
      </c>
      <c r="E49" s="1579">
        <f>'Balance Sheet'!H22</f>
        <v>770.13</v>
      </c>
      <c r="F49" s="1579">
        <f>'Balance Sheet'!I22</f>
        <v>770.13</v>
      </c>
      <c r="G49" s="1579">
        <f>'Balance Sheet'!J22</f>
        <v>770.13</v>
      </c>
      <c r="H49" s="1579">
        <f>'Balance Sheet'!K22</f>
        <v>770.13</v>
      </c>
      <c r="I49" s="1579">
        <f>'Balance Sheet'!L22</f>
        <v>770.13</v>
      </c>
      <c r="J49" s="1579">
        <f>'Balance Sheet'!M22</f>
        <v>770.13</v>
      </c>
      <c r="K49" s="1579">
        <f>'Balance Sheet'!N22</f>
        <v>770.13</v>
      </c>
      <c r="L49" s="1579">
        <f>'Balance Sheet'!O22</f>
        <v>770.13</v>
      </c>
      <c r="M49" s="1353">
        <f>'Balance Sheet'!P22</f>
        <v>770.13</v>
      </c>
    </row>
    <row r="50" spans="2:13" x14ac:dyDescent="0.35">
      <c r="B50" s="1239" t="s">
        <v>182</v>
      </c>
      <c r="C50" s="1579">
        <f>'Balance Sheet'!F23</f>
        <v>218.73</v>
      </c>
      <c r="D50" s="1579">
        <f>'Balance Sheet'!G23</f>
        <v>213.86999999999998</v>
      </c>
      <c r="E50" s="1579">
        <f>'Balance Sheet'!H23</f>
        <v>179.81821058331286</v>
      </c>
      <c r="F50" s="1579">
        <f>'Balance Sheet'!I23</f>
        <v>197.14785897399614</v>
      </c>
      <c r="G50" s="1579">
        <f>'Balance Sheet'!J23</f>
        <v>213.08692933507467</v>
      </c>
      <c r="H50" s="1579">
        <f>'Balance Sheet'!K23</f>
        <v>220.94907558182902</v>
      </c>
      <c r="I50" s="1579">
        <f>'Balance Sheet'!L23</f>
        <v>226.31584435537064</v>
      </c>
      <c r="J50" s="1579">
        <f>'Balance Sheet'!M23</f>
        <v>231.73706997282187</v>
      </c>
      <c r="K50" s="1579">
        <f>'Balance Sheet'!N23</f>
        <v>237.28650033603523</v>
      </c>
      <c r="L50" s="1579">
        <f>'Balance Sheet'!O23</f>
        <v>242.96978653060688</v>
      </c>
      <c r="M50" s="1353">
        <f>'Balance Sheet'!P23</f>
        <v>248.79017735376618</v>
      </c>
    </row>
    <row r="51" spans="2:13" x14ac:dyDescent="0.35">
      <c r="B51" s="1239" t="s">
        <v>1418</v>
      </c>
      <c r="C51" s="1579">
        <f>'Balance Sheet'!F24</f>
        <v>63.01</v>
      </c>
      <c r="D51" s="1579">
        <f>'Balance Sheet'!G24</f>
        <v>47.33</v>
      </c>
      <c r="E51" s="1579">
        <f>'Balance Sheet'!H24</f>
        <v>27.593922838053928</v>
      </c>
      <c r="F51" s="1579">
        <f>'Balance Sheet'!I24</f>
        <v>101.93703468313653</v>
      </c>
      <c r="G51" s="1579">
        <f>'Balance Sheet'!J24</f>
        <v>174.09302659134187</v>
      </c>
      <c r="H51" s="1579">
        <f>'Balance Sheet'!K24</f>
        <v>252.66168734501946</v>
      </c>
      <c r="I51" s="1579">
        <f>'Balance Sheet'!L24</f>
        <v>322.09782090093131</v>
      </c>
      <c r="J51" s="1579">
        <f>'Balance Sheet'!M24</f>
        <v>406.75244005752171</v>
      </c>
      <c r="K51" s="1579">
        <f>'Balance Sheet'!N24</f>
        <v>479.72841518068168</v>
      </c>
      <c r="L51" s="1579">
        <f>'Balance Sheet'!O24</f>
        <v>607.38359697882561</v>
      </c>
      <c r="M51" s="1353">
        <f>'Balance Sheet'!P24</f>
        <v>735.81539033800163</v>
      </c>
    </row>
    <row r="52" spans="2:13" x14ac:dyDescent="0.35">
      <c r="B52" s="1239" t="s">
        <v>1569</v>
      </c>
      <c r="C52" s="1579"/>
      <c r="D52" s="1579"/>
      <c r="E52" s="1579">
        <f>'Balance Sheet'!H25</f>
        <v>66.674003493057683</v>
      </c>
      <c r="F52" s="1579">
        <f>'Balance Sheet'!I25</f>
        <v>66.674003493057683</v>
      </c>
      <c r="G52" s="1579">
        <f>'Balance Sheet'!J25</f>
        <v>66.674003493057683</v>
      </c>
      <c r="H52" s="1579">
        <f>'Balance Sheet'!K25</f>
        <v>66.674003493057683</v>
      </c>
      <c r="I52" s="1579">
        <f>'Balance Sheet'!L25</f>
        <v>66.674003493057683</v>
      </c>
      <c r="J52" s="1579">
        <f>'Balance Sheet'!M25</f>
        <v>66.674003493057683</v>
      </c>
      <c r="K52" s="1579">
        <f>'Balance Sheet'!N25</f>
        <v>66.674003493057683</v>
      </c>
      <c r="L52" s="1579">
        <f>'Balance Sheet'!O25</f>
        <v>0</v>
      </c>
      <c r="M52" s="1579">
        <f>'Balance Sheet'!P25</f>
        <v>0</v>
      </c>
    </row>
    <row r="53" spans="2:13" x14ac:dyDescent="0.35">
      <c r="B53" s="1239" t="s">
        <v>1419</v>
      </c>
      <c r="C53" s="1579">
        <f>'Balance Sheet'!F26</f>
        <v>0</v>
      </c>
      <c r="D53" s="1579">
        <f>'Balance Sheet'!G26</f>
        <v>0</v>
      </c>
      <c r="E53" s="1579">
        <f>'Balance Sheet'!H26</f>
        <v>0</v>
      </c>
      <c r="F53" s="1579">
        <f>'Balance Sheet'!I26</f>
        <v>0</v>
      </c>
      <c r="G53" s="1579">
        <f>'Balance Sheet'!J26</f>
        <v>0</v>
      </c>
      <c r="H53" s="1579">
        <f>'Balance Sheet'!K26</f>
        <v>0</v>
      </c>
      <c r="I53" s="1579">
        <f>'Balance Sheet'!L26</f>
        <v>0</v>
      </c>
      <c r="J53" s="1579">
        <f>'Balance Sheet'!M26</f>
        <v>0</v>
      </c>
      <c r="K53" s="1579">
        <f>'Balance Sheet'!N26</f>
        <v>0</v>
      </c>
      <c r="L53" s="1579">
        <f>'Balance Sheet'!O26</f>
        <v>0</v>
      </c>
      <c r="M53" s="1353">
        <f>'Balance Sheet'!P26</f>
        <v>0</v>
      </c>
    </row>
    <row r="54" spans="2:13" x14ac:dyDescent="0.35">
      <c r="B54" s="1239" t="s">
        <v>1420</v>
      </c>
      <c r="C54" s="1579">
        <f>'Balance Sheet'!F27</f>
        <v>2091.2900000000004</v>
      </c>
      <c r="D54" s="1579">
        <f>'Balance Sheet'!G27</f>
        <v>2088.7900000000004</v>
      </c>
      <c r="E54" s="1579">
        <f>'Balance Sheet'!H27</f>
        <v>2088.7900000000004</v>
      </c>
      <c r="F54" s="1579">
        <f>'Balance Sheet'!I27</f>
        <v>2088.7900000000004</v>
      </c>
      <c r="G54" s="1579">
        <f>'Balance Sheet'!J27</f>
        <v>2088.7900000000004</v>
      </c>
      <c r="H54" s="1579">
        <f>'Balance Sheet'!K27</f>
        <v>2088.7900000000004</v>
      </c>
      <c r="I54" s="1579">
        <f>'Balance Sheet'!L27</f>
        <v>2088.7900000000004</v>
      </c>
      <c r="J54" s="1579">
        <f>'Balance Sheet'!M27</f>
        <v>2088.7900000000004</v>
      </c>
      <c r="K54" s="1579">
        <f>'Balance Sheet'!N27</f>
        <v>2088.7900000000004</v>
      </c>
      <c r="L54" s="1579">
        <f>'Balance Sheet'!O27</f>
        <v>2088.7900000000004</v>
      </c>
      <c r="M54" s="1353">
        <f>'Balance Sheet'!P27</f>
        <v>2088.7900000000004</v>
      </c>
    </row>
    <row r="55" spans="2:13" x14ac:dyDescent="0.35">
      <c r="B55" s="1239" t="s">
        <v>159</v>
      </c>
      <c r="C55" s="1579">
        <f>'Balance Sheet'!F28+'Balance Sheet'!F30+'Balance Sheet'!F31+'Balance Sheet'!F29</f>
        <v>690.70500000000004</v>
      </c>
      <c r="D55" s="1579">
        <f>'Balance Sheet'!G28+'Balance Sheet'!G30+'Balance Sheet'!G31+'Balance Sheet'!G29</f>
        <v>693.07655155399993</v>
      </c>
      <c r="E55" s="1579">
        <f>'Balance Sheet'!H28+'Balance Sheet'!H30+'Balance Sheet'!H31+'Balance Sheet'!H29</f>
        <v>693.07655155399993</v>
      </c>
      <c r="F55" s="1579">
        <f>'Balance Sheet'!I28+'Balance Sheet'!I30+'Balance Sheet'!I31+'Balance Sheet'!I29</f>
        <v>693.07655155399993</v>
      </c>
      <c r="G55" s="1579">
        <f>'Balance Sheet'!J28+'Balance Sheet'!J30+'Balance Sheet'!J31+'Balance Sheet'!J29</f>
        <v>693.07655155399993</v>
      </c>
      <c r="H55" s="1579">
        <f>'Balance Sheet'!K28+'Balance Sheet'!K30+'Balance Sheet'!K31+'Balance Sheet'!K29</f>
        <v>693.07655155399993</v>
      </c>
      <c r="I55" s="1579">
        <f>'Balance Sheet'!L28+'Balance Sheet'!L30+'Balance Sheet'!L31+'Balance Sheet'!L29</f>
        <v>693.07655155399993</v>
      </c>
      <c r="J55" s="1579">
        <f>'Balance Sheet'!M28+'Balance Sheet'!M30+'Balance Sheet'!M31+'Balance Sheet'!M29</f>
        <v>693.07655155399993</v>
      </c>
      <c r="K55" s="1579">
        <f>'Balance Sheet'!N28+'Balance Sheet'!N30+'Balance Sheet'!N31+'Balance Sheet'!N29</f>
        <v>693.07655155399993</v>
      </c>
      <c r="L55" s="1579">
        <f>'Balance Sheet'!O28+'Balance Sheet'!O30+'Balance Sheet'!O31+'Balance Sheet'!O29</f>
        <v>693.07655155399993</v>
      </c>
      <c r="M55" s="1353">
        <f>'Balance Sheet'!P28+'Balance Sheet'!P30+'Balance Sheet'!P31+'Balance Sheet'!P29</f>
        <v>693.07655155399993</v>
      </c>
    </row>
    <row r="56" spans="2:13" x14ac:dyDescent="0.35">
      <c r="B56" s="1240" t="s">
        <v>410</v>
      </c>
      <c r="C56" s="1580">
        <f>SUM(C48:C55)</f>
        <v>6375.2073543233</v>
      </c>
      <c r="D56" s="1580">
        <f>SUM(D48:D55)</f>
        <v>6558.7555954194713</v>
      </c>
      <c r="E56" s="1580">
        <f t="shared" ref="E56:M56" si="5">SUM(E48:E55)</f>
        <v>6650.4057903227267</v>
      </c>
      <c r="F56" s="1580">
        <f t="shared" si="5"/>
        <v>7019.4787677250342</v>
      </c>
      <c r="G56" s="1580">
        <f t="shared" si="5"/>
        <v>7263.1850620640444</v>
      </c>
      <c r="H56" s="1580">
        <f t="shared" si="5"/>
        <v>7425.0773013442731</v>
      </c>
      <c r="I56" s="1580">
        <f t="shared" si="5"/>
        <v>7572.5610476244228</v>
      </c>
      <c r="J56" s="1580">
        <f t="shared" si="5"/>
        <v>7737.5964857284789</v>
      </c>
      <c r="K56" s="1580">
        <f t="shared" si="5"/>
        <v>7893.6280681539893</v>
      </c>
      <c r="L56" s="1580">
        <f t="shared" si="5"/>
        <v>8040.2326678974759</v>
      </c>
      <c r="M56" s="1354">
        <f t="shared" si="5"/>
        <v>8213.2144054103519</v>
      </c>
    </row>
    <row r="57" spans="2:13" x14ac:dyDescent="0.35">
      <c r="B57" s="1240" t="s">
        <v>411</v>
      </c>
      <c r="C57" s="1580">
        <f>C56+C47</f>
        <v>13679.0774543233</v>
      </c>
      <c r="D57" s="1580">
        <f>D56+D47</f>
        <v>13610.245595819473</v>
      </c>
      <c r="E57" s="1580">
        <f t="shared" ref="E57:M57" si="6">E56+E47</f>
        <v>13486.066365006145</v>
      </c>
      <c r="F57" s="1580">
        <f t="shared" si="6"/>
        <v>13654.934918052557</v>
      </c>
      <c r="G57" s="1580">
        <f t="shared" si="6"/>
        <v>13699.501789396361</v>
      </c>
      <c r="H57" s="1580">
        <f t="shared" si="6"/>
        <v>13661.769607042073</v>
      </c>
      <c r="I57" s="1580">
        <f t="shared" si="6"/>
        <v>13609.60704486274</v>
      </c>
      <c r="J57" s="1580">
        <f t="shared" si="6"/>
        <v>13574.918686416524</v>
      </c>
      <c r="K57" s="1580">
        <f t="shared" si="6"/>
        <v>13530.741473652452</v>
      </c>
      <c r="L57" s="1580">
        <f t="shared" si="6"/>
        <v>13485.441350208195</v>
      </c>
      <c r="M57" s="1354">
        <f t="shared" si="6"/>
        <v>13528.070485325141</v>
      </c>
    </row>
    <row r="58" spans="2:13" x14ac:dyDescent="0.35">
      <c r="B58" s="1239"/>
      <c r="C58" s="1581"/>
      <c r="D58" s="1581"/>
      <c r="E58" s="1581"/>
      <c r="F58" s="1581"/>
      <c r="G58" s="1581"/>
      <c r="H58" s="1581"/>
      <c r="I58" s="1581"/>
      <c r="J58" s="1581"/>
      <c r="K58" s="1581"/>
      <c r="L58" s="1581"/>
      <c r="M58" s="1355"/>
    </row>
    <row r="59" spans="2:13" x14ac:dyDescent="0.35">
      <c r="B59" s="1239" t="s">
        <v>1421</v>
      </c>
      <c r="C59" s="1579">
        <f>'Balance Sheet'!F40</f>
        <v>2940.9178617818256</v>
      </c>
      <c r="D59" s="1579">
        <f>'Balance Sheet'!G40</f>
        <v>2877.3886921502658</v>
      </c>
      <c r="E59" s="1579">
        <f>'Balance Sheet'!H40</f>
        <v>8655.2530824121659</v>
      </c>
      <c r="F59" s="1579">
        <f>'Balance Sheet'!I40</f>
        <v>8789.9675131951153</v>
      </c>
      <c r="G59" s="1579">
        <f>'Balance Sheet'!J40</f>
        <v>8971.1478499910027</v>
      </c>
      <c r="H59" s="1579">
        <f>'Balance Sheet'!K40</f>
        <v>9178.5343809810802</v>
      </c>
      <c r="I59" s="1579">
        <f>'Balance Sheet'!L40</f>
        <v>9411.2105030908642</v>
      </c>
      <c r="J59" s="1579">
        <f>'Balance Sheet'!M40</f>
        <v>9672.5559286281095</v>
      </c>
      <c r="K59" s="1579">
        <f>'Balance Sheet'!N40</f>
        <v>9965.0259595343978</v>
      </c>
      <c r="L59" s="1579">
        <f>'Balance Sheet'!O40</f>
        <v>10286.386254930208</v>
      </c>
      <c r="M59" s="1353">
        <f>'Balance Sheet'!P40</f>
        <v>10691.451143876026</v>
      </c>
    </row>
    <row r="60" spans="2:13" x14ac:dyDescent="0.35">
      <c r="B60" s="1239" t="s">
        <v>1422</v>
      </c>
      <c r="C60" s="1579">
        <f>'Balance Sheet'!F43</f>
        <v>5381.4130000000005</v>
      </c>
      <c r="D60" s="1579">
        <f>'Balance Sheet'!G43</f>
        <v>4786.83</v>
      </c>
      <c r="E60" s="1579">
        <f>'Balance Sheet'!H43</f>
        <v>1162.0460258140449</v>
      </c>
      <c r="F60" s="1579">
        <f>'Balance Sheet'!I43</f>
        <v>1033.5865639872966</v>
      </c>
      <c r="G60" s="1579">
        <f>'Balance Sheet'!J43</f>
        <v>905.25771054739812</v>
      </c>
      <c r="H60" s="1579">
        <f>'Balance Sheet'!K43</f>
        <v>764.12035199572188</v>
      </c>
      <c r="I60" s="1579">
        <f>'Balance Sheet'!L43</f>
        <v>623.14682860451046</v>
      </c>
      <c r="J60" s="1579">
        <f>'Balance Sheet'!M43</f>
        <v>417.58286806776977</v>
      </c>
      <c r="K60" s="1579">
        <f>'Balance Sheet'!N43</f>
        <v>212.22442235631615</v>
      </c>
      <c r="L60" s="1579">
        <f>'Balance Sheet'!O43</f>
        <v>20.050939754234111</v>
      </c>
      <c r="M60" s="1353">
        <f>'Balance Sheet'!P43</f>
        <v>22.457052524742203</v>
      </c>
    </row>
    <row r="61" spans="2:13" x14ac:dyDescent="0.35">
      <c r="B61" s="1239" t="s">
        <v>168</v>
      </c>
      <c r="C61" s="1579">
        <f>'Balance Sheet'!F49+'Balance Sheet'!F50+'Balance Sheet'!F51+'Balance Sheet'!F52</f>
        <v>708.19999999999993</v>
      </c>
      <c r="D61" s="1579">
        <f>'Balance Sheet'!G49+'Balance Sheet'!G50+'Balance Sheet'!G51+'Balance Sheet'!G52</f>
        <v>619.59</v>
      </c>
      <c r="E61" s="1579">
        <f>'Balance Sheet'!H49+'Balance Sheet'!H50+'Balance Sheet'!H51+'Balance Sheet'!H52</f>
        <v>619.59</v>
      </c>
      <c r="F61" s="1579">
        <f>'Balance Sheet'!I49+'Balance Sheet'!I50+'Balance Sheet'!I51+'Balance Sheet'!I52</f>
        <v>619.59</v>
      </c>
      <c r="G61" s="1579">
        <f>'Balance Sheet'!J49+'Balance Sheet'!J50+'Balance Sheet'!J51+'Balance Sheet'!J52</f>
        <v>619.59</v>
      </c>
      <c r="H61" s="1579">
        <f>'Balance Sheet'!K49+'Balance Sheet'!K50+'Balance Sheet'!K51+'Balance Sheet'!K52</f>
        <v>619.59</v>
      </c>
      <c r="I61" s="1579">
        <f>'Balance Sheet'!L49+'Balance Sheet'!L50+'Balance Sheet'!L51+'Balance Sheet'!L52</f>
        <v>619.59</v>
      </c>
      <c r="J61" s="1579">
        <f>'Balance Sheet'!M49+'Balance Sheet'!M50+'Balance Sheet'!M51+'Balance Sheet'!M52</f>
        <v>619.59</v>
      </c>
      <c r="K61" s="1579">
        <f>'Balance Sheet'!N49+'Balance Sheet'!N50+'Balance Sheet'!N51+'Balance Sheet'!N52</f>
        <v>619.59</v>
      </c>
      <c r="L61" s="1579">
        <f>'Balance Sheet'!O49+'Balance Sheet'!O50+'Balance Sheet'!O51+'Balance Sheet'!O52</f>
        <v>619.59</v>
      </c>
      <c r="M61" s="1353">
        <f>'Balance Sheet'!P49+'Balance Sheet'!P50+'Balance Sheet'!P51+'Balance Sheet'!P52</f>
        <v>619.59</v>
      </c>
    </row>
    <row r="62" spans="2:13" x14ac:dyDescent="0.35">
      <c r="B62" s="1240" t="s">
        <v>413</v>
      </c>
      <c r="C62" s="1580">
        <f>SUM(C59:C61)</f>
        <v>9030.5308617818264</v>
      </c>
      <c r="D62" s="1580">
        <f>SUM(D59:D61)</f>
        <v>8283.8086921502654</v>
      </c>
      <c r="E62" s="1580">
        <f t="shared" ref="E62:M62" si="7">SUM(E59:E61)</f>
        <v>10436.889108226211</v>
      </c>
      <c r="F62" s="1580">
        <f t="shared" si="7"/>
        <v>10443.144077182413</v>
      </c>
      <c r="G62" s="1580">
        <f t="shared" si="7"/>
        <v>10495.9955605384</v>
      </c>
      <c r="H62" s="1580">
        <f t="shared" si="7"/>
        <v>10562.244732976802</v>
      </c>
      <c r="I62" s="1580">
        <f t="shared" si="7"/>
        <v>10653.947331695375</v>
      </c>
      <c r="J62" s="1580">
        <f t="shared" si="7"/>
        <v>10709.728796695879</v>
      </c>
      <c r="K62" s="1580">
        <f t="shared" si="7"/>
        <v>10796.840381890714</v>
      </c>
      <c r="L62" s="1580">
        <f t="shared" si="7"/>
        <v>10926.027194684442</v>
      </c>
      <c r="M62" s="1354">
        <f t="shared" si="7"/>
        <v>11333.498196400767</v>
      </c>
    </row>
    <row r="63" spans="2:13" x14ac:dyDescent="0.35">
      <c r="B63" s="1239" t="s">
        <v>571</v>
      </c>
      <c r="C63" s="1579">
        <f>'Balance Sheet'!F57</f>
        <v>0</v>
      </c>
      <c r="D63" s="1579">
        <f>'Balance Sheet'!G57</f>
        <v>0</v>
      </c>
      <c r="E63" s="1579">
        <f>'Balance Sheet'!H57</f>
        <v>0</v>
      </c>
      <c r="F63" s="1579">
        <f>'Balance Sheet'!I57</f>
        <v>0</v>
      </c>
      <c r="G63" s="1579">
        <f>'Balance Sheet'!J57</f>
        <v>924.60167862344667</v>
      </c>
      <c r="H63" s="1579">
        <f>'Balance Sheet'!K57</f>
        <v>1070.1099999999999</v>
      </c>
      <c r="I63" s="1579">
        <f>'Balance Sheet'!L57</f>
        <v>1070.1099999999999</v>
      </c>
      <c r="J63" s="1579">
        <f>'Balance Sheet'!M57</f>
        <v>1070.1099999999999</v>
      </c>
      <c r="K63" s="1579">
        <f>'Balance Sheet'!N57</f>
        <v>1070.1099999999999</v>
      </c>
      <c r="L63" s="1579">
        <f>'Balance Sheet'!O57</f>
        <v>1070.1099999999999</v>
      </c>
      <c r="M63" s="1353">
        <f>'Balance Sheet'!P57</f>
        <v>1070.1099999999999</v>
      </c>
    </row>
    <row r="64" spans="2:13" x14ac:dyDescent="0.35">
      <c r="B64" s="1241" t="s">
        <v>528</v>
      </c>
      <c r="C64" s="1582">
        <f>'Balance Sheet'!F58</f>
        <v>4083.722286661</v>
      </c>
      <c r="D64" s="1582">
        <f>'Balance Sheet'!G58</f>
        <v>3740.9217800050001</v>
      </c>
      <c r="E64" s="1582">
        <f>'Balance Sheet'!H58</f>
        <v>2663.369454869488</v>
      </c>
      <c r="F64" s="1582">
        <f>'Balance Sheet'!I58</f>
        <v>2805.3045041885516</v>
      </c>
      <c r="G64" s="1582">
        <f>'Balance Sheet'!J58</f>
        <v>1871.6691083606281</v>
      </c>
      <c r="H64" s="1582">
        <f>'Balance Sheet'!K58</f>
        <v>1651.1156674835381</v>
      </c>
      <c r="I64" s="1582">
        <f>'Balance Sheet'!L58</f>
        <v>1526.2500451300953</v>
      </c>
      <c r="J64" s="1582">
        <f>'Balance Sheet'!M58</f>
        <v>1431.5172837082278</v>
      </c>
      <c r="K64" s="1582">
        <f>'Balance Sheet'!N58</f>
        <v>1295.8810210768729</v>
      </c>
      <c r="L64" s="1582">
        <f>'Balance Sheet'!O58</f>
        <v>1117.0129364775298</v>
      </c>
      <c r="M64" s="1356">
        <f>'Balance Sheet'!P58</f>
        <v>747.70229854956426</v>
      </c>
    </row>
    <row r="65" spans="2:18" x14ac:dyDescent="0.35">
      <c r="B65" s="1241" t="s">
        <v>529</v>
      </c>
      <c r="C65" s="1582">
        <f>'Balance Sheet'!F59</f>
        <v>376.19771333900007</v>
      </c>
      <c r="D65" s="1582">
        <f>'Balance Sheet'!G59</f>
        <v>351.32625461599991</v>
      </c>
      <c r="E65" s="1582">
        <f>'Balance Sheet'!H59</f>
        <v>239.61842952036065</v>
      </c>
      <c r="F65" s="1582">
        <f>'Balance Sheet'!I59</f>
        <v>260.29696429150925</v>
      </c>
      <c r="G65" s="1582">
        <f>'Balance Sheet'!J59</f>
        <v>261.04606948380149</v>
      </c>
      <c r="H65" s="1582">
        <f>'Balance Sheet'!K59</f>
        <v>232.10983419164734</v>
      </c>
      <c r="I65" s="1582">
        <f>'Balance Sheet'!L59</f>
        <v>213.11029564718348</v>
      </c>
      <c r="J65" s="1582">
        <f>'Balance Sheet'!M59</f>
        <v>217.37323362233064</v>
      </c>
      <c r="K65" s="1582">
        <f>'Balance Sheet'!N59</f>
        <v>221.72069829477726</v>
      </c>
      <c r="L65" s="1582">
        <f>'Balance Sheet'!O59</f>
        <v>226.10184665613554</v>
      </c>
      <c r="M65" s="1356">
        <f>'Balance Sheet'!P59</f>
        <v>230.57061798472088</v>
      </c>
    </row>
    <row r="66" spans="2:18" x14ac:dyDescent="0.35">
      <c r="B66" s="1239" t="s">
        <v>1423</v>
      </c>
      <c r="C66" s="1579">
        <f>SUM(C64:C65)</f>
        <v>4459.92</v>
      </c>
      <c r="D66" s="1579">
        <f>SUM(D64:D65)</f>
        <v>4092.248034621</v>
      </c>
      <c r="E66" s="1579">
        <f t="shared" ref="E66:M66" si="8">SUM(E64:E65)</f>
        <v>2902.9878843898487</v>
      </c>
      <c r="F66" s="1579">
        <f t="shared" si="8"/>
        <v>3065.6014684800607</v>
      </c>
      <c r="G66" s="1579">
        <f t="shared" si="8"/>
        <v>2132.7151778444295</v>
      </c>
      <c r="H66" s="1579">
        <f t="shared" si="8"/>
        <v>1883.2255016751856</v>
      </c>
      <c r="I66" s="1579">
        <f t="shared" si="8"/>
        <v>1739.3603407772787</v>
      </c>
      <c r="J66" s="1579">
        <f t="shared" si="8"/>
        <v>1648.8905173305584</v>
      </c>
      <c r="K66" s="1579">
        <f t="shared" si="8"/>
        <v>1517.6017193716502</v>
      </c>
      <c r="L66" s="1579">
        <f t="shared" si="8"/>
        <v>1343.1147831336652</v>
      </c>
      <c r="M66" s="1353">
        <f t="shared" si="8"/>
        <v>978.27291653428517</v>
      </c>
    </row>
    <row r="67" spans="2:18" x14ac:dyDescent="0.35">
      <c r="B67" s="1239" t="s">
        <v>170</v>
      </c>
      <c r="C67" s="1579">
        <f>'Balance Sheet'!F61+'Balance Sheet'!F62+'Balance Sheet'!F63+'Balance Sheet'!F48</f>
        <v>188.62959254147185</v>
      </c>
      <c r="D67" s="1579">
        <f>'Balance Sheet'!G61+'Balance Sheet'!G62+'Balance Sheet'!G63+'Balance Sheet'!G48</f>
        <v>1234.1901</v>
      </c>
      <c r="E67" s="1579">
        <f>'Balance Sheet'!H61+'Balance Sheet'!H62+'Balance Sheet'!H63</f>
        <v>146.191884161384</v>
      </c>
      <c r="F67" s="1579">
        <f>'Balance Sheet'!I61+'Balance Sheet'!I62+'Balance Sheet'!I63</f>
        <v>146.191884161384</v>
      </c>
      <c r="G67" s="1579">
        <f>'Balance Sheet'!J61+'Balance Sheet'!J62+'Balance Sheet'!J63</f>
        <v>146.191884161384</v>
      </c>
      <c r="H67" s="1579">
        <f>'Balance Sheet'!K61+'Balance Sheet'!K62+'Balance Sheet'!K63</f>
        <v>146.191884161384</v>
      </c>
      <c r="I67" s="1579">
        <f>'Balance Sheet'!L61+'Balance Sheet'!L62+'Balance Sheet'!L63</f>
        <v>146.191884161384</v>
      </c>
      <c r="J67" s="1579">
        <f>'Balance Sheet'!M61+'Balance Sheet'!M62+'Balance Sheet'!M63</f>
        <v>146.191884161384</v>
      </c>
      <c r="K67" s="1579">
        <f>'Balance Sheet'!N61+'Balance Sheet'!N62+'Balance Sheet'!N63</f>
        <v>146.191884161384</v>
      </c>
      <c r="L67" s="1579">
        <f>'Balance Sheet'!O61+'Balance Sheet'!O62+'Balance Sheet'!O63</f>
        <v>146.191884161384</v>
      </c>
      <c r="M67" s="1353">
        <f>'Balance Sheet'!P61+'Balance Sheet'!P62+'Balance Sheet'!P63</f>
        <v>146.191884161384</v>
      </c>
    </row>
    <row r="68" spans="2:18" x14ac:dyDescent="0.35">
      <c r="B68" s="1240" t="s">
        <v>1424</v>
      </c>
      <c r="C68" s="1580">
        <f>C67+C66+C63</f>
        <v>4648.5495925414716</v>
      </c>
      <c r="D68" s="1580">
        <f>D67+D66+D63</f>
        <v>5326.4381346210002</v>
      </c>
      <c r="E68" s="1580">
        <f t="shared" ref="E68:M68" si="9">E67+E66+E63</f>
        <v>3049.1797685512329</v>
      </c>
      <c r="F68" s="1580">
        <f t="shared" si="9"/>
        <v>3211.7933526414445</v>
      </c>
      <c r="G68" s="1580">
        <f t="shared" si="9"/>
        <v>3203.5087406292605</v>
      </c>
      <c r="H68" s="1580">
        <f t="shared" si="9"/>
        <v>3099.5273858365695</v>
      </c>
      <c r="I68" s="1580">
        <f t="shared" si="9"/>
        <v>2955.6622249386628</v>
      </c>
      <c r="J68" s="1580">
        <f t="shared" si="9"/>
        <v>2865.1924014919423</v>
      </c>
      <c r="K68" s="1580">
        <f t="shared" si="9"/>
        <v>2733.9036035330341</v>
      </c>
      <c r="L68" s="1580">
        <f t="shared" si="9"/>
        <v>2559.4166672950491</v>
      </c>
      <c r="M68" s="1354">
        <f t="shared" si="9"/>
        <v>2194.5748006956692</v>
      </c>
    </row>
    <row r="69" spans="2:18" x14ac:dyDescent="0.35">
      <c r="B69" s="1240" t="s">
        <v>1425</v>
      </c>
      <c r="C69" s="1580">
        <f>C68+C62</f>
        <v>13679.080454323299</v>
      </c>
      <c r="D69" s="1580">
        <f>D68+D62</f>
        <v>13610.246826771265</v>
      </c>
      <c r="E69" s="1580">
        <f t="shared" ref="E69:M69" si="10">E68+E62</f>
        <v>13486.068876777445</v>
      </c>
      <c r="F69" s="1580">
        <f t="shared" si="10"/>
        <v>13654.937429823858</v>
      </c>
      <c r="G69" s="1580">
        <f t="shared" si="10"/>
        <v>13699.504301167661</v>
      </c>
      <c r="H69" s="1580">
        <f t="shared" si="10"/>
        <v>13661.772118813371</v>
      </c>
      <c r="I69" s="1580">
        <f t="shared" si="10"/>
        <v>13609.609556634037</v>
      </c>
      <c r="J69" s="1580">
        <f t="shared" si="10"/>
        <v>13574.921198187822</v>
      </c>
      <c r="K69" s="1580">
        <f t="shared" si="10"/>
        <v>13530.743985423747</v>
      </c>
      <c r="L69" s="1580">
        <f t="shared" si="10"/>
        <v>13485.443861979491</v>
      </c>
      <c r="M69" s="1354">
        <f t="shared" si="10"/>
        <v>13528.072997096437</v>
      </c>
    </row>
    <row r="70" spans="2:18" x14ac:dyDescent="0.35">
      <c r="F70" s="1242"/>
      <c r="G70" s="1242">
        <f t="shared" ref="G70:O70" si="11">E69-E57</f>
        <v>2.5117712993960595E-3</v>
      </c>
      <c r="H70" s="1242">
        <f t="shared" si="11"/>
        <v>2.5117713012150489E-3</v>
      </c>
      <c r="I70" s="1242">
        <f t="shared" si="11"/>
        <v>2.5117712993960595E-3</v>
      </c>
      <c r="J70" s="1242">
        <f t="shared" si="11"/>
        <v>2.5117712975770701E-3</v>
      </c>
      <c r="K70" s="1242">
        <f t="shared" si="11"/>
        <v>2.5117712975770701E-3</v>
      </c>
      <c r="L70" s="1242">
        <f t="shared" si="11"/>
        <v>2.5117712975770701E-3</v>
      </c>
      <c r="M70" s="1242">
        <f t="shared" si="11"/>
        <v>2.5117712957580807E-3</v>
      </c>
      <c r="N70" s="1242">
        <f t="shared" si="11"/>
        <v>2.5117712957580807E-3</v>
      </c>
      <c r="O70" s="1242">
        <f t="shared" si="11"/>
        <v>2.5117712957580807E-3</v>
      </c>
    </row>
    <row r="71" spans="2:18" x14ac:dyDescent="0.35">
      <c r="B71" s="1761" t="s">
        <v>1664</v>
      </c>
    </row>
    <row r="72" spans="2:18" ht="15.5" x14ac:dyDescent="0.35">
      <c r="B72" s="1757" t="s">
        <v>1489</v>
      </c>
      <c r="C72" s="1758" t="s">
        <v>350</v>
      </c>
      <c r="D72" s="1758" t="s">
        <v>1401</v>
      </c>
      <c r="E72" s="1758" t="s">
        <v>1402</v>
      </c>
      <c r="F72" s="1758" t="s">
        <v>1663</v>
      </c>
      <c r="G72" s="1758" t="s">
        <v>1404</v>
      </c>
      <c r="H72" s="1758" t="s">
        <v>1405</v>
      </c>
      <c r="I72" s="1758" t="s">
        <v>1406</v>
      </c>
      <c r="J72" s="1758" t="s">
        <v>1407</v>
      </c>
      <c r="K72" s="1758" t="s">
        <v>1408</v>
      </c>
      <c r="L72" s="1758" t="s">
        <v>1409</v>
      </c>
      <c r="M72" s="1758" t="s">
        <v>1498</v>
      </c>
      <c r="N72" s="1758" t="s">
        <v>1499</v>
      </c>
      <c r="O72" s="1758" t="s">
        <v>1500</v>
      </c>
      <c r="P72" s="1758" t="s">
        <v>1501</v>
      </c>
      <c r="Q72" s="1758" t="s">
        <v>1502</v>
      </c>
      <c r="R72" s="1758" t="s">
        <v>1503</v>
      </c>
    </row>
    <row r="73" spans="2:18" x14ac:dyDescent="0.35">
      <c r="B73" s="1759" t="s">
        <v>1490</v>
      </c>
      <c r="C73" s="1598">
        <f>'P&amp;L'!I36</f>
        <v>245.81128392615665</v>
      </c>
      <c r="D73" s="1598">
        <f>Cashflow!D49+Cashflow!D50</f>
        <v>393.21076018756958</v>
      </c>
      <c r="E73" s="1598">
        <f>Cashflow!E49+Cashflow!E50</f>
        <v>465.29540558861845</v>
      </c>
      <c r="F73" s="1598">
        <f>Cashflow!F49+Cashflow!F50</f>
        <v>544.7902245309815</v>
      </c>
      <c r="G73" s="1598">
        <f>Cashflow!G49+Cashflow!G50</f>
        <v>565.71099102413427</v>
      </c>
      <c r="H73" s="1598">
        <f>Cashflow!H49+Cashflow!H50</f>
        <v>577.2414238969759</v>
      </c>
      <c r="I73" s="1598">
        <f>Cashflow!I49+Cashflow!I50</f>
        <v>589.97793642805391</v>
      </c>
      <c r="J73" s="1598">
        <f>Cashflow!J49+Cashflow!J50</f>
        <v>601.38803126051698</v>
      </c>
      <c r="K73" s="1598">
        <f>Cashflow!K49+Cashflow!K50</f>
        <v>602.39502939239856</v>
      </c>
      <c r="L73" s="1598">
        <f>Cashflow!L49+Cashflow!L50</f>
        <v>612.90092211525621</v>
      </c>
      <c r="M73" s="1598">
        <f>Cashflow!M49+Cashflow!M50</f>
        <v>652.68290036618612</v>
      </c>
      <c r="N73" s="1599">
        <f>M73</f>
        <v>652.68290036618612</v>
      </c>
      <c r="O73" s="1599">
        <f t="shared" ref="O73:R73" si="12">N73</f>
        <v>652.68290036618612</v>
      </c>
      <c r="P73" s="1599">
        <f t="shared" si="12"/>
        <v>652.68290036618612</v>
      </c>
      <c r="Q73" s="1599">
        <f t="shared" si="12"/>
        <v>652.68290036618612</v>
      </c>
      <c r="R73" s="1599">
        <f t="shared" si="12"/>
        <v>652.68290036618612</v>
      </c>
    </row>
    <row r="74" spans="2:18" x14ac:dyDescent="0.35">
      <c r="B74" s="1760" t="s">
        <v>1491</v>
      </c>
      <c r="C74" s="1600">
        <v>239</v>
      </c>
      <c r="D74" s="1600">
        <f>Cashflow!D63-Cashflow!D54+'OCD working'!I236</f>
        <v>121.55663532003958</v>
      </c>
      <c r="E74" s="1600">
        <f>Cashflow!E63-Cashflow!E54+'OCD working'!J236</f>
        <v>108.36891172302285</v>
      </c>
      <c r="F74" s="1600">
        <f>Cashflow!F63-Cashflow!F54+'OCD working'!K236</f>
        <v>142.33221762628682</v>
      </c>
      <c r="G74" s="1600">
        <f>Cashflow!G63-Cashflow!G54+'OCD working'!L236</f>
        <v>136.56550989266418</v>
      </c>
      <c r="H74" s="1600">
        <f>Cashflow!H63-Cashflow!H54+'OCD working'!M236</f>
        <v>122.6206296603697</v>
      </c>
      <c r="I74" s="1600">
        <f>Cashflow!I63-Cashflow!I54+'OCD working'!N236</f>
        <v>106.42685529347729</v>
      </c>
      <c r="J74" s="1600">
        <f>Cashflow!J63-Cashflow!J54+'OCD working'!O236</f>
        <v>86.021831292299169</v>
      </c>
      <c r="K74" s="1600">
        <f>Cashflow!K63-Cashflow!K54+'OCD working'!P236</f>
        <v>66.212460332176718</v>
      </c>
      <c r="L74" s="1600">
        <f>Cashflow!L63-Cashflow!L54+'OCD working'!Q236</f>
        <v>54.30808250000004</v>
      </c>
      <c r="M74" s="1600">
        <f>Cashflow!M63-Cashflow!M54+'OCD working'!R236</f>
        <v>54.30808250000004</v>
      </c>
      <c r="N74" s="1600">
        <f>Cashflow!N63-Cashflow!N54+'OCD working'!S236</f>
        <v>0</v>
      </c>
      <c r="O74" s="1600">
        <f>Cashflow!O63-Cashflow!O54+'OCD working'!T236</f>
        <v>0</v>
      </c>
      <c r="P74" s="1600">
        <f>Cashflow!P63-Cashflow!P54+'OCD working'!U236</f>
        <v>0</v>
      </c>
      <c r="Q74" s="1600">
        <f>Cashflow!Q63-Cashflow!Q54+'OCD working'!V236</f>
        <v>0</v>
      </c>
      <c r="R74" s="1600">
        <f>Cashflow!R63-Cashflow!R54+'OCD working'!W236</f>
        <v>0</v>
      </c>
    </row>
    <row r="75" spans="2:18" x14ac:dyDescent="0.35">
      <c r="B75" s="1760" t="s">
        <v>1492</v>
      </c>
      <c r="C75" s="1601">
        <f>'Debt Assumptions &amp; working'!D49-124</f>
        <v>346.78622535599948</v>
      </c>
      <c r="D75" s="1600">
        <f>Cashflow!D65</f>
        <v>142.50265155554999</v>
      </c>
      <c r="E75" s="1600">
        <f>Cashflow!E65</f>
        <v>129.54786505050001</v>
      </c>
      <c r="F75" s="1600">
        <f>Cashflow!F65</f>
        <v>129.54786505050001</v>
      </c>
      <c r="G75" s="1600">
        <f>Cashflow!G65</f>
        <v>142.50265155554999</v>
      </c>
      <c r="H75" s="1600">
        <f>Cashflow!H65</f>
        <v>142.50265155554999</v>
      </c>
      <c r="I75" s="1600">
        <f>Cashflow!I65</f>
        <v>207.27658408080001</v>
      </c>
      <c r="J75" s="1600">
        <f>Cashflow!J65</f>
        <v>207.27658408080001</v>
      </c>
      <c r="K75" s="1600">
        <f>Cashflow!K65</f>
        <v>194.32179757574988</v>
      </c>
      <c r="L75" s="1600">
        <f>Cashflow!L65</f>
        <v>0</v>
      </c>
      <c r="M75" s="1600">
        <f>Cashflow!M65</f>
        <v>0</v>
      </c>
      <c r="N75" s="1600">
        <f>Cashflow!N65</f>
        <v>0</v>
      </c>
      <c r="O75" s="1600">
        <f>Cashflow!O65</f>
        <v>0</v>
      </c>
      <c r="P75" s="1600">
        <f>Cashflow!P65</f>
        <v>0</v>
      </c>
      <c r="Q75" s="1600">
        <f>Cashflow!Q65</f>
        <v>0</v>
      </c>
      <c r="R75" s="1600">
        <f>Cashflow!R65</f>
        <v>0</v>
      </c>
    </row>
    <row r="76" spans="2:18" x14ac:dyDescent="0.35">
      <c r="B76" s="1760" t="s">
        <v>1493</v>
      </c>
      <c r="C76" s="1600">
        <f>'OCD working'!H234+'OCD working'!H231</f>
        <v>0</v>
      </c>
      <c r="D76" s="1600">
        <f>'OCD working'!I234+'OCD working'!I231</f>
        <v>0</v>
      </c>
      <c r="E76" s="1600">
        <f>'OCD working'!J234+'OCD working'!J231</f>
        <v>0</v>
      </c>
      <c r="F76" s="1600">
        <f>'OCD working'!K234+'OCD working'!K231</f>
        <v>0</v>
      </c>
      <c r="G76" s="1600">
        <f>'OCD working'!L234+'OCD working'!L231</f>
        <v>0</v>
      </c>
      <c r="H76" s="1600">
        <f>'OCD working'!M234+'OCD working'!M231</f>
        <v>0</v>
      </c>
      <c r="I76" s="1600">
        <f>'OCD working'!N234+'OCD working'!N231</f>
        <v>0</v>
      </c>
      <c r="J76" s="1600">
        <f>'OCD working'!O234+'OCD working'!O231</f>
        <v>0</v>
      </c>
      <c r="K76" s="1600">
        <f>'OCD working'!P234+'OCD working'!P231</f>
        <v>0</v>
      </c>
      <c r="L76" s="1600">
        <f>'OCD working'!Q234+'OCD working'!Q231</f>
        <v>0</v>
      </c>
      <c r="M76" s="1600">
        <f>'OCD working'!R234+'OCD working'!R231</f>
        <v>0</v>
      </c>
      <c r="N76" s="1600">
        <f>'OCD working'!S234+'OCD working'!S231</f>
        <v>0</v>
      </c>
      <c r="O76" s="1600">
        <f>'OCD working'!T234+'OCD working'!T231</f>
        <v>0</v>
      </c>
      <c r="P76" s="1600">
        <f>'OCD working'!U234+'OCD working'!U231</f>
        <v>0</v>
      </c>
      <c r="Q76" s="1600">
        <f>'OCD working'!V234+'OCD working'!V231</f>
        <v>0</v>
      </c>
      <c r="R76" s="1600">
        <f>'OCD working'!W234+'OCD working'!W231</f>
        <v>0</v>
      </c>
    </row>
    <row r="77" spans="2:18" x14ac:dyDescent="0.35">
      <c r="B77" s="1757" t="s">
        <v>1494</v>
      </c>
      <c r="C77" s="1599">
        <f>SUM(C74:C76)</f>
        <v>585.78622535599948</v>
      </c>
      <c r="D77" s="1599">
        <f t="shared" ref="D77:R77" si="13">SUM(D74:D76)</f>
        <v>264.05928687558958</v>
      </c>
      <c r="E77" s="1599">
        <f t="shared" si="13"/>
        <v>237.91677677352286</v>
      </c>
      <c r="F77" s="1599">
        <f t="shared" si="13"/>
        <v>271.88008267678686</v>
      </c>
      <c r="G77" s="1599">
        <f t="shared" si="13"/>
        <v>279.06816144821414</v>
      </c>
      <c r="H77" s="1599">
        <f t="shared" si="13"/>
        <v>265.12328121591969</v>
      </c>
      <c r="I77" s="1599">
        <f t="shared" si="13"/>
        <v>313.70343937427731</v>
      </c>
      <c r="J77" s="1599">
        <f t="shared" si="13"/>
        <v>293.29841537309915</v>
      </c>
      <c r="K77" s="1599">
        <f t="shared" si="13"/>
        <v>260.53425790792659</v>
      </c>
      <c r="L77" s="1599">
        <f t="shared" si="13"/>
        <v>54.30808250000004</v>
      </c>
      <c r="M77" s="1599">
        <f t="shared" si="13"/>
        <v>54.30808250000004</v>
      </c>
      <c r="N77" s="1599">
        <f t="shared" si="13"/>
        <v>0</v>
      </c>
      <c r="O77" s="1599">
        <f t="shared" si="13"/>
        <v>0</v>
      </c>
      <c r="P77" s="1599">
        <f t="shared" si="13"/>
        <v>0</v>
      </c>
      <c r="Q77" s="1599">
        <f t="shared" si="13"/>
        <v>0</v>
      </c>
      <c r="R77" s="1599">
        <f t="shared" si="13"/>
        <v>0</v>
      </c>
    </row>
    <row r="78" spans="2:18" x14ac:dyDescent="0.35">
      <c r="B78" s="1757" t="s">
        <v>1495</v>
      </c>
      <c r="C78" s="1602">
        <f>C73/C77</f>
        <v>0.41962626174210554</v>
      </c>
      <c r="D78" s="1602">
        <f t="shared" ref="D78:R78" si="14">D73/D77</f>
        <v>1.489100288197132</v>
      </c>
      <c r="E78" s="1602">
        <f t="shared" si="14"/>
        <v>1.9557065789922889</v>
      </c>
      <c r="F78" s="1602">
        <f t="shared" si="14"/>
        <v>2.0037886525826623</v>
      </c>
      <c r="G78" s="1602">
        <f t="shared" si="14"/>
        <v>2.0271427169921412</v>
      </c>
      <c r="H78" s="1602">
        <f t="shared" si="14"/>
        <v>2.1772566379293687</v>
      </c>
      <c r="I78" s="1602">
        <f t="shared" si="14"/>
        <v>1.8806868601914035</v>
      </c>
      <c r="J78" s="1602">
        <f t="shared" si="14"/>
        <v>2.0504305503850171</v>
      </c>
      <c r="K78" s="1602">
        <f t="shared" si="14"/>
        <v>2.3121528593958893</v>
      </c>
      <c r="L78" s="1602">
        <f t="shared" si="14"/>
        <v>11.285629944958115</v>
      </c>
      <c r="M78" s="1602">
        <f t="shared" si="14"/>
        <v>12.018154026450587</v>
      </c>
      <c r="N78" s="1602" t="e">
        <f t="shared" si="14"/>
        <v>#DIV/0!</v>
      </c>
      <c r="O78" s="1602" t="e">
        <f t="shared" si="14"/>
        <v>#DIV/0!</v>
      </c>
      <c r="P78" s="1602" t="e">
        <f t="shared" si="14"/>
        <v>#DIV/0!</v>
      </c>
      <c r="Q78" s="1602" t="e">
        <f t="shared" si="14"/>
        <v>#DIV/0!</v>
      </c>
      <c r="R78" s="1602" t="e">
        <f t="shared" si="14"/>
        <v>#DIV/0!</v>
      </c>
    </row>
    <row r="79" spans="2:18" x14ac:dyDescent="0.35">
      <c r="B79" s="1760" t="s">
        <v>1496</v>
      </c>
      <c r="C79" s="1603">
        <f>C73-C77</f>
        <v>-339.97494142984283</v>
      </c>
      <c r="D79" s="1603">
        <f t="shared" ref="D79:R79" si="15">D73-D77</f>
        <v>129.15147331198</v>
      </c>
      <c r="E79" s="1603">
        <f t="shared" si="15"/>
        <v>227.3786288150956</v>
      </c>
      <c r="F79" s="1603">
        <f t="shared" si="15"/>
        <v>272.91014185419465</v>
      </c>
      <c r="G79" s="1603">
        <f t="shared" si="15"/>
        <v>286.64282957592013</v>
      </c>
      <c r="H79" s="1603">
        <f t="shared" si="15"/>
        <v>312.11814268105621</v>
      </c>
      <c r="I79" s="1603">
        <f t="shared" si="15"/>
        <v>276.2744970537766</v>
      </c>
      <c r="J79" s="1603">
        <f t="shared" si="15"/>
        <v>308.08961588741784</v>
      </c>
      <c r="K79" s="1603">
        <f t="shared" si="15"/>
        <v>341.86077148447197</v>
      </c>
      <c r="L79" s="1603">
        <f t="shared" si="15"/>
        <v>558.59283961525614</v>
      </c>
      <c r="M79" s="1603">
        <f t="shared" si="15"/>
        <v>598.37481786618605</v>
      </c>
      <c r="N79" s="1603">
        <f t="shared" si="15"/>
        <v>652.68290036618612</v>
      </c>
      <c r="O79" s="1603">
        <f t="shared" si="15"/>
        <v>652.68290036618612</v>
      </c>
      <c r="P79" s="1603">
        <f t="shared" si="15"/>
        <v>652.68290036618612</v>
      </c>
      <c r="Q79" s="1603">
        <f t="shared" si="15"/>
        <v>652.68290036618612</v>
      </c>
      <c r="R79" s="1603">
        <f t="shared" si="15"/>
        <v>652.68290036618612</v>
      </c>
    </row>
    <row r="80" spans="2:18" x14ac:dyDescent="0.35">
      <c r="B80" s="1757" t="s">
        <v>1497</v>
      </c>
      <c r="C80" s="1604">
        <f>C79</f>
        <v>-339.97494142984283</v>
      </c>
      <c r="D80" s="1604">
        <f>C80+D79</f>
        <v>-210.82346811786283</v>
      </c>
      <c r="E80" s="1604">
        <f t="shared" ref="E80:R80" si="16">D80+E79</f>
        <v>16.555160697232765</v>
      </c>
      <c r="F80" s="1604">
        <f t="shared" si="16"/>
        <v>289.46530255142738</v>
      </c>
      <c r="G80" s="1604">
        <f t="shared" si="16"/>
        <v>576.10813212734752</v>
      </c>
      <c r="H80" s="1604">
        <f t="shared" si="16"/>
        <v>888.22627480840379</v>
      </c>
      <c r="I80" s="1604">
        <f t="shared" si="16"/>
        <v>1164.5007718621805</v>
      </c>
      <c r="J80" s="1604">
        <f t="shared" si="16"/>
        <v>1472.5903877495984</v>
      </c>
      <c r="K80" s="1604">
        <f t="shared" si="16"/>
        <v>1814.4511592340705</v>
      </c>
      <c r="L80" s="1604">
        <f t="shared" si="16"/>
        <v>2373.0439988493267</v>
      </c>
      <c r="M80" s="1604">
        <f t="shared" si="16"/>
        <v>2971.4188167155125</v>
      </c>
      <c r="N80" s="1604">
        <f t="shared" si="16"/>
        <v>3624.1017170816986</v>
      </c>
      <c r="O80" s="1604">
        <f t="shared" si="16"/>
        <v>4276.7846174478846</v>
      </c>
      <c r="P80" s="1604">
        <f t="shared" si="16"/>
        <v>4929.4675178140706</v>
      </c>
      <c r="Q80" s="1604">
        <f t="shared" si="16"/>
        <v>5582.1504181802566</v>
      </c>
      <c r="R80" s="1604">
        <f t="shared" si="16"/>
        <v>6234.8333185464426</v>
      </c>
    </row>
    <row r="83" spans="2:11" s="1265" customFormat="1" x14ac:dyDescent="0.35">
      <c r="B83" s="1266" t="s">
        <v>1440</v>
      </c>
      <c r="C83" s="1266"/>
      <c r="D83" s="1266"/>
      <c r="E83" s="1266"/>
    </row>
    <row r="84" spans="2:11" ht="14.5" thickBot="1" x14ac:dyDescent="0.4">
      <c r="B84" s="1762" t="s">
        <v>1665</v>
      </c>
    </row>
    <row r="85" spans="2:11" ht="14.5" thickBot="1" x14ac:dyDescent="0.4">
      <c r="B85" s="1246" t="s">
        <v>251</v>
      </c>
      <c r="C85" s="1247" t="s">
        <v>1401</v>
      </c>
      <c r="D85" s="1247" t="s">
        <v>1402</v>
      </c>
      <c r="E85" s="1247" t="s">
        <v>1403</v>
      </c>
      <c r="F85" s="1247" t="s">
        <v>1404</v>
      </c>
      <c r="G85" s="1247" t="s">
        <v>1405</v>
      </c>
      <c r="H85" s="1247" t="s">
        <v>1406</v>
      </c>
      <c r="I85" s="1247" t="s">
        <v>1407</v>
      </c>
      <c r="J85" s="1247" t="s">
        <v>1408</v>
      </c>
      <c r="K85" s="1247" t="s">
        <v>1409</v>
      </c>
    </row>
    <row r="86" spans="2:11" ht="14.5" thickBot="1" x14ac:dyDescent="0.4">
      <c r="B86" s="1248" t="s">
        <v>895</v>
      </c>
      <c r="C86" s="1249"/>
      <c r="D86" s="1249"/>
      <c r="E86" s="1249"/>
      <c r="F86" s="1249"/>
      <c r="G86" s="1249"/>
      <c r="H86" s="1249"/>
      <c r="I86" s="1249"/>
      <c r="J86" s="1249"/>
      <c r="K86" s="1249"/>
    </row>
    <row r="87" spans="2:11" ht="14.5" thickBot="1" x14ac:dyDescent="0.4">
      <c r="B87" s="1250" t="s">
        <v>1671</v>
      </c>
      <c r="C87" s="1251"/>
      <c r="D87" s="1251"/>
      <c r="E87" s="1251"/>
      <c r="F87" s="1251"/>
      <c r="G87" s="1251"/>
      <c r="H87" s="1251"/>
      <c r="I87" s="1251"/>
      <c r="J87" s="1251"/>
      <c r="K87" s="1251"/>
    </row>
    <row r="88" spans="2:11" ht="14.5" thickBot="1" x14ac:dyDescent="0.4">
      <c r="B88" s="1252" t="s">
        <v>1427</v>
      </c>
      <c r="C88" s="1789">
        <f>'P&amp;L'!J9</f>
        <v>5360.9778292682931</v>
      </c>
      <c r="D88" s="1789">
        <f>'P&amp;L'!K9</f>
        <v>5645.9576249999982</v>
      </c>
      <c r="E88" s="1789">
        <f>'P&amp;L'!L9</f>
        <v>6125.3140921874974</v>
      </c>
      <c r="F88" s="1789">
        <f>'P&amp;L'!M9</f>
        <v>6355.4831033203091</v>
      </c>
      <c r="G88" s="1789">
        <f>'P&amp;L'!N9</f>
        <v>6514.3701809033146</v>
      </c>
      <c r="H88" s="1789">
        <f>'P&amp;L'!O9</f>
        <v>6677.2294354258975</v>
      </c>
      <c r="I88" s="1789">
        <f>'P&amp;L'!P9</f>
        <v>6844.1601713115442</v>
      </c>
      <c r="J88" s="1789">
        <f>'P&amp;L'!Q9</f>
        <v>7015.2641755943323</v>
      </c>
      <c r="K88" s="1789">
        <f>'P&amp;L'!R9</f>
        <v>7190.645779984191</v>
      </c>
    </row>
    <row r="89" spans="2:11" ht="14.5" thickBot="1" x14ac:dyDescent="0.4">
      <c r="B89" s="1252" t="s">
        <v>1428</v>
      </c>
      <c r="C89" s="1789">
        <f>'P&amp;L'!J10</f>
        <v>1125.6827708288708</v>
      </c>
      <c r="D89" s="1789">
        <f>'P&amp;L'!K10</f>
        <v>1472.1545622615824</v>
      </c>
      <c r="E89" s="1789">
        <f>'P&amp;L'!L10</f>
        <v>1568.8276159675306</v>
      </c>
      <c r="F89" s="1789">
        <f>'P&amp;L'!M10</f>
        <v>1623.8867857948146</v>
      </c>
      <c r="G89" s="1789">
        <f>'P&amp;L'!N10</f>
        <v>1659.2155109425721</v>
      </c>
      <c r="H89" s="1789">
        <f>'P&amp;L'!O10</f>
        <v>1692.4921389144556</v>
      </c>
      <c r="I89" s="1789">
        <f>'P&amp;L'!P10</f>
        <v>1726.3419816927449</v>
      </c>
      <c r="J89" s="1789">
        <f>'P&amp;L'!Q10</f>
        <v>1760.8688213265996</v>
      </c>
      <c r="K89" s="1789">
        <f>'P&amp;L'!R10</f>
        <v>1796.0861977531315</v>
      </c>
    </row>
    <row r="90" spans="2:11" ht="14.5" thickBot="1" x14ac:dyDescent="0.4">
      <c r="B90" s="1257" t="s">
        <v>1431</v>
      </c>
      <c r="C90" s="1789">
        <f>'P&amp;L'!J11</f>
        <v>42.962451368948607</v>
      </c>
      <c r="D90" s="1789">
        <f>'P&amp;L'!K11</f>
        <v>39.939684851441392</v>
      </c>
      <c r="E90" s="1789">
        <f>'P&amp;L'!L11</f>
        <v>43.763638136981164</v>
      </c>
      <c r="F90" s="1789">
        <f>'P&amp;L'!M11</f>
        <v>44.708443694654903</v>
      </c>
      <c r="G90" s="1789">
        <f>'P&amp;L'!N11</f>
        <v>45.568442679622052</v>
      </c>
      <c r="H90" s="1789">
        <f>'P&amp;L'!O11</f>
        <v>46.479811533214487</v>
      </c>
      <c r="I90" s="1789">
        <f>'P&amp;L'!P11</f>
        <v>47.409407763878782</v>
      </c>
      <c r="J90" s="1789">
        <f>'P&amp;L'!Q11</f>
        <v>48.357595919156353</v>
      </c>
      <c r="K90" s="1789">
        <f>'P&amp;L'!R11</f>
        <v>49.324747837539483</v>
      </c>
    </row>
    <row r="91" spans="2:11" ht="14.5" thickBot="1" x14ac:dyDescent="0.4">
      <c r="B91" s="1252" t="s">
        <v>1429</v>
      </c>
      <c r="C91" s="1789">
        <f>'P&amp;L'!J12</f>
        <v>33.741634824806525</v>
      </c>
      <c r="D91" s="1789">
        <f>'P&amp;L'!K12</f>
        <v>37.844980437837904</v>
      </c>
      <c r="E91" s="1789">
        <f>'P&amp;L'!L12</f>
        <v>39.767574438216649</v>
      </c>
      <c r="F91" s="1789">
        <f>'P&amp;L'!M12</f>
        <v>40.562925926980981</v>
      </c>
      <c r="G91" s="1789">
        <f>'P&amp;L'!N12</f>
        <v>41.374184445520605</v>
      </c>
      <c r="H91" s="1789">
        <f>'P&amp;L'!O12</f>
        <v>42.201668134431017</v>
      </c>
      <c r="I91" s="1789">
        <f>'P&amp;L'!P12</f>
        <v>43.045701497119637</v>
      </c>
      <c r="J91" s="1789">
        <f>'P&amp;L'!Q12</f>
        <v>43.90661552706203</v>
      </c>
      <c r="K91" s="1789">
        <f>'P&amp;L'!R12</f>
        <v>44.784747837603277</v>
      </c>
    </row>
    <row r="92" spans="2:11" ht="14.5" thickBot="1" x14ac:dyDescent="0.4">
      <c r="B92" s="1250" t="s">
        <v>591</v>
      </c>
      <c r="C92" s="1790">
        <f t="shared" ref="C92:K92" si="17">SUM(C88:C91)</f>
        <v>6563.3646862909191</v>
      </c>
      <c r="D92" s="1790">
        <f t="shared" si="17"/>
        <v>7195.8968525508599</v>
      </c>
      <c r="E92" s="1790">
        <f t="shared" si="17"/>
        <v>7777.672920730226</v>
      </c>
      <c r="F92" s="1790">
        <f t="shared" si="17"/>
        <v>8064.6412587367595</v>
      </c>
      <c r="G92" s="1790">
        <f t="shared" si="17"/>
        <v>8260.5283189710281</v>
      </c>
      <c r="H92" s="1790">
        <f t="shared" si="17"/>
        <v>8458.4030540079984</v>
      </c>
      <c r="I92" s="1790">
        <f t="shared" si="17"/>
        <v>8660.9572622652868</v>
      </c>
      <c r="J92" s="1790">
        <f t="shared" si="17"/>
        <v>8868.3972083671506</v>
      </c>
      <c r="K92" s="1790">
        <f t="shared" si="17"/>
        <v>9080.8414734124653</v>
      </c>
    </row>
    <row r="93" spans="2:11" ht="14.5" thickBot="1" x14ac:dyDescent="0.4">
      <c r="B93" s="1252" t="s">
        <v>1672</v>
      </c>
      <c r="C93" s="1791">
        <f>+'P&amp;L'!J15</f>
        <v>70.583191800440005</v>
      </c>
      <c r="D93" s="1791">
        <f>+'P&amp;L'!K15</f>
        <v>71.532626586228815</v>
      </c>
      <c r="E93" s="1791">
        <f>+'P&amp;L'!L15</f>
        <v>72.501050067733388</v>
      </c>
      <c r="F93" s="1791">
        <f>+'P&amp;L'!M15</f>
        <v>73.488842018868056</v>
      </c>
      <c r="G93" s="1791">
        <f>+'P&amp;L'!N15</f>
        <v>74.496389809025416</v>
      </c>
      <c r="H93" s="1791">
        <f>+'P&amp;L'!O15</f>
        <v>75.524088554985923</v>
      </c>
      <c r="I93" s="1791">
        <f>+'P&amp;L'!P15</f>
        <v>76.572341275865639</v>
      </c>
      <c r="J93" s="1791">
        <f>+'P&amp;L'!Q15</f>
        <v>77.641559051162957</v>
      </c>
      <c r="K93" s="1791">
        <f>+'P&amp;L'!R15</f>
        <v>78.732161181966219</v>
      </c>
    </row>
    <row r="94" spans="2:11" ht="14.5" thickBot="1" x14ac:dyDescent="0.4">
      <c r="B94" s="1250" t="s">
        <v>98</v>
      </c>
      <c r="C94" s="1792">
        <f t="shared" ref="C94:K94" si="18">+C93+C92</f>
        <v>6633.9478780913587</v>
      </c>
      <c r="D94" s="1792">
        <f t="shared" si="18"/>
        <v>7267.4294791370885</v>
      </c>
      <c r="E94" s="1792">
        <f t="shared" si="18"/>
        <v>7850.1739707979596</v>
      </c>
      <c r="F94" s="1792">
        <f t="shared" si="18"/>
        <v>8138.1301007556276</v>
      </c>
      <c r="G94" s="1792">
        <f t="shared" si="18"/>
        <v>8335.0247087800526</v>
      </c>
      <c r="H94" s="1792">
        <f t="shared" si="18"/>
        <v>8533.927142562985</v>
      </c>
      <c r="I94" s="1792">
        <f t="shared" si="18"/>
        <v>8737.529603541152</v>
      </c>
      <c r="J94" s="1792">
        <f t="shared" si="18"/>
        <v>8946.038767418313</v>
      </c>
      <c r="K94" s="1792">
        <f t="shared" si="18"/>
        <v>9159.5736345944315</v>
      </c>
    </row>
    <row r="95" spans="2:11" ht="14.5" thickBot="1" x14ac:dyDescent="0.4">
      <c r="B95" s="1248" t="s">
        <v>51</v>
      </c>
      <c r="C95" s="1793"/>
      <c r="D95" s="1793"/>
      <c r="E95" s="1793"/>
      <c r="F95" s="1793"/>
      <c r="G95" s="1793"/>
      <c r="H95" s="1793"/>
      <c r="I95" s="1793"/>
      <c r="J95" s="1793"/>
      <c r="K95" s="1793"/>
    </row>
    <row r="96" spans="2:11" ht="14.5" thickBot="1" x14ac:dyDescent="0.4">
      <c r="B96" s="1252" t="s">
        <v>40</v>
      </c>
      <c r="C96" s="1789">
        <f>'P&amp;L'!J20</f>
        <v>5400.381213023923</v>
      </c>
      <c r="D96" s="1789">
        <f>'P&amp;L'!K20</f>
        <v>6079.0089389258555</v>
      </c>
      <c r="E96" s="1789">
        <f>'P&amp;L'!L20</f>
        <v>6393.5677176069812</v>
      </c>
      <c r="F96" s="1789">
        <f>'P&amp;L'!M20</f>
        <v>6521.7394542955062</v>
      </c>
      <c r="G96" s="1789">
        <f>'P&amp;L'!N20</f>
        <v>6652.1742433814161</v>
      </c>
      <c r="H96" s="1789">
        <f>'P&amp;L'!O20</f>
        <v>6785.2177282490447</v>
      </c>
      <c r="I96" s="1789">
        <f>'P&amp;L'!P20</f>
        <v>6920.922082814026</v>
      </c>
      <c r="J96" s="1789">
        <f>'P&amp;L'!Q20</f>
        <v>7059.1245028519043</v>
      </c>
      <c r="K96" s="1789">
        <f>'P&amp;L'!R20</f>
        <v>7091.8091747122426</v>
      </c>
    </row>
    <row r="97" spans="2:11" ht="14.5" thickBot="1" x14ac:dyDescent="0.4">
      <c r="B97" s="1252" t="s">
        <v>247</v>
      </c>
      <c r="C97" s="1791">
        <f>+'P&amp;L'!J22</f>
        <v>-82.349830801613322</v>
      </c>
      <c r="D97" s="1791">
        <f>+'P&amp;L'!K22</f>
        <v>-277.40021716654172</v>
      </c>
      <c r="E97" s="1791">
        <f>+'P&amp;L'!L22</f>
        <v>-155.61123206972738</v>
      </c>
      <c r="F97" s="1791">
        <f>+'P&amp;L'!M22</f>
        <v>-75.461432279797151</v>
      </c>
      <c r="G97" s="1791">
        <f>+'P&amp;L'!N22</f>
        <v>-72.68084395069576</v>
      </c>
      <c r="H97" s="1791">
        <f>+'P&amp;L'!O22</f>
        <v>-74.959593330014627</v>
      </c>
      <c r="I97" s="1791">
        <f>+'P&amp;L'!P22</f>
        <v>-77.506176939136083</v>
      </c>
      <c r="J97" s="1791">
        <f>+'P&amp;L'!Q22</f>
        <v>-79.940135243829246</v>
      </c>
      <c r="K97" s="1791">
        <f>+'P&amp;L'!R22</f>
        <v>-38.72955333054125</v>
      </c>
    </row>
    <row r="98" spans="2:11" ht="14.5" thickBot="1" x14ac:dyDescent="0.4">
      <c r="B98" s="1252" t="s">
        <v>100</v>
      </c>
      <c r="C98" s="1791">
        <f>+'P&amp;L'!J23</f>
        <v>375.75855553537002</v>
      </c>
      <c r="D98" s="1791">
        <f>+'P&amp;L'!K23</f>
        <v>412.49954887970398</v>
      </c>
      <c r="E98" s="1791">
        <f>+'P&amp;L'!L23</f>
        <v>452.85620120382714</v>
      </c>
      <c r="F98" s="1791">
        <f>+'P&amp;L'!M23</f>
        <v>497.1859875808932</v>
      </c>
      <c r="G98" s="1791">
        <f>+'P&amp;L'!N23</f>
        <v>536.61995255224838</v>
      </c>
      <c r="H98" s="1791">
        <f>+'P&amp;L'!O23</f>
        <v>579.18477073885401</v>
      </c>
      <c r="I98" s="1791">
        <f>+'P&amp;L'!P23</f>
        <v>625.12923991915773</v>
      </c>
      <c r="J98" s="1791">
        <f>+'P&amp;L'!Q23</f>
        <v>674.72194476036941</v>
      </c>
      <c r="K98" s="1791">
        <f>+'P&amp;L'!R23</f>
        <v>728.25283158421564</v>
      </c>
    </row>
    <row r="99" spans="2:11" ht="14.5" thickBot="1" x14ac:dyDescent="0.4">
      <c r="B99" s="1252" t="s">
        <v>1673</v>
      </c>
      <c r="C99" s="1791">
        <f>'P&amp;L'!J32</f>
        <v>157.1272988780637</v>
      </c>
      <c r="D99" s="1791">
        <f>'P&amp;L'!K32</f>
        <v>159.2990845990914</v>
      </c>
      <c r="E99" s="1791">
        <f>'P&amp;L'!L32</f>
        <v>167.19293636340149</v>
      </c>
      <c r="F99" s="1791">
        <f>'P&amp;L'!M32</f>
        <v>171.02491638729506</v>
      </c>
      <c r="G99" s="1791">
        <f>'P&amp;L'!N32</f>
        <v>174.47030890116889</v>
      </c>
      <c r="H99" s="1791">
        <f>'P&amp;L'!O32</f>
        <v>177.95971507919225</v>
      </c>
      <c r="I99" s="1791">
        <f>'P&amp;L'!P32</f>
        <v>181.51890938077614</v>
      </c>
      <c r="J99" s="1791">
        <f>'P&amp;L'!Q32</f>
        <v>185.14928756839166</v>
      </c>
      <c r="K99" s="1791">
        <f>'P&amp;L'!R32</f>
        <v>188.85227331975949</v>
      </c>
    </row>
    <row r="100" spans="2:11" ht="14.5" thickBot="1" x14ac:dyDescent="0.4">
      <c r="B100" s="1252" t="s">
        <v>43</v>
      </c>
      <c r="C100" s="1791">
        <f>+'P&amp;L'!J24-C99</f>
        <v>389.81988126804538</v>
      </c>
      <c r="D100" s="1791">
        <f>+'P&amp;L'!K24-D99</f>
        <v>428.72671831036109</v>
      </c>
      <c r="E100" s="1791">
        <f>+'P&amp;L'!L24-E99</f>
        <v>447.37812316249597</v>
      </c>
      <c r="F100" s="1791">
        <f>+'P&amp;L'!M24-F99</f>
        <v>457.93018374759572</v>
      </c>
      <c r="G100" s="1791">
        <f>+'P&amp;L'!N24-G99</f>
        <v>467.19962399893859</v>
      </c>
      <c r="H100" s="1791">
        <f>+'P&amp;L'!O24-H99</f>
        <v>476.54658539785373</v>
      </c>
      <c r="I100" s="1791">
        <f>+'P&amp;L'!P24-I99</f>
        <v>486.0775171058109</v>
      </c>
      <c r="J100" s="1791">
        <f>+'P&amp;L'!Q24-J99</f>
        <v>495.7990674479272</v>
      </c>
      <c r="K100" s="1791">
        <f>+'P&amp;L'!R24-K99</f>
        <v>505.7150487968857</v>
      </c>
    </row>
    <row r="101" spans="2:11" ht="14.5" thickBot="1" x14ac:dyDescent="0.4">
      <c r="B101" s="1250" t="s">
        <v>248</v>
      </c>
      <c r="C101" s="1792">
        <f t="shared" ref="C101:K101" si="19">SUM(C96:C100)</f>
        <v>6240.7371179037891</v>
      </c>
      <c r="D101" s="1792">
        <f t="shared" si="19"/>
        <v>6802.134073548471</v>
      </c>
      <c r="E101" s="1792">
        <f t="shared" si="19"/>
        <v>7305.383746266979</v>
      </c>
      <c r="F101" s="1792">
        <f t="shared" si="19"/>
        <v>7572.4191097314933</v>
      </c>
      <c r="G101" s="1792">
        <f t="shared" si="19"/>
        <v>7757.7832848830767</v>
      </c>
      <c r="H101" s="1792">
        <f t="shared" si="19"/>
        <v>7943.949206134931</v>
      </c>
      <c r="I101" s="1792">
        <f t="shared" si="19"/>
        <v>8136.141572280635</v>
      </c>
      <c r="J101" s="1792">
        <f t="shared" si="19"/>
        <v>8334.8546673847632</v>
      </c>
      <c r="K101" s="1792">
        <f t="shared" si="19"/>
        <v>8475.899775082562</v>
      </c>
    </row>
    <row r="102" spans="2:11" ht="14.5" thickBot="1" x14ac:dyDescent="0.4">
      <c r="B102" s="1255" t="s">
        <v>72</v>
      </c>
      <c r="C102" s="1794">
        <f t="shared" ref="C102:K102" si="20">+C94-C101</f>
        <v>393.21076018756958</v>
      </c>
      <c r="D102" s="1794">
        <f t="shared" si="20"/>
        <v>465.29540558861754</v>
      </c>
      <c r="E102" s="1794">
        <f t="shared" si="20"/>
        <v>544.79022453098059</v>
      </c>
      <c r="F102" s="1794">
        <f t="shared" si="20"/>
        <v>565.71099102413427</v>
      </c>
      <c r="G102" s="1794">
        <f t="shared" si="20"/>
        <v>577.2414238969759</v>
      </c>
      <c r="H102" s="1794">
        <f t="shared" si="20"/>
        <v>589.97793642805391</v>
      </c>
      <c r="I102" s="1794">
        <f t="shared" si="20"/>
        <v>601.38803126051698</v>
      </c>
      <c r="J102" s="1794">
        <f t="shared" si="20"/>
        <v>611.18410003354984</v>
      </c>
      <c r="K102" s="1794">
        <f t="shared" si="20"/>
        <v>683.67385951186952</v>
      </c>
    </row>
    <row r="103" spans="2:11" ht="14.5" thickBot="1" x14ac:dyDescent="0.4">
      <c r="B103" s="1256" t="s">
        <v>380</v>
      </c>
      <c r="C103" s="1279">
        <f t="shared" ref="C103:K103" si="21">C102/C94</f>
        <v>5.9272512750085028E-2</v>
      </c>
      <c r="D103" s="1279">
        <f t="shared" si="21"/>
        <v>6.4024756886098502E-2</v>
      </c>
      <c r="E103" s="1279">
        <f t="shared" si="21"/>
        <v>6.9398490601298532E-2</v>
      </c>
      <c r="F103" s="1279">
        <f t="shared" si="21"/>
        <v>6.951363323272601E-2</v>
      </c>
      <c r="G103" s="1279">
        <f t="shared" si="21"/>
        <v>6.9254914540194959E-2</v>
      </c>
      <c r="H103" s="1279">
        <f t="shared" si="21"/>
        <v>6.9133228649860073E-2</v>
      </c>
      <c r="I103" s="1279">
        <f t="shared" si="21"/>
        <v>6.8828153785800747E-2</v>
      </c>
      <c r="J103" s="1279">
        <f t="shared" si="21"/>
        <v>6.8318963948546363E-2</v>
      </c>
      <c r="K103" s="1279">
        <f t="shared" si="21"/>
        <v>7.4640358469277301E-2</v>
      </c>
    </row>
    <row r="104" spans="2:11" ht="14.5" thickBot="1" x14ac:dyDescent="0.4">
      <c r="B104" s="1252" t="s">
        <v>53</v>
      </c>
      <c r="C104" s="1789">
        <f>+'P&amp;L'!J38</f>
        <v>1927.8509328252517</v>
      </c>
      <c r="D104" s="1789">
        <f>+'P&amp;L'!K38</f>
        <v>115.37655044977427</v>
      </c>
      <c r="E104" s="1789">
        <f>+'P&amp;L'!L38</f>
        <v>149.47046473988843</v>
      </c>
      <c r="F104" s="1789">
        <f>+'P&amp;L'!M38</f>
        <v>143.70003839953796</v>
      </c>
      <c r="G104" s="1789">
        <f>+'P&amp;L'!N38</f>
        <v>129.91899332770834</v>
      </c>
      <c r="H104" s="1789">
        <f>+'P&amp;L'!O38</f>
        <v>113.90871434053656</v>
      </c>
      <c r="I104" s="1789">
        <f>+'P&amp;L'!P38</f>
        <v>93.709205164645553</v>
      </c>
      <c r="J104" s="1789">
        <f>+'P&amp;L'!Q38</f>
        <v>74.130010808844659</v>
      </c>
      <c r="K104" s="1789">
        <f>+'P&amp;L'!R38</f>
        <v>62.483430773508132</v>
      </c>
    </row>
    <row r="105" spans="2:11" ht="14.5" thickBot="1" x14ac:dyDescent="0.4">
      <c r="B105" s="1252" t="s">
        <v>54</v>
      </c>
      <c r="C105" s="1789">
        <f>+'P&amp;L'!J39</f>
        <v>215.8294257165827</v>
      </c>
      <c r="D105" s="1789">
        <f>+'P&amp;L'!K39</f>
        <v>215.20442435589436</v>
      </c>
      <c r="E105" s="1789">
        <f>+'P&amp;L'!L39</f>
        <v>214.13942299520602</v>
      </c>
      <c r="F105" s="1789">
        <f>+'P&amp;L'!M39</f>
        <v>214.62442163451766</v>
      </c>
      <c r="G105" s="1789">
        <f>+'P&amp;L'!N39</f>
        <v>214.64630845948335</v>
      </c>
      <c r="H105" s="1789">
        <f>+'P&amp;L'!O39</f>
        <v>214.72379655027177</v>
      </c>
      <c r="I105" s="1789">
        <f>+'P&amp;L'!P39</f>
        <v>215.20879518958344</v>
      </c>
      <c r="J105" s="1789">
        <f>+'P&amp;L'!Q39</f>
        <v>215.69379382889508</v>
      </c>
      <c r="K105" s="1789">
        <f>+'P&amp;L'!R39</f>
        <v>216.12553979254363</v>
      </c>
    </row>
    <row r="106" spans="2:11" ht="14.5" thickBot="1" x14ac:dyDescent="0.4">
      <c r="B106" s="1250" t="s">
        <v>101</v>
      </c>
      <c r="C106" s="1792">
        <f>'P&amp;L'!J42</f>
        <v>-1750.4695983542647</v>
      </c>
      <c r="D106" s="1792">
        <f>'P&amp;L'!K42</f>
        <v>134.71443078294979</v>
      </c>
      <c r="E106" s="1792">
        <f>'P&amp;L'!L42</f>
        <v>181.18033679588706</v>
      </c>
      <c r="F106" s="1792">
        <f>'P&amp;L'!M42</f>
        <v>207.38653099007865</v>
      </c>
      <c r="G106" s="1792">
        <f>'P&amp;L'!N42</f>
        <v>232.67612210978422</v>
      </c>
      <c r="H106" s="1792">
        <f>'P&amp;L'!O42</f>
        <v>261.34542553724555</v>
      </c>
      <c r="I106" s="1792">
        <f>'P&amp;L'!P42</f>
        <v>292.470030906288</v>
      </c>
      <c r="J106" s="1792">
        <f>'P&amp;L'!Q42</f>
        <v>321.36029539581011</v>
      </c>
      <c r="K106" s="1792">
        <f>'P&amp;L'!R42</f>
        <v>405.0648889458177</v>
      </c>
    </row>
    <row r="107" spans="2:11" ht="14.5" thickBot="1" x14ac:dyDescent="0.4">
      <c r="B107" s="1252" t="s">
        <v>305</v>
      </c>
      <c r="C107" s="1791">
        <f>'P&amp;L'!J43</f>
        <v>0</v>
      </c>
      <c r="D107" s="1791">
        <f>'P&amp;L'!K43</f>
        <v>0</v>
      </c>
      <c r="E107" s="1791">
        <f>'P&amp;L'!L43</f>
        <v>0</v>
      </c>
      <c r="F107" s="1791">
        <f>'P&amp;L'!M43</f>
        <v>0</v>
      </c>
      <c r="G107" s="1791">
        <f>'P&amp;L'!N43</f>
        <v>0</v>
      </c>
      <c r="H107" s="1791">
        <f>'P&amp;L'!O43</f>
        <v>0</v>
      </c>
      <c r="I107" s="1791">
        <f>'P&amp;L'!P43</f>
        <v>0</v>
      </c>
      <c r="J107" s="1791">
        <f>'P&amp;L'!Q43</f>
        <v>8.7890706411512625</v>
      </c>
      <c r="K107" s="1791">
        <f>'P&amp;L'!R43</f>
        <v>70.772937396613258</v>
      </c>
    </row>
    <row r="108" spans="2:11" ht="14.5" thickBot="1" x14ac:dyDescent="0.4">
      <c r="B108" s="1252" t="s">
        <v>1430</v>
      </c>
      <c r="C108" s="1791">
        <f>'P&amp;L'!J44</f>
        <v>0</v>
      </c>
      <c r="D108" s="1791">
        <f>'P&amp;L'!K44</f>
        <v>0</v>
      </c>
      <c r="E108" s="1791">
        <f>'P&amp;L'!L44</f>
        <v>0</v>
      </c>
      <c r="F108" s="1791">
        <f>'P&amp;L'!M44</f>
        <v>0</v>
      </c>
      <c r="G108" s="1791">
        <f>'P&amp;L'!N44</f>
        <v>0</v>
      </c>
      <c r="H108" s="1791">
        <f>'P&amp;L'!O44</f>
        <v>0</v>
      </c>
      <c r="I108" s="1791">
        <f>'P&amp;L'!P44</f>
        <v>0</v>
      </c>
      <c r="J108" s="1791">
        <f>'P&amp;L'!Q44</f>
        <v>-8.7890706411512625</v>
      </c>
      <c r="K108" s="1791">
        <f>'P&amp;L'!R44</f>
        <v>-70.772937396613258</v>
      </c>
    </row>
    <row r="109" spans="2:11" ht="14.5" thickBot="1" x14ac:dyDescent="0.4">
      <c r="B109" s="1255" t="s">
        <v>205</v>
      </c>
      <c r="C109" s="1794">
        <f t="shared" ref="C109:K109" si="22">+C106-C107-C108</f>
        <v>-1750.4695983542647</v>
      </c>
      <c r="D109" s="1794">
        <f t="shared" si="22"/>
        <v>134.71443078294979</v>
      </c>
      <c r="E109" s="1794">
        <f t="shared" si="22"/>
        <v>181.18033679588706</v>
      </c>
      <c r="F109" s="1794">
        <f t="shared" si="22"/>
        <v>207.38653099007865</v>
      </c>
      <c r="G109" s="1794">
        <f t="shared" si="22"/>
        <v>232.67612210978422</v>
      </c>
      <c r="H109" s="1794">
        <f t="shared" si="22"/>
        <v>261.34542553724555</v>
      </c>
      <c r="I109" s="1794">
        <f t="shared" si="22"/>
        <v>292.470030906288</v>
      </c>
      <c r="J109" s="1794">
        <f t="shared" si="22"/>
        <v>321.36029539581011</v>
      </c>
      <c r="K109" s="1794">
        <f t="shared" si="22"/>
        <v>405.0648889458177</v>
      </c>
    </row>
    <row r="110" spans="2:11" s="1763" customFormat="1" x14ac:dyDescent="0.35">
      <c r="B110" s="1764"/>
      <c r="C110" s="1765"/>
      <c r="D110" s="1765"/>
      <c r="E110" s="1765"/>
      <c r="F110" s="1765"/>
      <c r="G110" s="1765"/>
      <c r="H110" s="1765"/>
      <c r="I110" s="1765"/>
      <c r="J110" s="1765"/>
      <c r="K110" s="1765"/>
    </row>
    <row r="111" spans="2:11" ht="14.5" thickBot="1" x14ac:dyDescent="0.4">
      <c r="B111" s="1762" t="s">
        <v>1666</v>
      </c>
    </row>
    <row r="112" spans="2:11" ht="14.5" thickBot="1" x14ac:dyDescent="0.4">
      <c r="B112" s="1246" t="s">
        <v>251</v>
      </c>
      <c r="C112" s="1247" t="s">
        <v>1401</v>
      </c>
      <c r="D112" s="1247" t="s">
        <v>1402</v>
      </c>
      <c r="E112" s="1247" t="s">
        <v>1403</v>
      </c>
      <c r="F112" s="1247" t="s">
        <v>1404</v>
      </c>
      <c r="G112" s="1247" t="s">
        <v>1405</v>
      </c>
      <c r="H112" s="1247" t="s">
        <v>1406</v>
      </c>
      <c r="I112" s="1247" t="s">
        <v>1407</v>
      </c>
      <c r="J112" s="1247" t="s">
        <v>1408</v>
      </c>
      <c r="K112" s="1247" t="s">
        <v>1409</v>
      </c>
    </row>
    <row r="113" spans="2:11" ht="14.5" thickBot="1" x14ac:dyDescent="0.4">
      <c r="B113" s="1248" t="s">
        <v>1432</v>
      </c>
      <c r="C113" s="1249"/>
      <c r="D113" s="1249"/>
      <c r="E113" s="1249"/>
      <c r="F113" s="1249"/>
      <c r="G113" s="1249"/>
      <c r="H113" s="1249"/>
      <c r="I113" s="1249"/>
      <c r="J113" s="1249"/>
      <c r="K113" s="1249"/>
    </row>
    <row r="114" spans="2:11" ht="14.5" thickBot="1" x14ac:dyDescent="0.4">
      <c r="B114" s="1252" t="s">
        <v>1433</v>
      </c>
      <c r="C114" s="1253">
        <f>'Balance Sheet'!H8+'Balance Sheet'!H9+'Balance Sheet'!H10+'Balance Sheet'!H11</f>
        <v>6591.9505746834184</v>
      </c>
      <c r="D114" s="1253">
        <f>'Balance Sheet'!I8+'Balance Sheet'!I9+'Balance Sheet'!I10+'Balance Sheet'!I11</f>
        <v>6391.7461503275235</v>
      </c>
      <c r="E114" s="1253">
        <f>'Balance Sheet'!J8+'Balance Sheet'!J9+'Balance Sheet'!J10+'Balance Sheet'!J11</f>
        <v>6192.606727332317</v>
      </c>
      <c r="F114" s="1253">
        <f>'Balance Sheet'!K8+'Balance Sheet'!K9+'Balance Sheet'!K10+'Balance Sheet'!K11</f>
        <v>5992.9823056978003</v>
      </c>
      <c r="G114" s="1253">
        <f>'Balance Sheet'!L8+'Balance Sheet'!L9+'Balance Sheet'!L10+'Balance Sheet'!L11</f>
        <v>5793.3359972383168</v>
      </c>
      <c r="H114" s="1253">
        <f>'Balance Sheet'!M8+'Balance Sheet'!M9+'Balance Sheet'!M10+'Balance Sheet'!M11</f>
        <v>5593.612200688045</v>
      </c>
      <c r="I114" s="1253">
        <f>'Balance Sheet'!N8+'Balance Sheet'!N9+'Balance Sheet'!N10+'Balance Sheet'!N11</f>
        <v>5393.4034054984622</v>
      </c>
      <c r="J114" s="1253">
        <f>'Balance Sheet'!O8+'Balance Sheet'!O9+'Balance Sheet'!O10+'Balance Sheet'!O11</f>
        <v>5192.7096116695666</v>
      </c>
      <c r="K114" s="1253">
        <f>'Balance Sheet'!P8+'Balance Sheet'!P9+'Balance Sheet'!P10+'Balance Sheet'!P11</f>
        <v>4991.5840718770232</v>
      </c>
    </row>
    <row r="115" spans="2:11" ht="14.5" thickBot="1" x14ac:dyDescent="0.4">
      <c r="B115" s="1252" t="s">
        <v>1434</v>
      </c>
      <c r="C115" s="1267">
        <f>'Balance Sheet'!H13</f>
        <v>92.339999999999918</v>
      </c>
      <c r="D115" s="1267">
        <f>'Balance Sheet'!I13</f>
        <v>92.339999999999918</v>
      </c>
      <c r="E115" s="1267">
        <f>'Balance Sheet'!J13</f>
        <v>92.339999999999918</v>
      </c>
      <c r="F115" s="1267">
        <f>'Balance Sheet'!K13</f>
        <v>92.339999999999918</v>
      </c>
      <c r="G115" s="1267">
        <f>'Balance Sheet'!L13</f>
        <v>92.339999999999918</v>
      </c>
      <c r="H115" s="1267">
        <f>'Balance Sheet'!M13</f>
        <v>92.339999999999918</v>
      </c>
      <c r="I115" s="1267">
        <f>'Balance Sheet'!N13</f>
        <v>92.339999999999918</v>
      </c>
      <c r="J115" s="1267">
        <f>'Balance Sheet'!O13</f>
        <v>92.339999999999918</v>
      </c>
      <c r="K115" s="1267">
        <f>'Balance Sheet'!P13</f>
        <v>92.339999999999918</v>
      </c>
    </row>
    <row r="116" spans="2:11" ht="14.5" thickBot="1" x14ac:dyDescent="0.4">
      <c r="B116" s="1252" t="s">
        <v>1435</v>
      </c>
      <c r="C116" s="1267">
        <f>'Balance Sheet'!H14</f>
        <v>13.39</v>
      </c>
      <c r="D116" s="1267">
        <f>'Balance Sheet'!I14</f>
        <v>13.39</v>
      </c>
      <c r="E116" s="1267">
        <f>'Balance Sheet'!J14</f>
        <v>13.39</v>
      </c>
      <c r="F116" s="1267">
        <f>'Balance Sheet'!K14</f>
        <v>13.39</v>
      </c>
      <c r="G116" s="1267">
        <f>'Balance Sheet'!L14</f>
        <v>13.39</v>
      </c>
      <c r="H116" s="1267">
        <f>'Balance Sheet'!M14</f>
        <v>13.39</v>
      </c>
      <c r="I116" s="1267">
        <f>'Balance Sheet'!N14</f>
        <v>13.39</v>
      </c>
      <c r="J116" s="1267">
        <f>'Balance Sheet'!O14</f>
        <v>13.39</v>
      </c>
      <c r="K116" s="1267">
        <f>'Balance Sheet'!P14</f>
        <v>13.39</v>
      </c>
    </row>
    <row r="117" spans="2:11" ht="14.5" thickBot="1" x14ac:dyDescent="0.4">
      <c r="B117" s="1252" t="s">
        <v>149</v>
      </c>
      <c r="C117" s="1267">
        <f>'Balance Sheet'!H15</f>
        <v>137.98000000000002</v>
      </c>
      <c r="D117" s="1267">
        <f>'Balance Sheet'!I15</f>
        <v>137.98000000000002</v>
      </c>
      <c r="E117" s="1267">
        <f>'Balance Sheet'!J15</f>
        <v>137.98000000000002</v>
      </c>
      <c r="F117" s="1267">
        <f>'Balance Sheet'!K15</f>
        <v>137.98000000000002</v>
      </c>
      <c r="G117" s="1267">
        <f>'Balance Sheet'!L15</f>
        <v>137.98000000000002</v>
      </c>
      <c r="H117" s="1267">
        <f>'Balance Sheet'!M15</f>
        <v>137.98000000000002</v>
      </c>
      <c r="I117" s="1267">
        <f>'Balance Sheet'!N15</f>
        <v>137.98000000000002</v>
      </c>
      <c r="J117" s="1267">
        <f>'Balance Sheet'!O15</f>
        <v>146.76907064115125</v>
      </c>
      <c r="K117" s="1267">
        <f>'Balance Sheet'!P15</f>
        <v>217.5420080377645</v>
      </c>
    </row>
    <row r="118" spans="2:11" ht="14.5" thickBot="1" x14ac:dyDescent="0.4">
      <c r="B118" s="1250" t="s">
        <v>409</v>
      </c>
      <c r="C118" s="1254">
        <f t="shared" ref="C118:K118" si="23">SUM(C114:C117)</f>
        <v>6835.6605746834193</v>
      </c>
      <c r="D118" s="1254">
        <f t="shared" si="23"/>
        <v>6635.4561503275236</v>
      </c>
      <c r="E118" s="1254">
        <f t="shared" si="23"/>
        <v>6436.3167273323179</v>
      </c>
      <c r="F118" s="1254">
        <f t="shared" si="23"/>
        <v>6236.6923056978012</v>
      </c>
      <c r="G118" s="1254">
        <f t="shared" si="23"/>
        <v>6037.0459972383178</v>
      </c>
      <c r="H118" s="1254">
        <f t="shared" si="23"/>
        <v>5837.322200688046</v>
      </c>
      <c r="I118" s="1254">
        <f t="shared" si="23"/>
        <v>5637.1134054984632</v>
      </c>
      <c r="J118" s="1254">
        <f t="shared" si="23"/>
        <v>5445.2086823107184</v>
      </c>
      <c r="K118" s="1254">
        <f t="shared" si="23"/>
        <v>5314.8560799147881</v>
      </c>
    </row>
    <row r="119" spans="2:11" ht="14.5" thickBot="1" x14ac:dyDescent="0.4">
      <c r="B119" s="1252" t="s">
        <v>152</v>
      </c>
      <c r="C119" s="1253">
        <f>'Balance Sheet'!H20</f>
        <v>2824.3231018543015</v>
      </c>
      <c r="D119" s="1253">
        <f>'Balance Sheet'!I20</f>
        <v>3101.7233190208435</v>
      </c>
      <c r="E119" s="1253">
        <f>'Balance Sheet'!J20</f>
        <v>3257.3345510905697</v>
      </c>
      <c r="F119" s="1253">
        <f>'Balance Sheet'!K20</f>
        <v>3332.7959833703671</v>
      </c>
      <c r="G119" s="1253">
        <f>'Balance Sheet'!L20</f>
        <v>3405.476827321063</v>
      </c>
      <c r="H119" s="1253">
        <f>'Balance Sheet'!M20</f>
        <v>3480.4364206510777</v>
      </c>
      <c r="I119" s="1253">
        <f>'Balance Sheet'!N20</f>
        <v>3557.9425975902141</v>
      </c>
      <c r="J119" s="1253">
        <f>'Balance Sheet'!O20</f>
        <v>3637.8827328340431</v>
      </c>
      <c r="K119" s="1253">
        <f>'Balance Sheet'!P20</f>
        <v>3676.612286164584</v>
      </c>
    </row>
    <row r="120" spans="2:11" ht="14.5" thickBot="1" x14ac:dyDescent="0.4">
      <c r="B120" s="1252" t="s">
        <v>1417</v>
      </c>
      <c r="C120" s="1267">
        <f>'Balance Sheet'!H22</f>
        <v>770.13</v>
      </c>
      <c r="D120" s="1267">
        <f>'Balance Sheet'!I22</f>
        <v>770.13</v>
      </c>
      <c r="E120" s="1267">
        <f>'Balance Sheet'!J22</f>
        <v>770.13</v>
      </c>
      <c r="F120" s="1267">
        <f>'Balance Sheet'!K22</f>
        <v>770.13</v>
      </c>
      <c r="G120" s="1267">
        <f>'Balance Sheet'!L22</f>
        <v>770.13</v>
      </c>
      <c r="H120" s="1267">
        <f>'Balance Sheet'!M22</f>
        <v>770.13</v>
      </c>
      <c r="I120" s="1267">
        <f>'Balance Sheet'!N22</f>
        <v>770.13</v>
      </c>
      <c r="J120" s="1267">
        <f>'Balance Sheet'!O22</f>
        <v>770.13</v>
      </c>
      <c r="K120" s="1267">
        <f>'Balance Sheet'!P22</f>
        <v>770.13</v>
      </c>
    </row>
    <row r="121" spans="2:11" ht="14.5" thickBot="1" x14ac:dyDescent="0.4">
      <c r="B121" s="1252" t="s">
        <v>182</v>
      </c>
      <c r="C121" s="1267">
        <f>'Balance Sheet'!H23</f>
        <v>179.81821058331286</v>
      </c>
      <c r="D121" s="1267">
        <f>'Balance Sheet'!I23</f>
        <v>197.14785897399614</v>
      </c>
      <c r="E121" s="1267">
        <f>'Balance Sheet'!J23</f>
        <v>213.08692933507467</v>
      </c>
      <c r="F121" s="1267">
        <f>'Balance Sheet'!K23</f>
        <v>220.94907558182902</v>
      </c>
      <c r="G121" s="1267">
        <f>'Balance Sheet'!L23</f>
        <v>226.31584435537064</v>
      </c>
      <c r="H121" s="1267">
        <f>'Balance Sheet'!M23</f>
        <v>231.73706997282187</v>
      </c>
      <c r="I121" s="1267">
        <f>'Balance Sheet'!N23</f>
        <v>237.28650033603523</v>
      </c>
      <c r="J121" s="1267">
        <f>'Balance Sheet'!O23</f>
        <v>242.96978653060688</v>
      </c>
      <c r="K121" s="1267">
        <f>'Balance Sheet'!P23</f>
        <v>248.79017735376618</v>
      </c>
    </row>
    <row r="122" spans="2:11" ht="14.5" thickBot="1" x14ac:dyDescent="0.4">
      <c r="B122" s="1252" t="s">
        <v>1418</v>
      </c>
      <c r="C122" s="1267">
        <f>'Balance Sheet'!H24</f>
        <v>27.593922838053928</v>
      </c>
      <c r="D122" s="1267">
        <f>'Balance Sheet'!I24</f>
        <v>101.93703468313653</v>
      </c>
      <c r="E122" s="1267">
        <f>'Balance Sheet'!J24</f>
        <v>174.09302659134187</v>
      </c>
      <c r="F122" s="1267">
        <f>'Balance Sheet'!K24</f>
        <v>252.66168734501946</v>
      </c>
      <c r="G122" s="1267">
        <f>'Balance Sheet'!L24</f>
        <v>322.09782090093131</v>
      </c>
      <c r="H122" s="1267">
        <f>'Balance Sheet'!M24</f>
        <v>406.75244005752171</v>
      </c>
      <c r="I122" s="1267">
        <f>'Balance Sheet'!N24</f>
        <v>479.72841518068168</v>
      </c>
      <c r="J122" s="1267">
        <f>'Balance Sheet'!O24</f>
        <v>607.38359697882561</v>
      </c>
      <c r="K122" s="1267">
        <f>'Balance Sheet'!P24</f>
        <v>735.81539033800163</v>
      </c>
    </row>
    <row r="123" spans="2:11" ht="14.5" thickBot="1" x14ac:dyDescent="0.4">
      <c r="B123" s="1252" t="s">
        <v>1419</v>
      </c>
      <c r="C123" s="1267">
        <f>'Balance Sheet'!H26</f>
        <v>0</v>
      </c>
      <c r="D123" s="1267">
        <f>'Balance Sheet'!I26</f>
        <v>0</v>
      </c>
      <c r="E123" s="1267">
        <f>'Balance Sheet'!J26</f>
        <v>0</v>
      </c>
      <c r="F123" s="1267">
        <f>'Balance Sheet'!K26</f>
        <v>0</v>
      </c>
      <c r="G123" s="1267">
        <f>'Balance Sheet'!L26</f>
        <v>0</v>
      </c>
      <c r="H123" s="1267">
        <f>'Balance Sheet'!M26</f>
        <v>0</v>
      </c>
      <c r="I123" s="1267">
        <f>'Balance Sheet'!N26</f>
        <v>0</v>
      </c>
      <c r="J123" s="1267">
        <f>'Balance Sheet'!O26</f>
        <v>0</v>
      </c>
      <c r="K123" s="1267">
        <f>'Balance Sheet'!P26</f>
        <v>0</v>
      </c>
    </row>
    <row r="124" spans="2:11" ht="14.5" thickBot="1" x14ac:dyDescent="0.4">
      <c r="B124" s="1252" t="s">
        <v>1420</v>
      </c>
      <c r="C124" s="1267">
        <f>'Balance Sheet'!H27</f>
        <v>2088.7900000000004</v>
      </c>
      <c r="D124" s="1267">
        <f>'Balance Sheet'!I27</f>
        <v>2088.7900000000004</v>
      </c>
      <c r="E124" s="1267">
        <f>'Balance Sheet'!J27</f>
        <v>2088.7900000000004</v>
      </c>
      <c r="F124" s="1267">
        <f>'Balance Sheet'!K27</f>
        <v>2088.7900000000004</v>
      </c>
      <c r="G124" s="1267">
        <f>'Balance Sheet'!L27</f>
        <v>2088.7900000000004</v>
      </c>
      <c r="H124" s="1267">
        <f>'Balance Sheet'!M27</f>
        <v>2088.7900000000004</v>
      </c>
      <c r="I124" s="1267">
        <f>'Balance Sheet'!N27</f>
        <v>2088.7900000000004</v>
      </c>
      <c r="J124" s="1267">
        <f>'Balance Sheet'!O27</f>
        <v>2088.7900000000004</v>
      </c>
      <c r="K124" s="1267">
        <f>'Balance Sheet'!P27</f>
        <v>2088.7900000000004</v>
      </c>
    </row>
    <row r="125" spans="2:11" ht="14.5" thickBot="1" x14ac:dyDescent="0.4">
      <c r="B125" s="1252" t="s">
        <v>159</v>
      </c>
      <c r="C125" s="1267">
        <f>+'Balance Sheet'!H28+'Balance Sheet'!H30+'Balance Sheet'!H31+'Balance Sheet'!H29</f>
        <v>693.07655155399993</v>
      </c>
      <c r="D125" s="1267">
        <f>+'Balance Sheet'!I28+'Balance Sheet'!I30+'Balance Sheet'!I31+'Balance Sheet'!I29</f>
        <v>693.07655155399993</v>
      </c>
      <c r="E125" s="1267">
        <f>+'Balance Sheet'!J28+'Balance Sheet'!J30+'Balance Sheet'!J31+'Balance Sheet'!J29</f>
        <v>693.07655155399993</v>
      </c>
      <c r="F125" s="1267">
        <f>+'Balance Sheet'!K28+'Balance Sheet'!K30+'Balance Sheet'!K31+'Balance Sheet'!K29</f>
        <v>693.07655155399993</v>
      </c>
      <c r="G125" s="1267">
        <f>+'Balance Sheet'!L28+'Balance Sheet'!L30+'Balance Sheet'!L31+'Balance Sheet'!L29</f>
        <v>693.07655155399993</v>
      </c>
      <c r="H125" s="1267">
        <f>+'Balance Sheet'!M28+'Balance Sheet'!M30+'Balance Sheet'!M31+'Balance Sheet'!M29</f>
        <v>693.07655155399993</v>
      </c>
      <c r="I125" s="1267">
        <f>+'Balance Sheet'!N28+'Balance Sheet'!N30+'Balance Sheet'!N31+'Balance Sheet'!N29</f>
        <v>693.07655155399993</v>
      </c>
      <c r="J125" s="1267">
        <f>+'Balance Sheet'!O28+'Balance Sheet'!O30+'Balance Sheet'!O31+'Balance Sheet'!O29</f>
        <v>693.07655155399993</v>
      </c>
      <c r="K125" s="1267">
        <f>+'Balance Sheet'!P28+'Balance Sheet'!P30+'Balance Sheet'!P31+'Balance Sheet'!P29</f>
        <v>693.07655155399993</v>
      </c>
    </row>
    <row r="126" spans="2:11" ht="14.5" thickBot="1" x14ac:dyDescent="0.4">
      <c r="B126" s="1250" t="s">
        <v>410</v>
      </c>
      <c r="C126" s="1259">
        <f t="shared" ref="C126:K126" si="24">SUM(C119:C125)</f>
        <v>6583.7317868296686</v>
      </c>
      <c r="D126" s="1259">
        <f t="shared" si="24"/>
        <v>6952.8047642319771</v>
      </c>
      <c r="E126" s="1259">
        <f t="shared" si="24"/>
        <v>7196.5110585709872</v>
      </c>
      <c r="F126" s="1259">
        <f t="shared" si="24"/>
        <v>7358.4032978512159</v>
      </c>
      <c r="G126" s="1259">
        <f t="shared" si="24"/>
        <v>7505.8870441313657</v>
      </c>
      <c r="H126" s="1259">
        <f t="shared" si="24"/>
        <v>7670.9224822354217</v>
      </c>
      <c r="I126" s="1259">
        <f t="shared" si="24"/>
        <v>7826.9540646609303</v>
      </c>
      <c r="J126" s="1259">
        <f t="shared" si="24"/>
        <v>8040.2326678974759</v>
      </c>
      <c r="K126" s="1259">
        <f t="shared" si="24"/>
        <v>8213.2144054103519</v>
      </c>
    </row>
    <row r="127" spans="2:11" ht="14.5" thickBot="1" x14ac:dyDescent="0.4">
      <c r="B127" s="1248" t="s">
        <v>411</v>
      </c>
      <c r="C127" s="1260">
        <f t="shared" ref="C127:K127" si="25">+C126+C118</f>
        <v>13419.392361513088</v>
      </c>
      <c r="D127" s="1260">
        <f t="shared" si="25"/>
        <v>13588.260914559502</v>
      </c>
      <c r="E127" s="1260">
        <f t="shared" si="25"/>
        <v>13632.827785903304</v>
      </c>
      <c r="F127" s="1260">
        <f t="shared" si="25"/>
        <v>13595.095603549016</v>
      </c>
      <c r="G127" s="1260">
        <f t="shared" si="25"/>
        <v>13542.933041369684</v>
      </c>
      <c r="H127" s="1260">
        <f t="shared" si="25"/>
        <v>13508.244682923469</v>
      </c>
      <c r="I127" s="1260">
        <f t="shared" si="25"/>
        <v>13464.067470159393</v>
      </c>
      <c r="J127" s="1260">
        <f t="shared" si="25"/>
        <v>13485.441350208195</v>
      </c>
      <c r="K127" s="1260">
        <f t="shared" si="25"/>
        <v>13528.070485325141</v>
      </c>
    </row>
    <row r="128" spans="2:11" ht="15" thickBot="1" x14ac:dyDescent="0.4">
      <c r="B128" s="1252"/>
      <c r="C128" s="1261"/>
      <c r="D128" s="1261"/>
      <c r="E128" s="1261"/>
      <c r="F128" s="1261"/>
      <c r="G128" s="1261"/>
      <c r="H128" s="1261"/>
      <c r="I128" s="1261"/>
      <c r="J128" s="1261"/>
      <c r="K128" s="1261"/>
    </row>
    <row r="129" spans="2:11" ht="14.5" thickBot="1" x14ac:dyDescent="0.4">
      <c r="B129" s="1248" t="s">
        <v>1436</v>
      </c>
      <c r="C129" s="1262"/>
      <c r="D129" s="1262"/>
      <c r="E129" s="1262"/>
      <c r="F129" s="1262"/>
      <c r="G129" s="1262"/>
      <c r="H129" s="1262"/>
      <c r="I129" s="1262"/>
      <c r="J129" s="1262"/>
      <c r="K129" s="1262"/>
    </row>
    <row r="130" spans="2:11" ht="14.5" thickBot="1" x14ac:dyDescent="0.4">
      <c r="B130" s="1252" t="s">
        <v>162</v>
      </c>
      <c r="C130" s="1253">
        <f>'Balance Sheet'!H37</f>
        <v>929.27873700000009</v>
      </c>
      <c r="D130" s="1253">
        <f>'Balance Sheet'!I37</f>
        <v>929.27873700000009</v>
      </c>
      <c r="E130" s="1253">
        <f>'Balance Sheet'!J37</f>
        <v>929.27873700000009</v>
      </c>
      <c r="F130" s="1253">
        <f>'Balance Sheet'!K37</f>
        <v>929.27873700000009</v>
      </c>
      <c r="G130" s="1253">
        <f>'Balance Sheet'!L37</f>
        <v>929.27873700000009</v>
      </c>
      <c r="H130" s="1253">
        <f>'Balance Sheet'!M37</f>
        <v>929.27873700000009</v>
      </c>
      <c r="I130" s="1253">
        <f>'Balance Sheet'!N37</f>
        <v>929.27873700000009</v>
      </c>
      <c r="J130" s="1253">
        <f>'Balance Sheet'!O37</f>
        <v>929.27873700000009</v>
      </c>
      <c r="K130" s="1253">
        <f>'Balance Sheet'!P37</f>
        <v>929.27873700000009</v>
      </c>
    </row>
    <row r="131" spans="2:11" ht="14.5" thickBot="1" x14ac:dyDescent="0.4">
      <c r="B131" s="1252" t="s">
        <v>922</v>
      </c>
      <c r="C131" s="1253">
        <f>'Balance Sheet'!H38</f>
        <v>639</v>
      </c>
      <c r="D131" s="1253">
        <f>'Balance Sheet'!I38</f>
        <v>639</v>
      </c>
      <c r="E131" s="1253">
        <f>'Balance Sheet'!J38</f>
        <v>639</v>
      </c>
      <c r="F131" s="1253">
        <f>'Balance Sheet'!K38</f>
        <v>639</v>
      </c>
      <c r="G131" s="1253">
        <f>'Balance Sheet'!L38</f>
        <v>639</v>
      </c>
      <c r="H131" s="1253">
        <f>'Balance Sheet'!M38</f>
        <v>639</v>
      </c>
      <c r="I131" s="1253">
        <f>'Balance Sheet'!N38</f>
        <v>639</v>
      </c>
      <c r="J131" s="1253">
        <f>'Balance Sheet'!O38</f>
        <v>639</v>
      </c>
      <c r="K131" s="1253">
        <f>'Balance Sheet'!P38</f>
        <v>639</v>
      </c>
    </row>
    <row r="132" spans="2:11" ht="14.5" thickBot="1" x14ac:dyDescent="0.4">
      <c r="B132" s="1252" t="s">
        <v>163</v>
      </c>
      <c r="C132" s="1253">
        <f>'Balance Sheet'!H39</f>
        <v>7086.9743454121653</v>
      </c>
      <c r="D132" s="1253">
        <f>'Balance Sheet'!I39</f>
        <v>7221.6887761951157</v>
      </c>
      <c r="E132" s="1253">
        <f>'Balance Sheet'!J39</f>
        <v>7402.8691129910021</v>
      </c>
      <c r="F132" s="1253">
        <f>'Balance Sheet'!K39</f>
        <v>7610.2556439810805</v>
      </c>
      <c r="G132" s="1253">
        <f>'Balance Sheet'!L39</f>
        <v>7842.9317660908646</v>
      </c>
      <c r="H132" s="1253">
        <f>'Balance Sheet'!M39</f>
        <v>8104.2771916281099</v>
      </c>
      <c r="I132" s="1253">
        <f>'Balance Sheet'!N39</f>
        <v>8396.7472225343972</v>
      </c>
      <c r="J132" s="1253">
        <f>'Balance Sheet'!O39</f>
        <v>8718.1075179302079</v>
      </c>
      <c r="K132" s="1253">
        <f>'Balance Sheet'!P39</f>
        <v>9123.172406876025</v>
      </c>
    </row>
    <row r="133" spans="2:11" ht="14.5" thickBot="1" x14ac:dyDescent="0.4">
      <c r="B133" s="1250" t="s">
        <v>1421</v>
      </c>
      <c r="C133" s="1254">
        <f t="shared" ref="C133:K133" si="26">SUM(C130:C132)</f>
        <v>8655.2530824121659</v>
      </c>
      <c r="D133" s="1254">
        <f t="shared" si="26"/>
        <v>8789.9675131951153</v>
      </c>
      <c r="E133" s="1254">
        <f t="shared" si="26"/>
        <v>8971.1478499910027</v>
      </c>
      <c r="F133" s="1254">
        <f t="shared" si="26"/>
        <v>9178.5343809810802</v>
      </c>
      <c r="G133" s="1254">
        <f t="shared" si="26"/>
        <v>9411.2105030908642</v>
      </c>
      <c r="H133" s="1254">
        <f t="shared" si="26"/>
        <v>9672.5559286281095</v>
      </c>
      <c r="I133" s="1254">
        <f t="shared" si="26"/>
        <v>9965.0259595343978</v>
      </c>
      <c r="J133" s="1254">
        <f t="shared" si="26"/>
        <v>10286.386254930208</v>
      </c>
      <c r="K133" s="1254">
        <f t="shared" si="26"/>
        <v>10691.451143876026</v>
      </c>
    </row>
    <row r="134" spans="2:11" ht="14.5" thickBot="1" x14ac:dyDescent="0.4">
      <c r="B134" s="1252" t="s">
        <v>1422</v>
      </c>
      <c r="C134" s="1253">
        <f t="shared" ref="C134:K134" si="27">+C135+C136</f>
        <v>1162.0460258140449</v>
      </c>
      <c r="D134" s="1253">
        <f t="shared" si="27"/>
        <v>1033.5865639872966</v>
      </c>
      <c r="E134" s="1253">
        <f t="shared" si="27"/>
        <v>905.25771054739812</v>
      </c>
      <c r="F134" s="1253">
        <f t="shared" si="27"/>
        <v>764.12035199572188</v>
      </c>
      <c r="G134" s="1253">
        <f t="shared" si="27"/>
        <v>623.14682860451046</v>
      </c>
      <c r="H134" s="1253">
        <f t="shared" si="27"/>
        <v>417.58286806776977</v>
      </c>
      <c r="I134" s="1253">
        <f t="shared" si="27"/>
        <v>212.22442235631615</v>
      </c>
      <c r="J134" s="1253">
        <f t="shared" si="27"/>
        <v>20.050939754234111</v>
      </c>
      <c r="K134" s="1253">
        <f t="shared" si="27"/>
        <v>22.457052524742203</v>
      </c>
    </row>
    <row r="135" spans="2:11" ht="14.5" thickBot="1" x14ac:dyDescent="0.4">
      <c r="B135" s="1263" t="s">
        <v>515</v>
      </c>
      <c r="C135" s="1264">
        <f>'Balance Sheet'!H45</f>
        <v>1152.9759989494498</v>
      </c>
      <c r="D135" s="1264">
        <f>'Balance Sheet'!I45</f>
        <v>1023.42813389895</v>
      </c>
      <c r="E135" s="1264">
        <f>'Balance Sheet'!J45</f>
        <v>893.88026884844999</v>
      </c>
      <c r="F135" s="1264">
        <f>'Balance Sheet'!K45</f>
        <v>751.37761729290003</v>
      </c>
      <c r="G135" s="1264">
        <f>'Balance Sheet'!L45</f>
        <v>608.87496573734995</v>
      </c>
      <c r="H135" s="1264">
        <f>'Balance Sheet'!M45</f>
        <v>401.59838165654998</v>
      </c>
      <c r="I135" s="1264">
        <f>'Balance Sheet'!N45</f>
        <v>194.32179757574997</v>
      </c>
      <c r="J135" s="1264">
        <f>'Balance Sheet'!O45</f>
        <v>0</v>
      </c>
      <c r="K135" s="1264">
        <f>'Balance Sheet'!P45</f>
        <v>0</v>
      </c>
    </row>
    <row r="136" spans="2:11" ht="14.5" thickBot="1" x14ac:dyDescent="0.4">
      <c r="B136" s="1263" t="s">
        <v>516</v>
      </c>
      <c r="C136" s="1264">
        <f>'Balance Sheet'!H46</f>
        <v>9.0700268645951301</v>
      </c>
      <c r="D136" s="1264">
        <f>'Balance Sheet'!I46</f>
        <v>10.158430088346545</v>
      </c>
      <c r="E136" s="1264">
        <f>'Balance Sheet'!J46</f>
        <v>11.377441698948129</v>
      </c>
      <c r="F136" s="1264">
        <f>'Balance Sheet'!K46</f>
        <v>12.742734702821906</v>
      </c>
      <c r="G136" s="1264">
        <f>'Balance Sheet'!L46</f>
        <v>14.271862867160534</v>
      </c>
      <c r="H136" s="1264">
        <f>'Balance Sheet'!M46</f>
        <v>15.984486411219796</v>
      </c>
      <c r="I136" s="1264">
        <f>'Balance Sheet'!N46</f>
        <v>17.902624780566171</v>
      </c>
      <c r="J136" s="1264">
        <f>'Balance Sheet'!O46</f>
        <v>20.050939754234111</v>
      </c>
      <c r="K136" s="1264">
        <f>'Balance Sheet'!P46</f>
        <v>22.457052524742203</v>
      </c>
    </row>
    <row r="137" spans="2:11" ht="14.5" thickBot="1" x14ac:dyDescent="0.4">
      <c r="B137" s="1252" t="s">
        <v>168</v>
      </c>
      <c r="C137" s="1267">
        <f>+'Balance Sheet'!H49+'Balance Sheet'!H50+'Balance Sheet'!H51+'Balance Sheet'!H52</f>
        <v>619.59</v>
      </c>
      <c r="D137" s="1267">
        <f>+'Balance Sheet'!I49+'Balance Sheet'!I50+'Balance Sheet'!I51+'Balance Sheet'!I52</f>
        <v>619.59</v>
      </c>
      <c r="E137" s="1267">
        <f>+'Balance Sheet'!J49+'Balance Sheet'!J50+'Balance Sheet'!J51+'Balance Sheet'!J52</f>
        <v>619.59</v>
      </c>
      <c r="F137" s="1267">
        <f>+'Balance Sheet'!K49+'Balance Sheet'!K50+'Balance Sheet'!K51+'Balance Sheet'!K52</f>
        <v>619.59</v>
      </c>
      <c r="G137" s="1267">
        <f>+'Balance Sheet'!L49+'Balance Sheet'!L50+'Balance Sheet'!L51+'Balance Sheet'!L52</f>
        <v>619.59</v>
      </c>
      <c r="H137" s="1267">
        <f>+'Balance Sheet'!M49+'Balance Sheet'!M50+'Balance Sheet'!M51+'Balance Sheet'!M52</f>
        <v>619.59</v>
      </c>
      <c r="I137" s="1267">
        <f>+'Balance Sheet'!N49+'Balance Sheet'!N50+'Balance Sheet'!N51+'Balance Sheet'!N52</f>
        <v>619.59</v>
      </c>
      <c r="J137" s="1267">
        <f>+'Balance Sheet'!O49+'Balance Sheet'!O50+'Balance Sheet'!O51+'Balance Sheet'!O52</f>
        <v>619.59</v>
      </c>
      <c r="K137" s="1267">
        <f>+'Balance Sheet'!P49+'Balance Sheet'!P50+'Balance Sheet'!P51+'Balance Sheet'!P52</f>
        <v>619.59</v>
      </c>
    </row>
    <row r="138" spans="2:11" ht="14.5" thickBot="1" x14ac:dyDescent="0.4">
      <c r="B138" s="1250" t="s">
        <v>1437</v>
      </c>
      <c r="C138" s="1254">
        <f t="shared" ref="C138:K138" si="28">SUM(C135:C137)</f>
        <v>1781.6360258140448</v>
      </c>
      <c r="D138" s="1254">
        <f t="shared" si="28"/>
        <v>1653.1765639872965</v>
      </c>
      <c r="E138" s="1254">
        <f t="shared" si="28"/>
        <v>1524.847710547398</v>
      </c>
      <c r="F138" s="1254">
        <f t="shared" si="28"/>
        <v>1383.7103519957218</v>
      </c>
      <c r="G138" s="1254">
        <f t="shared" si="28"/>
        <v>1242.7368286045105</v>
      </c>
      <c r="H138" s="1254">
        <f t="shared" si="28"/>
        <v>1037.1728680677697</v>
      </c>
      <c r="I138" s="1254">
        <f t="shared" si="28"/>
        <v>831.81442235631619</v>
      </c>
      <c r="J138" s="1254">
        <f t="shared" si="28"/>
        <v>639.64093975423418</v>
      </c>
      <c r="K138" s="1254">
        <f t="shared" si="28"/>
        <v>642.04705252474218</v>
      </c>
    </row>
    <row r="139" spans="2:11" ht="14.5" thickBot="1" x14ac:dyDescent="0.4">
      <c r="B139" s="1252" t="s">
        <v>1438</v>
      </c>
      <c r="C139" s="1267">
        <f>'Balance Sheet'!H57</f>
        <v>0</v>
      </c>
      <c r="D139" s="1267">
        <f>'Balance Sheet'!I57</f>
        <v>0</v>
      </c>
      <c r="E139" s="1267">
        <f>'Balance Sheet'!J57</f>
        <v>924.60167862344667</v>
      </c>
      <c r="F139" s="1267">
        <f>'Balance Sheet'!K57</f>
        <v>1070.1099999999999</v>
      </c>
      <c r="G139" s="1267">
        <f>'Balance Sheet'!L57</f>
        <v>1070.1099999999999</v>
      </c>
      <c r="H139" s="1267">
        <f>'Balance Sheet'!M57</f>
        <v>1070.1099999999999</v>
      </c>
      <c r="I139" s="1267">
        <f>'Balance Sheet'!N57</f>
        <v>1070.1099999999999</v>
      </c>
      <c r="J139" s="1267">
        <f>'Balance Sheet'!O57</f>
        <v>1070.1099999999999</v>
      </c>
      <c r="K139" s="1267">
        <f>'Balance Sheet'!P57</f>
        <v>1070.1099999999999</v>
      </c>
    </row>
    <row r="140" spans="2:11" ht="14.5" thickBot="1" x14ac:dyDescent="0.4">
      <c r="B140" s="1263" t="s">
        <v>528</v>
      </c>
      <c r="C140" s="1268">
        <f>'Balance Sheet'!H58</f>
        <v>2663.369454869488</v>
      </c>
      <c r="D140" s="1268">
        <f>'Balance Sheet'!I58</f>
        <v>2805.3045041885516</v>
      </c>
      <c r="E140" s="1268">
        <f>'Balance Sheet'!J58</f>
        <v>1871.6691083606281</v>
      </c>
      <c r="F140" s="1268">
        <f>'Balance Sheet'!K58</f>
        <v>1651.1156674835381</v>
      </c>
      <c r="G140" s="1268">
        <f>'Balance Sheet'!L58</f>
        <v>1526.2500451300953</v>
      </c>
      <c r="H140" s="1268">
        <f>'Balance Sheet'!M58</f>
        <v>1431.5172837082278</v>
      </c>
      <c r="I140" s="1268">
        <f>'Balance Sheet'!N58</f>
        <v>1295.8810210768729</v>
      </c>
      <c r="J140" s="1268">
        <f>'Balance Sheet'!O58</f>
        <v>1117.0129364775298</v>
      </c>
      <c r="K140" s="1268">
        <f>'Balance Sheet'!P58</f>
        <v>747.70229854956426</v>
      </c>
    </row>
    <row r="141" spans="2:11" ht="14.5" thickBot="1" x14ac:dyDescent="0.4">
      <c r="B141" s="1263" t="s">
        <v>529</v>
      </c>
      <c r="C141" s="1268">
        <f>'Balance Sheet'!H59</f>
        <v>239.61842952036065</v>
      </c>
      <c r="D141" s="1268">
        <f>'Balance Sheet'!I59</f>
        <v>260.29696429150925</v>
      </c>
      <c r="E141" s="1268">
        <f>'Balance Sheet'!J59</f>
        <v>261.04606948380149</v>
      </c>
      <c r="F141" s="1268">
        <f>'Balance Sheet'!K59</f>
        <v>232.10983419164734</v>
      </c>
      <c r="G141" s="1268">
        <f>'Balance Sheet'!L59</f>
        <v>213.11029564718348</v>
      </c>
      <c r="H141" s="1268">
        <f>'Balance Sheet'!M59</f>
        <v>217.37323362233064</v>
      </c>
      <c r="I141" s="1268">
        <f>'Balance Sheet'!N59</f>
        <v>221.72069829477726</v>
      </c>
      <c r="J141" s="1268">
        <f>'Balance Sheet'!O59</f>
        <v>226.10184665613554</v>
      </c>
      <c r="K141" s="1268">
        <f>'Balance Sheet'!P59</f>
        <v>230.57061798472088</v>
      </c>
    </row>
    <row r="142" spans="2:11" ht="14.5" thickBot="1" x14ac:dyDescent="0.4">
      <c r="B142" s="1252" t="s">
        <v>1423</v>
      </c>
      <c r="C142" s="1253">
        <f t="shared" ref="C142:K142" si="29">SUM(C140:C141)</f>
        <v>2902.9878843898487</v>
      </c>
      <c r="D142" s="1253">
        <f t="shared" si="29"/>
        <v>3065.6014684800607</v>
      </c>
      <c r="E142" s="1253">
        <f t="shared" si="29"/>
        <v>2132.7151778444295</v>
      </c>
      <c r="F142" s="1253">
        <f t="shared" si="29"/>
        <v>1883.2255016751856</v>
      </c>
      <c r="G142" s="1253">
        <f t="shared" si="29"/>
        <v>1739.3603407772787</v>
      </c>
      <c r="H142" s="1253">
        <f t="shared" si="29"/>
        <v>1648.8905173305584</v>
      </c>
      <c r="I142" s="1253">
        <f t="shared" si="29"/>
        <v>1517.6017193716502</v>
      </c>
      <c r="J142" s="1253">
        <f t="shared" si="29"/>
        <v>1343.1147831336652</v>
      </c>
      <c r="K142" s="1253">
        <f t="shared" si="29"/>
        <v>978.27291653428517</v>
      </c>
    </row>
    <row r="143" spans="2:11" ht="14.5" thickBot="1" x14ac:dyDescent="0.4">
      <c r="B143" s="1252" t="s">
        <v>170</v>
      </c>
      <c r="C143" s="1267">
        <f>'Balance Sheet'!H61+'Balance Sheet'!H62+'Balance Sheet'!H63</f>
        <v>146.191884161384</v>
      </c>
      <c r="D143" s="1267">
        <f>'Balance Sheet'!I61+'Balance Sheet'!I62+'Balance Sheet'!I63</f>
        <v>146.191884161384</v>
      </c>
      <c r="E143" s="1267">
        <f>'Balance Sheet'!J61+'Balance Sheet'!J62+'Balance Sheet'!J63</f>
        <v>146.191884161384</v>
      </c>
      <c r="F143" s="1267">
        <f>'Balance Sheet'!K61+'Balance Sheet'!K62+'Balance Sheet'!K63</f>
        <v>146.191884161384</v>
      </c>
      <c r="G143" s="1267">
        <f>'Balance Sheet'!L61+'Balance Sheet'!L62+'Balance Sheet'!L63</f>
        <v>146.191884161384</v>
      </c>
      <c r="H143" s="1267">
        <f>'Balance Sheet'!M61+'Balance Sheet'!M62+'Balance Sheet'!M63</f>
        <v>146.191884161384</v>
      </c>
      <c r="I143" s="1267">
        <f>'Balance Sheet'!N61+'Balance Sheet'!N62+'Balance Sheet'!N63</f>
        <v>146.191884161384</v>
      </c>
      <c r="J143" s="1267">
        <f>'Balance Sheet'!O61+'Balance Sheet'!O62+'Balance Sheet'!O63</f>
        <v>146.191884161384</v>
      </c>
      <c r="K143" s="1267">
        <f>'Balance Sheet'!P61+'Balance Sheet'!P62+'Balance Sheet'!P63</f>
        <v>146.191884161384</v>
      </c>
    </row>
    <row r="144" spans="2:11" ht="14.5" thickBot="1" x14ac:dyDescent="0.4">
      <c r="B144" s="1250" t="s">
        <v>1424</v>
      </c>
      <c r="C144" s="1254">
        <f t="shared" ref="C144:K144" si="30">+C143+C142+C139</f>
        <v>3049.1797685512329</v>
      </c>
      <c r="D144" s="1254">
        <f t="shared" si="30"/>
        <v>3211.7933526414445</v>
      </c>
      <c r="E144" s="1254">
        <f t="shared" si="30"/>
        <v>3203.5087406292605</v>
      </c>
      <c r="F144" s="1254">
        <f t="shared" si="30"/>
        <v>3099.5273858365695</v>
      </c>
      <c r="G144" s="1254">
        <f t="shared" si="30"/>
        <v>2955.6622249386628</v>
      </c>
      <c r="H144" s="1254">
        <f t="shared" si="30"/>
        <v>2865.1924014919423</v>
      </c>
      <c r="I144" s="1254">
        <f t="shared" si="30"/>
        <v>2733.9036035330341</v>
      </c>
      <c r="J144" s="1254">
        <f t="shared" si="30"/>
        <v>2559.4166672950491</v>
      </c>
      <c r="K144" s="1254">
        <f t="shared" si="30"/>
        <v>2194.5748006956692</v>
      </c>
    </row>
    <row r="145" spans="2:11" ht="14.5" thickBot="1" x14ac:dyDescent="0.4">
      <c r="B145" s="1248" t="s">
        <v>1425</v>
      </c>
      <c r="C145" s="1260">
        <f t="shared" ref="C145:K145" si="31">+C144+C138+C133</f>
        <v>13486.068876777445</v>
      </c>
      <c r="D145" s="1260">
        <f t="shared" si="31"/>
        <v>13654.937429823856</v>
      </c>
      <c r="E145" s="1260">
        <f t="shared" si="31"/>
        <v>13699.504301167661</v>
      </c>
      <c r="F145" s="1260">
        <f t="shared" si="31"/>
        <v>13661.772118813371</v>
      </c>
      <c r="G145" s="1260">
        <f t="shared" si="31"/>
        <v>13609.609556634037</v>
      </c>
      <c r="H145" s="1260">
        <f t="shared" si="31"/>
        <v>13574.921198187822</v>
      </c>
      <c r="I145" s="1260">
        <f t="shared" si="31"/>
        <v>13530.743985423749</v>
      </c>
      <c r="J145" s="1260">
        <f t="shared" si="31"/>
        <v>13485.443861979493</v>
      </c>
      <c r="K145" s="1260">
        <f t="shared" si="31"/>
        <v>13528.072997096437</v>
      </c>
    </row>
    <row r="146" spans="2:11" x14ac:dyDescent="0.35">
      <c r="C146" s="1269">
        <f t="shared" ref="C146:K146" si="32">+C145-C127</f>
        <v>66.676515264356567</v>
      </c>
      <c r="D146" s="1269">
        <f t="shared" si="32"/>
        <v>66.676515264354748</v>
      </c>
      <c r="E146" s="1269">
        <f t="shared" si="32"/>
        <v>66.676515264356567</v>
      </c>
      <c r="F146" s="1269">
        <f t="shared" si="32"/>
        <v>66.676515264354748</v>
      </c>
      <c r="G146" s="1269">
        <f t="shared" si="32"/>
        <v>66.676515264352929</v>
      </c>
      <c r="H146" s="1269">
        <f t="shared" si="32"/>
        <v>66.676515264352929</v>
      </c>
      <c r="I146" s="1269">
        <f t="shared" si="32"/>
        <v>66.676515264356567</v>
      </c>
      <c r="J146" s="1269">
        <f t="shared" si="32"/>
        <v>2.5117712975770701E-3</v>
      </c>
      <c r="K146" s="1269">
        <f t="shared" si="32"/>
        <v>2.5117712957580807E-3</v>
      </c>
    </row>
    <row r="147" spans="2:11" ht="14.5" thickBot="1" x14ac:dyDescent="0.4">
      <c r="B147" s="1762" t="s">
        <v>1667</v>
      </c>
    </row>
    <row r="148" spans="2:11" ht="14.5" thickBot="1" x14ac:dyDescent="0.4">
      <c r="B148" s="1246" t="s">
        <v>251</v>
      </c>
      <c r="C148" s="1247" t="s">
        <v>1401</v>
      </c>
      <c r="D148" s="1247" t="s">
        <v>1402</v>
      </c>
      <c r="E148" s="1247" t="s">
        <v>1403</v>
      </c>
      <c r="F148" s="1247" t="s">
        <v>1404</v>
      </c>
      <c r="G148" s="1247" t="s">
        <v>1405</v>
      </c>
      <c r="H148" s="1247" t="s">
        <v>1406</v>
      </c>
      <c r="I148" s="1247" t="s">
        <v>1407</v>
      </c>
      <c r="J148" s="1247" t="s">
        <v>1408</v>
      </c>
      <c r="K148" s="1247" t="s">
        <v>1409</v>
      </c>
    </row>
    <row r="149" spans="2:11" ht="14.5" thickBot="1" x14ac:dyDescent="0.4">
      <c r="B149" s="1248" t="s">
        <v>552</v>
      </c>
      <c r="C149" s="1270"/>
      <c r="D149" s="1270"/>
      <c r="E149" s="1270"/>
      <c r="F149" s="1270"/>
      <c r="G149" s="1270"/>
      <c r="H149" s="1270"/>
      <c r="I149" s="1270"/>
      <c r="J149" s="1270"/>
      <c r="K149" s="1270"/>
    </row>
    <row r="150" spans="2:11" ht="14.5" thickBot="1" x14ac:dyDescent="0.4">
      <c r="B150" s="1252" t="s">
        <v>1442</v>
      </c>
      <c r="C150" s="1272">
        <f>Cashflow!D6</f>
        <v>-1750.4695983542647</v>
      </c>
      <c r="D150" s="1272">
        <f>Cashflow!E6</f>
        <v>134.71443078294979</v>
      </c>
      <c r="E150" s="1272">
        <f>Cashflow!F6</f>
        <v>181.18033679588706</v>
      </c>
      <c r="F150" s="1272">
        <f>Cashflow!G6</f>
        <v>207.38653099007865</v>
      </c>
      <c r="G150" s="1272">
        <f>Cashflow!H6</f>
        <v>232.67612210978422</v>
      </c>
      <c r="H150" s="1272">
        <f>Cashflow!I6</f>
        <v>261.34542553724555</v>
      </c>
      <c r="I150" s="1272">
        <f>Cashflow!J6</f>
        <v>292.470030906288</v>
      </c>
      <c r="J150" s="1272">
        <f>Cashflow!K6</f>
        <v>321.36029539581011</v>
      </c>
      <c r="K150" s="1272">
        <f>Cashflow!L6</f>
        <v>405.0648889458177</v>
      </c>
    </row>
    <row r="151" spans="2:11" ht="15" thickBot="1" x14ac:dyDescent="0.4">
      <c r="B151" s="1250" t="s">
        <v>1441</v>
      </c>
      <c r="C151" s="1273"/>
      <c r="D151" s="1273"/>
      <c r="E151" s="1273"/>
      <c r="F151" s="1273"/>
      <c r="G151" s="1273"/>
      <c r="H151" s="1273"/>
      <c r="I151" s="1273"/>
      <c r="J151" s="1273"/>
      <c r="K151" s="1273"/>
    </row>
    <row r="152" spans="2:11" ht="14.5" thickBot="1" x14ac:dyDescent="0.4">
      <c r="B152" s="1252" t="s">
        <v>53</v>
      </c>
      <c r="C152" s="1272">
        <f>Cashflow!D8</f>
        <v>1927.8509328252517</v>
      </c>
      <c r="D152" s="1272">
        <f>Cashflow!E8</f>
        <v>115.37655044977427</v>
      </c>
      <c r="E152" s="1272">
        <f>Cashflow!F8</f>
        <v>149.47046473988843</v>
      </c>
      <c r="F152" s="1272">
        <f>Cashflow!G8</f>
        <v>143.70003839953796</v>
      </c>
      <c r="G152" s="1272">
        <f>Cashflow!H8</f>
        <v>129.91899332770834</v>
      </c>
      <c r="H152" s="1272">
        <f>Cashflow!I8</f>
        <v>113.90871434053656</v>
      </c>
      <c r="I152" s="1272">
        <f>Cashflow!J8</f>
        <v>93.709205164645553</v>
      </c>
      <c r="J152" s="1272">
        <f>Cashflow!K8</f>
        <v>74.130010808844659</v>
      </c>
      <c r="K152" s="1272">
        <f>Cashflow!L8</f>
        <v>62.483430773508132</v>
      </c>
    </row>
    <row r="153" spans="2:11" ht="14.5" thickBot="1" x14ac:dyDescent="0.4">
      <c r="B153" s="1252" t="s">
        <v>54</v>
      </c>
      <c r="C153" s="1272">
        <f>Cashflow!D9</f>
        <v>215.8294257165827</v>
      </c>
      <c r="D153" s="1272">
        <f>Cashflow!E9</f>
        <v>215.20442435589436</v>
      </c>
      <c r="E153" s="1272">
        <f>Cashflow!F9</f>
        <v>214.13942299520602</v>
      </c>
      <c r="F153" s="1272">
        <f>Cashflow!G9</f>
        <v>214.62442163451766</v>
      </c>
      <c r="G153" s="1272">
        <f>Cashflow!H9</f>
        <v>214.64630845948335</v>
      </c>
      <c r="H153" s="1272">
        <f>Cashflow!I9</f>
        <v>214.72379655027177</v>
      </c>
      <c r="I153" s="1272">
        <f>Cashflow!J9</f>
        <v>215.20879518958344</v>
      </c>
      <c r="J153" s="1272">
        <f>Cashflow!K9</f>
        <v>215.69379382889508</v>
      </c>
      <c r="K153" s="1272">
        <f>Cashflow!L9</f>
        <v>216.12553979254363</v>
      </c>
    </row>
    <row r="154" spans="2:11" ht="14.5" thickBot="1" x14ac:dyDescent="0.4">
      <c r="B154" s="1252" t="s">
        <v>307</v>
      </c>
      <c r="C154" s="1272">
        <f>Cashflow!D10</f>
        <v>393.21076018756969</v>
      </c>
      <c r="D154" s="1272">
        <f>Cashflow!E10</f>
        <v>465.29540558861845</v>
      </c>
      <c r="E154" s="1272">
        <f>Cashflow!F10</f>
        <v>544.7902245309815</v>
      </c>
      <c r="F154" s="1272">
        <f>Cashflow!G10</f>
        <v>565.71099102413427</v>
      </c>
      <c r="G154" s="1272">
        <f>Cashflow!H10</f>
        <v>577.2414238969759</v>
      </c>
      <c r="H154" s="1272">
        <f>Cashflow!I10</f>
        <v>589.97793642805391</v>
      </c>
      <c r="I154" s="1272">
        <f>Cashflow!J10</f>
        <v>601.38803126051698</v>
      </c>
      <c r="J154" s="1272">
        <f>Cashflow!K10</f>
        <v>611.18410003354984</v>
      </c>
      <c r="K154" s="1272">
        <f>Cashflow!L10</f>
        <v>683.67385951186952</v>
      </c>
    </row>
    <row r="155" spans="2:11" ht="15" thickBot="1" x14ac:dyDescent="0.4">
      <c r="B155" s="1250" t="s">
        <v>234</v>
      </c>
      <c r="C155" s="1273"/>
      <c r="D155" s="1273"/>
      <c r="E155" s="1273"/>
      <c r="F155" s="1273"/>
      <c r="G155" s="1273"/>
      <c r="H155" s="1273"/>
      <c r="I155" s="1273"/>
      <c r="J155" s="1273"/>
      <c r="K155" s="1273"/>
    </row>
    <row r="156" spans="2:11" ht="14.5" thickBot="1" x14ac:dyDescent="0.4">
      <c r="B156" s="1252" t="s">
        <v>80</v>
      </c>
      <c r="C156" s="1272">
        <f>Cashflow!D12</f>
        <v>-78.764057988829791</v>
      </c>
      <c r="D156" s="1272">
        <f>Cashflow!E12</f>
        <v>-277.40021716654201</v>
      </c>
      <c r="E156" s="1272">
        <f>Cashflow!F12</f>
        <v>-155.61123206972616</v>
      </c>
      <c r="F156" s="1272">
        <f>Cashflow!G12</f>
        <v>-75.461432279797464</v>
      </c>
      <c r="G156" s="1272">
        <f>Cashflow!H12</f>
        <v>-72.680843950695817</v>
      </c>
      <c r="H156" s="1272">
        <f>Cashflow!I12</f>
        <v>-74.959593330014741</v>
      </c>
      <c r="I156" s="1272">
        <f>Cashflow!J12</f>
        <v>-77.506176939136367</v>
      </c>
      <c r="J156" s="1272">
        <f>Cashflow!K12</f>
        <v>-79.94013524382899</v>
      </c>
      <c r="K156" s="1272">
        <f>Cashflow!L12</f>
        <v>-38.729553330540966</v>
      </c>
    </row>
    <row r="157" spans="2:11" ht="14.5" thickBot="1" x14ac:dyDescent="0.4">
      <c r="B157" s="1252" t="s">
        <v>235</v>
      </c>
      <c r="C157" s="1272">
        <f>Cashflow!D13</f>
        <v>34.051789416687114</v>
      </c>
      <c r="D157" s="1272">
        <f>Cashflow!E13</f>
        <v>-17.329648390683275</v>
      </c>
      <c r="E157" s="1272">
        <f>Cashflow!F13</f>
        <v>-15.939070361078535</v>
      </c>
      <c r="F157" s="1272">
        <f>Cashflow!G13</f>
        <v>-7.8621462467543495</v>
      </c>
      <c r="G157" s="1272">
        <f>Cashflow!H13</f>
        <v>-5.3667687735416223</v>
      </c>
      <c r="H157" s="1272">
        <f>Cashflow!I13</f>
        <v>-5.4212256174512277</v>
      </c>
      <c r="I157" s="1272">
        <f>Cashflow!J13</f>
        <v>-5.5494303632133608</v>
      </c>
      <c r="J157" s="1272">
        <f>Cashflow!K13</f>
        <v>-5.6832861945716502</v>
      </c>
      <c r="K157" s="1272">
        <f>Cashflow!L13</f>
        <v>-5.8203908231593005</v>
      </c>
    </row>
    <row r="158" spans="2:11" ht="14.5" thickBot="1" x14ac:dyDescent="0.4">
      <c r="B158" s="1252" t="s">
        <v>236</v>
      </c>
      <c r="C158" s="1272">
        <f>Cashflow!D14</f>
        <v>-2197.9682660697677</v>
      </c>
      <c r="D158" s="1272">
        <f>Cashflow!E14</f>
        <v>162.61358409021204</v>
      </c>
      <c r="E158" s="1272">
        <f>Cashflow!F14</f>
        <v>-932.88629063563121</v>
      </c>
      <c r="F158" s="1272">
        <f>Cashflow!G14</f>
        <v>-249.48967616924392</v>
      </c>
      <c r="G158" s="1272">
        <f>Cashflow!H14</f>
        <v>-143.86516089790689</v>
      </c>
      <c r="H158" s="1272">
        <f>Cashflow!I14</f>
        <v>-90.469823446720284</v>
      </c>
      <c r="I158" s="1272">
        <f>Cashflow!J14</f>
        <v>-131.28879795890816</v>
      </c>
      <c r="J158" s="1272">
        <f>Cashflow!K14</f>
        <v>-174.48693623798499</v>
      </c>
      <c r="K158" s="1272">
        <f>Cashflow!L14</f>
        <v>-364.84186659937996</v>
      </c>
    </row>
    <row r="159" spans="2:11" ht="14.5" thickBot="1" x14ac:dyDescent="0.4">
      <c r="B159" s="1250" t="s">
        <v>553</v>
      </c>
      <c r="C159" s="1274">
        <f>Cashflow!D16</f>
        <v>-2242.6805346419105</v>
      </c>
      <c r="D159" s="1274">
        <f>Cashflow!E16</f>
        <v>-132.11628146701321</v>
      </c>
      <c r="E159" s="1274">
        <f>Cashflow!F16</f>
        <v>-1104.436593066436</v>
      </c>
      <c r="F159" s="1274">
        <f>Cashflow!G16</f>
        <v>-332.81325469579576</v>
      </c>
      <c r="G159" s="1274">
        <f>Cashflow!H16</f>
        <v>-221.91277362214433</v>
      </c>
      <c r="H159" s="1274">
        <f>Cashflow!I16</f>
        <v>-170.85064239418625</v>
      </c>
      <c r="I159" s="1274">
        <f>Cashflow!J16</f>
        <v>-214.34440526125789</v>
      </c>
      <c r="J159" s="1274">
        <f>Cashflow!K16</f>
        <v>-260.11035767638566</v>
      </c>
      <c r="K159" s="1274">
        <f>Cashflow!L16</f>
        <v>-409.39181075308022</v>
      </c>
    </row>
    <row r="160" spans="2:11" ht="14.5" thickBot="1" x14ac:dyDescent="0.4">
      <c r="B160" s="1252" t="s">
        <v>306</v>
      </c>
      <c r="C160" s="1272">
        <f>Cashflow!D17</f>
        <v>0</v>
      </c>
      <c r="D160" s="1272">
        <f>Cashflow!E17</f>
        <v>0</v>
      </c>
      <c r="E160" s="1272">
        <f>Cashflow!F17</f>
        <v>0</v>
      </c>
      <c r="F160" s="1272">
        <f>Cashflow!G17</f>
        <v>0</v>
      </c>
      <c r="G160" s="1272">
        <f>Cashflow!H17</f>
        <v>0</v>
      </c>
      <c r="H160" s="1272">
        <f>Cashflow!I17</f>
        <v>0</v>
      </c>
      <c r="I160" s="1272">
        <f>Cashflow!J17</f>
        <v>0</v>
      </c>
      <c r="J160" s="1272">
        <f>Cashflow!K17</f>
        <v>-8.7890706411512625</v>
      </c>
      <c r="K160" s="1272">
        <f>Cashflow!L17</f>
        <v>-70.772937396613258</v>
      </c>
    </row>
    <row r="161" spans="2:11" ht="14.5" thickBot="1" x14ac:dyDescent="0.4">
      <c r="B161" s="1250" t="s">
        <v>551</v>
      </c>
      <c r="C161" s="1274">
        <f>Cashflow!D18</f>
        <v>-1849.4697744543409</v>
      </c>
      <c r="D161" s="1274">
        <f>Cashflow!E18</f>
        <v>333.17912412160524</v>
      </c>
      <c r="E161" s="1274">
        <f>Cashflow!F18</f>
        <v>-559.64636853545449</v>
      </c>
      <c r="F161" s="1274">
        <f>Cashflow!G18</f>
        <v>232.89773632833851</v>
      </c>
      <c r="G161" s="1274">
        <f>Cashflow!H18</f>
        <v>355.3286502748316</v>
      </c>
      <c r="H161" s="1274">
        <f>Cashflow!I18</f>
        <v>419.12729403386766</v>
      </c>
      <c r="I161" s="1274">
        <f>Cashflow!J18</f>
        <v>387.04362599925912</v>
      </c>
      <c r="J161" s="1274">
        <f>Cashflow!K18</f>
        <v>342.28467171601289</v>
      </c>
      <c r="K161" s="1274">
        <f>Cashflow!L18</f>
        <v>203.50911136217604</v>
      </c>
    </row>
    <row r="162" spans="2:11" ht="15" thickBot="1" x14ac:dyDescent="0.4">
      <c r="B162" s="1250"/>
      <c r="C162" s="1273"/>
      <c r="D162" s="1273"/>
      <c r="E162" s="1273"/>
      <c r="F162" s="1273"/>
      <c r="G162" s="1273"/>
      <c r="H162" s="1273"/>
      <c r="I162" s="1273"/>
      <c r="J162" s="1273"/>
      <c r="K162" s="1273"/>
    </row>
    <row r="163" spans="2:11" ht="15" thickBot="1" x14ac:dyDescent="0.4">
      <c r="B163" s="1248" t="s">
        <v>237</v>
      </c>
      <c r="C163" s="1275"/>
      <c r="D163" s="1275"/>
      <c r="E163" s="1275"/>
      <c r="F163" s="1275"/>
      <c r="G163" s="1275"/>
      <c r="H163" s="1275"/>
      <c r="I163" s="1275"/>
      <c r="J163" s="1275"/>
      <c r="K163" s="1275"/>
    </row>
    <row r="164" spans="2:11" ht="14.5" thickBot="1" x14ac:dyDescent="0.4">
      <c r="B164" s="1252" t="s">
        <v>304</v>
      </c>
      <c r="C164" s="1272">
        <f>Cashflow!D21</f>
        <v>0</v>
      </c>
      <c r="D164" s="1272">
        <f>Cashflow!E21</f>
        <v>-15</v>
      </c>
      <c r="E164" s="1272">
        <f>Cashflow!F21</f>
        <v>-15</v>
      </c>
      <c r="F164" s="1272">
        <f>Cashflow!G21</f>
        <v>-15</v>
      </c>
      <c r="G164" s="1272">
        <f>Cashflow!H21</f>
        <v>-15</v>
      </c>
      <c r="H164" s="1272">
        <f>Cashflow!I21</f>
        <v>-15</v>
      </c>
      <c r="I164" s="1272">
        <f>Cashflow!J21</f>
        <v>-15</v>
      </c>
      <c r="J164" s="1272">
        <f>Cashflow!K21</f>
        <v>-15</v>
      </c>
      <c r="K164" s="1272">
        <f>Cashflow!L21</f>
        <v>-15</v>
      </c>
    </row>
    <row r="165" spans="2:11" ht="15" thickBot="1" x14ac:dyDescent="0.4">
      <c r="B165" s="1250"/>
      <c r="C165" s="1273"/>
      <c r="D165" s="1273"/>
      <c r="E165" s="1273"/>
      <c r="F165" s="1273"/>
      <c r="G165" s="1273"/>
      <c r="H165" s="1273"/>
      <c r="I165" s="1273"/>
      <c r="J165" s="1273"/>
      <c r="K165" s="1273"/>
    </row>
    <row r="166" spans="2:11" ht="15" thickBot="1" x14ac:dyDescent="0.4">
      <c r="B166" s="1248" t="s">
        <v>268</v>
      </c>
      <c r="C166" s="1275"/>
      <c r="D166" s="1275"/>
      <c r="E166" s="1275"/>
      <c r="F166" s="1275"/>
      <c r="G166" s="1275"/>
      <c r="H166" s="1275"/>
      <c r="I166" s="1275"/>
      <c r="J166" s="1275"/>
      <c r="K166" s="1275"/>
    </row>
    <row r="167" spans="2:11" ht="14.5" thickBot="1" x14ac:dyDescent="0.4">
      <c r="B167" s="1252" t="s">
        <v>554</v>
      </c>
      <c r="C167" s="1276">
        <f>Cashflow!D25</f>
        <v>2361</v>
      </c>
      <c r="D167" s="1276">
        <f>Cashflow!E25</f>
        <v>0</v>
      </c>
      <c r="E167" s="1276">
        <f>Cashflow!F25</f>
        <v>0</v>
      </c>
      <c r="F167" s="1276">
        <f>Cashflow!G25</f>
        <v>0</v>
      </c>
      <c r="G167" s="1276">
        <f>Cashflow!H25</f>
        <v>0</v>
      </c>
      <c r="H167" s="1276">
        <f>Cashflow!I25</f>
        <v>0</v>
      </c>
      <c r="I167" s="1276">
        <f>Cashflow!J25</f>
        <v>0</v>
      </c>
      <c r="J167" s="1276">
        <f>Cashflow!K25</f>
        <v>0</v>
      </c>
      <c r="K167" s="1276">
        <f>Cashflow!L25</f>
        <v>0</v>
      </c>
    </row>
    <row r="168" spans="2:11" ht="14.5" thickBot="1" x14ac:dyDescent="0.4">
      <c r="B168" s="1252" t="s">
        <v>550</v>
      </c>
      <c r="C168" s="1276">
        <f>Cashflow!D26</f>
        <v>-142.50400105055019</v>
      </c>
      <c r="D168" s="1276">
        <f>Cashflow!E26</f>
        <v>-129.54786505049981</v>
      </c>
      <c r="E168" s="1276">
        <f>Cashflow!F26</f>
        <v>-129.54786505050004</v>
      </c>
      <c r="F168" s="1276">
        <f>Cashflow!G26</f>
        <v>-142.50265155554996</v>
      </c>
      <c r="G168" s="1276">
        <f>Cashflow!H26</f>
        <v>-142.50265155555007</v>
      </c>
      <c r="H168" s="1276">
        <f>Cashflow!I26</f>
        <v>-207.27658408079998</v>
      </c>
      <c r="I168" s="1276">
        <f>Cashflow!J26</f>
        <v>-207.27658408080001</v>
      </c>
      <c r="J168" s="1276">
        <f>Cashflow!K26</f>
        <v>-194.32179757574997</v>
      </c>
      <c r="K168" s="1276">
        <f>Cashflow!L26</f>
        <v>0</v>
      </c>
    </row>
    <row r="169" spans="2:11" ht="14.5" thickBot="1" x14ac:dyDescent="0.4">
      <c r="B169" s="1252" t="s">
        <v>239</v>
      </c>
      <c r="C169" s="1276">
        <f>Cashflow!D28</f>
        <v>0</v>
      </c>
      <c r="D169" s="1276">
        <f>Cashflow!E28</f>
        <v>0</v>
      </c>
      <c r="E169" s="1276">
        <f>Cashflow!F28</f>
        <v>924.60167862344667</v>
      </c>
      <c r="F169" s="1276">
        <f>Cashflow!G28</f>
        <v>145.50832137655323</v>
      </c>
      <c r="G169" s="1276">
        <f>Cashflow!H28</f>
        <v>0</v>
      </c>
      <c r="H169" s="1276">
        <f>Cashflow!I28</f>
        <v>0</v>
      </c>
      <c r="I169" s="1276">
        <f>Cashflow!J28</f>
        <v>0</v>
      </c>
      <c r="J169" s="1276">
        <f>Cashflow!K28</f>
        <v>0</v>
      </c>
      <c r="K169" s="1276">
        <f>Cashflow!L28</f>
        <v>0</v>
      </c>
    </row>
    <row r="170" spans="2:11" ht="15" thickBot="1" x14ac:dyDescent="0.4">
      <c r="B170" s="1250" t="s">
        <v>240</v>
      </c>
      <c r="C170" s="1273"/>
      <c r="D170" s="1273"/>
      <c r="E170" s="1273"/>
      <c r="F170" s="1273"/>
      <c r="G170" s="1273"/>
      <c r="H170" s="1273"/>
      <c r="I170" s="1273"/>
      <c r="J170" s="1273"/>
      <c r="K170" s="1273"/>
    </row>
    <row r="171" spans="2:11" ht="14.5" thickBot="1" x14ac:dyDescent="0.4">
      <c r="B171" s="1271" t="s">
        <v>1443</v>
      </c>
      <c r="C171" s="1277">
        <f>Cashflow!D31</f>
        <v>-0.92010000000000003</v>
      </c>
      <c r="D171" s="1277">
        <f>Cashflow!E31</f>
        <v>0</v>
      </c>
      <c r="E171" s="1277">
        <f>Cashflow!F31</f>
        <v>0</v>
      </c>
      <c r="F171" s="1277">
        <f>Cashflow!G31</f>
        <v>0</v>
      </c>
      <c r="G171" s="1277">
        <f>Cashflow!H31</f>
        <v>0</v>
      </c>
      <c r="H171" s="1277">
        <f>Cashflow!I31</f>
        <v>0</v>
      </c>
      <c r="I171" s="1277">
        <f>Cashflow!J31</f>
        <v>0</v>
      </c>
      <c r="J171" s="1277">
        <f>Cashflow!K31</f>
        <v>0</v>
      </c>
      <c r="K171" s="1277">
        <f>Cashflow!L31</f>
        <v>0</v>
      </c>
    </row>
    <row r="172" spans="2:11" ht="14.5" thickBot="1" x14ac:dyDescent="0.4">
      <c r="B172" s="1271" t="s">
        <v>1445</v>
      </c>
      <c r="C172" s="1277">
        <f>Cashflow!D32</f>
        <v>-121.55663532003958</v>
      </c>
      <c r="D172" s="1277">
        <f>Cashflow!E32</f>
        <v>-108.36891172302285</v>
      </c>
      <c r="E172" s="1277">
        <f>Cashflow!F32</f>
        <v>-95.408682436146904</v>
      </c>
      <c r="F172" s="1277">
        <f>Cashflow!G32</f>
        <v>-82.257427392664169</v>
      </c>
      <c r="G172" s="1277">
        <f>Cashflow!H32</f>
        <v>-68.312547160369704</v>
      </c>
      <c r="H172" s="1277">
        <f>Cashflow!I32</f>
        <v>-52.118772793477291</v>
      </c>
      <c r="I172" s="1277">
        <f>Cashflow!J32</f>
        <v>-31.713748792299171</v>
      </c>
      <c r="J172" s="1277">
        <f>Cashflow!K32</f>
        <v>-11.904377832176719</v>
      </c>
      <c r="K172" s="1277">
        <f>Cashflow!L32</f>
        <v>-4.4375392249662573E-14</v>
      </c>
    </row>
    <row r="173" spans="2:11" ht="14.5" thickBot="1" x14ac:dyDescent="0.4">
      <c r="B173" s="1271" t="s">
        <v>1446</v>
      </c>
      <c r="C173" s="1277">
        <f>Cashflow!D33</f>
        <v>0</v>
      </c>
      <c r="D173" s="1277">
        <f>Cashflow!E33</f>
        <v>0</v>
      </c>
      <c r="E173" s="1277">
        <f>Cashflow!F33</f>
        <v>-46.923535190139923</v>
      </c>
      <c r="F173" s="1277">
        <f>Cashflow!G33</f>
        <v>-54.308082499999998</v>
      </c>
      <c r="G173" s="1277">
        <f>Cashflow!H33</f>
        <v>-54.308082499999998</v>
      </c>
      <c r="H173" s="1277">
        <f>Cashflow!I33</f>
        <v>-54.308082499999998</v>
      </c>
      <c r="I173" s="1277">
        <f>Cashflow!J33</f>
        <v>-54.308082499999998</v>
      </c>
      <c r="J173" s="1277">
        <f>Cashflow!K33</f>
        <v>-54.308082499999998</v>
      </c>
      <c r="K173" s="1277">
        <f>Cashflow!L33</f>
        <v>-54.308082499999998</v>
      </c>
    </row>
    <row r="174" spans="2:11" ht="14.5" thickBot="1" x14ac:dyDescent="0.4">
      <c r="B174" s="1271" t="s">
        <v>1447</v>
      </c>
      <c r="C174" s="1277">
        <f>Cashflow!D34</f>
        <v>0</v>
      </c>
      <c r="D174" s="1277">
        <f>Cashflow!E34</f>
        <v>0</v>
      </c>
      <c r="E174" s="1277">
        <f>Cashflow!F34</f>
        <v>0</v>
      </c>
      <c r="F174" s="1277">
        <f>Cashflow!G34</f>
        <v>0</v>
      </c>
      <c r="G174" s="1277">
        <f>Cashflow!H34</f>
        <v>0</v>
      </c>
      <c r="H174" s="1277">
        <f>Cashflow!I34</f>
        <v>0</v>
      </c>
      <c r="I174" s="1277">
        <f>Cashflow!J34</f>
        <v>0</v>
      </c>
      <c r="J174" s="1277">
        <f>Cashflow!K34</f>
        <v>0</v>
      </c>
      <c r="K174" s="1277">
        <f>Cashflow!L34</f>
        <v>0</v>
      </c>
    </row>
    <row r="175" spans="2:11" ht="14.5" thickBot="1" x14ac:dyDescent="0.4">
      <c r="B175" s="1271" t="s">
        <v>1448</v>
      </c>
      <c r="C175" s="1277">
        <f>Cashflow!E35</f>
        <v>0</v>
      </c>
      <c r="D175" s="1277">
        <f>Cashflow!F35</f>
        <v>0</v>
      </c>
      <c r="E175" s="1277">
        <f>Cashflow!G35</f>
        <v>0</v>
      </c>
      <c r="F175" s="1277">
        <f>Cashflow!H35</f>
        <v>0</v>
      </c>
      <c r="G175" s="1277">
        <f>Cashflow!I35</f>
        <v>0</v>
      </c>
      <c r="H175" s="1277">
        <f>Cashflow!J35</f>
        <v>0</v>
      </c>
      <c r="I175" s="1277">
        <f>Cashflow!K35</f>
        <v>0</v>
      </c>
      <c r="J175" s="1277">
        <f>Cashflow!L35</f>
        <v>0</v>
      </c>
      <c r="K175" s="1277">
        <f>Cashflow!M35</f>
        <v>0</v>
      </c>
    </row>
    <row r="176" spans="2:11" ht="14.5" thickBot="1" x14ac:dyDescent="0.4">
      <c r="B176" s="1271" t="s">
        <v>1444</v>
      </c>
      <c r="C176" s="1277">
        <f>Cashflow!D37</f>
        <v>-21.199235502999997</v>
      </c>
      <c r="D176" s="1277">
        <f>Cashflow!E37</f>
        <v>-5.9192355029999995</v>
      </c>
      <c r="E176" s="1277">
        <f>Cashflow!F37</f>
        <v>-5.9192355029999995</v>
      </c>
      <c r="F176" s="1277">
        <f>Cashflow!G37</f>
        <v>-5.7692355029999991</v>
      </c>
      <c r="G176" s="1277">
        <f>Cashflow!H37</f>
        <v>-5.7692355029999991</v>
      </c>
      <c r="H176" s="1277">
        <f>Cashflow!I37</f>
        <v>-5.7692355029999991</v>
      </c>
      <c r="I176" s="1277">
        <f>Cashflow!J37</f>
        <v>-5.7692355029999991</v>
      </c>
      <c r="J176" s="1277">
        <f>Cashflow!K37</f>
        <v>-5.7692355029999991</v>
      </c>
      <c r="K176" s="1277">
        <f>Cashflow!L37</f>
        <v>-5.7692355029999991</v>
      </c>
    </row>
    <row r="177" spans="2:11" ht="14.5" thickBot="1" x14ac:dyDescent="0.4">
      <c r="B177" s="1250" t="s">
        <v>556</v>
      </c>
      <c r="C177" s="1274">
        <f t="shared" ref="C177:K177" si="33">SUM(C171:C176)</f>
        <v>-143.67597082303956</v>
      </c>
      <c r="D177" s="1274">
        <f t="shared" si="33"/>
        <v>-114.28814722602284</v>
      </c>
      <c r="E177" s="1274">
        <f t="shared" si="33"/>
        <v>-148.25145312928683</v>
      </c>
      <c r="F177" s="1274">
        <f t="shared" si="33"/>
        <v>-142.33474539566419</v>
      </c>
      <c r="G177" s="1274">
        <f t="shared" si="33"/>
        <v>-128.38986516336971</v>
      </c>
      <c r="H177" s="1274">
        <f t="shared" si="33"/>
        <v>-112.19609079647729</v>
      </c>
      <c r="I177" s="1274">
        <f t="shared" si="33"/>
        <v>-91.791066795299173</v>
      </c>
      <c r="J177" s="1274">
        <f t="shared" si="33"/>
        <v>-71.981695835176723</v>
      </c>
      <c r="K177" s="1274">
        <f t="shared" si="33"/>
        <v>-60.077318003000038</v>
      </c>
    </row>
    <row r="178" spans="2:11" ht="14.5" thickBot="1" x14ac:dyDescent="0.4">
      <c r="B178" s="1250" t="s">
        <v>268</v>
      </c>
      <c r="C178" s="1274">
        <f t="shared" ref="C178:K178" si="34">SUM(C177,C167:C169)</f>
        <v>2074.8200281264099</v>
      </c>
      <c r="D178" s="1274">
        <f t="shared" si="34"/>
        <v>-243.83601227652264</v>
      </c>
      <c r="E178" s="1274">
        <f t="shared" si="34"/>
        <v>646.80236044365984</v>
      </c>
      <c r="F178" s="1274">
        <f t="shared" si="34"/>
        <v>-139.32907557466092</v>
      </c>
      <c r="G178" s="1274">
        <f t="shared" si="34"/>
        <v>-270.89251671891975</v>
      </c>
      <c r="H178" s="1274">
        <f t="shared" si="34"/>
        <v>-319.47267487727726</v>
      </c>
      <c r="I178" s="1274">
        <f t="shared" si="34"/>
        <v>-299.06765087609915</v>
      </c>
      <c r="J178" s="1274">
        <f t="shared" si="34"/>
        <v>-266.30349341092671</v>
      </c>
      <c r="K178" s="1274">
        <f t="shared" si="34"/>
        <v>-60.077318003000038</v>
      </c>
    </row>
    <row r="179" spans="2:11" ht="14.5" thickBot="1" x14ac:dyDescent="0.4">
      <c r="B179" s="1248" t="s">
        <v>245</v>
      </c>
      <c r="C179" s="1278">
        <f t="shared" ref="C179:K179" si="35">+C178+C164+C161</f>
        <v>225.3502536720689</v>
      </c>
      <c r="D179" s="1278">
        <f t="shared" si="35"/>
        <v>74.343111845082603</v>
      </c>
      <c r="E179" s="1278">
        <f t="shared" si="35"/>
        <v>72.155991908205351</v>
      </c>
      <c r="F179" s="1278">
        <f t="shared" si="35"/>
        <v>78.568660753677591</v>
      </c>
      <c r="G179" s="1278">
        <f t="shared" si="35"/>
        <v>69.436133555911852</v>
      </c>
      <c r="H179" s="1278">
        <f t="shared" si="35"/>
        <v>84.6546191565904</v>
      </c>
      <c r="I179" s="1278">
        <f t="shared" si="35"/>
        <v>72.975975123159969</v>
      </c>
      <c r="J179" s="1278">
        <f t="shared" si="35"/>
        <v>60.981178305086189</v>
      </c>
      <c r="K179" s="1278">
        <f t="shared" si="35"/>
        <v>128.431793359176</v>
      </c>
    </row>
    <row r="180" spans="2:11" ht="14.5" thickBot="1" x14ac:dyDescent="0.4">
      <c r="B180" s="1248" t="s">
        <v>557</v>
      </c>
      <c r="C180" s="1278" t="e">
        <f>#REF!</f>
        <v>#REF!</v>
      </c>
      <c r="D180" s="1278" t="e">
        <f t="shared" ref="D180:K180" si="36">C181</f>
        <v>#REF!</v>
      </c>
      <c r="E180" s="1278" t="e">
        <f t="shared" si="36"/>
        <v>#REF!</v>
      </c>
      <c r="F180" s="1278" t="e">
        <f t="shared" si="36"/>
        <v>#REF!</v>
      </c>
      <c r="G180" s="1278" t="e">
        <f t="shared" si="36"/>
        <v>#REF!</v>
      </c>
      <c r="H180" s="1278" t="e">
        <f t="shared" si="36"/>
        <v>#REF!</v>
      </c>
      <c r="I180" s="1278" t="e">
        <f t="shared" si="36"/>
        <v>#REF!</v>
      </c>
      <c r="J180" s="1278" t="e">
        <f t="shared" si="36"/>
        <v>#REF!</v>
      </c>
      <c r="K180" s="1278" t="e">
        <f t="shared" si="36"/>
        <v>#REF!</v>
      </c>
    </row>
    <row r="181" spans="2:11" ht="14.5" thickBot="1" x14ac:dyDescent="0.4">
      <c r="B181" s="1248" t="s">
        <v>558</v>
      </c>
      <c r="C181" s="1278" t="e">
        <f t="shared" ref="C181:K181" si="37">+C180+C179</f>
        <v>#REF!</v>
      </c>
      <c r="D181" s="1278" t="e">
        <f t="shared" si="37"/>
        <v>#REF!</v>
      </c>
      <c r="E181" s="1278" t="e">
        <f t="shared" si="37"/>
        <v>#REF!</v>
      </c>
      <c r="F181" s="1278" t="e">
        <f t="shared" si="37"/>
        <v>#REF!</v>
      </c>
      <c r="G181" s="1278" t="e">
        <f t="shared" si="37"/>
        <v>#REF!</v>
      </c>
      <c r="H181" s="1278" t="e">
        <f t="shared" si="37"/>
        <v>#REF!</v>
      </c>
      <c r="I181" s="1278" t="e">
        <f t="shared" si="37"/>
        <v>#REF!</v>
      </c>
      <c r="J181" s="1278" t="e">
        <f t="shared" si="37"/>
        <v>#REF!</v>
      </c>
      <c r="K181" s="1278" t="e">
        <f t="shared" si="37"/>
        <v>#REF!</v>
      </c>
    </row>
    <row r="182" spans="2:11" x14ac:dyDescent="0.35">
      <c r="C182" s="1269" t="e">
        <f>C181-Cashflow!D42</f>
        <v>#REF!</v>
      </c>
      <c r="D182" s="1269" t="e">
        <f>D181-Cashflow!E42</f>
        <v>#REF!</v>
      </c>
      <c r="E182" s="1269" t="e">
        <f>E181-Cashflow!F42</f>
        <v>#REF!</v>
      </c>
      <c r="F182" s="1269" t="e">
        <f>F181-Cashflow!G42</f>
        <v>#REF!</v>
      </c>
      <c r="G182" s="1269" t="e">
        <f>G181-Cashflow!H42</f>
        <v>#REF!</v>
      </c>
      <c r="H182" s="1269" t="e">
        <f>H181-Cashflow!I42</f>
        <v>#REF!</v>
      </c>
      <c r="I182" s="1269" t="e">
        <f>I181-Cashflow!J42</f>
        <v>#REF!</v>
      </c>
      <c r="J182" s="1269" t="e">
        <f>J181-Cashflow!K42</f>
        <v>#REF!</v>
      </c>
      <c r="K182" s="1269" t="e">
        <f>K181-Cashflow!L42</f>
        <v>#REF!</v>
      </c>
    </row>
    <row r="184" spans="2:11" x14ac:dyDescent="0.35">
      <c r="B184" s="1684" t="s">
        <v>251</v>
      </c>
      <c r="C184" s="1685" t="str">
        <f t="shared" ref="C184:K184" si="38">C148</f>
        <v>FY23</v>
      </c>
      <c r="D184" s="1685" t="str">
        <f t="shared" si="38"/>
        <v>FY24</v>
      </c>
      <c r="E184" s="1685" t="str">
        <f t="shared" si="38"/>
        <v>FY25</v>
      </c>
      <c r="F184" s="1685" t="str">
        <f t="shared" si="38"/>
        <v>FY26</v>
      </c>
      <c r="G184" s="1685" t="str">
        <f t="shared" si="38"/>
        <v>FY27</v>
      </c>
      <c r="H184" s="1685" t="str">
        <f t="shared" si="38"/>
        <v>FY28</v>
      </c>
      <c r="I184" s="1685" t="str">
        <f t="shared" si="38"/>
        <v>FY29</v>
      </c>
      <c r="J184" s="1685" t="str">
        <f t="shared" si="38"/>
        <v>FY30</v>
      </c>
      <c r="K184" s="1685" t="str">
        <f t="shared" si="38"/>
        <v>FY31</v>
      </c>
    </row>
    <row r="185" spans="2:11" x14ac:dyDescent="0.35">
      <c r="B185" s="1683" t="s">
        <v>1594</v>
      </c>
      <c r="C185" s="1683">
        <f>Assumptions!J166</f>
        <v>187</v>
      </c>
      <c r="D185" s="1683">
        <f>Assumptions!K166</f>
        <v>175</v>
      </c>
      <c r="E185" s="1683">
        <f>Assumptions!L166</f>
        <v>111</v>
      </c>
      <c r="F185" s="1683">
        <f>Assumptions!M166</f>
        <v>96</v>
      </c>
      <c r="G185" s="1683">
        <f>Assumptions!N166</f>
        <v>87</v>
      </c>
      <c r="H185" s="1683">
        <f>Assumptions!O166</f>
        <v>80</v>
      </c>
      <c r="I185" s="1683">
        <f>Assumptions!P166</f>
        <v>71</v>
      </c>
      <c r="J185" s="1683">
        <f>Assumptions!Q166</f>
        <v>60</v>
      </c>
      <c r="K185" s="1683">
        <f>Assumptions!R166</f>
        <v>40</v>
      </c>
    </row>
    <row r="186" spans="2:11" x14ac:dyDescent="0.35">
      <c r="B186" s="1683" t="s">
        <v>1595</v>
      </c>
      <c r="C186" s="1600">
        <f>'Balance Sheet'!H58</f>
        <v>2663.369454869488</v>
      </c>
      <c r="D186" s="1600">
        <f>'Balance Sheet'!I58</f>
        <v>2805.3045041885516</v>
      </c>
      <c r="E186" s="1600">
        <f>'Balance Sheet'!J58</f>
        <v>1871.6691083606281</v>
      </c>
      <c r="F186" s="1600">
        <f>'Balance Sheet'!K58</f>
        <v>1651.1156674835381</v>
      </c>
      <c r="G186" s="1600">
        <f>'Balance Sheet'!L58</f>
        <v>1526.2500451300953</v>
      </c>
      <c r="H186" s="1600">
        <f>'Balance Sheet'!M58</f>
        <v>1431.5172837082278</v>
      </c>
      <c r="I186" s="1600">
        <f>'Balance Sheet'!N58</f>
        <v>1295.8810210768729</v>
      </c>
      <c r="J186" s="1600">
        <f>'Balance Sheet'!O58</f>
        <v>1117.0129364775298</v>
      </c>
      <c r="K186" s="1600">
        <f>'Balance Sheet'!P58</f>
        <v>747.70229854956426</v>
      </c>
    </row>
    <row r="187" spans="2:11" x14ac:dyDescent="0.35">
      <c r="B187" s="1683" t="s">
        <v>1597</v>
      </c>
      <c r="C187" s="1600">
        <f>C188/('P&amp;L'!J20+'P&amp;L'!J22)*365</f>
        <v>185.95007458635595</v>
      </c>
      <c r="D187" s="1600">
        <f>D188/('P&amp;L'!K20+'P&amp;L'!K22)*365</f>
        <v>187.90295308161143</v>
      </c>
      <c r="E187" s="1600">
        <f>E188/('P&amp;L'!L20+'P&amp;L'!L22)*365</f>
        <v>183.86430136331356</v>
      </c>
      <c r="F187" s="1600">
        <f>F188/('P&amp;L'!M20+'P&amp;L'!M22)*365</f>
        <v>182.19520317290497</v>
      </c>
      <c r="G187" s="1600">
        <f>G188/('P&amp;L'!N20+'P&amp;L'!N22)*365</f>
        <v>182.53828510202675</v>
      </c>
      <c r="H187" s="1600">
        <f>H188/('P&amp;L'!O20+'P&amp;L'!O22)*365</f>
        <v>183.05848580480364</v>
      </c>
      <c r="I187" s="1600">
        <f>I188/('P&amp;L'!P20+'P&amp;L'!P22)*365</f>
        <v>183.63043623311268</v>
      </c>
      <c r="J187" s="1600">
        <f>J188/('P&amp;L'!Q20+'P&amp;L'!Q22)*365</f>
        <v>184.23894967616562</v>
      </c>
      <c r="K187" s="1600">
        <f>K188/('P&amp;L'!R20+'P&amp;L'!R22)*365</f>
        <v>184.3129461503807</v>
      </c>
    </row>
    <row r="188" spans="2:11" x14ac:dyDescent="0.35">
      <c r="B188" s="1683" t="s">
        <v>1596</v>
      </c>
      <c r="C188" s="1686">
        <f>SUM('Working - Corporate'!J112:J114)</f>
        <v>2709.2831018543015</v>
      </c>
      <c r="D188" s="1686">
        <f>SUM('Working - Corporate'!K112:K114)</f>
        <v>2986.6833190208436</v>
      </c>
      <c r="E188" s="1686">
        <f>SUM('Working - Corporate'!L112:L114)</f>
        <v>3142.2945510905697</v>
      </c>
      <c r="F188" s="1686">
        <f>SUM('Working - Corporate'!M112:M114)</f>
        <v>3217.7559833703672</v>
      </c>
      <c r="G188" s="1686">
        <f>SUM('Working - Corporate'!N112:N114)</f>
        <v>3290.436827321063</v>
      </c>
      <c r="H188" s="1686">
        <f>SUM('Working - Corporate'!O112:O114)</f>
        <v>3365.3964206510777</v>
      </c>
      <c r="I188" s="1686">
        <f>SUM('Working - Corporate'!P112:P114)</f>
        <v>3442.9025975902141</v>
      </c>
      <c r="J188" s="1686">
        <f>SUM('Working - Corporate'!Q112:Q114)</f>
        <v>3522.8427328340431</v>
      </c>
      <c r="K188" s="1686">
        <f>SUM('Working - Corporate'!R112:R114)</f>
        <v>3561.5722861645841</v>
      </c>
    </row>
    <row r="189" spans="2:11" x14ac:dyDescent="0.35">
      <c r="B189" s="1683" t="s">
        <v>1598</v>
      </c>
      <c r="C189" s="1686">
        <f t="shared" ref="C189:K189" si="39">C186-C188</f>
        <v>-45.913646984813568</v>
      </c>
      <c r="D189" s="1686">
        <f t="shared" si="39"/>
        <v>-181.37881483229194</v>
      </c>
      <c r="E189" s="1686">
        <f t="shared" si="39"/>
        <v>-1270.6254427299416</v>
      </c>
      <c r="F189" s="1686">
        <f t="shared" si="39"/>
        <v>-1566.6403158868291</v>
      </c>
      <c r="G189" s="1686">
        <f t="shared" si="39"/>
        <v>-1764.1867821909677</v>
      </c>
      <c r="H189" s="1686">
        <f t="shared" si="39"/>
        <v>-1933.87913694285</v>
      </c>
      <c r="I189" s="1686">
        <f t="shared" si="39"/>
        <v>-2147.0215765133412</v>
      </c>
      <c r="J189" s="1686">
        <f t="shared" si="39"/>
        <v>-2405.8297963565133</v>
      </c>
      <c r="K189" s="1686">
        <f t="shared" si="39"/>
        <v>-2813.8699876150199</v>
      </c>
    </row>
    <row r="193" spans="11:11" ht="15.5" x14ac:dyDescent="0.35">
      <c r="K193" s="1687"/>
    </row>
    <row r="194" spans="11:11" ht="15.5" x14ac:dyDescent="0.35">
      <c r="K194" s="1687"/>
    </row>
    <row r="195" spans="11:11" ht="15.5" x14ac:dyDescent="0.35">
      <c r="K195" s="1687"/>
    </row>
    <row r="196" spans="11:11" ht="15.5" x14ac:dyDescent="0.35">
      <c r="K196" s="1687"/>
    </row>
    <row r="197" spans="11:11" ht="15.5" x14ac:dyDescent="0.35">
      <c r="K197" s="1687"/>
    </row>
    <row r="198" spans="11:11" ht="15.5" x14ac:dyDescent="0.35">
      <c r="K198" s="1688"/>
    </row>
    <row r="199" spans="11:11" ht="15.5" x14ac:dyDescent="0.35">
      <c r="K199" s="1688"/>
    </row>
    <row r="200" spans="11:11" ht="15.5" x14ac:dyDescent="0.35">
      <c r="K200" s="1688"/>
    </row>
    <row r="201" spans="11:11" ht="15.5" x14ac:dyDescent="0.35">
      <c r="K201" s="1688"/>
    </row>
    <row r="202" spans="11:11" ht="15.5" x14ac:dyDescent="0.35">
      <c r="K202" s="1688"/>
    </row>
    <row r="203" spans="11:11" ht="15.5" x14ac:dyDescent="0.35">
      <c r="K203" s="1688"/>
    </row>
    <row r="204" spans="11:11" x14ac:dyDescent="0.35">
      <c r="K204" s="1689"/>
    </row>
  </sheetData>
  <mergeCells count="1">
    <mergeCell ref="B3:K3"/>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6"/>
  <dimension ref="B2:W181"/>
  <sheetViews>
    <sheetView showGridLines="0" zoomScale="70" zoomScaleNormal="70" workbookViewId="0">
      <pane xSplit="3" ySplit="4" topLeftCell="D5" activePane="bottomRight" state="frozen"/>
      <selection pane="topRight" activeCell="D1" sqref="D1"/>
      <selection pane="bottomLeft" activeCell="A5" sqref="A5"/>
      <selection pane="bottomRight" activeCell="J72" sqref="J72"/>
    </sheetView>
  </sheetViews>
  <sheetFormatPr defaultRowHeight="14.5" x14ac:dyDescent="0.35"/>
  <cols>
    <col min="2" max="2" width="31.54296875" style="33" bestFit="1" customWidth="1"/>
    <col min="4" max="4" width="17.54296875" style="658" customWidth="1"/>
    <col min="5" max="5" width="15" style="658" customWidth="1"/>
    <col min="6" max="6" width="14.453125" bestFit="1" customWidth="1"/>
    <col min="7" max="7" width="13.54296875" bestFit="1" customWidth="1"/>
    <col min="8" max="8" width="13.453125" style="179" bestFit="1" customWidth="1"/>
    <col min="9" max="9" width="13.453125" style="179" customWidth="1"/>
    <col min="10" max="17" width="13.54296875" bestFit="1" customWidth="1"/>
    <col min="18" max="18" width="13.453125" bestFit="1" customWidth="1"/>
    <col min="19" max="19" width="13.453125" customWidth="1"/>
  </cols>
  <sheetData>
    <row r="2" spans="2:19" x14ac:dyDescent="0.35">
      <c r="B2" s="50" t="str">
        <f>Cashflow!B2</f>
        <v>All figures in INR Crores</v>
      </c>
    </row>
    <row r="3" spans="2:19" x14ac:dyDescent="0.35">
      <c r="E3" s="658" t="s">
        <v>1600</v>
      </c>
      <c r="F3" s="658" t="s">
        <v>1600</v>
      </c>
      <c r="G3" s="658" t="s">
        <v>1600</v>
      </c>
      <c r="H3" s="658" t="s">
        <v>1600</v>
      </c>
      <c r="I3" s="658" t="s">
        <v>1600</v>
      </c>
    </row>
    <row r="4" spans="2:19" x14ac:dyDescent="0.35">
      <c r="B4" s="181" t="s">
        <v>436</v>
      </c>
      <c r="C4" s="182"/>
      <c r="D4" s="182"/>
      <c r="E4" s="183">
        <f>EOMONTH(F4,-12)</f>
        <v>43190</v>
      </c>
      <c r="F4" s="183">
        <f>EOMONTH(G4,-12)</f>
        <v>43555</v>
      </c>
      <c r="G4" s="183">
        <f>EOMONTH(H4,-12)</f>
        <v>43921</v>
      </c>
      <c r="H4" s="183">
        <f>'Balance Sheet'!F4</f>
        <v>44286</v>
      </c>
      <c r="I4" s="183">
        <f>'Balance Sheet'!G4</f>
        <v>44651</v>
      </c>
      <c r="J4" s="183">
        <f>'Balance Sheet'!H4</f>
        <v>45016</v>
      </c>
      <c r="K4" s="183">
        <f>'Balance Sheet'!I4</f>
        <v>45382</v>
      </c>
      <c r="L4" s="183">
        <f>'Balance Sheet'!J4</f>
        <v>45747</v>
      </c>
      <c r="M4" s="183">
        <f>'Balance Sheet'!K4</f>
        <v>46112</v>
      </c>
      <c r="N4" s="183">
        <f>'Balance Sheet'!L4</f>
        <v>46477</v>
      </c>
      <c r="O4" s="183">
        <f>'Balance Sheet'!M4</f>
        <v>46843</v>
      </c>
      <c r="P4" s="183">
        <f>'Balance Sheet'!N4</f>
        <v>47208</v>
      </c>
      <c r="Q4" s="183">
        <f>'Balance Sheet'!O4</f>
        <v>47573</v>
      </c>
      <c r="R4" s="183">
        <f>'Balance Sheet'!P4</f>
        <v>47938</v>
      </c>
      <c r="S4" s="183">
        <f>'Balance Sheet'!Q4</f>
        <v>48304</v>
      </c>
    </row>
    <row r="5" spans="2:19" s="308" customFormat="1" x14ac:dyDescent="0.35">
      <c r="B5" s="305" t="s">
        <v>491</v>
      </c>
      <c r="C5" s="306"/>
      <c r="D5" s="306"/>
      <c r="E5" s="306"/>
      <c r="F5" s="306"/>
      <c r="G5" s="306"/>
      <c r="H5" s="307"/>
      <c r="I5" s="307"/>
      <c r="J5" s="306"/>
      <c r="K5" s="306"/>
      <c r="L5" s="306"/>
      <c r="M5" s="306"/>
      <c r="N5" s="306"/>
      <c r="O5" s="306"/>
      <c r="P5" s="306"/>
      <c r="Q5" s="306"/>
      <c r="R5" s="306"/>
      <c r="S5" s="306"/>
    </row>
    <row r="6" spans="2:19" x14ac:dyDescent="0.35">
      <c r="B6" s="184" t="s">
        <v>492</v>
      </c>
      <c r="C6" s="185"/>
      <c r="D6" s="185"/>
      <c r="E6" s="185"/>
      <c r="F6" s="185"/>
      <c r="G6" s="185"/>
      <c r="H6" s="186"/>
      <c r="I6" s="186"/>
      <c r="J6" s="185"/>
      <c r="K6" s="185"/>
      <c r="L6" s="185"/>
      <c r="M6" s="185"/>
      <c r="N6" s="185"/>
      <c r="O6" s="185"/>
      <c r="P6" s="185"/>
      <c r="Q6" s="185"/>
      <c r="R6" s="185"/>
      <c r="S6" s="185"/>
    </row>
    <row r="7" spans="2:19" x14ac:dyDescent="0.35">
      <c r="B7" s="187" t="s">
        <v>493</v>
      </c>
      <c r="C7" s="185"/>
      <c r="D7" s="185"/>
      <c r="E7" s="185"/>
      <c r="F7" s="185"/>
      <c r="G7" s="185"/>
      <c r="H7" s="188"/>
      <c r="I7" s="188">
        <f>H10</f>
        <v>3711.53</v>
      </c>
      <c r="J7" s="189">
        <f>I10</f>
        <v>3711.53</v>
      </c>
      <c r="K7" s="189">
        <f t="shared" ref="K7:P7" si="0">J10</f>
        <v>3711.53</v>
      </c>
      <c r="L7" s="189">
        <f t="shared" si="0"/>
        <v>3711.53</v>
      </c>
      <c r="M7" s="189">
        <f t="shared" si="0"/>
        <v>3711.53</v>
      </c>
      <c r="N7" s="189">
        <f t="shared" si="0"/>
        <v>3711.53</v>
      </c>
      <c r="O7" s="189">
        <f t="shared" si="0"/>
        <v>3711.53</v>
      </c>
      <c r="P7" s="189">
        <f t="shared" si="0"/>
        <v>3711.53</v>
      </c>
      <c r="Q7" s="189">
        <f>P10</f>
        <v>3711.53</v>
      </c>
      <c r="R7" s="189">
        <f>Q10</f>
        <v>3711.53</v>
      </c>
      <c r="S7" s="189">
        <f>R10</f>
        <v>3711.53</v>
      </c>
    </row>
    <row r="8" spans="2:19" x14ac:dyDescent="0.35">
      <c r="B8" s="187" t="s">
        <v>494</v>
      </c>
      <c r="C8" s="185"/>
      <c r="D8" s="185"/>
      <c r="E8" s="185"/>
      <c r="F8" s="185"/>
      <c r="G8" s="185"/>
      <c r="H8" s="188"/>
      <c r="I8" s="188"/>
      <c r="J8" s="189">
        <v>0</v>
      </c>
      <c r="K8" s="189">
        <v>0</v>
      </c>
      <c r="L8" s="189">
        <v>0</v>
      </c>
      <c r="M8" s="189">
        <v>0</v>
      </c>
      <c r="N8" s="189">
        <v>0</v>
      </c>
      <c r="O8" s="189">
        <v>0</v>
      </c>
      <c r="P8" s="189">
        <v>0</v>
      </c>
      <c r="Q8" s="189">
        <v>0</v>
      </c>
      <c r="R8" s="189">
        <v>0</v>
      </c>
      <c r="S8" s="189">
        <v>0</v>
      </c>
    </row>
    <row r="9" spans="2:19" s="658" customFormat="1" x14ac:dyDescent="0.35">
      <c r="B9" s="187" t="s">
        <v>1628</v>
      </c>
      <c r="C9" s="185"/>
      <c r="D9" s="185"/>
      <c r="E9" s="185"/>
      <c r="F9" s="185"/>
      <c r="G9" s="185"/>
      <c r="H9" s="188"/>
      <c r="I9" s="188"/>
      <c r="J9" s="189"/>
      <c r="K9" s="189"/>
      <c r="L9" s="189"/>
      <c r="M9" s="189"/>
      <c r="N9" s="189"/>
      <c r="O9" s="189"/>
      <c r="P9" s="189"/>
      <c r="Q9" s="189"/>
      <c r="R9" s="189"/>
      <c r="S9" s="189"/>
    </row>
    <row r="10" spans="2:19" x14ac:dyDescent="0.35">
      <c r="B10" s="187" t="s">
        <v>495</v>
      </c>
      <c r="C10" s="185"/>
      <c r="D10" s="185"/>
      <c r="E10" s="185"/>
      <c r="F10" s="185"/>
      <c r="G10" s="185"/>
      <c r="H10" s="188">
        <v>3711.53</v>
      </c>
      <c r="I10" s="189">
        <f>I7+I8+I9</f>
        <v>3711.53</v>
      </c>
      <c r="J10" s="189">
        <f t="shared" ref="J10:S10" si="1">J7+J8+J9</f>
        <v>3711.53</v>
      </c>
      <c r="K10" s="189">
        <f t="shared" si="1"/>
        <v>3711.53</v>
      </c>
      <c r="L10" s="189">
        <f t="shared" si="1"/>
        <v>3711.53</v>
      </c>
      <c r="M10" s="189">
        <f t="shared" si="1"/>
        <v>3711.53</v>
      </c>
      <c r="N10" s="189">
        <f t="shared" si="1"/>
        <v>3711.53</v>
      </c>
      <c r="O10" s="189">
        <f t="shared" si="1"/>
        <v>3711.53</v>
      </c>
      <c r="P10" s="189">
        <f t="shared" si="1"/>
        <v>3711.53</v>
      </c>
      <c r="Q10" s="189">
        <f t="shared" si="1"/>
        <v>3711.53</v>
      </c>
      <c r="R10" s="189">
        <f t="shared" si="1"/>
        <v>3711.53</v>
      </c>
      <c r="S10" s="189">
        <f t="shared" si="1"/>
        <v>3711.53</v>
      </c>
    </row>
    <row r="11" spans="2:19" x14ac:dyDescent="0.35">
      <c r="B11" s="187" t="s">
        <v>54</v>
      </c>
      <c r="C11" s="364">
        <v>0</v>
      </c>
      <c r="D11" s="364"/>
      <c r="E11" s="364"/>
      <c r="F11" s="190"/>
      <c r="G11" s="190"/>
      <c r="H11" s="188"/>
      <c r="I11" s="188"/>
      <c r="J11" s="189">
        <f t="shared" ref="J11:S11" si="2">J$10*$C$11</f>
        <v>0</v>
      </c>
      <c r="K11" s="189">
        <f t="shared" si="2"/>
        <v>0</v>
      </c>
      <c r="L11" s="189">
        <f t="shared" si="2"/>
        <v>0</v>
      </c>
      <c r="M11" s="189">
        <f t="shared" si="2"/>
        <v>0</v>
      </c>
      <c r="N11" s="189">
        <f t="shared" si="2"/>
        <v>0</v>
      </c>
      <c r="O11" s="189">
        <f t="shared" si="2"/>
        <v>0</v>
      </c>
      <c r="P11" s="189">
        <f t="shared" si="2"/>
        <v>0</v>
      </c>
      <c r="Q11" s="189">
        <f t="shared" si="2"/>
        <v>0</v>
      </c>
      <c r="R11" s="189">
        <f t="shared" si="2"/>
        <v>0</v>
      </c>
      <c r="S11" s="189">
        <f t="shared" si="2"/>
        <v>0</v>
      </c>
    </row>
    <row r="12" spans="2:19" s="658" customFormat="1" x14ac:dyDescent="0.35">
      <c r="B12" s="187" t="s">
        <v>1629</v>
      </c>
      <c r="C12" s="364"/>
      <c r="D12" s="364"/>
      <c r="E12" s="364"/>
      <c r="F12" s="190"/>
      <c r="G12" s="190"/>
      <c r="H12" s="188"/>
      <c r="I12" s="188"/>
      <c r="J12" s="189"/>
      <c r="K12" s="189"/>
      <c r="L12" s="189"/>
      <c r="M12" s="189"/>
      <c r="N12" s="189"/>
      <c r="O12" s="189"/>
      <c r="P12" s="189"/>
      <c r="Q12" s="189"/>
      <c r="R12" s="189"/>
      <c r="S12" s="189"/>
    </row>
    <row r="13" spans="2:19" x14ac:dyDescent="0.35">
      <c r="B13" s="187" t="s">
        <v>496</v>
      </c>
      <c r="C13" s="364"/>
      <c r="D13" s="364"/>
      <c r="E13" s="364"/>
      <c r="F13" s="185"/>
      <c r="G13" s="185"/>
      <c r="H13" s="188"/>
      <c r="I13" s="188">
        <f>H13+I11+I12</f>
        <v>0</v>
      </c>
      <c r="J13" s="189">
        <f>I13+J11</f>
        <v>0</v>
      </c>
      <c r="K13" s="189">
        <f t="shared" ref="K13:P13" si="3">J13+K11</f>
        <v>0</v>
      </c>
      <c r="L13" s="189">
        <f t="shared" si="3"/>
        <v>0</v>
      </c>
      <c r="M13" s="189">
        <f t="shared" si="3"/>
        <v>0</v>
      </c>
      <c r="N13" s="189">
        <f t="shared" si="3"/>
        <v>0</v>
      </c>
      <c r="O13" s="189">
        <f t="shared" si="3"/>
        <v>0</v>
      </c>
      <c r="P13" s="189">
        <f t="shared" si="3"/>
        <v>0</v>
      </c>
      <c r="Q13" s="189">
        <f>P13+Q11</f>
        <v>0</v>
      </c>
      <c r="R13" s="189">
        <f>Q13+R11</f>
        <v>0</v>
      </c>
      <c r="S13" s="189">
        <f>R13+S11</f>
        <v>0</v>
      </c>
    </row>
    <row r="14" spans="2:19" x14ac:dyDescent="0.35">
      <c r="B14" s="187" t="s">
        <v>497</v>
      </c>
      <c r="C14" s="364"/>
      <c r="D14" s="364"/>
      <c r="E14" s="364"/>
      <c r="F14" s="185"/>
      <c r="G14" s="185"/>
      <c r="H14" s="189">
        <f>H10-H13</f>
        <v>3711.53</v>
      </c>
      <c r="I14" s="189">
        <f>I10-I13</f>
        <v>3711.53</v>
      </c>
      <c r="J14" s="189">
        <f t="shared" ref="J14:P14" si="4">J10-J13</f>
        <v>3711.53</v>
      </c>
      <c r="K14" s="189">
        <f t="shared" si="4"/>
        <v>3711.53</v>
      </c>
      <c r="L14" s="189">
        <f t="shared" si="4"/>
        <v>3711.53</v>
      </c>
      <c r="M14" s="189">
        <f t="shared" si="4"/>
        <v>3711.53</v>
      </c>
      <c r="N14" s="189">
        <f t="shared" si="4"/>
        <v>3711.53</v>
      </c>
      <c r="O14" s="189">
        <f t="shared" si="4"/>
        <v>3711.53</v>
      </c>
      <c r="P14" s="189">
        <f t="shared" si="4"/>
        <v>3711.53</v>
      </c>
      <c r="Q14" s="189">
        <f>Q10-Q13</f>
        <v>3711.53</v>
      </c>
      <c r="R14" s="189">
        <f>R10-R13</f>
        <v>3711.53</v>
      </c>
      <c r="S14" s="189">
        <f>S10-S13</f>
        <v>3711.53</v>
      </c>
    </row>
    <row r="15" spans="2:19" x14ac:dyDescent="0.35">
      <c r="B15" s="270"/>
      <c r="C15" s="364"/>
      <c r="D15" s="364"/>
      <c r="E15" s="364"/>
      <c r="F15" s="185"/>
      <c r="G15" s="185"/>
      <c r="H15" s="188"/>
      <c r="I15" s="188"/>
      <c r="J15" s="189"/>
      <c r="K15" s="189"/>
      <c r="L15" s="189"/>
      <c r="M15" s="189"/>
      <c r="N15" s="189"/>
      <c r="O15" s="189"/>
      <c r="P15" s="189"/>
      <c r="Q15" s="189"/>
      <c r="R15" s="189"/>
      <c r="S15" s="189"/>
    </row>
    <row r="16" spans="2:19" x14ac:dyDescent="0.35">
      <c r="B16" s="191" t="s">
        <v>498</v>
      </c>
      <c r="C16" s="364"/>
      <c r="D16" s="364"/>
      <c r="E16" s="364"/>
      <c r="F16" s="185"/>
      <c r="G16" s="185"/>
      <c r="H16" s="188"/>
      <c r="I16" s="188"/>
      <c r="J16" s="189"/>
      <c r="K16" s="189"/>
      <c r="L16" s="189"/>
      <c r="M16" s="189"/>
      <c r="N16" s="189"/>
      <c r="O16" s="189"/>
      <c r="P16" s="189"/>
      <c r="Q16" s="189"/>
      <c r="R16" s="189"/>
      <c r="S16" s="189"/>
    </row>
    <row r="17" spans="2:19" x14ac:dyDescent="0.35">
      <c r="B17" s="187" t="s">
        <v>493</v>
      </c>
      <c r="C17" s="364"/>
      <c r="D17" s="364"/>
      <c r="E17" s="364"/>
      <c r="F17" s="185"/>
      <c r="G17" s="185"/>
      <c r="H17" s="188"/>
      <c r="I17" s="188">
        <f>H20</f>
        <v>1.02</v>
      </c>
      <c r="J17" s="189">
        <f>I20</f>
        <v>1.02</v>
      </c>
      <c r="K17" s="189">
        <f t="shared" ref="K17:P17" si="5">J20</f>
        <v>1.02</v>
      </c>
      <c r="L17" s="189">
        <f t="shared" si="5"/>
        <v>1.02</v>
      </c>
      <c r="M17" s="189">
        <f t="shared" si="5"/>
        <v>1.02</v>
      </c>
      <c r="N17" s="189">
        <f t="shared" si="5"/>
        <v>1.02</v>
      </c>
      <c r="O17" s="189">
        <f t="shared" si="5"/>
        <v>1.02</v>
      </c>
      <c r="P17" s="189">
        <f t="shared" si="5"/>
        <v>1.02</v>
      </c>
      <c r="Q17" s="189">
        <f>P20</f>
        <v>1.02</v>
      </c>
      <c r="R17" s="189">
        <f>Q20</f>
        <v>1.02</v>
      </c>
      <c r="S17" s="189">
        <f>R20</f>
        <v>1.02</v>
      </c>
    </row>
    <row r="18" spans="2:19" x14ac:dyDescent="0.35">
      <c r="B18" s="187" t="s">
        <v>494</v>
      </c>
      <c r="C18" s="364"/>
      <c r="D18" s="364"/>
      <c r="E18" s="364"/>
      <c r="F18" s="185"/>
      <c r="G18" s="185"/>
      <c r="H18" s="188"/>
      <c r="I18" s="188"/>
      <c r="J18" s="189">
        <v>0</v>
      </c>
      <c r="K18" s="189">
        <v>0</v>
      </c>
      <c r="L18" s="189">
        <v>0</v>
      </c>
      <c r="M18" s="189">
        <v>0</v>
      </c>
      <c r="N18" s="189">
        <v>0</v>
      </c>
      <c r="O18" s="189">
        <v>0</v>
      </c>
      <c r="P18" s="189">
        <v>0</v>
      </c>
      <c r="Q18" s="189">
        <v>0</v>
      </c>
      <c r="R18" s="189">
        <v>0</v>
      </c>
      <c r="S18" s="189">
        <v>0</v>
      </c>
    </row>
    <row r="19" spans="2:19" s="658" customFormat="1" x14ac:dyDescent="0.35">
      <c r="B19" s="187" t="s">
        <v>1628</v>
      </c>
      <c r="C19" s="364"/>
      <c r="D19" s="364"/>
      <c r="E19" s="364"/>
      <c r="F19" s="185"/>
      <c r="G19" s="185"/>
      <c r="H19" s="188"/>
      <c r="I19" s="188"/>
      <c r="J19" s="189"/>
      <c r="K19" s="189"/>
      <c r="L19" s="189"/>
      <c r="M19" s="189"/>
      <c r="N19" s="189"/>
      <c r="O19" s="189"/>
      <c r="P19" s="189"/>
      <c r="Q19" s="189"/>
      <c r="R19" s="189"/>
      <c r="S19" s="189"/>
    </row>
    <row r="20" spans="2:19" x14ac:dyDescent="0.35">
      <c r="B20" s="187" t="s">
        <v>495</v>
      </c>
      <c r="C20" s="364"/>
      <c r="D20" s="364"/>
      <c r="E20" s="364"/>
      <c r="F20" s="185"/>
      <c r="G20" s="185"/>
      <c r="H20" s="188">
        <v>1.02</v>
      </c>
      <c r="I20" s="189">
        <f>I17+I18+I19</f>
        <v>1.02</v>
      </c>
      <c r="J20" s="189">
        <f t="shared" ref="J20:S20" si="6">J17+J18+J19</f>
        <v>1.02</v>
      </c>
      <c r="K20" s="189">
        <f t="shared" si="6"/>
        <v>1.02</v>
      </c>
      <c r="L20" s="189">
        <f t="shared" si="6"/>
        <v>1.02</v>
      </c>
      <c r="M20" s="189">
        <f t="shared" si="6"/>
        <v>1.02</v>
      </c>
      <c r="N20" s="189">
        <f t="shared" si="6"/>
        <v>1.02</v>
      </c>
      <c r="O20" s="189">
        <f t="shared" si="6"/>
        <v>1.02</v>
      </c>
      <c r="P20" s="189">
        <f t="shared" si="6"/>
        <v>1.02</v>
      </c>
      <c r="Q20" s="189">
        <f t="shared" si="6"/>
        <v>1.02</v>
      </c>
      <c r="R20" s="189">
        <f t="shared" si="6"/>
        <v>1.02</v>
      </c>
      <c r="S20" s="189">
        <f t="shared" si="6"/>
        <v>1.02</v>
      </c>
    </row>
    <row r="21" spans="2:19" x14ac:dyDescent="0.35">
      <c r="B21" s="187" t="s">
        <v>54</v>
      </c>
      <c r="C21" s="364">
        <v>2.9411764705882353E-2</v>
      </c>
      <c r="D21" s="364"/>
      <c r="E21" s="364"/>
      <c r="F21" s="190"/>
      <c r="G21" s="190"/>
      <c r="H21" s="188"/>
      <c r="I21" s="188">
        <v>0.03</v>
      </c>
      <c r="J21" s="189">
        <f t="shared" ref="J21:S21" si="7">J$20*$C21</f>
        <v>0.03</v>
      </c>
      <c r="K21" s="189">
        <f t="shared" si="7"/>
        <v>0.03</v>
      </c>
      <c r="L21" s="189">
        <f t="shared" si="7"/>
        <v>0.03</v>
      </c>
      <c r="M21" s="189">
        <f t="shared" si="7"/>
        <v>0.03</v>
      </c>
      <c r="N21" s="189">
        <f t="shared" si="7"/>
        <v>0.03</v>
      </c>
      <c r="O21" s="189">
        <f t="shared" si="7"/>
        <v>0.03</v>
      </c>
      <c r="P21" s="189">
        <f t="shared" si="7"/>
        <v>0.03</v>
      </c>
      <c r="Q21" s="189">
        <f t="shared" si="7"/>
        <v>0.03</v>
      </c>
      <c r="R21" s="189">
        <f t="shared" si="7"/>
        <v>0.03</v>
      </c>
      <c r="S21" s="189">
        <f t="shared" si="7"/>
        <v>0.03</v>
      </c>
    </row>
    <row r="22" spans="2:19" s="658" customFormat="1" x14ac:dyDescent="0.35">
      <c r="B22" s="187" t="s">
        <v>1629</v>
      </c>
      <c r="C22" s="364"/>
      <c r="D22" s="364"/>
      <c r="E22" s="364"/>
      <c r="F22" s="190"/>
      <c r="G22" s="190"/>
      <c r="H22" s="188"/>
      <c r="I22" s="188"/>
      <c r="J22" s="189"/>
      <c r="K22" s="189"/>
      <c r="L22" s="189"/>
      <c r="M22" s="189"/>
      <c r="N22" s="189"/>
      <c r="O22" s="189"/>
      <c r="P22" s="189"/>
      <c r="Q22" s="189"/>
      <c r="R22" s="189"/>
      <c r="S22" s="189"/>
    </row>
    <row r="23" spans="2:19" x14ac:dyDescent="0.35">
      <c r="B23" s="187" t="s">
        <v>496</v>
      </c>
      <c r="C23" s="364"/>
      <c r="D23" s="364"/>
      <c r="E23" s="364"/>
      <c r="F23" s="185"/>
      <c r="G23" s="185"/>
      <c r="H23" s="193">
        <f>H20-H24</f>
        <v>0.36</v>
      </c>
      <c r="I23" s="193">
        <f>H23+I21+I22</f>
        <v>0.39</v>
      </c>
      <c r="J23" s="189">
        <f>I23+J21</f>
        <v>0.42000000000000004</v>
      </c>
      <c r="K23" s="189">
        <f t="shared" ref="K23:P23" si="8">J23+K21</f>
        <v>0.45000000000000007</v>
      </c>
      <c r="L23" s="189">
        <f t="shared" si="8"/>
        <v>0.48000000000000009</v>
      </c>
      <c r="M23" s="189">
        <f t="shared" si="8"/>
        <v>0.51000000000000012</v>
      </c>
      <c r="N23" s="189">
        <f t="shared" si="8"/>
        <v>0.54000000000000015</v>
      </c>
      <c r="O23" s="189">
        <f t="shared" si="8"/>
        <v>0.57000000000000017</v>
      </c>
      <c r="P23" s="189">
        <f t="shared" si="8"/>
        <v>0.6000000000000002</v>
      </c>
      <c r="Q23" s="189">
        <f>P23+Q21</f>
        <v>0.63000000000000023</v>
      </c>
      <c r="R23" s="189">
        <f>Q23+R21</f>
        <v>0.66000000000000025</v>
      </c>
      <c r="S23" s="189">
        <f>R23+S21</f>
        <v>0.69000000000000028</v>
      </c>
    </row>
    <row r="24" spans="2:19" x14ac:dyDescent="0.35">
      <c r="B24" s="187" t="s">
        <v>497</v>
      </c>
      <c r="C24" s="364"/>
      <c r="D24" s="364"/>
      <c r="E24" s="364"/>
      <c r="F24" s="185"/>
      <c r="G24" s="185"/>
      <c r="H24" s="188">
        <v>0.66</v>
      </c>
      <c r="I24" s="189">
        <f>I20-I23</f>
        <v>0.63</v>
      </c>
      <c r="J24" s="189">
        <f t="shared" ref="J24:P24" si="9">J20-J23</f>
        <v>0.6</v>
      </c>
      <c r="K24" s="189">
        <f t="shared" si="9"/>
        <v>0.56999999999999995</v>
      </c>
      <c r="L24" s="189">
        <f t="shared" si="9"/>
        <v>0.53999999999999992</v>
      </c>
      <c r="M24" s="189">
        <f t="shared" si="9"/>
        <v>0.5099999999999999</v>
      </c>
      <c r="N24" s="189">
        <f t="shared" si="9"/>
        <v>0.47999999999999987</v>
      </c>
      <c r="O24" s="189">
        <f t="shared" si="9"/>
        <v>0.44999999999999984</v>
      </c>
      <c r="P24" s="189">
        <f t="shared" si="9"/>
        <v>0.41999999999999982</v>
      </c>
      <c r="Q24" s="189">
        <f>Q20-Q23</f>
        <v>0.38999999999999979</v>
      </c>
      <c r="R24" s="189">
        <f>R20-R23</f>
        <v>0.35999999999999976</v>
      </c>
      <c r="S24" s="189">
        <f>S20-S23</f>
        <v>0.32999999999999974</v>
      </c>
    </row>
    <row r="25" spans="2:19" x14ac:dyDescent="0.35">
      <c r="B25" s="270"/>
      <c r="C25" s="364"/>
      <c r="D25" s="364"/>
      <c r="E25" s="364"/>
      <c r="F25" s="185"/>
      <c r="G25" s="185"/>
      <c r="H25" s="188"/>
      <c r="I25" s="188"/>
      <c r="J25" s="189"/>
      <c r="K25" s="189"/>
      <c r="L25" s="189"/>
      <c r="M25" s="189"/>
      <c r="N25" s="189"/>
      <c r="O25" s="189"/>
      <c r="P25" s="189"/>
      <c r="Q25" s="189"/>
      <c r="R25" s="189"/>
      <c r="S25" s="189"/>
    </row>
    <row r="26" spans="2:19" x14ac:dyDescent="0.35">
      <c r="B26" s="191" t="s">
        <v>499</v>
      </c>
      <c r="C26" s="364"/>
      <c r="D26" s="364"/>
      <c r="E26" s="364"/>
      <c r="F26" s="185"/>
      <c r="G26" s="185"/>
      <c r="H26" s="188"/>
      <c r="I26" s="188"/>
      <c r="J26" s="189"/>
      <c r="K26" s="189"/>
      <c r="L26" s="189"/>
      <c r="M26" s="189"/>
      <c r="N26" s="189"/>
      <c r="O26" s="189"/>
      <c r="P26" s="189"/>
      <c r="Q26" s="189"/>
      <c r="R26" s="189"/>
      <c r="S26" s="189"/>
    </row>
    <row r="27" spans="2:19" x14ac:dyDescent="0.35">
      <c r="B27" s="187" t="s">
        <v>493</v>
      </c>
      <c r="C27" s="364"/>
      <c r="D27" s="364"/>
      <c r="E27" s="364"/>
      <c r="F27" s="185"/>
      <c r="G27" s="185"/>
      <c r="H27" s="188"/>
      <c r="I27" s="188">
        <f>H30</f>
        <v>1277.81</v>
      </c>
      <c r="J27" s="189">
        <f>I30</f>
        <v>1276.54</v>
      </c>
      <c r="K27" s="189">
        <f t="shared" ref="K27:P27" si="10">J30</f>
        <v>1276.54</v>
      </c>
      <c r="L27" s="189">
        <f t="shared" si="10"/>
        <v>1276.54</v>
      </c>
      <c r="M27" s="189">
        <f t="shared" si="10"/>
        <v>1276.54</v>
      </c>
      <c r="N27" s="189">
        <f t="shared" si="10"/>
        <v>1276.54</v>
      </c>
      <c r="O27" s="189">
        <f t="shared" si="10"/>
        <v>1276.54</v>
      </c>
      <c r="P27" s="189">
        <f t="shared" si="10"/>
        <v>1276.54</v>
      </c>
      <c r="Q27" s="189">
        <f>P30</f>
        <v>1276.54</v>
      </c>
      <c r="R27" s="189">
        <f>Q30</f>
        <v>1276.54</v>
      </c>
      <c r="S27" s="189">
        <f>R30</f>
        <v>1276.54</v>
      </c>
    </row>
    <row r="28" spans="2:19" s="180" customFormat="1" x14ac:dyDescent="0.35">
      <c r="B28" s="187" t="s">
        <v>494</v>
      </c>
      <c r="C28" s="364"/>
      <c r="D28" s="364"/>
      <c r="E28" s="364"/>
      <c r="F28" s="192"/>
      <c r="G28" s="192"/>
      <c r="H28" s="193"/>
      <c r="I28" s="193"/>
      <c r="J28" s="193">
        <v>0</v>
      </c>
      <c r="K28" s="193">
        <v>0</v>
      </c>
      <c r="L28" s="193">
        <v>0</v>
      </c>
      <c r="M28" s="193">
        <v>0</v>
      </c>
      <c r="N28" s="193">
        <v>0</v>
      </c>
      <c r="O28" s="193">
        <v>0</v>
      </c>
      <c r="P28" s="193">
        <v>0</v>
      </c>
      <c r="Q28" s="193">
        <v>0</v>
      </c>
      <c r="R28" s="193">
        <v>0</v>
      </c>
      <c r="S28" s="193">
        <v>0</v>
      </c>
    </row>
    <row r="29" spans="2:19" s="180" customFormat="1" x14ac:dyDescent="0.35">
      <c r="B29" s="187" t="s">
        <v>1628</v>
      </c>
      <c r="C29" s="364"/>
      <c r="D29" s="364"/>
      <c r="E29" s="364"/>
      <c r="F29" s="192"/>
      <c r="G29" s="192"/>
      <c r="H29" s="193"/>
      <c r="I29" s="193">
        <v>-1.27</v>
      </c>
      <c r="J29" s="193"/>
      <c r="K29" s="193"/>
      <c r="L29" s="193"/>
      <c r="M29" s="193"/>
      <c r="N29" s="193"/>
      <c r="O29" s="193"/>
      <c r="P29" s="193"/>
      <c r="Q29" s="193"/>
      <c r="R29" s="193"/>
      <c r="S29" s="193"/>
    </row>
    <row r="30" spans="2:19" x14ac:dyDescent="0.35">
      <c r="B30" s="187" t="s">
        <v>495</v>
      </c>
      <c r="C30" s="364"/>
      <c r="D30" s="364"/>
      <c r="E30" s="364"/>
      <c r="F30" s="185"/>
      <c r="G30" s="185"/>
      <c r="H30" s="188">
        <v>1277.81</v>
      </c>
      <c r="I30" s="189">
        <f>I27+I28+I29</f>
        <v>1276.54</v>
      </c>
      <c r="J30" s="189">
        <f t="shared" ref="J30:S30" si="11">J27+J28+J29</f>
        <v>1276.54</v>
      </c>
      <c r="K30" s="189">
        <f t="shared" si="11"/>
        <v>1276.54</v>
      </c>
      <c r="L30" s="189">
        <f t="shared" si="11"/>
        <v>1276.54</v>
      </c>
      <c r="M30" s="189">
        <f t="shared" si="11"/>
        <v>1276.54</v>
      </c>
      <c r="N30" s="189">
        <f t="shared" si="11"/>
        <v>1276.54</v>
      </c>
      <c r="O30" s="189">
        <f t="shared" si="11"/>
        <v>1276.54</v>
      </c>
      <c r="P30" s="189">
        <f t="shared" si="11"/>
        <v>1276.54</v>
      </c>
      <c r="Q30" s="189">
        <f t="shared" si="11"/>
        <v>1276.54</v>
      </c>
      <c r="R30" s="189">
        <f t="shared" si="11"/>
        <v>1276.54</v>
      </c>
      <c r="S30" s="189">
        <f t="shared" si="11"/>
        <v>1276.54</v>
      </c>
    </row>
    <row r="31" spans="2:19" x14ac:dyDescent="0.35">
      <c r="B31" s="187" t="s">
        <v>54</v>
      </c>
      <c r="C31" s="364">
        <v>2.2702905752811454E-2</v>
      </c>
      <c r="D31" s="364"/>
      <c r="E31" s="364"/>
      <c r="F31" s="190"/>
      <c r="G31" s="190"/>
      <c r="H31" s="188"/>
      <c r="I31" s="188">
        <v>28.96</v>
      </c>
      <c r="J31" s="196">
        <f>IF(I33&lt;J30,MIN(J30*$C31,J30-I33),0)</f>
        <v>28.981167309693934</v>
      </c>
      <c r="K31" s="196">
        <f t="shared" ref="K31:P31" si="12">IF(J33&lt;K30,MIN(K30*$C31,K30-J33),0)</f>
        <v>28.981167309693934</v>
      </c>
      <c r="L31" s="196">
        <f t="shared" si="12"/>
        <v>28.981167309693934</v>
      </c>
      <c r="M31" s="196">
        <f t="shared" si="12"/>
        <v>28.981167309693934</v>
      </c>
      <c r="N31" s="196">
        <f t="shared" si="12"/>
        <v>28.981167309693934</v>
      </c>
      <c r="O31" s="196">
        <f t="shared" si="12"/>
        <v>28.981167309693934</v>
      </c>
      <c r="P31" s="196">
        <f t="shared" si="12"/>
        <v>28.981167309693934</v>
      </c>
      <c r="Q31" s="196">
        <f>IF(P33&lt;Q30,MIN(Q30*$C31,Q30-P33),0)</f>
        <v>28.981167309693934</v>
      </c>
      <c r="R31" s="196">
        <f>IF(Q33&lt;R30,MIN(R30*$C31,R30-Q33),0)</f>
        <v>28.981167309693934</v>
      </c>
      <c r="S31" s="196">
        <f>IF(R33&lt;S30,MIN(S30*$C31,S30-R33),0)</f>
        <v>28.981167309693934</v>
      </c>
    </row>
    <row r="32" spans="2:19" s="658" customFormat="1" x14ac:dyDescent="0.35">
      <c r="B32" s="187" t="s">
        <v>1629</v>
      </c>
      <c r="C32" s="364"/>
      <c r="D32" s="364"/>
      <c r="E32" s="364"/>
      <c r="F32" s="190"/>
      <c r="G32" s="190"/>
      <c r="H32" s="188"/>
      <c r="I32" s="188">
        <v>-0.46</v>
      </c>
      <c r="J32" s="196"/>
      <c r="K32" s="196"/>
      <c r="L32" s="196"/>
      <c r="M32" s="196"/>
      <c r="N32" s="196"/>
      <c r="O32" s="196"/>
      <c r="P32" s="196"/>
      <c r="Q32" s="196"/>
      <c r="R32" s="196"/>
      <c r="S32" s="196"/>
    </row>
    <row r="33" spans="2:19" x14ac:dyDescent="0.35">
      <c r="B33" s="187" t="s">
        <v>496</v>
      </c>
      <c r="C33" s="364"/>
      <c r="D33" s="364"/>
      <c r="E33" s="364"/>
      <c r="F33" s="185"/>
      <c r="G33" s="185"/>
      <c r="H33" s="193">
        <f>H30-H34</f>
        <v>391.01</v>
      </c>
      <c r="I33" s="193">
        <f>H33+I31+I32</f>
        <v>419.51</v>
      </c>
      <c r="J33" s="189">
        <f>I33+J31</f>
        <v>448.49116730969394</v>
      </c>
      <c r="K33" s="189">
        <f t="shared" ref="K33:P33" si="13">J33+K31</f>
        <v>477.47233461938788</v>
      </c>
      <c r="L33" s="189">
        <f t="shared" si="13"/>
        <v>506.45350192908182</v>
      </c>
      <c r="M33" s="189">
        <f t="shared" si="13"/>
        <v>535.43466923877577</v>
      </c>
      <c r="N33" s="189">
        <f t="shared" si="13"/>
        <v>564.41583654846966</v>
      </c>
      <c r="O33" s="189">
        <f t="shared" si="13"/>
        <v>593.39700385816354</v>
      </c>
      <c r="P33" s="189">
        <f t="shared" si="13"/>
        <v>622.37817116785743</v>
      </c>
      <c r="Q33" s="189">
        <f>P33+Q31</f>
        <v>651.35933847755132</v>
      </c>
      <c r="R33" s="189">
        <f>Q33+R31</f>
        <v>680.34050578724521</v>
      </c>
      <c r="S33" s="189">
        <f>R33+S31</f>
        <v>709.32167309693909</v>
      </c>
    </row>
    <row r="34" spans="2:19" x14ac:dyDescent="0.35">
      <c r="B34" s="187" t="s">
        <v>497</v>
      </c>
      <c r="C34" s="364"/>
      <c r="D34" s="364"/>
      <c r="E34" s="364"/>
      <c r="F34" s="185"/>
      <c r="G34" s="185"/>
      <c r="H34" s="188">
        <v>886.8</v>
      </c>
      <c r="I34" s="189">
        <f>I30-I33</f>
        <v>857.03</v>
      </c>
      <c r="J34" s="189">
        <f t="shared" ref="J34:P34" si="14">J30-J33</f>
        <v>828.04883269030597</v>
      </c>
      <c r="K34" s="189">
        <f t="shared" si="14"/>
        <v>799.06766538061208</v>
      </c>
      <c r="L34" s="189">
        <f t="shared" si="14"/>
        <v>770.0864980709182</v>
      </c>
      <c r="M34" s="189">
        <f t="shared" si="14"/>
        <v>741.1053307612242</v>
      </c>
      <c r="N34" s="189">
        <f t="shared" si="14"/>
        <v>712.12416345153031</v>
      </c>
      <c r="O34" s="189">
        <f t="shared" si="14"/>
        <v>683.14299614183642</v>
      </c>
      <c r="P34" s="189">
        <f t="shared" si="14"/>
        <v>654.16182883214253</v>
      </c>
      <c r="Q34" s="189">
        <f>Q30-Q33</f>
        <v>625.18066152244864</v>
      </c>
      <c r="R34" s="189">
        <f>R30-R33</f>
        <v>596.19949421275476</v>
      </c>
      <c r="S34" s="189">
        <f>S30-S33</f>
        <v>567.21832690306087</v>
      </c>
    </row>
    <row r="35" spans="2:19" x14ac:dyDescent="0.35">
      <c r="B35" s="270"/>
      <c r="C35" s="364"/>
      <c r="D35" s="364"/>
      <c r="E35" s="364"/>
      <c r="F35" s="185"/>
      <c r="G35" s="185"/>
      <c r="H35" s="188"/>
      <c r="I35" s="188"/>
      <c r="J35" s="189"/>
      <c r="K35" s="189"/>
      <c r="L35" s="189"/>
      <c r="M35" s="189"/>
      <c r="N35" s="189"/>
      <c r="O35" s="189"/>
      <c r="P35" s="189"/>
      <c r="Q35" s="189"/>
      <c r="R35" s="189"/>
      <c r="S35" s="189"/>
    </row>
    <row r="36" spans="2:19" x14ac:dyDescent="0.35">
      <c r="B36" s="191" t="s">
        <v>265</v>
      </c>
      <c r="C36" s="364"/>
      <c r="D36" s="364"/>
      <c r="E36" s="364"/>
      <c r="F36" s="185"/>
      <c r="G36" s="185"/>
      <c r="H36" s="188"/>
      <c r="I36" s="188"/>
      <c r="J36" s="189"/>
      <c r="K36" s="189"/>
      <c r="L36" s="189"/>
      <c r="M36" s="189"/>
      <c r="N36" s="189"/>
      <c r="O36" s="189"/>
      <c r="P36" s="189"/>
      <c r="Q36" s="189"/>
      <c r="R36" s="189"/>
      <c r="S36" s="189"/>
    </row>
    <row r="37" spans="2:19" x14ac:dyDescent="0.35">
      <c r="B37" s="187" t="s">
        <v>493</v>
      </c>
      <c r="C37" s="364"/>
      <c r="D37" s="364"/>
      <c r="E37" s="364"/>
      <c r="F37" s="185"/>
      <c r="G37" s="185"/>
      <c r="H37" s="188"/>
      <c r="I37" s="188">
        <f>H40</f>
        <v>5475.17</v>
      </c>
      <c r="J37" s="189">
        <f>I40</f>
        <v>5497.56</v>
      </c>
      <c r="K37" s="189">
        <f t="shared" ref="K37:P37" si="15">J40</f>
        <v>5497.56</v>
      </c>
      <c r="L37" s="189">
        <f t="shared" si="15"/>
        <v>5512.56</v>
      </c>
      <c r="M37" s="189">
        <f t="shared" si="15"/>
        <v>5527.56</v>
      </c>
      <c r="N37" s="189">
        <f t="shared" si="15"/>
        <v>5542.56</v>
      </c>
      <c r="O37" s="189">
        <f t="shared" si="15"/>
        <v>5557.56</v>
      </c>
      <c r="P37" s="189">
        <f t="shared" si="15"/>
        <v>5572.56</v>
      </c>
      <c r="Q37" s="189">
        <f>P40</f>
        <v>5587.56</v>
      </c>
      <c r="R37" s="189">
        <f>Q40</f>
        <v>5602.56</v>
      </c>
      <c r="S37" s="189">
        <f>R40</f>
        <v>5617.56</v>
      </c>
    </row>
    <row r="38" spans="2:19" s="180" customFormat="1" x14ac:dyDescent="0.35">
      <c r="B38" s="187" t="s">
        <v>494</v>
      </c>
      <c r="C38" s="364"/>
      <c r="D38" s="364"/>
      <c r="E38" s="364"/>
      <c r="F38" s="192"/>
      <c r="G38" s="192"/>
      <c r="H38" s="193"/>
      <c r="I38" s="193">
        <v>27.62</v>
      </c>
      <c r="J38" s="193">
        <f>Assumptions!J169</f>
        <v>0</v>
      </c>
      <c r="K38" s="193">
        <f>Assumptions!K169</f>
        <v>15</v>
      </c>
      <c r="L38" s="193">
        <f>Assumptions!L169</f>
        <v>15</v>
      </c>
      <c r="M38" s="193">
        <f>Assumptions!M169</f>
        <v>15</v>
      </c>
      <c r="N38" s="193">
        <f>Assumptions!N169</f>
        <v>15</v>
      </c>
      <c r="O38" s="193">
        <f>Assumptions!O169</f>
        <v>15</v>
      </c>
      <c r="P38" s="193">
        <f>Assumptions!P169</f>
        <v>15</v>
      </c>
      <c r="Q38" s="193">
        <f>Assumptions!Q169</f>
        <v>15</v>
      </c>
      <c r="R38" s="193">
        <f>Assumptions!R169</f>
        <v>15</v>
      </c>
      <c r="S38" s="193">
        <f>Assumptions!S169</f>
        <v>15</v>
      </c>
    </row>
    <row r="39" spans="2:19" s="180" customFormat="1" x14ac:dyDescent="0.35">
      <c r="B39" s="187" t="s">
        <v>1628</v>
      </c>
      <c r="C39" s="364"/>
      <c r="D39" s="364"/>
      <c r="E39" s="364"/>
      <c r="F39" s="192"/>
      <c r="G39" s="192"/>
      <c r="H39" s="193"/>
      <c r="I39" s="193">
        <v>-5.23</v>
      </c>
      <c r="J39" s="193"/>
      <c r="K39" s="193"/>
      <c r="L39" s="193"/>
      <c r="M39" s="193"/>
      <c r="N39" s="193"/>
      <c r="O39" s="193"/>
      <c r="P39" s="193"/>
      <c r="Q39" s="193"/>
      <c r="R39" s="193"/>
      <c r="S39" s="193"/>
    </row>
    <row r="40" spans="2:19" x14ac:dyDescent="0.35">
      <c r="B40" s="187" t="s">
        <v>495</v>
      </c>
      <c r="C40" s="364"/>
      <c r="D40" s="364"/>
      <c r="E40" s="364"/>
      <c r="F40" s="185"/>
      <c r="G40" s="185"/>
      <c r="H40" s="188">
        <v>5475.17</v>
      </c>
      <c r="I40" s="189">
        <f>I37+I38+I39</f>
        <v>5497.56</v>
      </c>
      <c r="J40" s="189">
        <f t="shared" ref="J40:S40" si="16">J37+J38+J39</f>
        <v>5497.56</v>
      </c>
      <c r="K40" s="189">
        <f t="shared" si="16"/>
        <v>5512.56</v>
      </c>
      <c r="L40" s="189">
        <f t="shared" si="16"/>
        <v>5527.56</v>
      </c>
      <c r="M40" s="189">
        <f t="shared" si="16"/>
        <v>5542.56</v>
      </c>
      <c r="N40" s="189">
        <f t="shared" si="16"/>
        <v>5557.56</v>
      </c>
      <c r="O40" s="189">
        <f t="shared" si="16"/>
        <v>5572.56</v>
      </c>
      <c r="P40" s="189">
        <f t="shared" si="16"/>
        <v>5587.56</v>
      </c>
      <c r="Q40" s="189">
        <f t="shared" si="16"/>
        <v>5602.56</v>
      </c>
      <c r="R40" s="189">
        <f t="shared" si="16"/>
        <v>5617.56</v>
      </c>
      <c r="S40" s="189">
        <f t="shared" si="16"/>
        <v>5632.56</v>
      </c>
    </row>
    <row r="41" spans="2:19" x14ac:dyDescent="0.35">
      <c r="B41" s="187" t="s">
        <v>54</v>
      </c>
      <c r="C41" s="364">
        <v>3.2333242620777074E-2</v>
      </c>
      <c r="D41" s="364"/>
      <c r="E41" s="364"/>
      <c r="F41" s="190"/>
      <c r="G41" s="190"/>
      <c r="H41" s="188"/>
      <c r="I41" s="188">
        <v>176.74</v>
      </c>
      <c r="J41" s="196">
        <f>IF(I43&lt;J40,MIN(J40*$C41,J40-I43),0)</f>
        <v>177.75394130227923</v>
      </c>
      <c r="K41" s="196">
        <f t="shared" ref="K41:P41" si="17">IF(J43&lt;K40,MIN(K40*$C41,K40-J43),0)</f>
        <v>178.23893994159087</v>
      </c>
      <c r="L41" s="196">
        <f t="shared" si="17"/>
        <v>178.72393858090254</v>
      </c>
      <c r="M41" s="196">
        <f t="shared" si="17"/>
        <v>179.20893722021418</v>
      </c>
      <c r="N41" s="196">
        <f t="shared" si="17"/>
        <v>179.69393585952585</v>
      </c>
      <c r="O41" s="196">
        <f t="shared" si="17"/>
        <v>180.17893449883749</v>
      </c>
      <c r="P41" s="196">
        <f t="shared" si="17"/>
        <v>180.66393313814916</v>
      </c>
      <c r="Q41" s="196">
        <f>IF(P43&lt;Q40,MIN(Q40*$C41,Q40-P43),0)</f>
        <v>181.1489317774608</v>
      </c>
      <c r="R41" s="196">
        <f>IF(Q43&lt;R40,MIN(R40*$C41,R40-Q43),0)</f>
        <v>181.63393041677247</v>
      </c>
      <c r="S41" s="196">
        <f>IF(R43&lt;S40,MIN(S40*$C41,S40-R43),0)</f>
        <v>182.11892905608414</v>
      </c>
    </row>
    <row r="42" spans="2:19" s="658" customFormat="1" x14ac:dyDescent="0.35">
      <c r="B42" s="187" t="s">
        <v>1629</v>
      </c>
      <c r="C42" s="364"/>
      <c r="D42" s="364"/>
      <c r="E42" s="364"/>
      <c r="F42" s="190"/>
      <c r="G42" s="190"/>
      <c r="H42" s="188"/>
      <c r="I42" s="188">
        <v>-2.93</v>
      </c>
      <c r="J42" s="196"/>
      <c r="K42" s="196"/>
      <c r="L42" s="196"/>
      <c r="M42" s="196"/>
      <c r="N42" s="196"/>
      <c r="O42" s="196"/>
      <c r="P42" s="196"/>
      <c r="Q42" s="196"/>
      <c r="R42" s="196"/>
      <c r="S42" s="196"/>
    </row>
    <row r="43" spans="2:19" x14ac:dyDescent="0.35">
      <c r="B43" s="187" t="s">
        <v>496</v>
      </c>
      <c r="C43" s="364"/>
      <c r="D43" s="364"/>
      <c r="E43" s="364"/>
      <c r="F43" s="185"/>
      <c r="G43" s="185"/>
      <c r="H43" s="193">
        <f>H40-H44</f>
        <v>3147.3</v>
      </c>
      <c r="I43" s="189">
        <f>H43+I41+I42</f>
        <v>3321.11</v>
      </c>
      <c r="J43" s="189">
        <f>I43+J41</f>
        <v>3498.8639413022793</v>
      </c>
      <c r="K43" s="189">
        <f t="shared" ref="K43:P43" si="18">J43+K41</f>
        <v>3677.1028812438703</v>
      </c>
      <c r="L43" s="189">
        <f t="shared" si="18"/>
        <v>3855.8268198247729</v>
      </c>
      <c r="M43" s="189">
        <f t="shared" si="18"/>
        <v>4035.0357570449869</v>
      </c>
      <c r="N43" s="189">
        <f t="shared" si="18"/>
        <v>4214.7296929045124</v>
      </c>
      <c r="O43" s="189">
        <f t="shared" si="18"/>
        <v>4394.9086274033498</v>
      </c>
      <c r="P43" s="189">
        <f t="shared" si="18"/>
        <v>4575.5725605414991</v>
      </c>
      <c r="Q43" s="189">
        <f>P43+Q41</f>
        <v>4756.7214923189604</v>
      </c>
      <c r="R43" s="189">
        <f>Q43+R41</f>
        <v>4938.3554227357326</v>
      </c>
      <c r="S43" s="189">
        <f>R43+S41</f>
        <v>5120.4743517918168</v>
      </c>
    </row>
    <row r="44" spans="2:19" x14ac:dyDescent="0.35">
      <c r="B44" s="187" t="s">
        <v>497</v>
      </c>
      <c r="C44" s="364"/>
      <c r="D44" s="364"/>
      <c r="E44" s="364"/>
      <c r="F44" s="185"/>
      <c r="G44" s="185"/>
      <c r="H44" s="188">
        <v>2327.87</v>
      </c>
      <c r="I44" s="189">
        <f>I40-I43</f>
        <v>2176.4500000000003</v>
      </c>
      <c r="J44" s="189">
        <f t="shared" ref="J44:P44" si="19">J40-J43</f>
        <v>1998.6960586977211</v>
      </c>
      <c r="K44" s="189">
        <f t="shared" si="19"/>
        <v>1835.4571187561301</v>
      </c>
      <c r="L44" s="189">
        <f t="shared" si="19"/>
        <v>1671.7331801752275</v>
      </c>
      <c r="M44" s="189">
        <f t="shared" si="19"/>
        <v>1507.5242429550135</v>
      </c>
      <c r="N44" s="189">
        <f t="shared" si="19"/>
        <v>1342.830307095488</v>
      </c>
      <c r="O44" s="189">
        <f t="shared" si="19"/>
        <v>1177.6513725966506</v>
      </c>
      <c r="P44" s="189">
        <f t="shared" si="19"/>
        <v>1011.9874394585013</v>
      </c>
      <c r="Q44" s="189">
        <f>Q40-Q43</f>
        <v>845.83850768104003</v>
      </c>
      <c r="R44" s="189">
        <f>R40-R43</f>
        <v>679.20457726426775</v>
      </c>
      <c r="S44" s="189">
        <f>S40-S43</f>
        <v>512.08564820818356</v>
      </c>
    </row>
    <row r="45" spans="2:19" x14ac:dyDescent="0.35">
      <c r="B45" s="270"/>
      <c r="C45" s="364"/>
      <c r="D45" s="364"/>
      <c r="E45" s="364"/>
      <c r="F45" s="185"/>
      <c r="G45" s="185"/>
      <c r="H45" s="188"/>
      <c r="I45" s="188"/>
      <c r="J45" s="189"/>
      <c r="K45" s="189"/>
      <c r="L45" s="189"/>
      <c r="M45" s="189"/>
      <c r="N45" s="189"/>
      <c r="O45" s="189"/>
      <c r="P45" s="189"/>
      <c r="Q45" s="189"/>
      <c r="R45" s="189"/>
      <c r="S45" s="189"/>
    </row>
    <row r="46" spans="2:19" x14ac:dyDescent="0.35">
      <c r="B46" s="191" t="s">
        <v>500</v>
      </c>
      <c r="C46" s="364"/>
      <c r="D46" s="364"/>
      <c r="E46" s="364"/>
      <c r="F46" s="185"/>
      <c r="G46" s="185"/>
      <c r="H46" s="188"/>
      <c r="I46" s="188"/>
      <c r="J46" s="189"/>
      <c r="K46" s="189"/>
      <c r="L46" s="189"/>
      <c r="M46" s="189"/>
      <c r="N46" s="189"/>
      <c r="O46" s="189"/>
      <c r="P46" s="189"/>
      <c r="Q46" s="189"/>
      <c r="R46" s="189"/>
      <c r="S46" s="189"/>
    </row>
    <row r="47" spans="2:19" x14ac:dyDescent="0.35">
      <c r="B47" s="187" t="s">
        <v>493</v>
      </c>
      <c r="C47" s="364"/>
      <c r="D47" s="364"/>
      <c r="E47" s="364"/>
      <c r="F47" s="185"/>
      <c r="G47" s="185"/>
      <c r="H47" s="188"/>
      <c r="I47" s="188">
        <f>H50</f>
        <v>47.4</v>
      </c>
      <c r="J47" s="189">
        <f>I50</f>
        <v>48.550000000000004</v>
      </c>
      <c r="K47" s="189">
        <f t="shared" ref="K47:P47" si="20">J50</f>
        <v>48.550000000000004</v>
      </c>
      <c r="L47" s="189">
        <f t="shared" si="20"/>
        <v>48.550000000000004</v>
      </c>
      <c r="M47" s="189">
        <f t="shared" si="20"/>
        <v>48.550000000000004</v>
      </c>
      <c r="N47" s="189">
        <f t="shared" si="20"/>
        <v>48.550000000000004</v>
      </c>
      <c r="O47" s="189">
        <f t="shared" si="20"/>
        <v>48.550000000000004</v>
      </c>
      <c r="P47" s="189">
        <f t="shared" si="20"/>
        <v>48.550000000000004</v>
      </c>
      <c r="Q47" s="189">
        <f>P50</f>
        <v>48.550000000000004</v>
      </c>
      <c r="R47" s="189">
        <f>Q50</f>
        <v>48.550000000000004</v>
      </c>
      <c r="S47" s="189">
        <f>R50</f>
        <v>48.550000000000004</v>
      </c>
    </row>
    <row r="48" spans="2:19" x14ac:dyDescent="0.35">
      <c r="B48" s="187" t="s">
        <v>494</v>
      </c>
      <c r="C48" s="364"/>
      <c r="D48" s="364"/>
      <c r="E48" s="364"/>
      <c r="F48" s="185"/>
      <c r="G48" s="185"/>
      <c r="H48" s="188"/>
      <c r="I48" s="188">
        <v>1.59</v>
      </c>
      <c r="J48" s="189">
        <v>0</v>
      </c>
      <c r="K48" s="189">
        <v>0</v>
      </c>
      <c r="L48" s="189">
        <v>0</v>
      </c>
      <c r="M48" s="189">
        <v>0</v>
      </c>
      <c r="N48" s="189">
        <v>0</v>
      </c>
      <c r="O48" s="189">
        <v>0</v>
      </c>
      <c r="P48" s="189">
        <v>0</v>
      </c>
      <c r="Q48" s="189">
        <v>0</v>
      </c>
      <c r="R48" s="189">
        <v>0</v>
      </c>
      <c r="S48" s="189">
        <v>0</v>
      </c>
    </row>
    <row r="49" spans="2:19" s="658" customFormat="1" x14ac:dyDescent="0.35">
      <c r="B49" s="187" t="s">
        <v>1628</v>
      </c>
      <c r="C49" s="364"/>
      <c r="D49" s="364"/>
      <c r="E49" s="364"/>
      <c r="F49" s="185"/>
      <c r="G49" s="185"/>
      <c r="H49" s="188"/>
      <c r="I49" s="188">
        <v>-0.44</v>
      </c>
      <c r="J49" s="189"/>
      <c r="K49" s="189"/>
      <c r="L49" s="189"/>
      <c r="M49" s="189"/>
      <c r="N49" s="189"/>
      <c r="O49" s="189"/>
      <c r="P49" s="189"/>
      <c r="Q49" s="189"/>
      <c r="R49" s="189"/>
      <c r="S49" s="189"/>
    </row>
    <row r="50" spans="2:19" x14ac:dyDescent="0.35">
      <c r="B50" s="187" t="s">
        <v>495</v>
      </c>
      <c r="C50" s="364"/>
      <c r="D50" s="364"/>
      <c r="E50" s="364"/>
      <c r="F50" s="185"/>
      <c r="G50" s="185"/>
      <c r="H50" s="188">
        <v>47.4</v>
      </c>
      <c r="I50" s="189">
        <f>I47+I48+I49</f>
        <v>48.550000000000004</v>
      </c>
      <c r="J50" s="189">
        <f t="shared" ref="J50:S50" si="21">J47+J48+J49</f>
        <v>48.550000000000004</v>
      </c>
      <c r="K50" s="189">
        <f t="shared" si="21"/>
        <v>48.550000000000004</v>
      </c>
      <c r="L50" s="189">
        <f t="shared" si="21"/>
        <v>48.550000000000004</v>
      </c>
      <c r="M50" s="189">
        <f t="shared" si="21"/>
        <v>48.550000000000004</v>
      </c>
      <c r="N50" s="189">
        <f t="shared" si="21"/>
        <v>48.550000000000004</v>
      </c>
      <c r="O50" s="189">
        <f t="shared" si="21"/>
        <v>48.550000000000004</v>
      </c>
      <c r="P50" s="189">
        <f t="shared" si="21"/>
        <v>48.550000000000004</v>
      </c>
      <c r="Q50" s="189">
        <f t="shared" si="21"/>
        <v>48.550000000000004</v>
      </c>
      <c r="R50" s="189">
        <f t="shared" si="21"/>
        <v>48.550000000000004</v>
      </c>
      <c r="S50" s="189">
        <f t="shared" si="21"/>
        <v>48.550000000000004</v>
      </c>
    </row>
    <row r="51" spans="2:19" x14ac:dyDescent="0.35">
      <c r="B51" s="187" t="s">
        <v>54</v>
      </c>
      <c r="C51" s="364">
        <v>1.7932489451476793E-2</v>
      </c>
      <c r="D51" s="364"/>
      <c r="E51" s="364"/>
      <c r="F51" s="190"/>
      <c r="G51" s="190"/>
      <c r="H51" s="188"/>
      <c r="I51" s="188">
        <v>0.89</v>
      </c>
      <c r="J51" s="196">
        <f>IF(I53&lt;J50,MIN(J50*$C51,J50-I53),0)</f>
        <v>0.87062236286919836</v>
      </c>
      <c r="K51" s="196">
        <f t="shared" ref="K51:P51" si="22">IF(J53&lt;K50,MIN(K50*$C51,K50-J53),0)</f>
        <v>0.87062236286919836</v>
      </c>
      <c r="L51" s="196">
        <f t="shared" si="22"/>
        <v>0.87062236286919836</v>
      </c>
      <c r="M51" s="196">
        <f t="shared" si="22"/>
        <v>0.87062236286919836</v>
      </c>
      <c r="N51" s="196">
        <f t="shared" si="22"/>
        <v>0.40751054852321289</v>
      </c>
      <c r="O51" s="196">
        <f t="shared" si="22"/>
        <v>0</v>
      </c>
      <c r="P51" s="196">
        <f t="shared" si="22"/>
        <v>0</v>
      </c>
      <c r="Q51" s="196">
        <f>IF(P53&lt;Q50,MIN(Q50*$C51,Q50-P53),0)</f>
        <v>0</v>
      </c>
      <c r="R51" s="196">
        <f>IF(Q53&lt;R50,MIN(R50*$C51,R50-Q53),0)</f>
        <v>0</v>
      </c>
      <c r="S51" s="196">
        <f>IF(R53&lt;S50,MIN(S50*$C51,S50-R53),0)</f>
        <v>0</v>
      </c>
    </row>
    <row r="52" spans="2:19" s="658" customFormat="1" x14ac:dyDescent="0.35">
      <c r="B52" s="187" t="s">
        <v>1629</v>
      </c>
      <c r="C52" s="364"/>
      <c r="D52" s="364"/>
      <c r="E52" s="364"/>
      <c r="F52" s="190"/>
      <c r="G52" s="190"/>
      <c r="H52" s="188"/>
      <c r="I52" s="188">
        <v>-0.43</v>
      </c>
      <c r="J52" s="196"/>
      <c r="K52" s="196"/>
      <c r="L52" s="196"/>
      <c r="M52" s="196"/>
      <c r="N52" s="196"/>
      <c r="O52" s="196"/>
      <c r="P52" s="196"/>
      <c r="Q52" s="196"/>
      <c r="R52" s="196"/>
      <c r="S52" s="196"/>
    </row>
    <row r="53" spans="2:19" x14ac:dyDescent="0.35">
      <c r="B53" s="187" t="s">
        <v>496</v>
      </c>
      <c r="C53" s="364"/>
      <c r="D53" s="364"/>
      <c r="E53" s="364"/>
      <c r="F53" s="185"/>
      <c r="G53" s="185"/>
      <c r="H53" s="193">
        <f>H50-H54</f>
        <v>44.199999999999996</v>
      </c>
      <c r="I53" s="193">
        <f>H53+I51+I52</f>
        <v>44.66</v>
      </c>
      <c r="J53" s="189">
        <f>I53+J51</f>
        <v>45.530622362869195</v>
      </c>
      <c r="K53" s="189">
        <f t="shared" ref="K53:P53" si="23">J53+K51</f>
        <v>46.401244725738394</v>
      </c>
      <c r="L53" s="189">
        <f t="shared" si="23"/>
        <v>47.271867088607593</v>
      </c>
      <c r="M53" s="189">
        <f t="shared" si="23"/>
        <v>48.142489451476791</v>
      </c>
      <c r="N53" s="189">
        <f t="shared" si="23"/>
        <v>48.550000000000004</v>
      </c>
      <c r="O53" s="189">
        <f t="shared" si="23"/>
        <v>48.550000000000004</v>
      </c>
      <c r="P53" s="189">
        <f t="shared" si="23"/>
        <v>48.550000000000004</v>
      </c>
      <c r="Q53" s="189">
        <f>P53+Q51</f>
        <v>48.550000000000004</v>
      </c>
      <c r="R53" s="189">
        <f>Q53+R51</f>
        <v>48.550000000000004</v>
      </c>
      <c r="S53" s="189">
        <f>R53+S51</f>
        <v>48.550000000000004</v>
      </c>
    </row>
    <row r="54" spans="2:19" x14ac:dyDescent="0.35">
      <c r="B54" s="187" t="s">
        <v>497</v>
      </c>
      <c r="C54" s="364"/>
      <c r="D54" s="364"/>
      <c r="E54" s="364"/>
      <c r="F54" s="185"/>
      <c r="G54" s="185"/>
      <c r="H54" s="188">
        <v>3.2000000000000028</v>
      </c>
      <c r="I54" s="189">
        <f>I50-I53</f>
        <v>3.8900000000000077</v>
      </c>
      <c r="J54" s="189">
        <f t="shared" ref="J54:P54" si="24">J50-J53</f>
        <v>3.019377637130809</v>
      </c>
      <c r="K54" s="189">
        <f t="shared" si="24"/>
        <v>2.1487552742616103</v>
      </c>
      <c r="L54" s="189">
        <f t="shared" si="24"/>
        <v>1.2781329113924116</v>
      </c>
      <c r="M54" s="189">
        <f t="shared" si="24"/>
        <v>0.40751054852321289</v>
      </c>
      <c r="N54" s="189">
        <f t="shared" si="24"/>
        <v>0</v>
      </c>
      <c r="O54" s="189">
        <f t="shared" si="24"/>
        <v>0</v>
      </c>
      <c r="P54" s="189">
        <f t="shared" si="24"/>
        <v>0</v>
      </c>
      <c r="Q54" s="189">
        <f>Q50-Q53</f>
        <v>0</v>
      </c>
      <c r="R54" s="189">
        <f>R50-R53</f>
        <v>0</v>
      </c>
      <c r="S54" s="189">
        <f>S50-S53</f>
        <v>0</v>
      </c>
    </row>
    <row r="55" spans="2:19" x14ac:dyDescent="0.35">
      <c r="B55" s="270"/>
      <c r="C55" s="364"/>
      <c r="D55" s="364"/>
      <c r="E55" s="364"/>
      <c r="F55" s="185"/>
      <c r="G55" s="185"/>
      <c r="H55" s="188"/>
      <c r="I55" s="188"/>
      <c r="J55" s="189"/>
      <c r="K55" s="189"/>
      <c r="L55" s="189"/>
      <c r="M55" s="189"/>
      <c r="N55" s="189"/>
      <c r="O55" s="189"/>
      <c r="P55" s="189"/>
      <c r="Q55" s="189"/>
      <c r="R55" s="189"/>
      <c r="S55" s="189"/>
    </row>
    <row r="56" spans="2:19" x14ac:dyDescent="0.35">
      <c r="B56" s="191" t="s">
        <v>266</v>
      </c>
      <c r="C56" s="364"/>
      <c r="D56" s="364"/>
      <c r="E56" s="364"/>
      <c r="F56" s="185"/>
      <c r="G56" s="185"/>
      <c r="H56" s="188"/>
      <c r="I56" s="188"/>
      <c r="J56" s="189"/>
      <c r="K56" s="189"/>
      <c r="L56" s="189"/>
      <c r="M56" s="189"/>
      <c r="N56" s="189"/>
      <c r="O56" s="189"/>
      <c r="P56" s="189"/>
      <c r="Q56" s="189"/>
      <c r="R56" s="189"/>
      <c r="S56" s="189"/>
    </row>
    <row r="57" spans="2:19" x14ac:dyDescent="0.35">
      <c r="B57" s="187" t="s">
        <v>493</v>
      </c>
      <c r="C57" s="364"/>
      <c r="D57" s="364"/>
      <c r="E57" s="364"/>
      <c r="F57" s="185"/>
      <c r="G57" s="185"/>
      <c r="H57" s="188"/>
      <c r="I57" s="188">
        <f>H60</f>
        <v>128.94</v>
      </c>
      <c r="J57" s="189">
        <f>I60</f>
        <v>127.86999999999999</v>
      </c>
      <c r="K57" s="189">
        <f t="shared" ref="K57:P57" si="25">J60</f>
        <v>127.86999999999999</v>
      </c>
      <c r="L57" s="189">
        <f t="shared" si="25"/>
        <v>127.86999999999999</v>
      </c>
      <c r="M57" s="189">
        <f t="shared" si="25"/>
        <v>127.86999999999999</v>
      </c>
      <c r="N57" s="189">
        <f t="shared" si="25"/>
        <v>127.86999999999999</v>
      </c>
      <c r="O57" s="189">
        <f t="shared" si="25"/>
        <v>127.86999999999999</v>
      </c>
      <c r="P57" s="189">
        <f t="shared" si="25"/>
        <v>127.86999999999999</v>
      </c>
      <c r="Q57" s="189">
        <f>P60</f>
        <v>127.86999999999999</v>
      </c>
      <c r="R57" s="189">
        <f>Q60</f>
        <v>127.86999999999999</v>
      </c>
      <c r="S57" s="189">
        <f>R60</f>
        <v>127.86999999999999</v>
      </c>
    </row>
    <row r="58" spans="2:19" x14ac:dyDescent="0.35">
      <c r="B58" s="187" t="s">
        <v>494</v>
      </c>
      <c r="C58" s="364"/>
      <c r="D58" s="364"/>
      <c r="E58" s="364"/>
      <c r="F58" s="185"/>
      <c r="G58" s="185"/>
      <c r="H58" s="188"/>
      <c r="I58" s="188">
        <v>7.0000000000000007E-2</v>
      </c>
      <c r="J58" s="189">
        <v>0</v>
      </c>
      <c r="K58" s="189">
        <v>0</v>
      </c>
      <c r="L58" s="189">
        <v>0</v>
      </c>
      <c r="M58" s="189">
        <v>0</v>
      </c>
      <c r="N58" s="189">
        <v>0</v>
      </c>
      <c r="O58" s="189">
        <v>0</v>
      </c>
      <c r="P58" s="189">
        <v>0</v>
      </c>
      <c r="Q58" s="189">
        <v>0</v>
      </c>
      <c r="R58" s="189">
        <v>0</v>
      </c>
      <c r="S58" s="189">
        <v>0</v>
      </c>
    </row>
    <row r="59" spans="2:19" s="658" customFormat="1" x14ac:dyDescent="0.35">
      <c r="B59" s="187" t="s">
        <v>1628</v>
      </c>
      <c r="C59" s="364"/>
      <c r="D59" s="364"/>
      <c r="E59" s="364"/>
      <c r="F59" s="185"/>
      <c r="G59" s="185"/>
      <c r="H59" s="188"/>
      <c r="I59" s="188">
        <v>-1.1399999999999999</v>
      </c>
      <c r="J59" s="189"/>
      <c r="K59" s="189"/>
      <c r="L59" s="189"/>
      <c r="M59" s="189"/>
      <c r="N59" s="189"/>
      <c r="O59" s="189"/>
      <c r="P59" s="189"/>
      <c r="Q59" s="189"/>
      <c r="R59" s="189"/>
      <c r="S59" s="189"/>
    </row>
    <row r="60" spans="2:19" x14ac:dyDescent="0.35">
      <c r="B60" s="187" t="s">
        <v>495</v>
      </c>
      <c r="C60" s="364"/>
      <c r="D60" s="364"/>
      <c r="E60" s="364"/>
      <c r="F60" s="185"/>
      <c r="G60" s="185"/>
      <c r="H60" s="188">
        <v>128.94</v>
      </c>
      <c r="I60" s="189">
        <f>I57+I58+I59</f>
        <v>127.86999999999999</v>
      </c>
      <c r="J60" s="189">
        <f t="shared" ref="J60:S60" si="26">J57+J58+J59</f>
        <v>127.86999999999999</v>
      </c>
      <c r="K60" s="189">
        <f t="shared" si="26"/>
        <v>127.86999999999999</v>
      </c>
      <c r="L60" s="189">
        <f t="shared" si="26"/>
        <v>127.86999999999999</v>
      </c>
      <c r="M60" s="189">
        <f t="shared" si="26"/>
        <v>127.86999999999999</v>
      </c>
      <c r="N60" s="189">
        <f t="shared" si="26"/>
        <v>127.86999999999999</v>
      </c>
      <c r="O60" s="189">
        <f t="shared" si="26"/>
        <v>127.86999999999999</v>
      </c>
      <c r="P60" s="189">
        <f t="shared" si="26"/>
        <v>127.86999999999999</v>
      </c>
      <c r="Q60" s="189">
        <f t="shared" si="26"/>
        <v>127.86999999999999</v>
      </c>
      <c r="R60" s="189">
        <f t="shared" si="26"/>
        <v>127.86999999999999</v>
      </c>
      <c r="S60" s="189">
        <f t="shared" si="26"/>
        <v>127.86999999999999</v>
      </c>
    </row>
    <row r="61" spans="2:19" x14ac:dyDescent="0.35">
      <c r="B61" s="187" t="s">
        <v>54</v>
      </c>
      <c r="C61" s="364">
        <v>4.3275942298743604E-2</v>
      </c>
      <c r="D61" s="364"/>
      <c r="E61" s="364"/>
      <c r="F61" s="190"/>
      <c r="G61" s="190"/>
      <c r="H61" s="188"/>
      <c r="I61" s="188">
        <v>5.44</v>
      </c>
      <c r="J61" s="196">
        <f>IF(I63&lt;J60,MIN(J60*$C61,J60-I63),0)</f>
        <v>5.5336947417403444</v>
      </c>
      <c r="K61" s="196">
        <f t="shared" ref="K61:P61" si="27">IF(J63&lt;K60,MIN(K60*$C61,K60-J63),0)</f>
        <v>5.5336947417403444</v>
      </c>
      <c r="L61" s="196">
        <f t="shared" si="27"/>
        <v>5.5336947417403444</v>
      </c>
      <c r="M61" s="196">
        <f t="shared" si="27"/>
        <v>5.5336947417403444</v>
      </c>
      <c r="N61" s="196">
        <f t="shared" si="27"/>
        <v>5.5336947417403444</v>
      </c>
      <c r="O61" s="196">
        <f t="shared" si="27"/>
        <v>5.5336947417403444</v>
      </c>
      <c r="P61" s="196">
        <f t="shared" si="27"/>
        <v>5.5336947417403444</v>
      </c>
      <c r="Q61" s="196">
        <f>IF(P63&lt;Q60,MIN(Q60*$C61,Q60-P63),0)</f>
        <v>5.5336947417403444</v>
      </c>
      <c r="R61" s="196">
        <f>IF(Q63&lt;R60,MIN(R60*$C61,R60-Q63),0)</f>
        <v>5.4804420660772166</v>
      </c>
      <c r="S61" s="196">
        <f>IF(R63&lt;S60,MIN(S60*$C61,S60-R63),0)</f>
        <v>0</v>
      </c>
    </row>
    <row r="62" spans="2:19" s="658" customFormat="1" x14ac:dyDescent="0.35">
      <c r="B62" s="187" t="s">
        <v>1629</v>
      </c>
      <c r="C62" s="364"/>
      <c r="D62" s="364"/>
      <c r="E62" s="364"/>
      <c r="F62" s="190"/>
      <c r="G62" s="190"/>
      <c r="H62" s="188"/>
      <c r="I62" s="188">
        <v>-1.06</v>
      </c>
      <c r="J62" s="196"/>
      <c r="K62" s="196"/>
      <c r="L62" s="196"/>
      <c r="M62" s="196"/>
      <c r="N62" s="196"/>
      <c r="O62" s="196"/>
      <c r="P62" s="196"/>
      <c r="Q62" s="196"/>
      <c r="R62" s="196"/>
      <c r="S62" s="196"/>
    </row>
    <row r="63" spans="2:19" x14ac:dyDescent="0.35">
      <c r="B63" s="187" t="s">
        <v>496</v>
      </c>
      <c r="C63" s="365"/>
      <c r="D63" s="365"/>
      <c r="E63" s="365"/>
      <c r="F63" s="185"/>
      <c r="G63" s="185"/>
      <c r="H63" s="193">
        <f>H60-H64</f>
        <v>73.739999999999995</v>
      </c>
      <c r="I63" s="193">
        <f>H63+I61+I62</f>
        <v>78.11999999999999</v>
      </c>
      <c r="J63" s="189">
        <f>I63+J61</f>
        <v>83.653694741740338</v>
      </c>
      <c r="K63" s="189">
        <f t="shared" ref="K63:P63" si="28">J63+K61</f>
        <v>89.187389483480686</v>
      </c>
      <c r="L63" s="189">
        <f t="shared" si="28"/>
        <v>94.721084225221034</v>
      </c>
      <c r="M63" s="189">
        <f t="shared" si="28"/>
        <v>100.25477896696138</v>
      </c>
      <c r="N63" s="189">
        <f t="shared" si="28"/>
        <v>105.78847370870173</v>
      </c>
      <c r="O63" s="189">
        <f t="shared" si="28"/>
        <v>111.32216845044208</v>
      </c>
      <c r="P63" s="189">
        <f t="shared" si="28"/>
        <v>116.85586319218243</v>
      </c>
      <c r="Q63" s="189">
        <f>P63+Q61</f>
        <v>122.38955793392277</v>
      </c>
      <c r="R63" s="189">
        <f>Q63+R61</f>
        <v>127.86999999999999</v>
      </c>
      <c r="S63" s="189">
        <f>R63+S61</f>
        <v>127.86999999999999</v>
      </c>
    </row>
    <row r="64" spans="2:19" x14ac:dyDescent="0.35">
      <c r="B64" s="187" t="s">
        <v>497</v>
      </c>
      <c r="C64" s="365"/>
      <c r="D64" s="365"/>
      <c r="E64" s="365"/>
      <c r="F64" s="185"/>
      <c r="G64" s="185"/>
      <c r="H64" s="188">
        <v>55.2</v>
      </c>
      <c r="I64" s="189">
        <f>I60-I63</f>
        <v>49.75</v>
      </c>
      <c r="J64" s="189">
        <f t="shared" ref="J64:P64" si="29">J60-J63</f>
        <v>44.216305258259652</v>
      </c>
      <c r="K64" s="189">
        <f t="shared" si="29"/>
        <v>38.682610516519304</v>
      </c>
      <c r="L64" s="189">
        <f t="shared" si="29"/>
        <v>33.148915774778956</v>
      </c>
      <c r="M64" s="189">
        <f t="shared" si="29"/>
        <v>27.615221033038608</v>
      </c>
      <c r="N64" s="189">
        <f t="shared" si="29"/>
        <v>22.08152629129826</v>
      </c>
      <c r="O64" s="189">
        <f t="shared" si="29"/>
        <v>16.547831549557912</v>
      </c>
      <c r="P64" s="189">
        <f t="shared" si="29"/>
        <v>11.014136807817565</v>
      </c>
      <c r="Q64" s="189">
        <f>Q60-Q63</f>
        <v>5.4804420660772166</v>
      </c>
      <c r="R64" s="189">
        <f>R60-R63</f>
        <v>0</v>
      </c>
      <c r="S64" s="189">
        <f>S60-S63</f>
        <v>0</v>
      </c>
    </row>
    <row r="65" spans="2:19" x14ac:dyDescent="0.35">
      <c r="B65" s="270"/>
      <c r="C65" s="365"/>
      <c r="D65" s="365"/>
      <c r="E65" s="365"/>
      <c r="F65" s="185"/>
      <c r="G65" s="185"/>
      <c r="H65" s="188"/>
      <c r="I65" s="188"/>
      <c r="J65" s="189"/>
      <c r="K65" s="189"/>
      <c r="L65" s="189"/>
      <c r="M65" s="189"/>
      <c r="N65" s="189"/>
      <c r="O65" s="189"/>
      <c r="P65" s="189"/>
      <c r="Q65" s="189"/>
      <c r="R65" s="189"/>
      <c r="S65" s="189"/>
    </row>
    <row r="66" spans="2:19" x14ac:dyDescent="0.35">
      <c r="B66" s="385" t="s">
        <v>501</v>
      </c>
      <c r="C66" s="386"/>
      <c r="D66" s="386"/>
      <c r="E66" s="386"/>
      <c r="F66" s="387"/>
      <c r="G66" s="387"/>
      <c r="H66" s="388"/>
      <c r="I66" s="388"/>
      <c r="J66" s="389"/>
      <c r="K66" s="389"/>
      <c r="L66" s="389"/>
      <c r="M66" s="389"/>
      <c r="N66" s="389"/>
      <c r="O66" s="389"/>
      <c r="P66" s="389"/>
      <c r="Q66" s="389"/>
      <c r="R66" s="389"/>
      <c r="S66" s="389"/>
    </row>
    <row r="67" spans="2:19" x14ac:dyDescent="0.35">
      <c r="B67" s="390" t="s">
        <v>493</v>
      </c>
      <c r="C67" s="386"/>
      <c r="D67" s="386"/>
      <c r="E67" s="386"/>
      <c r="F67" s="387"/>
      <c r="G67" s="387"/>
      <c r="H67" s="388"/>
      <c r="I67" s="389">
        <f>I7+I17+I27+I37+I47+I57</f>
        <v>10641.87</v>
      </c>
      <c r="J67" s="389">
        <f>J7+J17+J27+J37+J47+J57</f>
        <v>10663.070000000002</v>
      </c>
      <c r="K67" s="389">
        <f t="shared" ref="K67:P67" si="30">K7+K17+K27+K37+K47+K57</f>
        <v>10663.070000000002</v>
      </c>
      <c r="L67" s="389">
        <f t="shared" si="30"/>
        <v>10678.070000000002</v>
      </c>
      <c r="M67" s="389">
        <f t="shared" si="30"/>
        <v>10693.070000000002</v>
      </c>
      <c r="N67" s="389">
        <f t="shared" si="30"/>
        <v>10708.070000000002</v>
      </c>
      <c r="O67" s="389">
        <f t="shared" si="30"/>
        <v>10723.070000000002</v>
      </c>
      <c r="P67" s="389">
        <f t="shared" si="30"/>
        <v>10738.070000000002</v>
      </c>
      <c r="Q67" s="389">
        <f t="shared" ref="Q67:S68" si="31">Q7+Q17+Q27+Q37+Q47+Q57</f>
        <v>10753.070000000002</v>
      </c>
      <c r="R67" s="389">
        <f t="shared" si="31"/>
        <v>10768.070000000002</v>
      </c>
      <c r="S67" s="389">
        <f t="shared" si="31"/>
        <v>10783.070000000002</v>
      </c>
    </row>
    <row r="68" spans="2:19" x14ac:dyDescent="0.35">
      <c r="B68" s="390" t="s">
        <v>494</v>
      </c>
      <c r="C68" s="386"/>
      <c r="D68" s="386"/>
      <c r="E68" s="386"/>
      <c r="F68" s="387"/>
      <c r="G68" s="387"/>
      <c r="H68" s="388"/>
      <c r="I68" s="389">
        <f t="shared" ref="I68" si="32">I8+I18+I28+I38+I48+I58</f>
        <v>29.28</v>
      </c>
      <c r="J68" s="389">
        <f t="shared" ref="J68:P68" si="33">J8+J18+J28+J38+J48+J58</f>
        <v>0</v>
      </c>
      <c r="K68" s="389">
        <f t="shared" si="33"/>
        <v>15</v>
      </c>
      <c r="L68" s="389">
        <f t="shared" si="33"/>
        <v>15</v>
      </c>
      <c r="M68" s="389">
        <f t="shared" si="33"/>
        <v>15</v>
      </c>
      <c r="N68" s="389">
        <f t="shared" si="33"/>
        <v>15</v>
      </c>
      <c r="O68" s="389">
        <f t="shared" si="33"/>
        <v>15</v>
      </c>
      <c r="P68" s="389">
        <f t="shared" si="33"/>
        <v>15</v>
      </c>
      <c r="Q68" s="389">
        <f t="shared" si="31"/>
        <v>15</v>
      </c>
      <c r="R68" s="389">
        <f t="shared" si="31"/>
        <v>15</v>
      </c>
      <c r="S68" s="389">
        <f t="shared" si="31"/>
        <v>15</v>
      </c>
    </row>
    <row r="69" spans="2:19" x14ac:dyDescent="0.35">
      <c r="B69" s="390" t="s">
        <v>495</v>
      </c>
      <c r="C69" s="386"/>
      <c r="D69" s="386"/>
      <c r="E69" s="389">
        <v>10561.66</v>
      </c>
      <c r="F69" s="389">
        <v>10624.75</v>
      </c>
      <c r="G69" s="389">
        <v>10626.65</v>
      </c>
      <c r="H69" s="389">
        <f>H10+H20+H30+H40+H50+H60</f>
        <v>10641.87</v>
      </c>
      <c r="I69" s="389">
        <f t="shared" ref="I69" si="34">I10+I20+I30+I40+I50+I60</f>
        <v>10663.070000000002</v>
      </c>
      <c r="J69" s="389">
        <f t="shared" ref="J69:S69" si="35">J10+J20+J30+J40+J50+J60</f>
        <v>10663.070000000002</v>
      </c>
      <c r="K69" s="389">
        <f t="shared" si="35"/>
        <v>10678.070000000002</v>
      </c>
      <c r="L69" s="389">
        <f t="shared" si="35"/>
        <v>10693.070000000002</v>
      </c>
      <c r="M69" s="389">
        <f t="shared" si="35"/>
        <v>10708.070000000002</v>
      </c>
      <c r="N69" s="389">
        <f t="shared" si="35"/>
        <v>10723.070000000002</v>
      </c>
      <c r="O69" s="389">
        <f t="shared" si="35"/>
        <v>10738.070000000002</v>
      </c>
      <c r="P69" s="389">
        <f t="shared" si="35"/>
        <v>10753.070000000002</v>
      </c>
      <c r="Q69" s="389">
        <f t="shared" si="35"/>
        <v>10768.070000000002</v>
      </c>
      <c r="R69" s="389">
        <f t="shared" si="35"/>
        <v>10783.070000000002</v>
      </c>
      <c r="S69" s="389">
        <f t="shared" si="35"/>
        <v>10798.070000000002</v>
      </c>
    </row>
    <row r="70" spans="2:19" s="1" customFormat="1" x14ac:dyDescent="0.35">
      <c r="B70" s="385" t="s">
        <v>54</v>
      </c>
      <c r="C70" s="391"/>
      <c r="D70" s="391"/>
      <c r="E70" s="391"/>
      <c r="F70" s="392"/>
      <c r="G70" s="392"/>
      <c r="H70" s="393"/>
      <c r="I70" s="394">
        <f t="shared" ref="I70" si="36">I11+I21+I31+I41+I51+I61</f>
        <v>212.06</v>
      </c>
      <c r="J70" s="394">
        <f t="shared" ref="J70:S70" si="37">J11+J21+J31+J41+J51+J61</f>
        <v>213.16942571658271</v>
      </c>
      <c r="K70" s="394">
        <f t="shared" si="37"/>
        <v>213.65442435589435</v>
      </c>
      <c r="L70" s="394">
        <f t="shared" si="37"/>
        <v>214.13942299520602</v>
      </c>
      <c r="M70" s="394">
        <f t="shared" si="37"/>
        <v>214.62442163451766</v>
      </c>
      <c r="N70" s="394">
        <f t="shared" si="37"/>
        <v>214.64630845948335</v>
      </c>
      <c r="O70" s="394">
        <f t="shared" si="37"/>
        <v>214.72379655027177</v>
      </c>
      <c r="P70" s="394">
        <f t="shared" si="37"/>
        <v>215.20879518958344</v>
      </c>
      <c r="Q70" s="394">
        <f t="shared" si="37"/>
        <v>215.69379382889508</v>
      </c>
      <c r="R70" s="394">
        <f t="shared" si="37"/>
        <v>216.12553979254363</v>
      </c>
      <c r="S70" s="394">
        <f t="shared" si="37"/>
        <v>211.13009636577809</v>
      </c>
    </row>
    <row r="71" spans="2:19" x14ac:dyDescent="0.35">
      <c r="B71" s="390" t="s">
        <v>496</v>
      </c>
      <c r="C71" s="386"/>
      <c r="D71" s="386"/>
      <c r="E71" s="389">
        <v>3025.9</v>
      </c>
      <c r="F71" s="389">
        <v>3234.6699999999996</v>
      </c>
      <c r="G71" s="389">
        <v>3448.4999999999995</v>
      </c>
      <c r="H71" s="388">
        <f>+H69-H72</f>
        <v>3656.6100000000006</v>
      </c>
      <c r="I71" s="389">
        <f t="shared" ref="I71" si="38">I13+I23+I33+I43+I53+I63</f>
        <v>3863.79</v>
      </c>
      <c r="J71" s="389">
        <f t="shared" ref="J71:S71" si="39">J13+J23+J33+J43+J53+J63</f>
        <v>4076.9594257165827</v>
      </c>
      <c r="K71" s="389">
        <f t="shared" si="39"/>
        <v>4290.6138500724774</v>
      </c>
      <c r="L71" s="389">
        <f t="shared" si="39"/>
        <v>4504.753273067683</v>
      </c>
      <c r="M71" s="389">
        <f t="shared" si="39"/>
        <v>4719.3776947022006</v>
      </c>
      <c r="N71" s="389">
        <f t="shared" si="39"/>
        <v>4934.024003161684</v>
      </c>
      <c r="O71" s="389">
        <f t="shared" si="39"/>
        <v>5148.7477997119558</v>
      </c>
      <c r="P71" s="389">
        <f t="shared" si="39"/>
        <v>5363.9565949015387</v>
      </c>
      <c r="Q71" s="389">
        <f t="shared" si="39"/>
        <v>5579.6503887304343</v>
      </c>
      <c r="R71" s="389">
        <f t="shared" si="39"/>
        <v>5795.7759285229777</v>
      </c>
      <c r="S71" s="389">
        <f t="shared" si="39"/>
        <v>6006.9060248887563</v>
      </c>
    </row>
    <row r="72" spans="2:19" s="1" customFormat="1" x14ac:dyDescent="0.35">
      <c r="B72" s="385" t="s">
        <v>497</v>
      </c>
      <c r="C72" s="391"/>
      <c r="D72" s="391"/>
      <c r="E72" s="394">
        <f>+E69-E71</f>
        <v>7535.76</v>
      </c>
      <c r="F72" s="394">
        <f>+F69-F71</f>
        <v>7390.08</v>
      </c>
      <c r="G72" s="395">
        <f>'Balance Sheet'!E8</f>
        <v>7178.15</v>
      </c>
      <c r="H72" s="395">
        <f>'Balance Sheet'!F8</f>
        <v>6985.26</v>
      </c>
      <c r="I72" s="394">
        <f t="shared" ref="I72" si="40">I14+I24+I34+I44+I54+I64</f>
        <v>6799.2800000000016</v>
      </c>
      <c r="J72" s="394">
        <f t="shared" ref="J72:S72" si="41">J14+J24+J34+J44+J54+J64</f>
        <v>6586.1105742834179</v>
      </c>
      <c r="K72" s="394">
        <f t="shared" si="41"/>
        <v>6387.4561499275233</v>
      </c>
      <c r="L72" s="394">
        <f t="shared" si="41"/>
        <v>6188.3167269323167</v>
      </c>
      <c r="M72" s="394">
        <f t="shared" si="41"/>
        <v>5988.6923052978</v>
      </c>
      <c r="N72" s="394">
        <f t="shared" si="41"/>
        <v>5789.0459968383166</v>
      </c>
      <c r="O72" s="394">
        <f t="shared" si="41"/>
        <v>5589.3222002880448</v>
      </c>
      <c r="P72" s="394">
        <f t="shared" si="41"/>
        <v>5389.113405098462</v>
      </c>
      <c r="Q72" s="394">
        <f t="shared" si="41"/>
        <v>5188.4196112695663</v>
      </c>
      <c r="R72" s="394">
        <f t="shared" si="41"/>
        <v>4987.294071477023</v>
      </c>
      <c r="S72" s="394">
        <f t="shared" si="41"/>
        <v>4791.1639751112443</v>
      </c>
    </row>
    <row r="73" spans="2:19" x14ac:dyDescent="0.35">
      <c r="B73" s="270"/>
      <c r="C73" s="365"/>
      <c r="D73" s="365"/>
      <c r="E73" s="365"/>
      <c r="F73" s="185"/>
      <c r="G73" s="714"/>
      <c r="H73" s="186"/>
      <c r="I73" s="186"/>
      <c r="J73" s="185"/>
      <c r="K73" s="185"/>
      <c r="L73" s="185"/>
      <c r="M73" s="185"/>
      <c r="N73" s="185"/>
      <c r="O73" s="185"/>
      <c r="P73" s="185"/>
      <c r="Q73" s="185"/>
      <c r="R73" s="185"/>
      <c r="S73" s="185"/>
    </row>
    <row r="74" spans="2:19" x14ac:dyDescent="0.35">
      <c r="B74" s="201" t="s">
        <v>661</v>
      </c>
      <c r="C74" s="365"/>
      <c r="D74" s="365"/>
      <c r="E74" s="365"/>
      <c r="F74" s="185"/>
      <c r="G74" s="185"/>
      <c r="H74" s="186"/>
      <c r="I74" s="186"/>
      <c r="J74" s="185"/>
      <c r="K74" s="185"/>
      <c r="L74" s="185"/>
      <c r="M74" s="185"/>
      <c r="N74" s="185"/>
      <c r="O74" s="185"/>
      <c r="P74" s="185"/>
      <c r="Q74" s="185"/>
      <c r="R74" s="185"/>
      <c r="S74" s="185"/>
    </row>
    <row r="75" spans="2:19" x14ac:dyDescent="0.35">
      <c r="B75" s="418" t="s">
        <v>495</v>
      </c>
      <c r="C75" s="365"/>
      <c r="D75" s="365"/>
      <c r="E75" s="365"/>
      <c r="F75" s="185"/>
      <c r="G75" s="190">
        <f>'Plant-wise details'!H1481</f>
        <v>0.84043830881446768</v>
      </c>
      <c r="H75" s="190">
        <f>G75</f>
        <v>0.84043830881446768</v>
      </c>
      <c r="I75" s="427">
        <f>I69*$H75</f>
        <v>8961.6525175702864</v>
      </c>
      <c r="J75" s="427">
        <f t="shared" ref="J75:R75" si="42">J69*$H75</f>
        <v>8961.6525175702864</v>
      </c>
      <c r="K75" s="427">
        <f t="shared" si="42"/>
        <v>8974.2590922025047</v>
      </c>
      <c r="L75" s="427">
        <f t="shared" si="42"/>
        <v>8986.8656668347212</v>
      </c>
      <c r="M75" s="427">
        <f t="shared" si="42"/>
        <v>8999.4722414669377</v>
      </c>
      <c r="N75" s="427">
        <f t="shared" si="42"/>
        <v>9012.078816099156</v>
      </c>
      <c r="O75" s="427">
        <f t="shared" si="42"/>
        <v>9024.6853907313725</v>
      </c>
      <c r="P75" s="427">
        <f t="shared" si="42"/>
        <v>9037.291965363589</v>
      </c>
      <c r="Q75" s="427">
        <f t="shared" si="42"/>
        <v>9049.8985399958055</v>
      </c>
      <c r="R75" s="427">
        <f t="shared" si="42"/>
        <v>9062.5051146280239</v>
      </c>
      <c r="S75" s="427">
        <f>S69*$H75</f>
        <v>9075.1116892602404</v>
      </c>
    </row>
    <row r="76" spans="2:19" x14ac:dyDescent="0.35">
      <c r="B76" s="418" t="s">
        <v>497</v>
      </c>
      <c r="C76" s="365"/>
      <c r="D76" s="365"/>
      <c r="E76" s="365"/>
      <c r="F76" s="185"/>
      <c r="G76" s="190">
        <f>'Plant-wise details'!H1482</f>
        <v>0.84583922854168503</v>
      </c>
      <c r="H76" s="190">
        <f>G76</f>
        <v>0.84583922854168503</v>
      </c>
      <c r="I76" s="427">
        <f>I72*$H76</f>
        <v>5751.0977498389093</v>
      </c>
      <c r="J76" s="427">
        <f t="shared" ref="J76:R76" si="43">J72*$H76</f>
        <v>5570.7906872421199</v>
      </c>
      <c r="K76" s="427">
        <f t="shared" si="43"/>
        <v>5402.7609821985379</v>
      </c>
      <c r="L76" s="427">
        <f t="shared" si="43"/>
        <v>5234.3210462800362</v>
      </c>
      <c r="M76" s="427">
        <f t="shared" si="43"/>
        <v>5065.4708794866165</v>
      </c>
      <c r="N76" s="427">
        <f t="shared" si="43"/>
        <v>4896.6021999580516</v>
      </c>
      <c r="O76" s="427">
        <f t="shared" si="43"/>
        <v>4727.6679779625529</v>
      </c>
      <c r="P76" s="427">
        <f t="shared" si="43"/>
        <v>4558.3235250921362</v>
      </c>
      <c r="Q76" s="427">
        <f t="shared" si="43"/>
        <v>4388.5688413467997</v>
      </c>
      <c r="R76" s="427">
        <f t="shared" si="43"/>
        <v>4218.4489699286441</v>
      </c>
      <c r="S76" s="427">
        <f>S72*$H76</f>
        <v>4052.5544405248079</v>
      </c>
    </row>
    <row r="77" spans="2:19" x14ac:dyDescent="0.35">
      <c r="B77" s="418" t="s">
        <v>54</v>
      </c>
      <c r="C77" s="365"/>
      <c r="D77" s="365"/>
      <c r="E77" s="365"/>
      <c r="F77" s="185"/>
      <c r="G77" s="190">
        <f>'Plant-wise details'!H1483</f>
        <v>0.8654900616931952</v>
      </c>
      <c r="H77" s="190">
        <f>G77</f>
        <v>0.8654900616931952</v>
      </c>
      <c r="I77" s="427">
        <f>I70*$H77</f>
        <v>183.53582248265897</v>
      </c>
      <c r="J77" s="427">
        <f t="shared" ref="J77:R77" si="44">J70*$H77</f>
        <v>184.49601941454816</v>
      </c>
      <c r="K77" s="427">
        <f t="shared" si="44"/>
        <v>184.91578091680711</v>
      </c>
      <c r="L77" s="427">
        <f t="shared" si="44"/>
        <v>185.33554241906609</v>
      </c>
      <c r="M77" s="427">
        <f t="shared" si="44"/>
        <v>185.75530392132504</v>
      </c>
      <c r="N77" s="427">
        <f t="shared" si="44"/>
        <v>185.77424675081485</v>
      </c>
      <c r="O77" s="427">
        <f t="shared" si="44"/>
        <v>185.84131192329181</v>
      </c>
      <c r="P77" s="427">
        <f t="shared" si="44"/>
        <v>186.26107342555079</v>
      </c>
      <c r="Q77" s="427">
        <f t="shared" si="44"/>
        <v>186.68083492780974</v>
      </c>
      <c r="R77" s="427">
        <f t="shared" si="44"/>
        <v>187.05450676852371</v>
      </c>
      <c r="S77" s="427">
        <f>S70*$H77</f>
        <v>182.73100012890751</v>
      </c>
    </row>
    <row r="78" spans="2:19" x14ac:dyDescent="0.35">
      <c r="B78" s="201" t="s">
        <v>662</v>
      </c>
      <c r="C78" s="365"/>
      <c r="D78" s="365"/>
      <c r="E78" s="365"/>
      <c r="F78" s="185"/>
      <c r="G78" s="190"/>
      <c r="H78" s="190"/>
      <c r="I78" s="185"/>
      <c r="J78" s="185"/>
      <c r="K78" s="185"/>
      <c r="L78" s="185"/>
      <c r="M78" s="185"/>
      <c r="N78" s="185"/>
      <c r="O78" s="185"/>
      <c r="P78" s="185"/>
      <c r="Q78" s="185"/>
      <c r="R78" s="185"/>
      <c r="S78" s="185"/>
    </row>
    <row r="79" spans="2:19" x14ac:dyDescent="0.35">
      <c r="B79" s="418" t="s">
        <v>495</v>
      </c>
      <c r="C79" s="365"/>
      <c r="D79" s="365"/>
      <c r="E79" s="365"/>
      <c r="F79" s="185"/>
      <c r="G79" s="190">
        <f>'Plant-wise details'!H1485</f>
        <v>9.0889895750780894E-2</v>
      </c>
      <c r="H79" s="190">
        <f>G79</f>
        <v>9.0889895750780894E-2</v>
      </c>
      <c r="I79" s="427">
        <f>I69*$H79</f>
        <v>969.16532068327933</v>
      </c>
      <c r="J79" s="427">
        <f t="shared" ref="J79:R79" si="45">J69*$H79</f>
        <v>969.16532068327933</v>
      </c>
      <c r="K79" s="427">
        <f t="shared" si="45"/>
        <v>970.52866911954106</v>
      </c>
      <c r="L79" s="427">
        <f t="shared" si="45"/>
        <v>971.89201755580279</v>
      </c>
      <c r="M79" s="427">
        <f t="shared" si="45"/>
        <v>973.25536599206453</v>
      </c>
      <c r="N79" s="427">
        <f t="shared" si="45"/>
        <v>974.61871442832626</v>
      </c>
      <c r="O79" s="427">
        <f t="shared" si="45"/>
        <v>975.98206286458799</v>
      </c>
      <c r="P79" s="427">
        <f t="shared" si="45"/>
        <v>977.34541130084961</v>
      </c>
      <c r="Q79" s="427">
        <f t="shared" si="45"/>
        <v>978.70875973711134</v>
      </c>
      <c r="R79" s="427">
        <f t="shared" si="45"/>
        <v>980.07210817337307</v>
      </c>
      <c r="S79" s="427">
        <f>S69*$H79</f>
        <v>981.4354566096348</v>
      </c>
    </row>
    <row r="80" spans="2:19" x14ac:dyDescent="0.35">
      <c r="B80" s="418" t="s">
        <v>497</v>
      </c>
      <c r="C80" s="365"/>
      <c r="D80" s="365"/>
      <c r="E80" s="365"/>
      <c r="F80" s="185"/>
      <c r="G80" s="190">
        <f>'Plant-wise details'!H1486</f>
        <v>0.10061446590678802</v>
      </c>
      <c r="H80" s="190">
        <f>G80</f>
        <v>0.10061446590678802</v>
      </c>
      <c r="I80" s="427">
        <f>I72*$H80</f>
        <v>684.10592575070575</v>
      </c>
      <c r="J80" s="427">
        <f t="shared" ref="J80:R80" si="46">J72*$H80</f>
        <v>662.65799783457499</v>
      </c>
      <c r="K80" s="427">
        <f t="shared" si="46"/>
        <v>642.67048902798626</v>
      </c>
      <c r="L80" s="427">
        <f t="shared" si="46"/>
        <v>622.63418234233757</v>
      </c>
      <c r="M80" s="427">
        <f t="shared" si="46"/>
        <v>602.54907777762924</v>
      </c>
      <c r="N80" s="427">
        <f t="shared" si="46"/>
        <v>582.46177108171651</v>
      </c>
      <c r="O80" s="427">
        <f t="shared" si="46"/>
        <v>562.36666796293491</v>
      </c>
      <c r="P80" s="427">
        <f t="shared" si="46"/>
        <v>542.22276696509346</v>
      </c>
      <c r="Q80" s="427">
        <f t="shared" si="46"/>
        <v>522.03006808819214</v>
      </c>
      <c r="R80" s="427">
        <f t="shared" si="46"/>
        <v>501.79392932175097</v>
      </c>
      <c r="S80" s="427">
        <f>S72*$H80</f>
        <v>482.06040442766124</v>
      </c>
    </row>
    <row r="81" spans="2:19" x14ac:dyDescent="0.35">
      <c r="B81" s="418" t="s">
        <v>54</v>
      </c>
      <c r="C81" s="365"/>
      <c r="D81" s="365"/>
      <c r="E81" s="365"/>
      <c r="F81" s="185"/>
      <c r="G81" s="190">
        <f>'Plant-wise details'!H1487</f>
        <v>7.9704554971919764E-2</v>
      </c>
      <c r="H81" s="190">
        <f>G81</f>
        <v>7.9704554971919764E-2</v>
      </c>
      <c r="I81" s="427">
        <f>I70*$H81</f>
        <v>16.902147927345304</v>
      </c>
      <c r="J81" s="427">
        <f t="shared" ref="J81:R81" si="47">J70*$H81</f>
        <v>16.990574210359934</v>
      </c>
      <c r="K81" s="427">
        <f t="shared" si="47"/>
        <v>17.029230811068253</v>
      </c>
      <c r="L81" s="427">
        <f t="shared" si="47"/>
        <v>17.067887411776578</v>
      </c>
      <c r="M81" s="427">
        <f t="shared" si="47"/>
        <v>17.1065440124849</v>
      </c>
      <c r="N81" s="427">
        <f t="shared" si="47"/>
        <v>17.108288492128537</v>
      </c>
      <c r="O81" s="427">
        <f t="shared" si="47"/>
        <v>17.114464645920453</v>
      </c>
      <c r="P81" s="427">
        <f t="shared" si="47"/>
        <v>17.153121246628775</v>
      </c>
      <c r="Q81" s="427">
        <f t="shared" si="47"/>
        <v>17.191777847337097</v>
      </c>
      <c r="R81" s="427">
        <f t="shared" si="47"/>
        <v>17.226189967230628</v>
      </c>
      <c r="S81" s="427">
        <f>S70*$H81</f>
        <v>16.828030372012876</v>
      </c>
    </row>
    <row r="82" spans="2:19" x14ac:dyDescent="0.35">
      <c r="B82" s="201" t="s">
        <v>663</v>
      </c>
      <c r="C82" s="365"/>
      <c r="D82" s="365"/>
      <c r="E82" s="365"/>
      <c r="F82" s="185"/>
      <c r="G82" s="190"/>
      <c r="H82" s="190"/>
      <c r="I82" s="185"/>
      <c r="J82" s="185"/>
      <c r="K82" s="185"/>
      <c r="L82" s="185"/>
      <c r="M82" s="185"/>
      <c r="N82" s="185"/>
      <c r="O82" s="185"/>
      <c r="P82" s="185"/>
      <c r="Q82" s="185"/>
      <c r="R82" s="185"/>
      <c r="S82" s="185"/>
    </row>
    <row r="83" spans="2:19" x14ac:dyDescent="0.35">
      <c r="B83" s="418" t="s">
        <v>495</v>
      </c>
      <c r="C83" s="365"/>
      <c r="D83" s="365"/>
      <c r="E83" s="365"/>
      <c r="F83" s="185"/>
      <c r="G83" s="190">
        <f>'Plant-wise details'!H1489</f>
        <v>6.867179543475134E-2</v>
      </c>
      <c r="H83" s="190">
        <f>G83</f>
        <v>6.867179543475134E-2</v>
      </c>
      <c r="I83" s="427">
        <f>I69*$H83</f>
        <v>732.25216174643413</v>
      </c>
      <c r="J83" s="427">
        <f t="shared" ref="J83:R83" si="48">J69*$H83</f>
        <v>732.25216174643413</v>
      </c>
      <c r="K83" s="427">
        <f t="shared" si="48"/>
        <v>733.28223867795532</v>
      </c>
      <c r="L83" s="427">
        <f t="shared" si="48"/>
        <v>734.31231560947663</v>
      </c>
      <c r="M83" s="427">
        <f t="shared" si="48"/>
        <v>735.34239254099793</v>
      </c>
      <c r="N83" s="427">
        <f t="shared" si="48"/>
        <v>736.37246947251913</v>
      </c>
      <c r="O83" s="427">
        <f t="shared" si="48"/>
        <v>737.40254640404044</v>
      </c>
      <c r="P83" s="427">
        <f t="shared" si="48"/>
        <v>738.43262333556174</v>
      </c>
      <c r="Q83" s="427">
        <f t="shared" si="48"/>
        <v>739.46270026708294</v>
      </c>
      <c r="R83" s="427">
        <f t="shared" si="48"/>
        <v>740.49277719860424</v>
      </c>
      <c r="S83" s="427">
        <f>S69*$H83</f>
        <v>741.52285413012555</v>
      </c>
    </row>
    <row r="84" spans="2:19" x14ac:dyDescent="0.35">
      <c r="B84" s="418" t="s">
        <v>497</v>
      </c>
      <c r="C84" s="365"/>
      <c r="D84" s="365"/>
      <c r="E84" s="365"/>
      <c r="F84" s="185"/>
      <c r="G84" s="190">
        <f>'Plant-wise details'!H1490</f>
        <v>5.3546305551526903E-2</v>
      </c>
      <c r="H84" s="190">
        <f>G84</f>
        <v>5.3546305551526903E-2</v>
      </c>
      <c r="I84" s="427">
        <f>I72*$H84</f>
        <v>364.07632441038595</v>
      </c>
      <c r="J84" s="427">
        <f t="shared" ref="J84:R84" si="49">J72*$H84</f>
        <v>352.66188920672221</v>
      </c>
      <c r="K84" s="427">
        <f t="shared" si="49"/>
        <v>342.02467870099878</v>
      </c>
      <c r="L84" s="427">
        <f t="shared" si="49"/>
        <v>331.3614983099427</v>
      </c>
      <c r="M84" s="427">
        <f t="shared" si="49"/>
        <v>320.67234803355404</v>
      </c>
      <c r="N84" s="427">
        <f t="shared" si="49"/>
        <v>309.98202579854814</v>
      </c>
      <c r="O84" s="427">
        <f t="shared" si="49"/>
        <v>299.28755436255631</v>
      </c>
      <c r="P84" s="427">
        <f t="shared" si="49"/>
        <v>288.56711304123183</v>
      </c>
      <c r="Q84" s="427">
        <f t="shared" si="49"/>
        <v>277.82070183457461</v>
      </c>
      <c r="R84" s="427">
        <f t="shared" si="49"/>
        <v>267.05117222662733</v>
      </c>
      <c r="S84" s="427">
        <f>S72*$H84</f>
        <v>256.54913015877491</v>
      </c>
    </row>
    <row r="85" spans="2:19" x14ac:dyDescent="0.35">
      <c r="B85" s="418" t="s">
        <v>54</v>
      </c>
      <c r="C85" s="365"/>
      <c r="D85" s="365"/>
      <c r="E85" s="365"/>
      <c r="F85" s="185"/>
      <c r="G85" s="190">
        <f>'Plant-wise details'!H1491</f>
        <v>5.4805383334885022E-2</v>
      </c>
      <c r="H85" s="190">
        <f>G85</f>
        <v>5.4805383334885022E-2</v>
      </c>
      <c r="I85" s="427">
        <f>I70*$H85</f>
        <v>11.622029589995718</v>
      </c>
      <c r="J85" s="427">
        <f t="shared" ref="J85:R85" si="50">J70*$H85</f>
        <v>11.682832091674612</v>
      </c>
      <c r="K85" s="427">
        <f t="shared" si="50"/>
        <v>11.709412628018985</v>
      </c>
      <c r="L85" s="427">
        <f t="shared" si="50"/>
        <v>11.735993164363359</v>
      </c>
      <c r="M85" s="427">
        <f t="shared" si="50"/>
        <v>11.76257370070773</v>
      </c>
      <c r="N85" s="427">
        <f t="shared" si="50"/>
        <v>11.763773216539958</v>
      </c>
      <c r="O85" s="427">
        <f t="shared" si="50"/>
        <v>11.768019981059506</v>
      </c>
      <c r="P85" s="427">
        <f t="shared" si="50"/>
        <v>11.794600517403881</v>
      </c>
      <c r="Q85" s="427">
        <f t="shared" si="50"/>
        <v>11.821181053748253</v>
      </c>
      <c r="R85" s="427">
        <f t="shared" si="50"/>
        <v>11.844843056789301</v>
      </c>
      <c r="S85" s="427">
        <f>S70*$H85</f>
        <v>11.571065864857683</v>
      </c>
    </row>
    <row r="86" spans="2:19" x14ac:dyDescent="0.35">
      <c r="B86" s="270"/>
      <c r="C86" s="365"/>
      <c r="D86" s="365"/>
      <c r="E86" s="365"/>
      <c r="F86" s="185"/>
      <c r="G86" s="185"/>
      <c r="H86" s="186"/>
      <c r="I86" s="186"/>
      <c r="J86" s="185"/>
      <c r="K86" s="185"/>
      <c r="L86" s="185"/>
      <c r="M86" s="185"/>
      <c r="N86" s="185"/>
      <c r="O86" s="185"/>
      <c r="P86" s="185"/>
      <c r="Q86" s="185"/>
      <c r="R86" s="185"/>
      <c r="S86" s="185"/>
    </row>
    <row r="87" spans="2:19" x14ac:dyDescent="0.35">
      <c r="B87" s="184" t="s">
        <v>534</v>
      </c>
      <c r="C87" s="365"/>
      <c r="D87" s="365"/>
      <c r="E87" s="365"/>
      <c r="F87" s="185"/>
      <c r="G87" s="185"/>
      <c r="H87" s="188"/>
      <c r="I87" s="188"/>
      <c r="J87" s="189"/>
      <c r="K87" s="189"/>
      <c r="L87" s="189"/>
      <c r="M87" s="189"/>
      <c r="N87" s="189"/>
      <c r="O87" s="189"/>
      <c r="P87" s="189"/>
      <c r="Q87" s="189"/>
      <c r="R87" s="189"/>
      <c r="S87" s="189"/>
    </row>
    <row r="88" spans="2:19" x14ac:dyDescent="0.35">
      <c r="B88" s="187" t="s">
        <v>493</v>
      </c>
      <c r="C88" s="365"/>
      <c r="D88" s="365"/>
      <c r="E88" s="365"/>
      <c r="F88" s="185"/>
      <c r="G88" s="185"/>
      <c r="H88" s="188"/>
      <c r="I88" s="188">
        <f>H91</f>
        <v>25.17</v>
      </c>
      <c r="J88" s="189">
        <f>I91</f>
        <v>4.2899999999999991</v>
      </c>
      <c r="K88" s="189">
        <f t="shared" ref="K88:S88" si="51">J91</f>
        <v>4.2899999999999991</v>
      </c>
      <c r="L88" s="189">
        <f t="shared" si="51"/>
        <v>4.2899999999999991</v>
      </c>
      <c r="M88" s="189">
        <f t="shared" si="51"/>
        <v>4.2899999999999991</v>
      </c>
      <c r="N88" s="189">
        <f t="shared" si="51"/>
        <v>4.2899999999999991</v>
      </c>
      <c r="O88" s="189">
        <f t="shared" si="51"/>
        <v>4.2899999999999991</v>
      </c>
      <c r="P88" s="189">
        <f t="shared" si="51"/>
        <v>4.2899999999999991</v>
      </c>
      <c r="Q88" s="189">
        <f t="shared" si="51"/>
        <v>4.2899999999999991</v>
      </c>
      <c r="R88" s="189">
        <f t="shared" si="51"/>
        <v>4.2899999999999991</v>
      </c>
      <c r="S88" s="189">
        <f t="shared" si="51"/>
        <v>4.2899999999999991</v>
      </c>
    </row>
    <row r="89" spans="2:19" x14ac:dyDescent="0.35">
      <c r="B89" s="187" t="s">
        <v>494</v>
      </c>
      <c r="C89" s="365"/>
      <c r="D89" s="365"/>
      <c r="E89" s="365"/>
      <c r="F89" s="185"/>
      <c r="G89" s="185"/>
      <c r="H89" s="188"/>
      <c r="I89" s="188">
        <v>4.0599999999999996</v>
      </c>
      <c r="J89" s="189">
        <v>0</v>
      </c>
      <c r="K89" s="189">
        <v>0</v>
      </c>
      <c r="L89" s="189">
        <v>0</v>
      </c>
      <c r="M89" s="189">
        <v>0</v>
      </c>
      <c r="N89" s="189">
        <v>0</v>
      </c>
      <c r="O89" s="189">
        <v>0</v>
      </c>
      <c r="P89" s="189">
        <v>0</v>
      </c>
      <c r="Q89" s="189">
        <v>0</v>
      </c>
      <c r="R89" s="189">
        <v>0</v>
      </c>
      <c r="S89" s="189">
        <v>0</v>
      </c>
    </row>
    <row r="90" spans="2:19" x14ac:dyDescent="0.35">
      <c r="B90" s="187" t="s">
        <v>665</v>
      </c>
      <c r="C90" s="365"/>
      <c r="D90" s="365"/>
      <c r="E90" s="365"/>
      <c r="F90" s="185"/>
      <c r="G90" s="185"/>
      <c r="H90" s="188"/>
      <c r="I90" s="188">
        <v>24.94</v>
      </c>
      <c r="J90" s="189"/>
      <c r="K90" s="189"/>
      <c r="L90" s="189"/>
      <c r="M90" s="189"/>
      <c r="N90" s="189"/>
      <c r="O90" s="189"/>
      <c r="P90" s="189"/>
      <c r="Q90" s="189"/>
      <c r="R90" s="189"/>
      <c r="S90" s="189"/>
    </row>
    <row r="91" spans="2:19" x14ac:dyDescent="0.35">
      <c r="B91" s="187" t="s">
        <v>495</v>
      </c>
      <c r="C91" s="365"/>
      <c r="D91" s="365"/>
      <c r="E91" s="365"/>
      <c r="F91" s="185"/>
      <c r="G91" s="185"/>
      <c r="H91" s="188">
        <v>25.17</v>
      </c>
      <c r="I91" s="189">
        <f>I88+I89-I90</f>
        <v>4.2899999999999991</v>
      </c>
      <c r="J91" s="189">
        <f t="shared" ref="J91:R91" si="52">J88+J89-J90</f>
        <v>4.2899999999999991</v>
      </c>
      <c r="K91" s="189">
        <f t="shared" si="52"/>
        <v>4.2899999999999991</v>
      </c>
      <c r="L91" s="189">
        <f t="shared" si="52"/>
        <v>4.2899999999999991</v>
      </c>
      <c r="M91" s="189">
        <f t="shared" si="52"/>
        <v>4.2899999999999991</v>
      </c>
      <c r="N91" s="189">
        <f t="shared" si="52"/>
        <v>4.2899999999999991</v>
      </c>
      <c r="O91" s="189">
        <f t="shared" si="52"/>
        <v>4.2899999999999991</v>
      </c>
      <c r="P91" s="189">
        <f t="shared" si="52"/>
        <v>4.2899999999999991</v>
      </c>
      <c r="Q91" s="189">
        <f t="shared" si="52"/>
        <v>4.2899999999999991</v>
      </c>
      <c r="R91" s="189">
        <f t="shared" si="52"/>
        <v>4.2899999999999991</v>
      </c>
      <c r="S91" s="189">
        <f>S88+S89-S90</f>
        <v>4.2899999999999991</v>
      </c>
    </row>
    <row r="92" spans="2:19" x14ac:dyDescent="0.35">
      <c r="B92" s="187" t="s">
        <v>54</v>
      </c>
      <c r="C92" s="364">
        <v>0</v>
      </c>
      <c r="D92" s="364"/>
      <c r="E92" s="364"/>
      <c r="F92" s="185"/>
      <c r="G92" s="185"/>
      <c r="H92" s="188"/>
      <c r="I92" s="188"/>
      <c r="J92" s="196">
        <f>IF(I93&lt;J91,MIN(J91*$C92,J91-I93),0)</f>
        <v>0</v>
      </c>
      <c r="K92" s="196">
        <f t="shared" ref="K92:S92" si="53">IF(J93&lt;K91,MIN(K91*$C92,K91-J93),0)</f>
        <v>0</v>
      </c>
      <c r="L92" s="196">
        <f t="shared" si="53"/>
        <v>0</v>
      </c>
      <c r="M92" s="196">
        <f t="shared" si="53"/>
        <v>0</v>
      </c>
      <c r="N92" s="196">
        <f t="shared" si="53"/>
        <v>0</v>
      </c>
      <c r="O92" s="196">
        <f t="shared" si="53"/>
        <v>0</v>
      </c>
      <c r="P92" s="196">
        <f t="shared" si="53"/>
        <v>0</v>
      </c>
      <c r="Q92" s="196">
        <f t="shared" si="53"/>
        <v>0</v>
      </c>
      <c r="R92" s="196">
        <f t="shared" si="53"/>
        <v>0</v>
      </c>
      <c r="S92" s="196">
        <f t="shared" si="53"/>
        <v>0</v>
      </c>
    </row>
    <row r="93" spans="2:19" x14ac:dyDescent="0.35">
      <c r="B93" s="187" t="s">
        <v>496</v>
      </c>
      <c r="C93" s="365"/>
      <c r="D93" s="365"/>
      <c r="E93" s="365"/>
      <c r="F93" s="185"/>
      <c r="G93" s="185"/>
      <c r="H93" s="193">
        <f>H91-H94</f>
        <v>0</v>
      </c>
      <c r="I93" s="193"/>
      <c r="J93" s="189">
        <f>I93+J92</f>
        <v>0</v>
      </c>
      <c r="K93" s="189">
        <f t="shared" ref="K93:S93" si="54">J93+K92</f>
        <v>0</v>
      </c>
      <c r="L93" s="189">
        <f t="shared" si="54"/>
        <v>0</v>
      </c>
      <c r="M93" s="189">
        <f t="shared" si="54"/>
        <v>0</v>
      </c>
      <c r="N93" s="189">
        <f t="shared" si="54"/>
        <v>0</v>
      </c>
      <c r="O93" s="189">
        <f t="shared" si="54"/>
        <v>0</v>
      </c>
      <c r="P93" s="189">
        <f t="shared" si="54"/>
        <v>0</v>
      </c>
      <c r="Q93" s="189">
        <f t="shared" si="54"/>
        <v>0</v>
      </c>
      <c r="R93" s="189">
        <f t="shared" si="54"/>
        <v>0</v>
      </c>
      <c r="S93" s="189">
        <f t="shared" si="54"/>
        <v>0</v>
      </c>
    </row>
    <row r="94" spans="2:19" x14ac:dyDescent="0.35">
      <c r="B94" s="187" t="s">
        <v>497</v>
      </c>
      <c r="C94" s="365"/>
      <c r="D94" s="365"/>
      <c r="E94" s="365"/>
      <c r="F94" s="185"/>
      <c r="G94" s="185"/>
      <c r="H94" s="188">
        <v>25.17</v>
      </c>
      <c r="I94" s="189">
        <f>I91-I93</f>
        <v>4.2899999999999991</v>
      </c>
      <c r="J94" s="189">
        <f t="shared" ref="J94:R94" si="55">J91-J93</f>
        <v>4.2899999999999991</v>
      </c>
      <c r="K94" s="189">
        <f t="shared" si="55"/>
        <v>4.2899999999999991</v>
      </c>
      <c r="L94" s="189">
        <f t="shared" si="55"/>
        <v>4.2899999999999991</v>
      </c>
      <c r="M94" s="189">
        <f t="shared" si="55"/>
        <v>4.2899999999999991</v>
      </c>
      <c r="N94" s="189">
        <f t="shared" si="55"/>
        <v>4.2899999999999991</v>
      </c>
      <c r="O94" s="189">
        <f t="shared" si="55"/>
        <v>4.2899999999999991</v>
      </c>
      <c r="P94" s="189">
        <f t="shared" si="55"/>
        <v>4.2899999999999991</v>
      </c>
      <c r="Q94" s="189">
        <f t="shared" si="55"/>
        <v>4.2899999999999991</v>
      </c>
      <c r="R94" s="189">
        <f t="shared" si="55"/>
        <v>4.2899999999999991</v>
      </c>
      <c r="S94" s="189">
        <f>S91-S93</f>
        <v>4.2899999999999991</v>
      </c>
    </row>
    <row r="95" spans="2:19" x14ac:dyDescent="0.35">
      <c r="B95" s="270"/>
      <c r="C95" s="365"/>
      <c r="D95" s="365"/>
      <c r="E95" s="365"/>
      <c r="F95" s="185"/>
      <c r="G95" s="185"/>
      <c r="H95" s="188"/>
      <c r="I95" s="188"/>
      <c r="J95" s="189"/>
      <c r="K95" s="189"/>
      <c r="L95" s="189"/>
      <c r="M95" s="189"/>
      <c r="N95" s="189"/>
      <c r="O95" s="189"/>
      <c r="P95" s="189"/>
      <c r="Q95" s="189"/>
      <c r="R95" s="189"/>
      <c r="S95" s="189"/>
    </row>
    <row r="96" spans="2:19" x14ac:dyDescent="0.35">
      <c r="B96" s="184" t="s">
        <v>535</v>
      </c>
      <c r="C96" s="365"/>
      <c r="D96" s="365"/>
      <c r="E96" s="365"/>
      <c r="F96" s="185"/>
      <c r="G96" s="185"/>
      <c r="H96" s="188"/>
      <c r="I96" s="188"/>
      <c r="J96" s="189"/>
      <c r="K96" s="189"/>
      <c r="L96" s="189"/>
      <c r="M96" s="189"/>
      <c r="N96" s="189"/>
      <c r="O96" s="189"/>
      <c r="P96" s="189"/>
      <c r="Q96" s="189"/>
      <c r="R96" s="189"/>
      <c r="S96" s="189"/>
    </row>
    <row r="97" spans="2:19" x14ac:dyDescent="0.35">
      <c r="B97" s="187" t="s">
        <v>493</v>
      </c>
      <c r="C97" s="365"/>
      <c r="D97" s="365"/>
      <c r="E97" s="365"/>
      <c r="F97" s="185"/>
      <c r="G97" s="185"/>
      <c r="H97" s="188"/>
      <c r="I97" s="188">
        <f>H99</f>
        <v>12.1</v>
      </c>
      <c r="J97" s="189">
        <f>I99</f>
        <v>12.1</v>
      </c>
      <c r="K97" s="189">
        <f t="shared" ref="K97:S97" si="56">J99</f>
        <v>12.1</v>
      </c>
      <c r="L97" s="189">
        <f t="shared" si="56"/>
        <v>12.1</v>
      </c>
      <c r="M97" s="189">
        <f t="shared" si="56"/>
        <v>12.1</v>
      </c>
      <c r="N97" s="189">
        <f t="shared" si="56"/>
        <v>12.1</v>
      </c>
      <c r="O97" s="189">
        <f t="shared" si="56"/>
        <v>12.1</v>
      </c>
      <c r="P97" s="189">
        <f t="shared" si="56"/>
        <v>12.1</v>
      </c>
      <c r="Q97" s="189">
        <f t="shared" si="56"/>
        <v>12.1</v>
      </c>
      <c r="R97" s="189">
        <f t="shared" si="56"/>
        <v>12.1</v>
      </c>
      <c r="S97" s="189">
        <f t="shared" si="56"/>
        <v>12.1</v>
      </c>
    </row>
    <row r="98" spans="2:19" x14ac:dyDescent="0.35">
      <c r="B98" s="187" t="s">
        <v>494</v>
      </c>
      <c r="C98" s="365"/>
      <c r="D98" s="365"/>
      <c r="E98" s="365"/>
      <c r="F98" s="185"/>
      <c r="G98" s="185"/>
      <c r="H98" s="188"/>
      <c r="I98" s="188"/>
      <c r="J98" s="189">
        <v>0</v>
      </c>
      <c r="K98" s="189">
        <v>0</v>
      </c>
      <c r="L98" s="189">
        <v>0</v>
      </c>
      <c r="M98" s="189">
        <v>0</v>
      </c>
      <c r="N98" s="189">
        <v>0</v>
      </c>
      <c r="O98" s="189">
        <v>0</v>
      </c>
      <c r="P98" s="189">
        <v>0</v>
      </c>
      <c r="Q98" s="189">
        <v>0</v>
      </c>
      <c r="R98" s="189">
        <v>0</v>
      </c>
      <c r="S98" s="189">
        <v>0</v>
      </c>
    </row>
    <row r="99" spans="2:19" x14ac:dyDescent="0.35">
      <c r="B99" s="187" t="s">
        <v>495</v>
      </c>
      <c r="C99" s="365"/>
      <c r="D99" s="365"/>
      <c r="E99" s="365"/>
      <c r="F99" s="185"/>
      <c r="G99" s="185"/>
      <c r="H99" s="188">
        <v>12.1</v>
      </c>
      <c r="I99" s="189">
        <f>I97+I98</f>
        <v>12.1</v>
      </c>
      <c r="J99" s="189">
        <f t="shared" ref="J99:R99" si="57">J97+J98</f>
        <v>12.1</v>
      </c>
      <c r="K99" s="189">
        <f t="shared" si="57"/>
        <v>12.1</v>
      </c>
      <c r="L99" s="189">
        <f t="shared" si="57"/>
        <v>12.1</v>
      </c>
      <c r="M99" s="189">
        <f t="shared" si="57"/>
        <v>12.1</v>
      </c>
      <c r="N99" s="189">
        <f t="shared" si="57"/>
        <v>12.1</v>
      </c>
      <c r="O99" s="189">
        <f t="shared" si="57"/>
        <v>12.1</v>
      </c>
      <c r="P99" s="189">
        <f t="shared" si="57"/>
        <v>12.1</v>
      </c>
      <c r="Q99" s="189">
        <f t="shared" si="57"/>
        <v>12.1</v>
      </c>
      <c r="R99" s="189">
        <f t="shared" si="57"/>
        <v>12.1</v>
      </c>
      <c r="S99" s="189">
        <f>S97+S98</f>
        <v>12.1</v>
      </c>
    </row>
    <row r="100" spans="2:19" x14ac:dyDescent="0.35">
      <c r="B100" s="187" t="s">
        <v>54</v>
      </c>
      <c r="C100" s="364">
        <v>0.21983471074380168</v>
      </c>
      <c r="D100" s="364"/>
      <c r="E100" s="364"/>
      <c r="F100" s="185"/>
      <c r="G100" s="185"/>
      <c r="H100" s="188"/>
      <c r="I100" s="188">
        <v>2.57</v>
      </c>
      <c r="J100" s="196">
        <f>IF(I101&lt;J99,MIN(J99*$C100,J99-I101),0)</f>
        <v>2.66</v>
      </c>
      <c r="K100" s="196">
        <f t="shared" ref="K100:S100" si="58">IF(J101&lt;K99,MIN(K99*$C100,K99-J101),0)</f>
        <v>1.5499999999999989</v>
      </c>
      <c r="L100" s="196">
        <f t="shared" si="58"/>
        <v>0</v>
      </c>
      <c r="M100" s="196">
        <f t="shared" si="58"/>
        <v>0</v>
      </c>
      <c r="N100" s="196">
        <f t="shared" si="58"/>
        <v>0</v>
      </c>
      <c r="O100" s="196">
        <f t="shared" si="58"/>
        <v>0</v>
      </c>
      <c r="P100" s="196">
        <f t="shared" si="58"/>
        <v>0</v>
      </c>
      <c r="Q100" s="196">
        <f t="shared" si="58"/>
        <v>0</v>
      </c>
      <c r="R100" s="196">
        <f t="shared" si="58"/>
        <v>0</v>
      </c>
      <c r="S100" s="196">
        <f t="shared" si="58"/>
        <v>0</v>
      </c>
    </row>
    <row r="101" spans="2:19" x14ac:dyDescent="0.35">
      <c r="B101" s="187" t="s">
        <v>496</v>
      </c>
      <c r="C101" s="365"/>
      <c r="D101" s="365"/>
      <c r="E101" s="365"/>
      <c r="F101" s="185"/>
      <c r="G101" s="185"/>
      <c r="H101" s="193">
        <f>H99-H102</f>
        <v>5.32</v>
      </c>
      <c r="I101" s="193">
        <f>H101+I100</f>
        <v>7.8900000000000006</v>
      </c>
      <c r="J101" s="189">
        <f>I101+J100</f>
        <v>10.55</v>
      </c>
      <c r="K101" s="189">
        <f t="shared" ref="K101:S101" si="59">J101+K100</f>
        <v>12.1</v>
      </c>
      <c r="L101" s="189">
        <f t="shared" si="59"/>
        <v>12.1</v>
      </c>
      <c r="M101" s="189">
        <f t="shared" si="59"/>
        <v>12.1</v>
      </c>
      <c r="N101" s="189">
        <f t="shared" si="59"/>
        <v>12.1</v>
      </c>
      <c r="O101" s="189">
        <f t="shared" si="59"/>
        <v>12.1</v>
      </c>
      <c r="P101" s="189">
        <f t="shared" si="59"/>
        <v>12.1</v>
      </c>
      <c r="Q101" s="189">
        <f t="shared" si="59"/>
        <v>12.1</v>
      </c>
      <c r="R101" s="189">
        <f t="shared" si="59"/>
        <v>12.1</v>
      </c>
      <c r="S101" s="189">
        <f t="shared" si="59"/>
        <v>12.1</v>
      </c>
    </row>
    <row r="102" spans="2:19" x14ac:dyDescent="0.35">
      <c r="B102" s="187" t="s">
        <v>497</v>
      </c>
      <c r="C102" s="365"/>
      <c r="D102" s="365"/>
      <c r="E102" s="365"/>
      <c r="F102" s="185"/>
      <c r="G102" s="185"/>
      <c r="H102" s="188">
        <v>6.7799999999999994</v>
      </c>
      <c r="I102" s="189">
        <f>I99-I101</f>
        <v>4.2099999999999991</v>
      </c>
      <c r="J102" s="189">
        <f t="shared" ref="J102:R102" si="60">J99-J101</f>
        <v>1.5499999999999989</v>
      </c>
      <c r="K102" s="189">
        <f t="shared" si="60"/>
        <v>0</v>
      </c>
      <c r="L102" s="189">
        <f t="shared" si="60"/>
        <v>0</v>
      </c>
      <c r="M102" s="189">
        <f t="shared" si="60"/>
        <v>0</v>
      </c>
      <c r="N102" s="189">
        <f t="shared" si="60"/>
        <v>0</v>
      </c>
      <c r="O102" s="189">
        <f t="shared" si="60"/>
        <v>0</v>
      </c>
      <c r="P102" s="189">
        <f t="shared" si="60"/>
        <v>0</v>
      </c>
      <c r="Q102" s="189">
        <f t="shared" si="60"/>
        <v>0</v>
      </c>
      <c r="R102" s="189">
        <f t="shared" si="60"/>
        <v>0</v>
      </c>
      <c r="S102" s="189">
        <f>S99-S101</f>
        <v>0</v>
      </c>
    </row>
    <row r="103" spans="2:19" x14ac:dyDescent="0.35">
      <c r="B103" s="270"/>
      <c r="C103" s="365"/>
      <c r="D103" s="365"/>
      <c r="E103" s="365"/>
      <c r="F103" s="185"/>
      <c r="G103" s="185"/>
      <c r="H103" s="188"/>
      <c r="I103" s="188"/>
      <c r="J103" s="189"/>
      <c r="K103" s="189"/>
      <c r="L103" s="189"/>
      <c r="M103" s="189"/>
      <c r="N103" s="189"/>
      <c r="O103" s="189"/>
      <c r="P103" s="189"/>
      <c r="Q103" s="189"/>
      <c r="R103" s="189"/>
      <c r="S103" s="189"/>
    </row>
    <row r="104" spans="2:19" x14ac:dyDescent="0.35">
      <c r="B104" s="184" t="s">
        <v>536</v>
      </c>
      <c r="C104" s="365"/>
      <c r="D104" s="365"/>
      <c r="E104" s="365"/>
      <c r="F104" s="185"/>
      <c r="G104" s="185"/>
      <c r="H104" s="188"/>
      <c r="I104" s="188"/>
      <c r="J104" s="189"/>
      <c r="K104" s="189"/>
      <c r="L104" s="189"/>
      <c r="M104" s="189"/>
      <c r="N104" s="189"/>
      <c r="O104" s="189"/>
      <c r="P104" s="189"/>
      <c r="Q104" s="189"/>
      <c r="R104" s="189"/>
      <c r="S104" s="189"/>
    </row>
    <row r="105" spans="2:19" x14ac:dyDescent="0.35">
      <c r="B105" s="187" t="s">
        <v>493</v>
      </c>
      <c r="C105" s="365"/>
      <c r="D105" s="365"/>
      <c r="E105" s="365"/>
      <c r="F105" s="185"/>
      <c r="G105" s="185"/>
      <c r="H105" s="188"/>
      <c r="I105" s="188">
        <f>H107</f>
        <v>0.02</v>
      </c>
      <c r="J105" s="189">
        <f>I107</f>
        <v>0.02</v>
      </c>
      <c r="K105" s="189">
        <f t="shared" ref="K105:S105" si="61">J107</f>
        <v>0.02</v>
      </c>
      <c r="L105" s="189">
        <f t="shared" si="61"/>
        <v>0.02</v>
      </c>
      <c r="M105" s="189">
        <f t="shared" si="61"/>
        <v>0.02</v>
      </c>
      <c r="N105" s="189">
        <f t="shared" si="61"/>
        <v>0.02</v>
      </c>
      <c r="O105" s="189">
        <f t="shared" si="61"/>
        <v>0.02</v>
      </c>
      <c r="P105" s="189">
        <f t="shared" si="61"/>
        <v>0.02</v>
      </c>
      <c r="Q105" s="189">
        <f t="shared" si="61"/>
        <v>0.02</v>
      </c>
      <c r="R105" s="189">
        <f t="shared" si="61"/>
        <v>0.02</v>
      </c>
      <c r="S105" s="189">
        <f t="shared" si="61"/>
        <v>0.02</v>
      </c>
    </row>
    <row r="106" spans="2:19" x14ac:dyDescent="0.35">
      <c r="B106" s="187" t="s">
        <v>494</v>
      </c>
      <c r="C106" s="365"/>
      <c r="D106" s="365"/>
      <c r="E106" s="365"/>
      <c r="F106" s="185"/>
      <c r="G106" s="185"/>
      <c r="H106" s="188"/>
      <c r="I106" s="188"/>
      <c r="J106" s="189">
        <v>0</v>
      </c>
      <c r="K106" s="189">
        <v>0</v>
      </c>
      <c r="L106" s="189">
        <v>0</v>
      </c>
      <c r="M106" s="189">
        <v>0</v>
      </c>
      <c r="N106" s="189">
        <v>0</v>
      </c>
      <c r="O106" s="189">
        <v>0</v>
      </c>
      <c r="P106" s="189">
        <v>0</v>
      </c>
      <c r="Q106" s="189">
        <v>0</v>
      </c>
      <c r="R106" s="189">
        <v>0</v>
      </c>
      <c r="S106" s="189">
        <v>0</v>
      </c>
    </row>
    <row r="107" spans="2:19" x14ac:dyDescent="0.35">
      <c r="B107" s="187" t="s">
        <v>495</v>
      </c>
      <c r="C107" s="365"/>
      <c r="D107" s="365"/>
      <c r="E107" s="365"/>
      <c r="F107" s="185"/>
      <c r="G107" s="185"/>
      <c r="H107" s="188">
        <v>0.02</v>
      </c>
      <c r="I107" s="189">
        <f>I105+I106</f>
        <v>0.02</v>
      </c>
      <c r="J107" s="189">
        <f t="shared" ref="J107:R107" si="62">J105+J106</f>
        <v>0.02</v>
      </c>
      <c r="K107" s="189">
        <f t="shared" si="62"/>
        <v>0.02</v>
      </c>
      <c r="L107" s="189">
        <f t="shared" si="62"/>
        <v>0.02</v>
      </c>
      <c r="M107" s="189">
        <f t="shared" si="62"/>
        <v>0.02</v>
      </c>
      <c r="N107" s="189">
        <f t="shared" si="62"/>
        <v>0.02</v>
      </c>
      <c r="O107" s="189">
        <f t="shared" si="62"/>
        <v>0.02</v>
      </c>
      <c r="P107" s="189">
        <f t="shared" si="62"/>
        <v>0.02</v>
      </c>
      <c r="Q107" s="189">
        <f t="shared" si="62"/>
        <v>0.02</v>
      </c>
      <c r="R107" s="189">
        <f t="shared" si="62"/>
        <v>0.02</v>
      </c>
      <c r="S107" s="189">
        <f>S105+S106</f>
        <v>0.02</v>
      </c>
    </row>
    <row r="108" spans="2:19" x14ac:dyDescent="0.35">
      <c r="B108" s="187" t="s">
        <v>54</v>
      </c>
      <c r="C108" s="364">
        <v>0</v>
      </c>
      <c r="D108" s="364"/>
      <c r="E108" s="364"/>
      <c r="F108" s="185"/>
      <c r="G108" s="185"/>
      <c r="H108" s="188"/>
      <c r="I108" s="188"/>
      <c r="J108" s="196">
        <f>IF(I109&lt;J107,MIN(J107*$C108,J107-I109),0)</f>
        <v>0</v>
      </c>
      <c r="K108" s="196">
        <f t="shared" ref="K108:S108" si="63">IF(J109&lt;K107,MIN(K107*$C108,K107-J109),0)</f>
        <v>0</v>
      </c>
      <c r="L108" s="196">
        <f t="shared" si="63"/>
        <v>0</v>
      </c>
      <c r="M108" s="196">
        <f t="shared" si="63"/>
        <v>0</v>
      </c>
      <c r="N108" s="196">
        <f t="shared" si="63"/>
        <v>0</v>
      </c>
      <c r="O108" s="196">
        <f t="shared" si="63"/>
        <v>0</v>
      </c>
      <c r="P108" s="196">
        <f t="shared" si="63"/>
        <v>0</v>
      </c>
      <c r="Q108" s="196">
        <f t="shared" si="63"/>
        <v>0</v>
      </c>
      <c r="R108" s="196">
        <f t="shared" si="63"/>
        <v>0</v>
      </c>
      <c r="S108" s="196">
        <f t="shared" si="63"/>
        <v>0</v>
      </c>
    </row>
    <row r="109" spans="2:19" x14ac:dyDescent="0.35">
      <c r="B109" s="187" t="s">
        <v>496</v>
      </c>
      <c r="C109" s="185"/>
      <c r="D109" s="185"/>
      <c r="E109" s="185"/>
      <c r="F109" s="185"/>
      <c r="G109" s="185"/>
      <c r="H109" s="193">
        <f>H107-H110</f>
        <v>1.9999599999999999E-2</v>
      </c>
      <c r="I109" s="193">
        <f>H109+I108</f>
        <v>1.9999599999999999E-2</v>
      </c>
      <c r="J109" s="189">
        <f>I109+J108</f>
        <v>1.9999599999999999E-2</v>
      </c>
      <c r="K109" s="189">
        <f t="shared" ref="K109:S109" si="64">J109+K108</f>
        <v>1.9999599999999999E-2</v>
      </c>
      <c r="L109" s="189">
        <f t="shared" si="64"/>
        <v>1.9999599999999999E-2</v>
      </c>
      <c r="M109" s="189">
        <f t="shared" si="64"/>
        <v>1.9999599999999999E-2</v>
      </c>
      <c r="N109" s="189">
        <f t="shared" si="64"/>
        <v>1.9999599999999999E-2</v>
      </c>
      <c r="O109" s="189">
        <f t="shared" si="64"/>
        <v>1.9999599999999999E-2</v>
      </c>
      <c r="P109" s="189">
        <f t="shared" si="64"/>
        <v>1.9999599999999999E-2</v>
      </c>
      <c r="Q109" s="189">
        <f t="shared" si="64"/>
        <v>1.9999599999999999E-2</v>
      </c>
      <c r="R109" s="189">
        <f t="shared" si="64"/>
        <v>1.9999599999999999E-2</v>
      </c>
      <c r="S109" s="189">
        <f t="shared" si="64"/>
        <v>1.9999599999999999E-2</v>
      </c>
    </row>
    <row r="110" spans="2:19" x14ac:dyDescent="0.35">
      <c r="B110" s="187" t="s">
        <v>497</v>
      </c>
      <c r="C110" s="185"/>
      <c r="D110" s="185"/>
      <c r="E110" s="185"/>
      <c r="F110" s="185"/>
      <c r="G110" s="185"/>
      <c r="H110" s="188">
        <v>3.9999999999999998E-7</v>
      </c>
      <c r="I110" s="189">
        <f>I107-I109</f>
        <v>4.0000000000109392E-7</v>
      </c>
      <c r="J110" s="189">
        <f t="shared" ref="J110:R110" si="65">J107-J109</f>
        <v>4.0000000000109392E-7</v>
      </c>
      <c r="K110" s="189">
        <f t="shared" si="65"/>
        <v>4.0000000000109392E-7</v>
      </c>
      <c r="L110" s="189">
        <f t="shared" si="65"/>
        <v>4.0000000000109392E-7</v>
      </c>
      <c r="M110" s="189">
        <f t="shared" si="65"/>
        <v>4.0000000000109392E-7</v>
      </c>
      <c r="N110" s="189">
        <f t="shared" si="65"/>
        <v>4.0000000000109392E-7</v>
      </c>
      <c r="O110" s="189">
        <f t="shared" si="65"/>
        <v>4.0000000000109392E-7</v>
      </c>
      <c r="P110" s="189">
        <f t="shared" si="65"/>
        <v>4.0000000000109392E-7</v>
      </c>
      <c r="Q110" s="189">
        <f t="shared" si="65"/>
        <v>4.0000000000109392E-7</v>
      </c>
      <c r="R110" s="189">
        <f t="shared" si="65"/>
        <v>4.0000000000109392E-7</v>
      </c>
      <c r="S110" s="189">
        <f>S107-S109</f>
        <v>4.0000000000109392E-7</v>
      </c>
    </row>
    <row r="112" spans="2:19" s="308" customFormat="1" x14ac:dyDescent="0.35">
      <c r="B112" s="310" t="s">
        <v>537</v>
      </c>
      <c r="H112" s="309"/>
      <c r="I112" s="309"/>
    </row>
    <row r="113" spans="2:23" x14ac:dyDescent="0.35">
      <c r="B113" s="191" t="s">
        <v>576</v>
      </c>
      <c r="C113" s="195"/>
      <c r="D113" s="195"/>
      <c r="E113" s="195"/>
      <c r="F113" s="185"/>
      <c r="G113" s="185"/>
      <c r="H113" s="188"/>
      <c r="I113" s="188"/>
      <c r="J113" s="189"/>
      <c r="K113" s="189"/>
      <c r="L113" s="189"/>
      <c r="M113" s="189"/>
      <c r="N113" s="189"/>
      <c r="O113" s="189"/>
      <c r="P113" s="189"/>
      <c r="Q113" s="189"/>
      <c r="R113" s="189"/>
      <c r="S113" s="189"/>
    </row>
    <row r="114" spans="2:23" x14ac:dyDescent="0.35">
      <c r="B114" s="187" t="s">
        <v>493</v>
      </c>
      <c r="C114" s="195"/>
      <c r="D114" s="195"/>
      <c r="E114" s="195"/>
      <c r="F114" s="185"/>
      <c r="G114" s="185"/>
      <c r="H114" s="188"/>
      <c r="I114" s="188">
        <f>H118</f>
        <v>144.11023940000001</v>
      </c>
      <c r="J114" s="189">
        <f>I118</f>
        <v>129.69921546</v>
      </c>
      <c r="K114" s="189">
        <f t="shared" ref="K114:S114" si="66">J118</f>
        <v>116.72929391400001</v>
      </c>
      <c r="L114" s="189">
        <f t="shared" si="66"/>
        <v>105.05636452260001</v>
      </c>
      <c r="M114" s="189">
        <f t="shared" si="66"/>
        <v>94.55072807034</v>
      </c>
      <c r="N114" s="189">
        <f t="shared" si="66"/>
        <v>85.095655263306</v>
      </c>
      <c r="O114" s="189">
        <f t="shared" si="66"/>
        <v>76.586089736975396</v>
      </c>
      <c r="P114" s="189">
        <f t="shared" si="66"/>
        <v>68.927480763277856</v>
      </c>
      <c r="Q114" s="189">
        <f t="shared" si="66"/>
        <v>62.034732686950072</v>
      </c>
      <c r="R114" s="189">
        <f t="shared" si="66"/>
        <v>55.831259418255065</v>
      </c>
      <c r="S114" s="189">
        <f t="shared" si="66"/>
        <v>50.248133476429558</v>
      </c>
    </row>
    <row r="115" spans="2:23" x14ac:dyDescent="0.35">
      <c r="B115" s="187" t="s">
        <v>494</v>
      </c>
      <c r="C115" s="195"/>
      <c r="D115" s="195"/>
      <c r="E115" s="195"/>
      <c r="F115" s="192"/>
      <c r="G115" s="192"/>
      <c r="H115" s="193"/>
      <c r="I115" s="193"/>
      <c r="J115" s="193">
        <v>0</v>
      </c>
      <c r="K115" s="193">
        <v>0</v>
      </c>
      <c r="L115" s="193">
        <v>0</v>
      </c>
      <c r="M115" s="193">
        <v>0</v>
      </c>
      <c r="N115" s="193">
        <v>0</v>
      </c>
      <c r="O115" s="193">
        <v>0</v>
      </c>
      <c r="P115" s="193">
        <v>0</v>
      </c>
      <c r="Q115" s="193">
        <v>0</v>
      </c>
      <c r="R115" s="193">
        <v>0</v>
      </c>
      <c r="S115" s="193">
        <v>0</v>
      </c>
    </row>
    <row r="116" spans="2:23" x14ac:dyDescent="0.35">
      <c r="B116" s="187" t="s">
        <v>495</v>
      </c>
      <c r="C116" s="195"/>
      <c r="D116" s="195"/>
      <c r="E116" s="195"/>
      <c r="F116" s="185"/>
      <c r="G116" s="185"/>
      <c r="H116" s="188"/>
      <c r="I116" s="189">
        <f>I114+I115</f>
        <v>144.11023940000001</v>
      </c>
      <c r="J116" s="189">
        <f t="shared" ref="J116:R116" si="67">J114+J115</f>
        <v>129.69921546</v>
      </c>
      <c r="K116" s="189">
        <f t="shared" si="67"/>
        <v>116.72929391400001</v>
      </c>
      <c r="L116" s="189">
        <f t="shared" si="67"/>
        <v>105.05636452260001</v>
      </c>
      <c r="M116" s="189">
        <f t="shared" si="67"/>
        <v>94.55072807034</v>
      </c>
      <c r="N116" s="189">
        <f t="shared" si="67"/>
        <v>85.095655263306</v>
      </c>
      <c r="O116" s="189">
        <f t="shared" si="67"/>
        <v>76.586089736975396</v>
      </c>
      <c r="P116" s="189">
        <f t="shared" si="67"/>
        <v>68.927480763277856</v>
      </c>
      <c r="Q116" s="189">
        <f t="shared" si="67"/>
        <v>62.034732686950072</v>
      </c>
      <c r="R116" s="189">
        <f t="shared" si="67"/>
        <v>55.831259418255065</v>
      </c>
      <c r="S116" s="189">
        <f>S114+S115</f>
        <v>50.248133476429558</v>
      </c>
    </row>
    <row r="117" spans="2:23" x14ac:dyDescent="0.35">
      <c r="B117" s="187" t="s">
        <v>54</v>
      </c>
      <c r="C117" s="194">
        <v>0.1</v>
      </c>
      <c r="D117" s="194"/>
      <c r="E117" s="194"/>
      <c r="F117" s="190"/>
      <c r="G117" s="190"/>
      <c r="H117" s="188"/>
      <c r="I117" s="196">
        <f>I116*$C117</f>
        <v>14.411023940000002</v>
      </c>
      <c r="J117" s="196">
        <f t="shared" ref="J117:R117" si="68">J116*$C117</f>
        <v>12.969921546000002</v>
      </c>
      <c r="K117" s="196">
        <f t="shared" si="68"/>
        <v>11.672929391400002</v>
      </c>
      <c r="L117" s="196">
        <f t="shared" si="68"/>
        <v>10.505636452260001</v>
      </c>
      <c r="M117" s="196">
        <f t="shared" si="68"/>
        <v>9.455072807034</v>
      </c>
      <c r="N117" s="196">
        <f t="shared" si="68"/>
        <v>8.5095655263306007</v>
      </c>
      <c r="O117" s="196">
        <f t="shared" si="68"/>
        <v>7.6586089736975396</v>
      </c>
      <c r="P117" s="196">
        <f t="shared" si="68"/>
        <v>6.892748076327786</v>
      </c>
      <c r="Q117" s="196">
        <f t="shared" si="68"/>
        <v>6.2034732686950074</v>
      </c>
      <c r="R117" s="196">
        <f t="shared" si="68"/>
        <v>5.5831259418255073</v>
      </c>
      <c r="S117" s="196">
        <f>S116*$C117</f>
        <v>5.0248133476429562</v>
      </c>
    </row>
    <row r="118" spans="2:23" x14ac:dyDescent="0.35">
      <c r="B118" s="187" t="s">
        <v>497</v>
      </c>
      <c r="C118" s="195"/>
      <c r="D118" s="195"/>
      <c r="E118" s="195"/>
      <c r="F118" s="185"/>
      <c r="G118" s="185"/>
      <c r="H118" s="188">
        <v>144.11023940000001</v>
      </c>
      <c r="I118" s="189">
        <f>I116-I117</f>
        <v>129.69921546</v>
      </c>
      <c r="J118" s="189">
        <f t="shared" ref="J118:R118" si="69">J116-J117</f>
        <v>116.72929391400001</v>
      </c>
      <c r="K118" s="189">
        <f t="shared" si="69"/>
        <v>105.05636452260001</v>
      </c>
      <c r="L118" s="189">
        <f t="shared" si="69"/>
        <v>94.55072807034</v>
      </c>
      <c r="M118" s="189">
        <f t="shared" si="69"/>
        <v>85.095655263306</v>
      </c>
      <c r="N118" s="189">
        <f t="shared" si="69"/>
        <v>76.586089736975396</v>
      </c>
      <c r="O118" s="189">
        <f t="shared" si="69"/>
        <v>68.927480763277856</v>
      </c>
      <c r="P118" s="189">
        <f t="shared" si="69"/>
        <v>62.034732686950072</v>
      </c>
      <c r="Q118" s="189">
        <f t="shared" si="69"/>
        <v>55.831259418255065</v>
      </c>
      <c r="R118" s="189">
        <f t="shared" si="69"/>
        <v>50.248133476429558</v>
      </c>
      <c r="S118" s="189">
        <f>S116-S117</f>
        <v>45.223320128786604</v>
      </c>
    </row>
    <row r="119" spans="2:23" x14ac:dyDescent="0.35">
      <c r="B119" s="187"/>
      <c r="C119" s="195"/>
      <c r="D119" s="195"/>
      <c r="E119" s="195"/>
      <c r="F119" s="185"/>
      <c r="G119" s="185"/>
      <c r="H119" s="188"/>
      <c r="I119" s="188"/>
      <c r="J119" s="189"/>
      <c r="K119" s="189"/>
      <c r="L119" s="189"/>
      <c r="M119" s="189"/>
      <c r="N119" s="189"/>
      <c r="O119" s="189"/>
      <c r="P119" s="189"/>
      <c r="Q119" s="189"/>
      <c r="R119" s="189"/>
      <c r="S119" s="189"/>
    </row>
    <row r="120" spans="2:23" x14ac:dyDescent="0.35">
      <c r="B120" s="191" t="s">
        <v>577</v>
      </c>
      <c r="C120" s="195"/>
      <c r="D120" s="195"/>
      <c r="E120" s="195"/>
      <c r="F120" s="185"/>
      <c r="G120" s="185"/>
      <c r="H120" s="188"/>
      <c r="I120" s="188"/>
      <c r="J120" s="189"/>
      <c r="K120" s="189"/>
      <c r="L120" s="189"/>
      <c r="M120" s="189"/>
      <c r="N120" s="189"/>
      <c r="O120" s="189"/>
      <c r="P120" s="189"/>
      <c r="Q120" s="189"/>
      <c r="R120" s="189"/>
      <c r="S120" s="189"/>
    </row>
    <row r="121" spans="2:23" x14ac:dyDescent="0.35">
      <c r="B121" s="187" t="s">
        <v>493</v>
      </c>
      <c r="C121" s="195"/>
      <c r="D121" s="195"/>
      <c r="E121" s="195"/>
      <c r="F121" s="185"/>
      <c r="G121" s="185"/>
      <c r="H121" s="188"/>
      <c r="I121" s="188">
        <f>H125</f>
        <v>191.25295460000001</v>
      </c>
      <c r="J121" s="189">
        <f>I125</f>
        <v>181.69030687</v>
      </c>
      <c r="K121" s="189">
        <f t="shared" ref="K121:S121" si="70">J125</f>
        <v>172.60579152650001</v>
      </c>
      <c r="L121" s="189">
        <f t="shared" si="70"/>
        <v>163.97550195017502</v>
      </c>
      <c r="M121" s="189">
        <f t="shared" si="70"/>
        <v>155.77672685266626</v>
      </c>
      <c r="N121" s="189">
        <f t="shared" si="70"/>
        <v>147.98789051003294</v>
      </c>
      <c r="O121" s="189">
        <f t="shared" si="70"/>
        <v>140.58849598453131</v>
      </c>
      <c r="P121" s="189">
        <f t="shared" si="70"/>
        <v>133.55907118530473</v>
      </c>
      <c r="Q121" s="189">
        <f t="shared" si="70"/>
        <v>126.8811176260395</v>
      </c>
      <c r="R121" s="189">
        <f t="shared" si="70"/>
        <v>120.53706174473753</v>
      </c>
      <c r="S121" s="189">
        <f t="shared" si="70"/>
        <v>114.51020865750066</v>
      </c>
    </row>
    <row r="122" spans="2:23" x14ac:dyDescent="0.35">
      <c r="B122" s="187" t="s">
        <v>494</v>
      </c>
      <c r="C122" s="195"/>
      <c r="D122" s="195"/>
      <c r="E122" s="195"/>
      <c r="F122" s="192"/>
      <c r="G122" s="192"/>
      <c r="H122" s="193"/>
      <c r="I122" s="193">
        <v>0</v>
      </c>
      <c r="J122" s="193">
        <v>0</v>
      </c>
      <c r="K122" s="193">
        <v>0</v>
      </c>
      <c r="L122" s="193">
        <v>0</v>
      </c>
      <c r="M122" s="193">
        <v>0</v>
      </c>
      <c r="N122" s="193">
        <v>0</v>
      </c>
      <c r="O122" s="193">
        <v>0</v>
      </c>
      <c r="P122" s="193">
        <v>0</v>
      </c>
      <c r="Q122" s="193">
        <v>0</v>
      </c>
      <c r="R122" s="193">
        <v>0</v>
      </c>
      <c r="S122" s="193">
        <v>0</v>
      </c>
    </row>
    <row r="123" spans="2:23" x14ac:dyDescent="0.35">
      <c r="B123" s="187" t="s">
        <v>495</v>
      </c>
      <c r="C123" s="195"/>
      <c r="D123" s="195"/>
      <c r="E123" s="195"/>
      <c r="F123" s="185"/>
      <c r="G123" s="185"/>
      <c r="H123" s="188"/>
      <c r="I123" s="189">
        <f>I121+I122</f>
        <v>191.25295460000001</v>
      </c>
      <c r="J123" s="189">
        <f t="shared" ref="J123:R123" si="71">J121+J122</f>
        <v>181.69030687</v>
      </c>
      <c r="K123" s="189">
        <f t="shared" si="71"/>
        <v>172.60579152650001</v>
      </c>
      <c r="L123" s="189">
        <f t="shared" si="71"/>
        <v>163.97550195017502</v>
      </c>
      <c r="M123" s="189">
        <f t="shared" si="71"/>
        <v>155.77672685266626</v>
      </c>
      <c r="N123" s="189">
        <f t="shared" si="71"/>
        <v>147.98789051003294</v>
      </c>
      <c r="O123" s="189">
        <f t="shared" si="71"/>
        <v>140.58849598453131</v>
      </c>
      <c r="P123" s="189">
        <f t="shared" si="71"/>
        <v>133.55907118530473</v>
      </c>
      <c r="Q123" s="189">
        <f t="shared" si="71"/>
        <v>126.8811176260395</v>
      </c>
      <c r="R123" s="189">
        <f t="shared" si="71"/>
        <v>120.53706174473753</v>
      </c>
      <c r="S123" s="189">
        <f>S121+S122</f>
        <v>114.51020865750066</v>
      </c>
      <c r="U123" s="379"/>
      <c r="W123" s="20"/>
    </row>
    <row r="124" spans="2:23" x14ac:dyDescent="0.35">
      <c r="B124" s="187" t="s">
        <v>54</v>
      </c>
      <c r="C124" s="194">
        <v>0.05</v>
      </c>
      <c r="D124" s="194"/>
      <c r="E124" s="194"/>
      <c r="F124" s="190"/>
      <c r="G124" s="190"/>
      <c r="H124" s="188"/>
      <c r="I124" s="196">
        <f>I123*$C124</f>
        <v>9.5626477300000001</v>
      </c>
      <c r="J124" s="196">
        <f t="shared" ref="J124:R124" si="72">J123*$C124</f>
        <v>9.0845153434999997</v>
      </c>
      <c r="K124" s="196">
        <f t="shared" si="72"/>
        <v>8.6302895763250014</v>
      </c>
      <c r="L124" s="196">
        <f t="shared" si="72"/>
        <v>8.1987750975087508</v>
      </c>
      <c r="M124" s="196">
        <f t="shared" si="72"/>
        <v>7.7888363426333136</v>
      </c>
      <c r="N124" s="196">
        <f t="shared" si="72"/>
        <v>7.3993945255016476</v>
      </c>
      <c r="O124" s="196">
        <f t="shared" si="72"/>
        <v>7.0294247992265655</v>
      </c>
      <c r="P124" s="196">
        <f t="shared" si="72"/>
        <v>6.6779535592652373</v>
      </c>
      <c r="Q124" s="196">
        <f t="shared" si="72"/>
        <v>6.3440558813019754</v>
      </c>
      <c r="R124" s="196">
        <f t="shared" si="72"/>
        <v>6.0268530872368764</v>
      </c>
      <c r="S124" s="196">
        <f>S123*$C124</f>
        <v>5.7255104328750335</v>
      </c>
      <c r="U124" s="379"/>
      <c r="W124" s="20"/>
    </row>
    <row r="125" spans="2:23" x14ac:dyDescent="0.35">
      <c r="B125" s="187" t="s">
        <v>497</v>
      </c>
      <c r="C125" s="195"/>
      <c r="D125" s="195"/>
      <c r="E125" s="195"/>
      <c r="F125" s="185"/>
      <c r="G125" s="185"/>
      <c r="H125" s="188">
        <v>191.25295460000001</v>
      </c>
      <c r="I125" s="189">
        <f>I123-I124</f>
        <v>181.69030687</v>
      </c>
      <c r="J125" s="189">
        <f t="shared" ref="J125:R125" si="73">J123-J124</f>
        <v>172.60579152650001</v>
      </c>
      <c r="K125" s="189">
        <f t="shared" si="73"/>
        <v>163.97550195017502</v>
      </c>
      <c r="L125" s="189">
        <f t="shared" si="73"/>
        <v>155.77672685266626</v>
      </c>
      <c r="M125" s="189">
        <f t="shared" si="73"/>
        <v>147.98789051003294</v>
      </c>
      <c r="N125" s="189">
        <f t="shared" si="73"/>
        <v>140.58849598453131</v>
      </c>
      <c r="O125" s="189">
        <f t="shared" si="73"/>
        <v>133.55907118530473</v>
      </c>
      <c r="P125" s="189">
        <f t="shared" si="73"/>
        <v>126.8811176260395</v>
      </c>
      <c r="Q125" s="189">
        <f t="shared" si="73"/>
        <v>120.53706174473753</v>
      </c>
      <c r="R125" s="189">
        <f t="shared" si="73"/>
        <v>114.51020865750066</v>
      </c>
      <c r="S125" s="189">
        <f>S123-S124</f>
        <v>108.78469822462563</v>
      </c>
      <c r="U125" s="379"/>
      <c r="W125" s="20"/>
    </row>
    <row r="126" spans="2:23" x14ac:dyDescent="0.35">
      <c r="B126" s="187"/>
      <c r="C126" s="195"/>
      <c r="D126" s="195"/>
      <c r="E126" s="195"/>
      <c r="F126" s="185"/>
      <c r="G126" s="185"/>
      <c r="H126" s="188"/>
      <c r="I126" s="188"/>
      <c r="J126" s="189"/>
      <c r="K126" s="189"/>
      <c r="L126" s="189"/>
      <c r="M126" s="189"/>
      <c r="N126" s="189"/>
      <c r="O126" s="189"/>
      <c r="P126" s="189"/>
      <c r="Q126" s="189"/>
      <c r="R126" s="189"/>
      <c r="S126" s="189"/>
      <c r="U126" s="380"/>
      <c r="W126" s="20"/>
    </row>
    <row r="127" spans="2:23" x14ac:dyDescent="0.35">
      <c r="B127" s="191" t="s">
        <v>578</v>
      </c>
      <c r="C127" s="195"/>
      <c r="D127" s="195"/>
      <c r="E127" s="195"/>
      <c r="F127" s="185"/>
      <c r="G127" s="185"/>
      <c r="H127" s="188"/>
      <c r="I127" s="188"/>
      <c r="J127" s="189"/>
      <c r="K127" s="189"/>
      <c r="L127" s="189"/>
      <c r="M127" s="189"/>
      <c r="N127" s="189"/>
      <c r="O127" s="189"/>
      <c r="P127" s="189"/>
      <c r="Q127" s="189"/>
      <c r="R127" s="189"/>
      <c r="S127" s="189"/>
      <c r="U127" s="379"/>
      <c r="W127" s="20"/>
    </row>
    <row r="128" spans="2:23" x14ac:dyDescent="0.35">
      <c r="B128" s="187" t="s">
        <v>493</v>
      </c>
      <c r="C128" s="195"/>
      <c r="D128" s="195"/>
      <c r="E128" s="195"/>
      <c r="F128" s="185"/>
      <c r="G128" s="185"/>
      <c r="H128" s="188"/>
      <c r="I128" s="188">
        <f>H132</f>
        <v>2.2469999999999999E-4</v>
      </c>
      <c r="J128" s="189">
        <f>I132</f>
        <v>1.3481999999999999E-4</v>
      </c>
      <c r="K128" s="189">
        <f t="shared" ref="K128:S128" si="74">J132</f>
        <v>8.0891999999999997E-5</v>
      </c>
      <c r="L128" s="189">
        <f t="shared" si="74"/>
        <v>4.8535199999999996E-5</v>
      </c>
      <c r="M128" s="189">
        <f t="shared" si="74"/>
        <v>2.9121119999999996E-5</v>
      </c>
      <c r="N128" s="189">
        <f t="shared" si="74"/>
        <v>1.7472671999999996E-5</v>
      </c>
      <c r="O128" s="189">
        <f t="shared" si="74"/>
        <v>1.0483603199999997E-5</v>
      </c>
      <c r="P128" s="189">
        <f t="shared" si="74"/>
        <v>6.2901619199999977E-6</v>
      </c>
      <c r="Q128" s="189">
        <f t="shared" si="74"/>
        <v>3.7740971519999986E-6</v>
      </c>
      <c r="R128" s="189">
        <f t="shared" si="74"/>
        <v>2.264458291199999E-6</v>
      </c>
      <c r="S128" s="189">
        <f t="shared" si="74"/>
        <v>1.3586749747199995E-6</v>
      </c>
      <c r="U128" s="379"/>
      <c r="W128" s="20"/>
    </row>
    <row r="129" spans="2:23" x14ac:dyDescent="0.35">
      <c r="B129" s="187" t="s">
        <v>494</v>
      </c>
      <c r="C129" s="381"/>
      <c r="D129" s="381"/>
      <c r="E129" s="381"/>
      <c r="F129" s="381"/>
      <c r="G129" s="381"/>
      <c r="H129" s="193"/>
      <c r="I129" s="193">
        <v>0</v>
      </c>
      <c r="J129" s="193">
        <v>0</v>
      </c>
      <c r="K129" s="193">
        <v>0</v>
      </c>
      <c r="L129" s="193">
        <v>0</v>
      </c>
      <c r="M129" s="193">
        <v>0</v>
      </c>
      <c r="N129" s="193">
        <v>0</v>
      </c>
      <c r="O129" s="193">
        <v>0</v>
      </c>
      <c r="P129" s="193">
        <v>0</v>
      </c>
      <c r="Q129" s="193">
        <v>0</v>
      </c>
      <c r="R129" s="193">
        <v>0</v>
      </c>
      <c r="S129" s="193">
        <v>0</v>
      </c>
      <c r="U129" s="379"/>
      <c r="W129" s="20"/>
    </row>
    <row r="130" spans="2:23" x14ac:dyDescent="0.35">
      <c r="B130" s="187" t="s">
        <v>495</v>
      </c>
      <c r="C130" s="195"/>
      <c r="D130" s="195"/>
      <c r="E130" s="195"/>
      <c r="F130" s="185"/>
      <c r="G130" s="185"/>
      <c r="H130" s="188"/>
      <c r="I130" s="189">
        <f>I128+I129</f>
        <v>2.2469999999999999E-4</v>
      </c>
      <c r="J130" s="189">
        <f t="shared" ref="J130:R130" si="75">J128+J129</f>
        <v>1.3481999999999999E-4</v>
      </c>
      <c r="K130" s="189">
        <f t="shared" si="75"/>
        <v>8.0891999999999997E-5</v>
      </c>
      <c r="L130" s="189">
        <f t="shared" si="75"/>
        <v>4.8535199999999996E-5</v>
      </c>
      <c r="M130" s="189">
        <f t="shared" si="75"/>
        <v>2.9121119999999996E-5</v>
      </c>
      <c r="N130" s="189">
        <f t="shared" si="75"/>
        <v>1.7472671999999996E-5</v>
      </c>
      <c r="O130" s="189">
        <f t="shared" si="75"/>
        <v>1.0483603199999997E-5</v>
      </c>
      <c r="P130" s="189">
        <f t="shared" si="75"/>
        <v>6.2901619199999977E-6</v>
      </c>
      <c r="Q130" s="189">
        <f t="shared" si="75"/>
        <v>3.7740971519999986E-6</v>
      </c>
      <c r="R130" s="189">
        <f t="shared" si="75"/>
        <v>2.264458291199999E-6</v>
      </c>
      <c r="S130" s="189">
        <f>S128+S129</f>
        <v>1.3586749747199995E-6</v>
      </c>
      <c r="U130" s="379"/>
      <c r="W130" s="20"/>
    </row>
    <row r="131" spans="2:23" x14ac:dyDescent="0.35">
      <c r="B131" s="187" t="s">
        <v>54</v>
      </c>
      <c r="C131" s="194">
        <v>0.4</v>
      </c>
      <c r="D131" s="194"/>
      <c r="E131" s="194"/>
      <c r="F131" s="190"/>
      <c r="G131" s="190"/>
      <c r="H131" s="188"/>
      <c r="I131" s="196">
        <f>I130*$C131</f>
        <v>8.988E-5</v>
      </c>
      <c r="J131" s="196">
        <f t="shared" ref="J131:R131" si="76">J130*$C131</f>
        <v>5.3927999999999996E-5</v>
      </c>
      <c r="K131" s="196">
        <f t="shared" si="76"/>
        <v>3.2356800000000002E-5</v>
      </c>
      <c r="L131" s="196">
        <f t="shared" si="76"/>
        <v>1.941408E-5</v>
      </c>
      <c r="M131" s="196">
        <f t="shared" si="76"/>
        <v>1.1648448E-5</v>
      </c>
      <c r="N131" s="196">
        <f t="shared" si="76"/>
        <v>6.9890687999999992E-6</v>
      </c>
      <c r="O131" s="196">
        <f t="shared" si="76"/>
        <v>4.1934412799999993E-6</v>
      </c>
      <c r="P131" s="196">
        <f t="shared" si="76"/>
        <v>2.5160647679999992E-6</v>
      </c>
      <c r="Q131" s="196">
        <f t="shared" si="76"/>
        <v>1.5096388607999996E-6</v>
      </c>
      <c r="R131" s="196">
        <f t="shared" si="76"/>
        <v>9.0578331647999961E-7</v>
      </c>
      <c r="S131" s="196">
        <f>S130*$C131</f>
        <v>5.4346998988799985E-7</v>
      </c>
      <c r="U131" s="379"/>
      <c r="W131" s="20"/>
    </row>
    <row r="132" spans="2:23" x14ac:dyDescent="0.35">
      <c r="B132" s="187" t="s">
        <v>497</v>
      </c>
      <c r="C132" s="195"/>
      <c r="D132" s="195"/>
      <c r="E132" s="195"/>
      <c r="F132" s="185"/>
      <c r="G132" s="185"/>
      <c r="H132" s="188">
        <v>2.2469999999999999E-4</v>
      </c>
      <c r="I132" s="189">
        <f>I130-I131</f>
        <v>1.3481999999999999E-4</v>
      </c>
      <c r="J132" s="189">
        <f t="shared" ref="J132:R132" si="77">J130-J131</f>
        <v>8.0891999999999997E-5</v>
      </c>
      <c r="K132" s="189">
        <f t="shared" si="77"/>
        <v>4.8535199999999996E-5</v>
      </c>
      <c r="L132" s="189">
        <f t="shared" si="77"/>
        <v>2.9121119999999996E-5</v>
      </c>
      <c r="M132" s="189">
        <f t="shared" si="77"/>
        <v>1.7472671999999996E-5</v>
      </c>
      <c r="N132" s="189">
        <f t="shared" si="77"/>
        <v>1.0483603199999997E-5</v>
      </c>
      <c r="O132" s="189">
        <f t="shared" si="77"/>
        <v>6.2901619199999977E-6</v>
      </c>
      <c r="P132" s="189">
        <f t="shared" si="77"/>
        <v>3.7740971519999986E-6</v>
      </c>
      <c r="Q132" s="189">
        <f t="shared" si="77"/>
        <v>2.264458291199999E-6</v>
      </c>
      <c r="R132" s="189">
        <f t="shared" si="77"/>
        <v>1.3586749747199995E-6</v>
      </c>
      <c r="S132" s="189">
        <f>S130-S131</f>
        <v>8.1520498483199962E-7</v>
      </c>
    </row>
    <row r="133" spans="2:23" x14ac:dyDescent="0.35">
      <c r="B133" s="187"/>
      <c r="C133" s="195"/>
      <c r="D133" s="195"/>
      <c r="E133" s="195"/>
      <c r="F133" s="185"/>
      <c r="G133" s="185"/>
      <c r="H133" s="382"/>
      <c r="I133" s="382"/>
      <c r="J133" s="189"/>
      <c r="K133" s="189"/>
      <c r="L133" s="189"/>
      <c r="M133" s="189"/>
      <c r="N133" s="189"/>
      <c r="O133" s="189"/>
      <c r="P133" s="189"/>
      <c r="Q133" s="189"/>
      <c r="R133" s="189"/>
      <c r="S133" s="189"/>
    </row>
    <row r="134" spans="2:23" x14ac:dyDescent="0.35">
      <c r="B134" s="191" t="s">
        <v>579</v>
      </c>
      <c r="C134" s="195"/>
      <c r="D134" s="195"/>
      <c r="E134" s="195"/>
      <c r="F134" s="185"/>
      <c r="G134" s="185"/>
      <c r="H134" s="188"/>
      <c r="I134" s="188"/>
      <c r="J134" s="189"/>
      <c r="K134" s="189"/>
      <c r="L134" s="189"/>
      <c r="M134" s="189"/>
      <c r="N134" s="189"/>
      <c r="O134" s="189"/>
      <c r="P134" s="189"/>
      <c r="Q134" s="189"/>
      <c r="R134" s="189"/>
      <c r="S134" s="189"/>
    </row>
    <row r="135" spans="2:23" x14ac:dyDescent="0.35">
      <c r="B135" s="187" t="s">
        <v>493</v>
      </c>
      <c r="C135" s="195"/>
      <c r="D135" s="195"/>
      <c r="E135" s="195"/>
      <c r="F135" s="185"/>
      <c r="G135" s="185"/>
      <c r="H135" s="188"/>
      <c r="I135" s="188">
        <f>H139</f>
        <v>313.12466510900003</v>
      </c>
      <c r="J135" s="189">
        <f>I139</f>
        <v>266.15596534265001</v>
      </c>
      <c r="K135" s="189">
        <f t="shared" ref="K135:S135" si="78">J139</f>
        <v>226.2325705412525</v>
      </c>
      <c r="L135" s="189">
        <f t="shared" si="78"/>
        <v>205.04768496006463</v>
      </c>
      <c r="M135" s="189">
        <f t="shared" si="78"/>
        <v>187.04053221605494</v>
      </c>
      <c r="N135" s="189">
        <f t="shared" si="78"/>
        <v>171.7344523836467</v>
      </c>
      <c r="O135" s="189">
        <f t="shared" si="78"/>
        <v>158.72428452609969</v>
      </c>
      <c r="P135" s="189">
        <f t="shared" si="78"/>
        <v>147.66564184718473</v>
      </c>
      <c r="Q135" s="189">
        <f t="shared" si="78"/>
        <v>138.26579557010703</v>
      </c>
      <c r="R135" s="189">
        <f t="shared" si="78"/>
        <v>130.27592623459097</v>
      </c>
      <c r="S135" s="189">
        <f t="shared" si="78"/>
        <v>123.48453729940232</v>
      </c>
    </row>
    <row r="136" spans="2:23" x14ac:dyDescent="0.35">
      <c r="B136" s="187" t="s">
        <v>494</v>
      </c>
      <c r="C136" s="381"/>
      <c r="D136" s="381"/>
      <c r="E136" s="381"/>
      <c r="F136" s="381"/>
      <c r="G136" s="381"/>
      <c r="H136" s="193"/>
      <c r="I136" s="193">
        <v>0</v>
      </c>
      <c r="J136" s="193">
        <f>Assumptions!J169</f>
        <v>0</v>
      </c>
      <c r="K136" s="193">
        <f>Assumptions!K169</f>
        <v>15</v>
      </c>
      <c r="L136" s="193">
        <f>Assumptions!L169</f>
        <v>15</v>
      </c>
      <c r="M136" s="193">
        <f>Assumptions!M169</f>
        <v>15</v>
      </c>
      <c r="N136" s="193">
        <f>Assumptions!N169</f>
        <v>15</v>
      </c>
      <c r="O136" s="193">
        <f>Assumptions!O169</f>
        <v>15</v>
      </c>
      <c r="P136" s="193">
        <f>Assumptions!P169</f>
        <v>15</v>
      </c>
      <c r="Q136" s="193">
        <f>Assumptions!Q169</f>
        <v>15</v>
      </c>
      <c r="R136" s="193">
        <f>Assumptions!R169</f>
        <v>15</v>
      </c>
      <c r="S136" s="193">
        <f>Assumptions!S169</f>
        <v>15</v>
      </c>
      <c r="U136" s="383"/>
    </row>
    <row r="137" spans="2:23" x14ac:dyDescent="0.35">
      <c r="B137" s="187" t="s">
        <v>495</v>
      </c>
      <c r="C137" s="195"/>
      <c r="D137" s="195"/>
      <c r="E137" s="195"/>
      <c r="F137" s="185"/>
      <c r="G137" s="185"/>
      <c r="H137" s="188"/>
      <c r="I137" s="189">
        <f>I135+I136</f>
        <v>313.12466510900003</v>
      </c>
      <c r="J137" s="189">
        <f t="shared" ref="J137:R137" si="79">J135+J136</f>
        <v>266.15596534265001</v>
      </c>
      <c r="K137" s="189">
        <f t="shared" si="79"/>
        <v>241.2325705412525</v>
      </c>
      <c r="L137" s="189">
        <f t="shared" si="79"/>
        <v>220.04768496006463</v>
      </c>
      <c r="M137" s="189">
        <f t="shared" si="79"/>
        <v>202.04053221605494</v>
      </c>
      <c r="N137" s="189">
        <f t="shared" si="79"/>
        <v>186.7344523836467</v>
      </c>
      <c r="O137" s="189">
        <f t="shared" si="79"/>
        <v>173.72428452609969</v>
      </c>
      <c r="P137" s="189">
        <f t="shared" si="79"/>
        <v>162.66564184718473</v>
      </c>
      <c r="Q137" s="189">
        <f t="shared" si="79"/>
        <v>153.26579557010703</v>
      </c>
      <c r="R137" s="189">
        <f t="shared" si="79"/>
        <v>145.27592623459097</v>
      </c>
      <c r="S137" s="189">
        <f>S135+S136</f>
        <v>138.48453729940232</v>
      </c>
    </row>
    <row r="138" spans="2:23" x14ac:dyDescent="0.35">
      <c r="B138" s="187" t="s">
        <v>54</v>
      </c>
      <c r="C138" s="194">
        <v>0.15</v>
      </c>
      <c r="D138" s="194"/>
      <c r="E138" s="194"/>
      <c r="F138" s="190"/>
      <c r="G138" s="190"/>
      <c r="H138" s="188"/>
      <c r="I138" s="196">
        <f>I137*$C138</f>
        <v>46.968699766350007</v>
      </c>
      <c r="J138" s="196">
        <f t="shared" ref="J138:R138" si="80">J137*$C138</f>
        <v>39.9233948013975</v>
      </c>
      <c r="K138" s="196">
        <f t="shared" si="80"/>
        <v>36.184885581187871</v>
      </c>
      <c r="L138" s="196">
        <f t="shared" si="80"/>
        <v>33.007152744009694</v>
      </c>
      <c r="M138" s="196">
        <f t="shared" si="80"/>
        <v>30.306079832408241</v>
      </c>
      <c r="N138" s="196">
        <f t="shared" si="80"/>
        <v>28.010167857547003</v>
      </c>
      <c r="O138" s="196">
        <f t="shared" si="80"/>
        <v>26.058642678914953</v>
      </c>
      <c r="P138" s="196">
        <f t="shared" si="80"/>
        <v>24.39984627707771</v>
      </c>
      <c r="Q138" s="196">
        <f t="shared" si="80"/>
        <v>22.989869335516055</v>
      </c>
      <c r="R138" s="196">
        <f t="shared" si="80"/>
        <v>21.791388935188646</v>
      </c>
      <c r="S138" s="196">
        <f>S137*$C138</f>
        <v>20.772680594910348</v>
      </c>
    </row>
    <row r="139" spans="2:23" x14ac:dyDescent="0.35">
      <c r="B139" s="187" t="s">
        <v>497</v>
      </c>
      <c r="C139" s="195"/>
      <c r="D139" s="195"/>
      <c r="E139" s="195"/>
      <c r="F139" s="185"/>
      <c r="G139" s="185"/>
      <c r="H139" s="188">
        <v>313.12466510900003</v>
      </c>
      <c r="I139" s="189">
        <f>I137-I138</f>
        <v>266.15596534265001</v>
      </c>
      <c r="J139" s="189">
        <f t="shared" ref="J139:R139" si="81">J137-J138</f>
        <v>226.2325705412525</v>
      </c>
      <c r="K139" s="189">
        <f t="shared" si="81"/>
        <v>205.04768496006463</v>
      </c>
      <c r="L139" s="189">
        <f t="shared" si="81"/>
        <v>187.04053221605494</v>
      </c>
      <c r="M139" s="189">
        <f t="shared" si="81"/>
        <v>171.7344523836467</v>
      </c>
      <c r="N139" s="189">
        <f t="shared" si="81"/>
        <v>158.72428452609969</v>
      </c>
      <c r="O139" s="189">
        <f t="shared" si="81"/>
        <v>147.66564184718473</v>
      </c>
      <c r="P139" s="189">
        <f t="shared" si="81"/>
        <v>138.26579557010703</v>
      </c>
      <c r="Q139" s="189">
        <f t="shared" si="81"/>
        <v>130.27592623459097</v>
      </c>
      <c r="R139" s="189">
        <f t="shared" si="81"/>
        <v>123.48453729940232</v>
      </c>
      <c r="S139" s="189">
        <f>S137-S138</f>
        <v>117.71185670449196</v>
      </c>
    </row>
    <row r="140" spans="2:23" x14ac:dyDescent="0.35">
      <c r="B140" s="185"/>
      <c r="C140" s="195"/>
      <c r="D140" s="195"/>
      <c r="E140" s="195"/>
      <c r="F140" s="185"/>
      <c r="G140" s="185"/>
      <c r="H140" s="188"/>
      <c r="I140" s="188"/>
      <c r="J140" s="189"/>
      <c r="K140" s="189"/>
      <c r="L140" s="189"/>
      <c r="M140" s="189"/>
      <c r="N140" s="189"/>
      <c r="O140" s="189"/>
      <c r="P140" s="189"/>
      <c r="Q140" s="189"/>
      <c r="R140" s="189"/>
      <c r="S140" s="189"/>
    </row>
    <row r="141" spans="2:23" x14ac:dyDescent="0.35">
      <c r="B141" s="191" t="s">
        <v>580</v>
      </c>
      <c r="C141" s="195"/>
      <c r="D141" s="195"/>
      <c r="E141" s="195"/>
      <c r="F141" s="185"/>
      <c r="G141" s="185"/>
      <c r="H141" s="188"/>
      <c r="I141" s="188"/>
      <c r="J141" s="189"/>
      <c r="K141" s="189"/>
      <c r="L141" s="189"/>
      <c r="M141" s="189"/>
      <c r="N141" s="189"/>
      <c r="O141" s="189"/>
      <c r="P141" s="189"/>
      <c r="Q141" s="189"/>
      <c r="R141" s="189"/>
      <c r="S141" s="189"/>
    </row>
    <row r="142" spans="2:23" x14ac:dyDescent="0.35">
      <c r="B142" s="187" t="s">
        <v>493</v>
      </c>
      <c r="C142" s="195"/>
      <c r="D142" s="195"/>
      <c r="E142" s="195"/>
      <c r="F142" s="185"/>
      <c r="G142" s="185"/>
      <c r="H142" s="188"/>
      <c r="I142" s="188">
        <f>H146</f>
        <v>5.3616239999999999</v>
      </c>
      <c r="J142" s="189">
        <f>I146</f>
        <v>4.8254615999999997</v>
      </c>
      <c r="K142" s="189">
        <f t="shared" ref="K142:S142" si="82">J146</f>
        <v>4.3429154399999996</v>
      </c>
      <c r="L142" s="189">
        <f t="shared" si="82"/>
        <v>3.9086238959999995</v>
      </c>
      <c r="M142" s="189">
        <f t="shared" si="82"/>
        <v>3.5177615063999994</v>
      </c>
      <c r="N142" s="189">
        <f t="shared" si="82"/>
        <v>3.1659853557599993</v>
      </c>
      <c r="O142" s="189">
        <f t="shared" si="82"/>
        <v>2.8493868201839994</v>
      </c>
      <c r="P142" s="189">
        <f t="shared" si="82"/>
        <v>2.5644481381655995</v>
      </c>
      <c r="Q142" s="189">
        <f t="shared" si="82"/>
        <v>2.3080033243490394</v>
      </c>
      <c r="R142" s="189">
        <f t="shared" si="82"/>
        <v>2.0772029919141355</v>
      </c>
      <c r="S142" s="189">
        <f t="shared" si="82"/>
        <v>1.8694826927227219</v>
      </c>
    </row>
    <row r="143" spans="2:23" x14ac:dyDescent="0.35">
      <c r="B143" s="187" t="s">
        <v>494</v>
      </c>
      <c r="C143" s="195"/>
      <c r="D143" s="195"/>
      <c r="E143" s="195"/>
      <c r="F143" s="185"/>
      <c r="G143" s="185"/>
      <c r="H143" s="193"/>
      <c r="I143" s="193">
        <v>0</v>
      </c>
      <c r="J143" s="193">
        <v>0</v>
      </c>
      <c r="K143" s="193">
        <v>0</v>
      </c>
      <c r="L143" s="193">
        <v>0</v>
      </c>
      <c r="M143" s="193">
        <v>0</v>
      </c>
      <c r="N143" s="193">
        <v>0</v>
      </c>
      <c r="O143" s="193">
        <v>0</v>
      </c>
      <c r="P143" s="193">
        <v>0</v>
      </c>
      <c r="Q143" s="193">
        <v>0</v>
      </c>
      <c r="R143" s="193">
        <v>0</v>
      </c>
      <c r="S143" s="193">
        <v>0</v>
      </c>
    </row>
    <row r="144" spans="2:23" x14ac:dyDescent="0.35">
      <c r="B144" s="187" t="s">
        <v>495</v>
      </c>
      <c r="C144" s="195"/>
      <c r="D144" s="195"/>
      <c r="E144" s="195"/>
      <c r="F144" s="185"/>
      <c r="G144" s="185"/>
      <c r="H144" s="188"/>
      <c r="I144" s="189">
        <f>I142+I143</f>
        <v>5.3616239999999999</v>
      </c>
      <c r="J144" s="189">
        <f t="shared" ref="J144:R144" si="83">J142+J143</f>
        <v>4.8254615999999997</v>
      </c>
      <c r="K144" s="189">
        <f t="shared" si="83"/>
        <v>4.3429154399999996</v>
      </c>
      <c r="L144" s="189">
        <f t="shared" si="83"/>
        <v>3.9086238959999995</v>
      </c>
      <c r="M144" s="189">
        <f t="shared" si="83"/>
        <v>3.5177615063999994</v>
      </c>
      <c r="N144" s="189">
        <f t="shared" si="83"/>
        <v>3.1659853557599993</v>
      </c>
      <c r="O144" s="189">
        <f t="shared" si="83"/>
        <v>2.8493868201839994</v>
      </c>
      <c r="P144" s="189">
        <f t="shared" si="83"/>
        <v>2.5644481381655995</v>
      </c>
      <c r="Q144" s="189">
        <f t="shared" si="83"/>
        <v>2.3080033243490394</v>
      </c>
      <c r="R144" s="189">
        <f t="shared" si="83"/>
        <v>2.0772029919141355</v>
      </c>
      <c r="S144" s="189">
        <f>S142+S143</f>
        <v>1.8694826927227219</v>
      </c>
    </row>
    <row r="145" spans="2:19" x14ac:dyDescent="0.35">
      <c r="B145" s="187" t="s">
        <v>54</v>
      </c>
      <c r="C145" s="194">
        <v>0.1</v>
      </c>
      <c r="D145" s="194"/>
      <c r="E145" s="194"/>
      <c r="F145" s="190"/>
      <c r="G145" s="190"/>
      <c r="H145" s="188"/>
      <c r="I145" s="196">
        <f>I144*$C145</f>
        <v>0.53616240000000004</v>
      </c>
      <c r="J145" s="196">
        <f t="shared" ref="J145:R145" si="84">J144*$C145</f>
        <v>0.48254616</v>
      </c>
      <c r="K145" s="196">
        <f t="shared" si="84"/>
        <v>0.43429154399999997</v>
      </c>
      <c r="L145" s="196">
        <f t="shared" si="84"/>
        <v>0.39086238959999997</v>
      </c>
      <c r="M145" s="196">
        <f t="shared" si="84"/>
        <v>0.35177615063999995</v>
      </c>
      <c r="N145" s="196">
        <f t="shared" si="84"/>
        <v>0.31659853557599993</v>
      </c>
      <c r="O145" s="196">
        <f t="shared" si="84"/>
        <v>0.28493868201839995</v>
      </c>
      <c r="P145" s="196">
        <f t="shared" si="84"/>
        <v>0.25644481381655998</v>
      </c>
      <c r="Q145" s="196">
        <f t="shared" si="84"/>
        <v>0.23080033243490394</v>
      </c>
      <c r="R145" s="196">
        <f t="shared" si="84"/>
        <v>0.20772029919141355</v>
      </c>
      <c r="S145" s="196">
        <f>S144*$C145</f>
        <v>0.18694826927227221</v>
      </c>
    </row>
    <row r="146" spans="2:19" x14ac:dyDescent="0.35">
      <c r="B146" s="187" t="s">
        <v>497</v>
      </c>
      <c r="C146" s="195"/>
      <c r="D146" s="195"/>
      <c r="E146" s="195"/>
      <c r="F146" s="185"/>
      <c r="G146" s="185"/>
      <c r="H146" s="188">
        <v>5.3616239999999999</v>
      </c>
      <c r="I146" s="189">
        <f>I144-I145</f>
        <v>4.8254615999999997</v>
      </c>
      <c r="J146" s="189">
        <f t="shared" ref="J146:R146" si="85">J144-J145</f>
        <v>4.3429154399999996</v>
      </c>
      <c r="K146" s="189">
        <f t="shared" si="85"/>
        <v>3.9086238959999995</v>
      </c>
      <c r="L146" s="189">
        <f t="shared" si="85"/>
        <v>3.5177615063999994</v>
      </c>
      <c r="M146" s="189">
        <f t="shared" si="85"/>
        <v>3.1659853557599993</v>
      </c>
      <c r="N146" s="189">
        <f t="shared" si="85"/>
        <v>2.8493868201839994</v>
      </c>
      <c r="O146" s="189">
        <f t="shared" si="85"/>
        <v>2.5644481381655995</v>
      </c>
      <c r="P146" s="189">
        <f t="shared" si="85"/>
        <v>2.3080033243490394</v>
      </c>
      <c r="Q146" s="189">
        <f t="shared" si="85"/>
        <v>2.0772029919141355</v>
      </c>
      <c r="R146" s="189">
        <f t="shared" si="85"/>
        <v>1.8694826927227219</v>
      </c>
      <c r="S146" s="189">
        <f>S144-S145</f>
        <v>1.6825344234504498</v>
      </c>
    </row>
    <row r="147" spans="2:19" x14ac:dyDescent="0.35">
      <c r="B147" s="185"/>
      <c r="C147" s="195"/>
      <c r="D147" s="195"/>
      <c r="E147" s="195"/>
      <c r="F147" s="185"/>
      <c r="G147" s="185"/>
      <c r="H147" s="188"/>
      <c r="I147" s="188"/>
      <c r="J147" s="189"/>
      <c r="K147" s="189"/>
      <c r="L147" s="189"/>
      <c r="M147" s="189"/>
      <c r="N147" s="189"/>
      <c r="O147" s="189"/>
      <c r="P147" s="189"/>
      <c r="Q147" s="189"/>
      <c r="R147" s="189"/>
      <c r="S147" s="189"/>
    </row>
    <row r="148" spans="2:19" x14ac:dyDescent="0.35">
      <c r="B148" s="191" t="s">
        <v>581</v>
      </c>
      <c r="C148" s="195"/>
      <c r="D148" s="195"/>
      <c r="E148" s="195"/>
      <c r="F148" s="185"/>
      <c r="G148" s="185"/>
      <c r="H148" s="188"/>
      <c r="I148" s="188"/>
      <c r="J148" s="189"/>
      <c r="K148" s="189"/>
      <c r="L148" s="189"/>
      <c r="M148" s="189"/>
      <c r="N148" s="189"/>
      <c r="O148" s="189"/>
      <c r="P148" s="189"/>
      <c r="Q148" s="189"/>
      <c r="R148" s="189"/>
      <c r="S148" s="189"/>
    </row>
    <row r="149" spans="2:19" x14ac:dyDescent="0.35">
      <c r="B149" s="187" t="s">
        <v>493</v>
      </c>
      <c r="C149" s="195"/>
      <c r="D149" s="195"/>
      <c r="E149" s="195"/>
      <c r="F149" s="185"/>
      <c r="G149" s="185"/>
      <c r="H149" s="188"/>
      <c r="I149" s="188">
        <f>H153</f>
        <v>2.3232238490000001</v>
      </c>
      <c r="J149" s="189">
        <f>I153</f>
        <v>1.97474027165</v>
      </c>
      <c r="K149" s="189">
        <f t="shared" ref="K149:S149" si="86">J153</f>
        <v>1.6785292309024999</v>
      </c>
      <c r="L149" s="189">
        <f t="shared" si="86"/>
        <v>1.4267498462671249</v>
      </c>
      <c r="M149" s="189">
        <f t="shared" si="86"/>
        <v>1.2127373693270562</v>
      </c>
      <c r="N149" s="189">
        <f t="shared" si="86"/>
        <v>1.0308267639279978</v>
      </c>
      <c r="O149" s="189">
        <f t="shared" si="86"/>
        <v>0.87620274933879805</v>
      </c>
      <c r="P149" s="189">
        <f t="shared" si="86"/>
        <v>0.7447723369379784</v>
      </c>
      <c r="Q149" s="189">
        <f t="shared" si="86"/>
        <v>0.63305648639728163</v>
      </c>
      <c r="R149" s="189">
        <f t="shared" si="86"/>
        <v>0.53809801343768937</v>
      </c>
      <c r="S149" s="189">
        <f t="shared" si="86"/>
        <v>0.45738331142203598</v>
      </c>
    </row>
    <row r="150" spans="2:19" x14ac:dyDescent="0.35">
      <c r="B150" s="187" t="s">
        <v>494</v>
      </c>
      <c r="C150" s="195"/>
      <c r="D150" s="195"/>
      <c r="E150" s="195"/>
      <c r="F150" s="185"/>
      <c r="G150" s="185"/>
      <c r="H150" s="193"/>
      <c r="I150" s="193">
        <v>0</v>
      </c>
      <c r="J150" s="193">
        <v>0</v>
      </c>
      <c r="K150" s="193">
        <v>0</v>
      </c>
      <c r="L150" s="193">
        <v>0</v>
      </c>
      <c r="M150" s="193">
        <v>0</v>
      </c>
      <c r="N150" s="193">
        <v>0</v>
      </c>
      <c r="O150" s="193">
        <v>0</v>
      </c>
      <c r="P150" s="193">
        <v>0</v>
      </c>
      <c r="Q150" s="193">
        <v>0</v>
      </c>
      <c r="R150" s="193">
        <v>0</v>
      </c>
      <c r="S150" s="193">
        <v>0</v>
      </c>
    </row>
    <row r="151" spans="2:19" x14ac:dyDescent="0.35">
      <c r="B151" s="187" t="s">
        <v>495</v>
      </c>
      <c r="C151" s="195"/>
      <c r="D151" s="195"/>
      <c r="E151" s="195"/>
      <c r="F151" s="185"/>
      <c r="G151" s="185"/>
      <c r="H151" s="188"/>
      <c r="I151" s="189">
        <f>I149+I150</f>
        <v>2.3232238490000001</v>
      </c>
      <c r="J151" s="189">
        <f t="shared" ref="J151:R151" si="87">J149+J150</f>
        <v>1.97474027165</v>
      </c>
      <c r="K151" s="189">
        <f t="shared" si="87"/>
        <v>1.6785292309024999</v>
      </c>
      <c r="L151" s="189">
        <f t="shared" si="87"/>
        <v>1.4267498462671249</v>
      </c>
      <c r="M151" s="189">
        <f t="shared" si="87"/>
        <v>1.2127373693270562</v>
      </c>
      <c r="N151" s="189">
        <f t="shared" si="87"/>
        <v>1.0308267639279978</v>
      </c>
      <c r="O151" s="189">
        <f t="shared" si="87"/>
        <v>0.87620274933879805</v>
      </c>
      <c r="P151" s="189">
        <f t="shared" si="87"/>
        <v>0.7447723369379784</v>
      </c>
      <c r="Q151" s="189">
        <f t="shared" si="87"/>
        <v>0.63305648639728163</v>
      </c>
      <c r="R151" s="189">
        <f t="shared" si="87"/>
        <v>0.53809801343768937</v>
      </c>
      <c r="S151" s="189">
        <f>S149+S150</f>
        <v>0.45738331142203598</v>
      </c>
    </row>
    <row r="152" spans="2:19" x14ac:dyDescent="0.35">
      <c r="B152" s="187" t="s">
        <v>54</v>
      </c>
      <c r="C152" s="194">
        <v>0.15</v>
      </c>
      <c r="D152" s="194"/>
      <c r="E152" s="194"/>
      <c r="F152" s="190"/>
      <c r="G152" s="190"/>
      <c r="H152" s="188"/>
      <c r="I152" s="196">
        <f>I151*$C152</f>
        <v>0.34848357735000002</v>
      </c>
      <c r="J152" s="196">
        <f t="shared" ref="J152:R152" si="88">J151*$C152</f>
        <v>0.29621104074749999</v>
      </c>
      <c r="K152" s="196">
        <f t="shared" si="88"/>
        <v>0.25177938463537497</v>
      </c>
      <c r="L152" s="196">
        <f t="shared" si="88"/>
        <v>0.21401247694006872</v>
      </c>
      <c r="M152" s="196">
        <f t="shared" si="88"/>
        <v>0.18191060539905843</v>
      </c>
      <c r="N152" s="196">
        <f t="shared" si="88"/>
        <v>0.15462401458919967</v>
      </c>
      <c r="O152" s="196">
        <f t="shared" si="88"/>
        <v>0.13143041240081971</v>
      </c>
      <c r="P152" s="196">
        <f t="shared" si="88"/>
        <v>0.11171585054069676</v>
      </c>
      <c r="Q152" s="196">
        <f t="shared" si="88"/>
        <v>9.4958472959592241E-2</v>
      </c>
      <c r="R152" s="196">
        <f t="shared" si="88"/>
        <v>8.0714702015653408E-2</v>
      </c>
      <c r="S152" s="196">
        <f>S151*$C152</f>
        <v>6.8607496713305391E-2</v>
      </c>
    </row>
    <row r="153" spans="2:19" x14ac:dyDescent="0.35">
      <c r="B153" s="187" t="s">
        <v>497</v>
      </c>
      <c r="C153" s="185"/>
      <c r="D153" s="185"/>
      <c r="E153" s="185"/>
      <c r="F153" s="185"/>
      <c r="G153" s="185"/>
      <c r="H153" s="188">
        <v>2.3232238490000001</v>
      </c>
      <c r="I153" s="189">
        <f>I151-I152</f>
        <v>1.97474027165</v>
      </c>
      <c r="J153" s="189">
        <f t="shared" ref="J153:R153" si="89">J151-J152</f>
        <v>1.6785292309024999</v>
      </c>
      <c r="K153" s="189">
        <f t="shared" si="89"/>
        <v>1.4267498462671249</v>
      </c>
      <c r="L153" s="189">
        <f t="shared" si="89"/>
        <v>1.2127373693270562</v>
      </c>
      <c r="M153" s="189">
        <f t="shared" si="89"/>
        <v>1.0308267639279978</v>
      </c>
      <c r="N153" s="189">
        <f t="shared" si="89"/>
        <v>0.87620274933879805</v>
      </c>
      <c r="O153" s="189">
        <f t="shared" si="89"/>
        <v>0.7447723369379784</v>
      </c>
      <c r="P153" s="189">
        <f t="shared" si="89"/>
        <v>0.63305648639728163</v>
      </c>
      <c r="Q153" s="189">
        <f t="shared" si="89"/>
        <v>0.53809801343768937</v>
      </c>
      <c r="R153" s="189">
        <f t="shared" si="89"/>
        <v>0.45738331142203598</v>
      </c>
      <c r="S153" s="189">
        <f>S151-S152</f>
        <v>0.38877581470873057</v>
      </c>
    </row>
    <row r="154" spans="2:19" x14ac:dyDescent="0.35">
      <c r="B154" s="187"/>
      <c r="C154" s="185"/>
      <c r="D154" s="185"/>
      <c r="E154" s="185"/>
      <c r="F154" s="185"/>
      <c r="G154" s="185"/>
      <c r="H154" s="188"/>
      <c r="I154" s="188"/>
      <c r="J154" s="189"/>
      <c r="K154" s="189"/>
      <c r="L154" s="189"/>
      <c r="M154" s="189"/>
      <c r="N154" s="189"/>
      <c r="O154" s="189"/>
      <c r="P154" s="189"/>
      <c r="Q154" s="189"/>
      <c r="R154" s="189"/>
      <c r="S154" s="189"/>
    </row>
    <row r="155" spans="2:19" x14ac:dyDescent="0.35">
      <c r="B155" s="191" t="s">
        <v>582</v>
      </c>
      <c r="C155" s="195"/>
      <c r="D155" s="195"/>
      <c r="E155" s="195"/>
      <c r="F155" s="185"/>
      <c r="G155" s="185"/>
      <c r="H155" s="188"/>
      <c r="I155" s="188"/>
      <c r="J155" s="189"/>
      <c r="K155" s="189"/>
      <c r="L155" s="189"/>
      <c r="M155" s="189"/>
      <c r="N155" s="189"/>
      <c r="O155" s="189"/>
      <c r="P155" s="189"/>
      <c r="Q155" s="189"/>
      <c r="R155" s="189"/>
      <c r="S155" s="189"/>
    </row>
    <row r="156" spans="2:19" x14ac:dyDescent="0.35">
      <c r="B156" s="187" t="s">
        <v>493</v>
      </c>
      <c r="C156" s="195"/>
      <c r="D156" s="195"/>
      <c r="E156" s="195"/>
      <c r="F156" s="185"/>
      <c r="G156" s="185"/>
      <c r="H156" s="188"/>
      <c r="I156" s="188">
        <f>H160</f>
        <v>0.42505690000000002</v>
      </c>
      <c r="J156" s="189">
        <f>I160</f>
        <v>0.25503414000000002</v>
      </c>
      <c r="K156" s="189">
        <f t="shared" ref="K156:S156" si="90">J160</f>
        <v>0.15302048400000001</v>
      </c>
      <c r="L156" s="189">
        <f t="shared" si="90"/>
        <v>9.1812290399999996E-2</v>
      </c>
      <c r="M156" s="189">
        <f t="shared" si="90"/>
        <v>5.5087374239999994E-2</v>
      </c>
      <c r="N156" s="189">
        <f t="shared" si="90"/>
        <v>3.3052424543999995E-2</v>
      </c>
      <c r="O156" s="189">
        <f t="shared" si="90"/>
        <v>1.9831454726399994E-2</v>
      </c>
      <c r="P156" s="189">
        <f t="shared" si="90"/>
        <v>1.1898872835839996E-2</v>
      </c>
      <c r="Q156" s="189">
        <f t="shared" si="90"/>
        <v>7.1393237015039968E-3</v>
      </c>
      <c r="R156" s="189">
        <f t="shared" si="90"/>
        <v>4.2835942209023979E-3</v>
      </c>
      <c r="S156" s="189">
        <f t="shared" si="90"/>
        <v>2.5701565325414386E-3</v>
      </c>
    </row>
    <row r="157" spans="2:19" x14ac:dyDescent="0.35">
      <c r="B157" s="187" t="s">
        <v>494</v>
      </c>
      <c r="C157" s="195"/>
      <c r="D157" s="195"/>
      <c r="E157" s="195"/>
      <c r="F157" s="185"/>
      <c r="G157" s="185"/>
      <c r="H157" s="193"/>
      <c r="I157" s="193">
        <v>0</v>
      </c>
      <c r="J157" s="193">
        <v>0</v>
      </c>
      <c r="K157" s="193">
        <v>0</v>
      </c>
      <c r="L157" s="193">
        <v>0</v>
      </c>
      <c r="M157" s="193">
        <v>0</v>
      </c>
      <c r="N157" s="193">
        <v>0</v>
      </c>
      <c r="O157" s="193">
        <v>0</v>
      </c>
      <c r="P157" s="193">
        <v>0</v>
      </c>
      <c r="Q157" s="193">
        <v>0</v>
      </c>
      <c r="R157" s="193">
        <v>0</v>
      </c>
      <c r="S157" s="193">
        <v>0</v>
      </c>
    </row>
    <row r="158" spans="2:19" x14ac:dyDescent="0.35">
      <c r="B158" s="187" t="s">
        <v>495</v>
      </c>
      <c r="C158" s="195"/>
      <c r="D158" s="195"/>
      <c r="E158" s="195"/>
      <c r="F158" s="185"/>
      <c r="G158" s="185"/>
      <c r="H158" s="188"/>
      <c r="I158" s="189">
        <f>I156+I157</f>
        <v>0.42505690000000002</v>
      </c>
      <c r="J158" s="189">
        <f t="shared" ref="J158:R158" si="91">J156+J157</f>
        <v>0.25503414000000002</v>
      </c>
      <c r="K158" s="189">
        <f t="shared" si="91"/>
        <v>0.15302048400000001</v>
      </c>
      <c r="L158" s="189">
        <f t="shared" si="91"/>
        <v>9.1812290399999996E-2</v>
      </c>
      <c r="M158" s="189">
        <f t="shared" si="91"/>
        <v>5.5087374239999994E-2</v>
      </c>
      <c r="N158" s="189">
        <f t="shared" si="91"/>
        <v>3.3052424543999995E-2</v>
      </c>
      <c r="O158" s="189">
        <f t="shared" si="91"/>
        <v>1.9831454726399994E-2</v>
      </c>
      <c r="P158" s="189">
        <f t="shared" si="91"/>
        <v>1.1898872835839996E-2</v>
      </c>
      <c r="Q158" s="189">
        <f t="shared" si="91"/>
        <v>7.1393237015039968E-3</v>
      </c>
      <c r="R158" s="189">
        <f t="shared" si="91"/>
        <v>4.2835942209023979E-3</v>
      </c>
      <c r="S158" s="189">
        <f>S156+S157</f>
        <v>2.5701565325414386E-3</v>
      </c>
    </row>
    <row r="159" spans="2:19" x14ac:dyDescent="0.35">
      <c r="B159" s="187" t="s">
        <v>54</v>
      </c>
      <c r="C159" s="194">
        <v>0.4</v>
      </c>
      <c r="D159" s="194"/>
      <c r="E159" s="194"/>
      <c r="F159" s="190"/>
      <c r="G159" s="190"/>
      <c r="H159" s="188"/>
      <c r="I159" s="196">
        <f>I158*$C159</f>
        <v>0.17002276000000002</v>
      </c>
      <c r="J159" s="196">
        <f t="shared" ref="J159:R159" si="92">J158*$C159</f>
        <v>0.10201365600000001</v>
      </c>
      <c r="K159" s="196">
        <f t="shared" si="92"/>
        <v>6.1208193600000009E-2</v>
      </c>
      <c r="L159" s="196">
        <f t="shared" si="92"/>
        <v>3.6724916160000003E-2</v>
      </c>
      <c r="M159" s="196">
        <f t="shared" si="92"/>
        <v>2.2034949695999999E-2</v>
      </c>
      <c r="N159" s="196">
        <f t="shared" si="92"/>
        <v>1.3220969817599999E-2</v>
      </c>
      <c r="O159" s="196">
        <f t="shared" si="92"/>
        <v>7.9325818905599983E-3</v>
      </c>
      <c r="P159" s="196">
        <f t="shared" si="92"/>
        <v>4.759549134335999E-3</v>
      </c>
      <c r="Q159" s="196">
        <f t="shared" si="92"/>
        <v>2.8557294806015989E-3</v>
      </c>
      <c r="R159" s="196">
        <f t="shared" si="92"/>
        <v>1.7134376883609593E-3</v>
      </c>
      <c r="S159" s="196">
        <f>S158*$C159</f>
        <v>1.0280626130165754E-3</v>
      </c>
    </row>
    <row r="160" spans="2:19" x14ac:dyDescent="0.35">
      <c r="B160" s="187" t="s">
        <v>497</v>
      </c>
      <c r="C160" s="185"/>
      <c r="D160" s="185"/>
      <c r="E160" s="185"/>
      <c r="F160" s="185"/>
      <c r="G160" s="185"/>
      <c r="H160" s="188">
        <v>0.42505690000000002</v>
      </c>
      <c r="I160" s="189">
        <f>I158-I159</f>
        <v>0.25503414000000002</v>
      </c>
      <c r="J160" s="189">
        <f t="shared" ref="J160:R160" si="93">J158-J159</f>
        <v>0.15302048400000001</v>
      </c>
      <c r="K160" s="189">
        <f t="shared" si="93"/>
        <v>9.1812290399999996E-2</v>
      </c>
      <c r="L160" s="189">
        <f t="shared" si="93"/>
        <v>5.5087374239999994E-2</v>
      </c>
      <c r="M160" s="189">
        <f t="shared" si="93"/>
        <v>3.3052424543999995E-2</v>
      </c>
      <c r="N160" s="189">
        <f t="shared" si="93"/>
        <v>1.9831454726399994E-2</v>
      </c>
      <c r="O160" s="189">
        <f t="shared" si="93"/>
        <v>1.1898872835839996E-2</v>
      </c>
      <c r="P160" s="189">
        <f t="shared" si="93"/>
        <v>7.1393237015039968E-3</v>
      </c>
      <c r="Q160" s="189">
        <f t="shared" si="93"/>
        <v>4.2835942209023979E-3</v>
      </c>
      <c r="R160" s="189">
        <f t="shared" si="93"/>
        <v>2.5701565325414386E-3</v>
      </c>
      <c r="S160" s="189">
        <f>S158-S159</f>
        <v>1.5420939195248632E-3</v>
      </c>
    </row>
    <row r="161" spans="2:19" x14ac:dyDescent="0.35">
      <c r="B161" s="187"/>
      <c r="C161" s="185"/>
      <c r="D161" s="185"/>
      <c r="E161" s="185"/>
      <c r="F161" s="185"/>
      <c r="G161" s="185"/>
      <c r="H161" s="188"/>
      <c r="I161" s="188"/>
      <c r="J161" s="189"/>
      <c r="K161" s="189"/>
      <c r="L161" s="189"/>
      <c r="M161" s="189"/>
      <c r="N161" s="189"/>
      <c r="O161" s="189"/>
      <c r="P161" s="189"/>
      <c r="Q161" s="189"/>
      <c r="R161" s="189"/>
      <c r="S161" s="189"/>
    </row>
    <row r="162" spans="2:19" x14ac:dyDescent="0.35">
      <c r="B162" s="191" t="s">
        <v>583</v>
      </c>
      <c r="C162" s="195"/>
      <c r="D162" s="195"/>
      <c r="E162" s="195"/>
      <c r="F162" s="185"/>
      <c r="G162" s="185"/>
      <c r="H162" s="188"/>
      <c r="I162" s="188"/>
      <c r="J162" s="189"/>
      <c r="K162" s="189"/>
      <c r="L162" s="189"/>
      <c r="M162" s="189"/>
      <c r="N162" s="189"/>
      <c r="O162" s="189"/>
      <c r="P162" s="189"/>
      <c r="Q162" s="189"/>
      <c r="R162" s="189"/>
      <c r="S162" s="189"/>
    </row>
    <row r="163" spans="2:19" x14ac:dyDescent="0.35">
      <c r="B163" s="187" t="s">
        <v>493</v>
      </c>
      <c r="C163" s="195"/>
      <c r="D163" s="195"/>
      <c r="E163" s="195"/>
      <c r="F163" s="185"/>
      <c r="G163" s="185"/>
      <c r="H163" s="188"/>
      <c r="I163" s="188">
        <f>H167</f>
        <v>0.92520829500000012</v>
      </c>
      <c r="J163" s="189">
        <f>I167</f>
        <v>0.55512497700000007</v>
      </c>
      <c r="K163" s="189">
        <f t="shared" ref="K163:S163" si="94">J167</f>
        <v>0.33307498620000003</v>
      </c>
      <c r="L163" s="189">
        <f t="shared" si="94"/>
        <v>0.19984499172</v>
      </c>
      <c r="M163" s="189">
        <f t="shared" si="94"/>
        <v>0.119906995032</v>
      </c>
      <c r="N163" s="189">
        <f t="shared" si="94"/>
        <v>7.194419701919999E-2</v>
      </c>
      <c r="O163" s="189">
        <f t="shared" si="94"/>
        <v>4.3166518211519997E-2</v>
      </c>
      <c r="P163" s="189">
        <f t="shared" si="94"/>
        <v>2.5899910926911997E-2</v>
      </c>
      <c r="Q163" s="189">
        <f t="shared" si="94"/>
        <v>1.5539946556147197E-2</v>
      </c>
      <c r="R163" s="189">
        <f t="shared" si="94"/>
        <v>9.3239679336883166E-3</v>
      </c>
      <c r="S163" s="189">
        <f t="shared" si="94"/>
        <v>5.5943807602129893E-3</v>
      </c>
    </row>
    <row r="164" spans="2:19" x14ac:dyDescent="0.35">
      <c r="B164" s="187" t="s">
        <v>494</v>
      </c>
      <c r="C164" s="195"/>
      <c r="D164" s="195"/>
      <c r="E164" s="195"/>
      <c r="F164" s="185"/>
      <c r="G164" s="185"/>
      <c r="H164" s="193"/>
      <c r="I164" s="193">
        <v>0</v>
      </c>
      <c r="J164" s="193">
        <v>0</v>
      </c>
      <c r="K164" s="193">
        <v>0</v>
      </c>
      <c r="L164" s="193">
        <v>0</v>
      </c>
      <c r="M164" s="193">
        <v>0</v>
      </c>
      <c r="N164" s="193">
        <v>0</v>
      </c>
      <c r="O164" s="193">
        <v>0</v>
      </c>
      <c r="P164" s="193">
        <v>0</v>
      </c>
      <c r="Q164" s="193">
        <v>0</v>
      </c>
      <c r="R164" s="193">
        <v>0</v>
      </c>
      <c r="S164" s="193">
        <v>0</v>
      </c>
    </row>
    <row r="165" spans="2:19" x14ac:dyDescent="0.35">
      <c r="B165" s="187" t="s">
        <v>495</v>
      </c>
      <c r="C165" s="195"/>
      <c r="D165" s="195"/>
      <c r="E165" s="195"/>
      <c r="F165" s="185"/>
      <c r="G165" s="185"/>
      <c r="H165" s="188"/>
      <c r="I165" s="189">
        <f>I163+I164</f>
        <v>0.92520829500000012</v>
      </c>
      <c r="J165" s="189">
        <f t="shared" ref="J165:R165" si="95">J163+J164</f>
        <v>0.55512497700000007</v>
      </c>
      <c r="K165" s="189">
        <f t="shared" si="95"/>
        <v>0.33307498620000003</v>
      </c>
      <c r="L165" s="189">
        <f t="shared" si="95"/>
        <v>0.19984499172</v>
      </c>
      <c r="M165" s="189">
        <f t="shared" si="95"/>
        <v>0.119906995032</v>
      </c>
      <c r="N165" s="189">
        <f t="shared" si="95"/>
        <v>7.194419701919999E-2</v>
      </c>
      <c r="O165" s="189">
        <f t="shared" si="95"/>
        <v>4.3166518211519997E-2</v>
      </c>
      <c r="P165" s="189">
        <f t="shared" si="95"/>
        <v>2.5899910926911997E-2</v>
      </c>
      <c r="Q165" s="189">
        <f t="shared" si="95"/>
        <v>1.5539946556147197E-2</v>
      </c>
      <c r="R165" s="189">
        <f t="shared" si="95"/>
        <v>9.3239679336883166E-3</v>
      </c>
      <c r="S165" s="189">
        <f>S163+S164</f>
        <v>5.5943807602129893E-3</v>
      </c>
    </row>
    <row r="166" spans="2:19" x14ac:dyDescent="0.35">
      <c r="B166" s="187" t="s">
        <v>54</v>
      </c>
      <c r="C166" s="194">
        <v>0.4</v>
      </c>
      <c r="D166" s="194"/>
      <c r="E166" s="194"/>
      <c r="F166" s="190"/>
      <c r="G166" s="190"/>
      <c r="H166" s="188"/>
      <c r="I166" s="196">
        <f>I165*$C166</f>
        <v>0.37008331800000005</v>
      </c>
      <c r="J166" s="196">
        <f t="shared" ref="J166:R166" si="96">J165*$C166</f>
        <v>0.22204999080000004</v>
      </c>
      <c r="K166" s="196">
        <f t="shared" si="96"/>
        <v>0.13322999448000003</v>
      </c>
      <c r="L166" s="196">
        <f t="shared" si="96"/>
        <v>7.9937996688000001E-2</v>
      </c>
      <c r="M166" s="196">
        <f t="shared" si="96"/>
        <v>4.7962798012800005E-2</v>
      </c>
      <c r="N166" s="196">
        <f t="shared" si="96"/>
        <v>2.8777678807679997E-2</v>
      </c>
      <c r="O166" s="196">
        <f t="shared" si="96"/>
        <v>1.7266607284608E-2</v>
      </c>
      <c r="P166" s="196">
        <f t="shared" si="96"/>
        <v>1.03599643707648E-2</v>
      </c>
      <c r="Q166" s="196">
        <f t="shared" si="96"/>
        <v>6.2159786224588792E-3</v>
      </c>
      <c r="R166" s="196">
        <f t="shared" si="96"/>
        <v>3.7295871734753269E-3</v>
      </c>
      <c r="S166" s="196">
        <f>S165*$C166</f>
        <v>2.2377523040851958E-3</v>
      </c>
    </row>
    <row r="167" spans="2:19" x14ac:dyDescent="0.35">
      <c r="B167" s="187" t="s">
        <v>497</v>
      </c>
      <c r="C167" s="185"/>
      <c r="D167" s="185"/>
      <c r="E167" s="185"/>
      <c r="F167" s="185"/>
      <c r="G167" s="185"/>
      <c r="H167" s="188">
        <v>0.92520829500000012</v>
      </c>
      <c r="I167" s="189">
        <f>I165-I166</f>
        <v>0.55512497700000007</v>
      </c>
      <c r="J167" s="189">
        <f t="shared" ref="J167:R167" si="97">J165-J166</f>
        <v>0.33307498620000003</v>
      </c>
      <c r="K167" s="189">
        <f t="shared" si="97"/>
        <v>0.19984499172</v>
      </c>
      <c r="L167" s="189">
        <f t="shared" si="97"/>
        <v>0.119906995032</v>
      </c>
      <c r="M167" s="189">
        <f t="shared" si="97"/>
        <v>7.194419701919999E-2</v>
      </c>
      <c r="N167" s="189">
        <f t="shared" si="97"/>
        <v>4.3166518211519997E-2</v>
      </c>
      <c r="O167" s="189">
        <f t="shared" si="97"/>
        <v>2.5899910926911997E-2</v>
      </c>
      <c r="P167" s="189">
        <f t="shared" si="97"/>
        <v>1.5539946556147197E-2</v>
      </c>
      <c r="Q167" s="189">
        <f t="shared" si="97"/>
        <v>9.3239679336883166E-3</v>
      </c>
      <c r="R167" s="189">
        <f t="shared" si="97"/>
        <v>5.5943807602129893E-3</v>
      </c>
      <c r="S167" s="189">
        <f>S165-S166</f>
        <v>3.3566284561277935E-3</v>
      </c>
    </row>
    <row r="168" spans="2:19" x14ac:dyDescent="0.35">
      <c r="B168" s="187"/>
      <c r="C168" s="185"/>
      <c r="D168" s="185"/>
      <c r="E168" s="185"/>
      <c r="F168" s="185"/>
      <c r="G168" s="185"/>
      <c r="H168" s="188"/>
      <c r="I168" s="188"/>
      <c r="J168" s="189"/>
      <c r="K168" s="189"/>
      <c r="L168" s="189"/>
      <c r="M168" s="189"/>
      <c r="N168" s="189"/>
      <c r="O168" s="189"/>
      <c r="P168" s="189"/>
      <c r="Q168" s="189"/>
      <c r="R168" s="189"/>
      <c r="S168" s="189"/>
    </row>
    <row r="169" spans="2:19" x14ac:dyDescent="0.35">
      <c r="B169" s="1" t="s">
        <v>584</v>
      </c>
      <c r="C169" s="185"/>
      <c r="D169" s="185"/>
      <c r="E169" s="185"/>
      <c r="F169" s="185"/>
      <c r="G169" s="185"/>
      <c r="H169" s="188"/>
      <c r="I169" s="188"/>
      <c r="J169" s="189"/>
      <c r="K169" s="189"/>
      <c r="L169" s="189"/>
      <c r="M169" s="189"/>
      <c r="N169" s="189"/>
      <c r="O169" s="189"/>
      <c r="P169" s="189"/>
      <c r="Q169" s="189"/>
      <c r="R169" s="189"/>
      <c r="S169" s="189"/>
    </row>
    <row r="170" spans="2:19" x14ac:dyDescent="0.35">
      <c r="B170" s="187" t="s">
        <v>493</v>
      </c>
      <c r="C170" s="195"/>
      <c r="D170" s="195"/>
      <c r="E170" s="195"/>
      <c r="F170" s="185"/>
      <c r="G170" s="185"/>
      <c r="H170" s="188"/>
      <c r="I170" s="188">
        <f>H174</f>
        <v>1.5660120739999999</v>
      </c>
      <c r="J170" s="189">
        <f>I174</f>
        <v>1.3311102628999998</v>
      </c>
      <c r="K170" s="189">
        <f t="shared" ref="K170:S170" si="98">J174</f>
        <v>1.1314437234649999</v>
      </c>
      <c r="L170" s="189">
        <f t="shared" si="98"/>
        <v>0.9617271649452499</v>
      </c>
      <c r="M170" s="189">
        <f t="shared" si="98"/>
        <v>0.81746809020346245</v>
      </c>
      <c r="N170" s="189">
        <f t="shared" si="98"/>
        <v>0.69484787667294312</v>
      </c>
      <c r="O170" s="189">
        <f t="shared" si="98"/>
        <v>0.59062069517200166</v>
      </c>
      <c r="P170" s="189">
        <f t="shared" si="98"/>
        <v>0.50202759089620141</v>
      </c>
      <c r="Q170" s="189">
        <f t="shared" si="98"/>
        <v>0.42672345226177122</v>
      </c>
      <c r="R170" s="189">
        <f t="shared" si="98"/>
        <v>0.36271493442250552</v>
      </c>
      <c r="S170" s="189">
        <f t="shared" si="98"/>
        <v>0.30830769425912968</v>
      </c>
    </row>
    <row r="171" spans="2:19" x14ac:dyDescent="0.35">
      <c r="B171" s="187" t="s">
        <v>494</v>
      </c>
      <c r="C171" s="195"/>
      <c r="D171" s="195"/>
      <c r="E171" s="195"/>
      <c r="F171" s="185"/>
      <c r="G171" s="185"/>
      <c r="H171" s="193"/>
      <c r="I171" s="193">
        <v>0</v>
      </c>
      <c r="J171" s="193">
        <v>0</v>
      </c>
      <c r="K171" s="193">
        <v>0</v>
      </c>
      <c r="L171" s="193">
        <v>0</v>
      </c>
      <c r="M171" s="193">
        <v>0</v>
      </c>
      <c r="N171" s="193">
        <v>0</v>
      </c>
      <c r="O171" s="193">
        <v>0</v>
      </c>
      <c r="P171" s="193">
        <v>0</v>
      </c>
      <c r="Q171" s="193">
        <v>0</v>
      </c>
      <c r="R171" s="193">
        <v>0</v>
      </c>
      <c r="S171" s="193">
        <v>0</v>
      </c>
    </row>
    <row r="172" spans="2:19" x14ac:dyDescent="0.35">
      <c r="B172" s="187" t="s">
        <v>495</v>
      </c>
      <c r="C172" s="195"/>
      <c r="D172" s="195"/>
      <c r="E172" s="195"/>
      <c r="F172" s="185"/>
      <c r="G172" s="185"/>
      <c r="H172" s="188"/>
      <c r="I172" s="189">
        <f>I170+I171</f>
        <v>1.5660120739999999</v>
      </c>
      <c r="J172" s="189">
        <f t="shared" ref="J172:R172" si="99">J170+J171</f>
        <v>1.3311102628999998</v>
      </c>
      <c r="K172" s="189">
        <f t="shared" si="99"/>
        <v>1.1314437234649999</v>
      </c>
      <c r="L172" s="189">
        <f t="shared" si="99"/>
        <v>0.9617271649452499</v>
      </c>
      <c r="M172" s="189">
        <f t="shared" si="99"/>
        <v>0.81746809020346245</v>
      </c>
      <c r="N172" s="189">
        <f t="shared" si="99"/>
        <v>0.69484787667294312</v>
      </c>
      <c r="O172" s="189">
        <f t="shared" si="99"/>
        <v>0.59062069517200166</v>
      </c>
      <c r="P172" s="189">
        <f t="shared" si="99"/>
        <v>0.50202759089620141</v>
      </c>
      <c r="Q172" s="189">
        <f t="shared" si="99"/>
        <v>0.42672345226177122</v>
      </c>
      <c r="R172" s="189">
        <f t="shared" si="99"/>
        <v>0.36271493442250552</v>
      </c>
      <c r="S172" s="189">
        <f>S170+S171</f>
        <v>0.30830769425912968</v>
      </c>
    </row>
    <row r="173" spans="2:19" x14ac:dyDescent="0.35">
      <c r="B173" s="187" t="s">
        <v>54</v>
      </c>
      <c r="C173" s="194">
        <v>0.15</v>
      </c>
      <c r="D173" s="194"/>
      <c r="E173" s="194"/>
      <c r="F173" s="190"/>
      <c r="G173" s="190"/>
      <c r="H173" s="188"/>
      <c r="I173" s="196">
        <f>I172*$C173</f>
        <v>0.23490181109999997</v>
      </c>
      <c r="J173" s="196">
        <f t="shared" ref="J173:R173" si="100">J172*$C173</f>
        <v>0.19966653943499996</v>
      </c>
      <c r="K173" s="196">
        <f t="shared" si="100"/>
        <v>0.16971655851974998</v>
      </c>
      <c r="L173" s="196">
        <f t="shared" si="100"/>
        <v>0.14425907474178748</v>
      </c>
      <c r="M173" s="196">
        <f t="shared" si="100"/>
        <v>0.12262021353051936</v>
      </c>
      <c r="N173" s="196">
        <f t="shared" si="100"/>
        <v>0.10422718150094147</v>
      </c>
      <c r="O173" s="196">
        <f t="shared" si="100"/>
        <v>8.859310427580025E-2</v>
      </c>
      <c r="P173" s="196">
        <f t="shared" si="100"/>
        <v>7.5304138634430209E-2</v>
      </c>
      <c r="Q173" s="196">
        <f t="shared" si="100"/>
        <v>6.4008517839265686E-2</v>
      </c>
      <c r="R173" s="196">
        <f t="shared" si="100"/>
        <v>5.4407240163375829E-2</v>
      </c>
      <c r="S173" s="196">
        <f>S172*$C173</f>
        <v>4.6246154138869448E-2</v>
      </c>
    </row>
    <row r="174" spans="2:19" x14ac:dyDescent="0.35">
      <c r="B174" s="187" t="s">
        <v>497</v>
      </c>
      <c r="C174" s="185"/>
      <c r="D174" s="185"/>
      <c r="E174" s="185"/>
      <c r="F174" s="185"/>
      <c r="G174" s="185"/>
      <c r="H174" s="188">
        <v>1.5660120739999999</v>
      </c>
      <c r="I174" s="189">
        <f>I172-I173</f>
        <v>1.3311102628999998</v>
      </c>
      <c r="J174" s="189">
        <f t="shared" ref="J174:R174" si="101">J172-J173</f>
        <v>1.1314437234649999</v>
      </c>
      <c r="K174" s="189">
        <f t="shared" si="101"/>
        <v>0.9617271649452499</v>
      </c>
      <c r="L174" s="189">
        <f t="shared" si="101"/>
        <v>0.81746809020346245</v>
      </c>
      <c r="M174" s="189">
        <f t="shared" si="101"/>
        <v>0.69484787667294312</v>
      </c>
      <c r="N174" s="189">
        <f t="shared" si="101"/>
        <v>0.59062069517200166</v>
      </c>
      <c r="O174" s="189">
        <f t="shared" si="101"/>
        <v>0.50202759089620141</v>
      </c>
      <c r="P174" s="189">
        <f t="shared" si="101"/>
        <v>0.42672345226177122</v>
      </c>
      <c r="Q174" s="189">
        <f t="shared" si="101"/>
        <v>0.36271493442250552</v>
      </c>
      <c r="R174" s="189">
        <f t="shared" si="101"/>
        <v>0.30830769425912968</v>
      </c>
      <c r="S174" s="189">
        <f>S172-S173</f>
        <v>0.26206154012026023</v>
      </c>
    </row>
    <row r="175" spans="2:19" x14ac:dyDescent="0.35">
      <c r="B175" s="185"/>
      <c r="C175" s="185"/>
      <c r="D175" s="185"/>
      <c r="E175" s="185"/>
      <c r="F175" s="185"/>
      <c r="G175" s="185"/>
      <c r="H175" s="188"/>
      <c r="I175" s="188"/>
      <c r="J175" s="189"/>
      <c r="K175" s="189"/>
      <c r="L175" s="189"/>
      <c r="M175" s="189"/>
      <c r="N175" s="189"/>
      <c r="O175" s="189"/>
      <c r="P175" s="189"/>
      <c r="Q175" s="189"/>
      <c r="R175" s="189"/>
      <c r="S175" s="189"/>
    </row>
    <row r="176" spans="2:19" x14ac:dyDescent="0.35">
      <c r="B176" s="385" t="s">
        <v>501</v>
      </c>
      <c r="C176" s="387"/>
      <c r="D176" s="387"/>
      <c r="E176" s="387"/>
      <c r="F176" s="387"/>
      <c r="G176" s="387"/>
      <c r="H176" s="388"/>
      <c r="I176" s="388"/>
      <c r="J176" s="389"/>
      <c r="K176" s="389"/>
      <c r="L176" s="389"/>
      <c r="M176" s="389"/>
      <c r="N176" s="389"/>
      <c r="O176" s="389"/>
      <c r="P176" s="389"/>
      <c r="Q176" s="389"/>
      <c r="R176" s="389"/>
      <c r="S176" s="389"/>
    </row>
    <row r="177" spans="2:19" x14ac:dyDescent="0.35">
      <c r="B177" s="390" t="s">
        <v>493</v>
      </c>
      <c r="C177" s="387"/>
      <c r="D177" s="387"/>
      <c r="E177" s="387"/>
      <c r="F177" s="387"/>
      <c r="G177" s="387"/>
      <c r="H177" s="388"/>
      <c r="I177" s="389">
        <f>I114+I121+I128+I135+I142+I149+I156+I163+I170</f>
        <v>659.08920892699996</v>
      </c>
      <c r="J177" s="389">
        <f t="shared" ref="J177:R177" si="102">J114+J121+J128+J135+J142+J149+J156+J163+J170</f>
        <v>586.48709374420002</v>
      </c>
      <c r="K177" s="389">
        <f t="shared" si="102"/>
        <v>523.20672073832009</v>
      </c>
      <c r="L177" s="389">
        <f t="shared" si="102"/>
        <v>480.6683581573721</v>
      </c>
      <c r="M177" s="389">
        <f t="shared" si="102"/>
        <v>443.09097759538372</v>
      </c>
      <c r="N177" s="389">
        <f t="shared" si="102"/>
        <v>409.81467224758177</v>
      </c>
      <c r="O177" s="389">
        <f t="shared" si="102"/>
        <v>380.27808896884233</v>
      </c>
      <c r="P177" s="389">
        <f t="shared" si="102"/>
        <v>354.00124693569171</v>
      </c>
      <c r="Q177" s="389">
        <f t="shared" si="102"/>
        <v>330.57211219045945</v>
      </c>
      <c r="R177" s="389">
        <f t="shared" si="102"/>
        <v>309.63587316397076</v>
      </c>
      <c r="S177" s="389">
        <f>S114+S121+S128+S135+S142+S149+S156+S163+S170</f>
        <v>290.88621902770427</v>
      </c>
    </row>
    <row r="178" spans="2:19" x14ac:dyDescent="0.35">
      <c r="B178" s="390" t="s">
        <v>494</v>
      </c>
      <c r="C178" s="387"/>
      <c r="D178" s="387"/>
      <c r="E178" s="387"/>
      <c r="F178" s="387"/>
      <c r="G178" s="387"/>
      <c r="H178" s="388"/>
      <c r="I178" s="389">
        <f t="shared" ref="I178" si="103">I115+I122+I129+I136+I143+I150+I157+I164+I171</f>
        <v>0</v>
      </c>
      <c r="J178" s="389">
        <f t="shared" ref="J178:R181" si="104">J115+J122+J129+J136+J143+J150+J157+J164+J171</f>
        <v>0</v>
      </c>
      <c r="K178" s="389">
        <f t="shared" si="104"/>
        <v>15</v>
      </c>
      <c r="L178" s="389">
        <f t="shared" si="104"/>
        <v>15</v>
      </c>
      <c r="M178" s="389">
        <f t="shared" si="104"/>
        <v>15</v>
      </c>
      <c r="N178" s="389">
        <f t="shared" si="104"/>
        <v>15</v>
      </c>
      <c r="O178" s="389">
        <f t="shared" si="104"/>
        <v>15</v>
      </c>
      <c r="P178" s="389">
        <f t="shared" si="104"/>
        <v>15</v>
      </c>
      <c r="Q178" s="389">
        <f t="shared" si="104"/>
        <v>15</v>
      </c>
      <c r="R178" s="389">
        <f t="shared" si="104"/>
        <v>15</v>
      </c>
      <c r="S178" s="389">
        <f>S115+S122+S129+S136+S143+S150+S157+S164+S171</f>
        <v>15</v>
      </c>
    </row>
    <row r="179" spans="2:19" x14ac:dyDescent="0.35">
      <c r="B179" s="390" t="s">
        <v>495</v>
      </c>
      <c r="C179" s="387"/>
      <c r="D179" s="387"/>
      <c r="E179" s="387"/>
      <c r="F179" s="387"/>
      <c r="G179" s="387"/>
      <c r="H179" s="388"/>
      <c r="I179" s="389">
        <f t="shared" ref="I179" si="105">I116+I123+I130+I137+I144+I151+I158+I165+I172</f>
        <v>659.08920892699996</v>
      </c>
      <c r="J179" s="389">
        <f t="shared" si="104"/>
        <v>586.48709374420002</v>
      </c>
      <c r="K179" s="389">
        <f t="shared" si="104"/>
        <v>538.20672073832009</v>
      </c>
      <c r="L179" s="389">
        <f t="shared" si="104"/>
        <v>495.6683581573721</v>
      </c>
      <c r="M179" s="389">
        <f t="shared" si="104"/>
        <v>458.09097759538372</v>
      </c>
      <c r="N179" s="389">
        <f t="shared" si="104"/>
        <v>424.81467224758177</v>
      </c>
      <c r="O179" s="389">
        <f t="shared" si="104"/>
        <v>395.27808896884233</v>
      </c>
      <c r="P179" s="389">
        <f t="shared" si="104"/>
        <v>369.00124693569171</v>
      </c>
      <c r="Q179" s="389">
        <f t="shared" si="104"/>
        <v>345.57211219045945</v>
      </c>
      <c r="R179" s="389">
        <f t="shared" si="104"/>
        <v>324.63587316397076</v>
      </c>
      <c r="S179" s="389">
        <f>S116+S123+S130+S137+S144+S151+S158+S165+S172</f>
        <v>305.88621902770427</v>
      </c>
    </row>
    <row r="180" spans="2:19" x14ac:dyDescent="0.35">
      <c r="B180" s="385" t="s">
        <v>54</v>
      </c>
      <c r="C180" s="392"/>
      <c r="D180" s="392"/>
      <c r="E180" s="392"/>
      <c r="F180" s="392"/>
      <c r="G180" s="392"/>
      <c r="H180" s="393"/>
      <c r="I180" s="394">
        <f t="shared" ref="I180" si="106">I117+I124+I131+I138+I145+I152+I159+I166+I173</f>
        <v>72.602115182799992</v>
      </c>
      <c r="J180" s="394">
        <f t="shared" si="104"/>
        <v>63.280373005880001</v>
      </c>
      <c r="K180" s="394">
        <f t="shared" si="104"/>
        <v>57.538362580947997</v>
      </c>
      <c r="L180" s="394">
        <f t="shared" si="104"/>
        <v>52.577380561988306</v>
      </c>
      <c r="M180" s="394">
        <f t="shared" si="104"/>
        <v>48.27630534780193</v>
      </c>
      <c r="N180" s="394">
        <f t="shared" si="104"/>
        <v>44.536583278739471</v>
      </c>
      <c r="O180" s="394">
        <f t="shared" si="104"/>
        <v>41.276842033150523</v>
      </c>
      <c r="P180" s="394">
        <f t="shared" si="104"/>
        <v>38.429134745232282</v>
      </c>
      <c r="Q180" s="394">
        <f t="shared" si="104"/>
        <v>35.936239026488714</v>
      </c>
      <c r="R180" s="394">
        <f t="shared" si="104"/>
        <v>33.749654136266628</v>
      </c>
      <c r="S180" s="394">
        <f>S117+S124+S131+S138+S145+S152+S159+S166+S173</f>
        <v>31.828072653939877</v>
      </c>
    </row>
    <row r="181" spans="2:19" x14ac:dyDescent="0.35">
      <c r="B181" s="390" t="s">
        <v>497</v>
      </c>
      <c r="C181" s="392"/>
      <c r="D181" s="392"/>
      <c r="E181" s="392"/>
      <c r="F181" s="392"/>
      <c r="G181" s="392"/>
      <c r="H181" s="393"/>
      <c r="I181" s="389">
        <f t="shared" ref="I181" si="107">I118+I125+I132+I139+I146+I153+I160+I167+I174</f>
        <v>586.48709374420002</v>
      </c>
      <c r="J181" s="389">
        <f t="shared" si="104"/>
        <v>523.20672073832009</v>
      </c>
      <c r="K181" s="389">
        <f t="shared" si="104"/>
        <v>480.6683581573721</v>
      </c>
      <c r="L181" s="389">
        <f t="shared" si="104"/>
        <v>443.09097759538372</v>
      </c>
      <c r="M181" s="389">
        <f t="shared" si="104"/>
        <v>409.81467224758177</v>
      </c>
      <c r="N181" s="389">
        <f t="shared" si="104"/>
        <v>380.27808896884233</v>
      </c>
      <c r="O181" s="389">
        <f t="shared" si="104"/>
        <v>354.00124693569171</v>
      </c>
      <c r="P181" s="389">
        <f t="shared" si="104"/>
        <v>330.57211219045945</v>
      </c>
      <c r="Q181" s="389">
        <f t="shared" si="104"/>
        <v>309.63587316397076</v>
      </c>
      <c r="R181" s="389">
        <f t="shared" si="104"/>
        <v>290.88621902770427</v>
      </c>
      <c r="S181" s="389">
        <f>S118+S125+S132+S139+S146+S153+S160+S167+S174</f>
        <v>274.05814637376432</v>
      </c>
    </row>
  </sheetData>
  <pageMargins left="0.7" right="0.7" top="0.75" bottom="0.75" header="0.3" footer="0.3"/>
  <pageSetup paperSize="9" orientation="portrait" horizont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8"/>
  <dimension ref="A2:R168"/>
  <sheetViews>
    <sheetView showGridLines="0" zoomScale="65" zoomScaleNormal="80" workbookViewId="0">
      <pane xSplit="3" ySplit="4" topLeftCell="F5" activePane="bottomRight" state="frozen"/>
      <selection pane="topRight" activeCell="D1" sqref="D1"/>
      <selection pane="bottomLeft" activeCell="A5" sqref="A5"/>
      <selection pane="bottomRight" activeCell="K112" sqref="K112"/>
    </sheetView>
  </sheetViews>
  <sheetFormatPr defaultColWidth="8.54296875" defaultRowHeight="14.5" x14ac:dyDescent="0.35"/>
  <cols>
    <col min="1" max="1" width="8.54296875" style="584"/>
    <col min="2" max="2" width="70" style="582" bestFit="1" customWidth="1"/>
    <col min="3" max="3" width="22.54296875" style="582" customWidth="1"/>
    <col min="4" max="4" width="16.453125" style="582" hidden="1" customWidth="1"/>
    <col min="5" max="5" width="10.453125" style="582" hidden="1" customWidth="1"/>
    <col min="6" max="6" width="17.1796875" style="582" bestFit="1" customWidth="1"/>
    <col min="7" max="7" width="14" style="582" bestFit="1" customWidth="1"/>
    <col min="8" max="15" width="13.54296875" style="582" bestFit="1" customWidth="1"/>
    <col min="16" max="16" width="13.453125" style="582" hidden="1" customWidth="1"/>
    <col min="17" max="17" width="13.54296875" style="582" hidden="1" customWidth="1"/>
    <col min="18" max="18" width="15.453125" style="582" hidden="1" customWidth="1"/>
    <col min="19" max="16384" width="8.54296875" style="582"/>
  </cols>
  <sheetData>
    <row r="2" spans="1:18" x14ac:dyDescent="0.35">
      <c r="B2" s="112" t="str">
        <f>'Fixed Asset schedule'!B2</f>
        <v>All figures in INR Crores</v>
      </c>
    </row>
    <row r="4" spans="1:18" s="317" customFormat="1" x14ac:dyDescent="0.35">
      <c r="B4" s="181" t="s">
        <v>436</v>
      </c>
      <c r="C4" s="182"/>
      <c r="D4" s="182"/>
      <c r="E4" s="183"/>
      <c r="F4" s="183"/>
      <c r="G4" s="183">
        <f>'Fixed Asset schedule'!I4</f>
        <v>44651</v>
      </c>
      <c r="H4" s="183">
        <f>'Fixed Asset schedule'!J4</f>
        <v>45016</v>
      </c>
      <c r="I4" s="183">
        <f>'Fixed Asset schedule'!K4</f>
        <v>45382</v>
      </c>
      <c r="J4" s="183">
        <f>'Fixed Asset schedule'!L4</f>
        <v>45747</v>
      </c>
      <c r="K4" s="183">
        <f>'Fixed Asset schedule'!M4</f>
        <v>46112</v>
      </c>
      <c r="L4" s="183">
        <f>'Fixed Asset schedule'!N4</f>
        <v>46477</v>
      </c>
      <c r="M4" s="183">
        <f>'Fixed Asset schedule'!O4</f>
        <v>46843</v>
      </c>
      <c r="N4" s="183">
        <f>'Fixed Asset schedule'!P4</f>
        <v>47208</v>
      </c>
      <c r="O4" s="183">
        <f>'Fixed Asset schedule'!Q4</f>
        <v>47573</v>
      </c>
      <c r="P4" s="183">
        <f>'Fixed Asset schedule'!R4</f>
        <v>47938</v>
      </c>
      <c r="Q4" s="183">
        <f>'Fixed Asset schedule'!S4</f>
        <v>48304</v>
      </c>
      <c r="R4" s="183">
        <f>EOMONTH(Q4,12)</f>
        <v>48669</v>
      </c>
    </row>
    <row r="5" spans="1:18" x14ac:dyDescent="0.35">
      <c r="B5" s="236" t="s">
        <v>71</v>
      </c>
      <c r="C5" s="236"/>
      <c r="D5" s="236"/>
      <c r="E5" s="236"/>
      <c r="F5" s="236"/>
      <c r="G5" s="237">
        <f>'P&amp;L'!I42</f>
        <v>-222.36465267684338</v>
      </c>
      <c r="H5" s="237">
        <f>'P&amp;L'!J42</f>
        <v>-1750.4695983542647</v>
      </c>
      <c r="I5" s="237">
        <f>'P&amp;L'!K42</f>
        <v>134.71443078294979</v>
      </c>
      <c r="J5" s="237">
        <f>'P&amp;L'!L42</f>
        <v>181.18033679588706</v>
      </c>
      <c r="K5" s="237">
        <f>'P&amp;L'!M42</f>
        <v>207.38653099007865</v>
      </c>
      <c r="L5" s="237">
        <f>'P&amp;L'!N42</f>
        <v>232.67612210978422</v>
      </c>
      <c r="M5" s="237">
        <f>'P&amp;L'!O42</f>
        <v>261.34542553724555</v>
      </c>
      <c r="N5" s="237">
        <f>'P&amp;L'!P42</f>
        <v>292.470030906288</v>
      </c>
      <c r="O5" s="237">
        <f>'P&amp;L'!Q42</f>
        <v>321.36029539581011</v>
      </c>
      <c r="P5" s="237">
        <f>'P&amp;L'!R42</f>
        <v>405.0648889458177</v>
      </c>
      <c r="Q5" s="237">
        <f>'P&amp;L'!S42</f>
        <v>458.97227570574705</v>
      </c>
    </row>
    <row r="6" spans="1:18" x14ac:dyDescent="0.35">
      <c r="B6" s="236" t="s">
        <v>437</v>
      </c>
      <c r="C6" s="236"/>
      <c r="D6" s="236"/>
      <c r="E6" s="236"/>
      <c r="F6" s="236"/>
      <c r="G6" s="237">
        <f>'P&amp;L'!I39</f>
        <v>214.63</v>
      </c>
      <c r="H6" s="237">
        <f>'P&amp;L'!J39</f>
        <v>215.8294257165827</v>
      </c>
      <c r="I6" s="237">
        <f>'P&amp;L'!K39</f>
        <v>215.20442435589436</v>
      </c>
      <c r="J6" s="237">
        <f>'P&amp;L'!L39</f>
        <v>214.13942299520602</v>
      </c>
      <c r="K6" s="237">
        <f>'P&amp;L'!M39</f>
        <v>214.62442163451766</v>
      </c>
      <c r="L6" s="237">
        <f>'P&amp;L'!N39</f>
        <v>214.64630845948335</v>
      </c>
      <c r="M6" s="237">
        <f>'P&amp;L'!O39</f>
        <v>214.72379655027177</v>
      </c>
      <c r="N6" s="237">
        <f>'P&amp;L'!P39</f>
        <v>215.20879518958344</v>
      </c>
      <c r="O6" s="237">
        <f>'P&amp;L'!Q39</f>
        <v>215.69379382889508</v>
      </c>
      <c r="P6" s="237">
        <f>'P&amp;L'!R39</f>
        <v>216.12553979254363</v>
      </c>
      <c r="Q6" s="237">
        <f>'P&amp;L'!S39</f>
        <v>211.13009636577809</v>
      </c>
    </row>
    <row r="7" spans="1:18" x14ac:dyDescent="0.35">
      <c r="B7" s="236" t="s">
        <v>438</v>
      </c>
      <c r="C7" s="236"/>
      <c r="D7" s="236"/>
      <c r="E7" s="236"/>
      <c r="F7" s="236"/>
      <c r="G7" s="384">
        <f>'Fixed Asset schedule'!I180</f>
        <v>72.602115182799992</v>
      </c>
      <c r="H7" s="384">
        <f>'Fixed Asset schedule'!J180</f>
        <v>63.280373005880001</v>
      </c>
      <c r="I7" s="384">
        <f>'Fixed Asset schedule'!K180</f>
        <v>57.538362580947997</v>
      </c>
      <c r="J7" s="384">
        <f>'Fixed Asset schedule'!L180</f>
        <v>52.577380561988306</v>
      </c>
      <c r="K7" s="384">
        <f>'Fixed Asset schedule'!M180</f>
        <v>48.27630534780193</v>
      </c>
      <c r="L7" s="384">
        <f>'Fixed Asset schedule'!N180</f>
        <v>44.536583278739471</v>
      </c>
      <c r="M7" s="384">
        <f>'Fixed Asset schedule'!O180</f>
        <v>41.276842033150523</v>
      </c>
      <c r="N7" s="384">
        <f>'Fixed Asset schedule'!P180</f>
        <v>38.429134745232282</v>
      </c>
      <c r="O7" s="384">
        <f>'Fixed Asset schedule'!Q180</f>
        <v>35.936239026488714</v>
      </c>
      <c r="P7" s="384">
        <f>'Fixed Asset schedule'!R180</f>
        <v>33.749654136266628</v>
      </c>
      <c r="Q7" s="384">
        <f>'Fixed Asset schedule'!S180</f>
        <v>31.828072653939877</v>
      </c>
    </row>
    <row r="8" spans="1:18" x14ac:dyDescent="0.35">
      <c r="B8" s="236"/>
      <c r="C8" s="236"/>
      <c r="D8" s="236"/>
      <c r="E8" s="236"/>
      <c r="F8" s="236"/>
      <c r="G8" s="236"/>
      <c r="H8" s="236"/>
      <c r="I8" s="236"/>
      <c r="J8" s="236"/>
      <c r="K8" s="236"/>
      <c r="L8" s="236"/>
      <c r="M8" s="236"/>
      <c r="N8" s="236"/>
      <c r="O8" s="236"/>
      <c r="P8" s="236"/>
      <c r="Q8" s="236"/>
    </row>
    <row r="9" spans="1:18" x14ac:dyDescent="0.35">
      <c r="B9" s="236" t="s">
        <v>71</v>
      </c>
      <c r="C9" s="236"/>
      <c r="D9" s="236"/>
      <c r="E9" s="236"/>
      <c r="F9" s="236"/>
      <c r="G9" s="1304">
        <f t="shared" ref="G9:N10" si="0">G5</f>
        <v>-222.36465267684338</v>
      </c>
      <c r="H9" s="1304">
        <f t="shared" si="0"/>
        <v>-1750.4695983542647</v>
      </c>
      <c r="I9" s="1304">
        <f t="shared" si="0"/>
        <v>134.71443078294979</v>
      </c>
      <c r="J9" s="1304">
        <f t="shared" si="0"/>
        <v>181.18033679588706</v>
      </c>
      <c r="K9" s="1304">
        <f t="shared" si="0"/>
        <v>207.38653099007865</v>
      </c>
      <c r="L9" s="1304">
        <f t="shared" si="0"/>
        <v>232.67612210978422</v>
      </c>
      <c r="M9" s="1304">
        <f t="shared" si="0"/>
        <v>261.34542553724555</v>
      </c>
      <c r="N9" s="1304">
        <f t="shared" si="0"/>
        <v>292.470030906288</v>
      </c>
      <c r="O9" s="1304">
        <f t="shared" ref="O9:Q10" si="1">O5</f>
        <v>321.36029539581011</v>
      </c>
      <c r="P9" s="1304">
        <f t="shared" si="1"/>
        <v>405.0648889458177</v>
      </c>
      <c r="Q9" s="1304">
        <f t="shared" si="1"/>
        <v>458.97227570574705</v>
      </c>
    </row>
    <row r="10" spans="1:18" x14ac:dyDescent="0.35">
      <c r="B10" s="236" t="s">
        <v>439</v>
      </c>
      <c r="C10" s="236"/>
      <c r="D10" s="236"/>
      <c r="E10" s="236"/>
      <c r="F10" s="236"/>
      <c r="G10" s="1304">
        <f t="shared" si="0"/>
        <v>214.63</v>
      </c>
      <c r="H10" s="1304">
        <f t="shared" si="0"/>
        <v>215.8294257165827</v>
      </c>
      <c r="I10" s="1304">
        <f t="shared" si="0"/>
        <v>215.20442435589436</v>
      </c>
      <c r="J10" s="1304">
        <f t="shared" si="0"/>
        <v>214.13942299520602</v>
      </c>
      <c r="K10" s="1304">
        <f t="shared" si="0"/>
        <v>214.62442163451766</v>
      </c>
      <c r="L10" s="1304">
        <f t="shared" si="0"/>
        <v>214.64630845948335</v>
      </c>
      <c r="M10" s="1304">
        <f t="shared" si="0"/>
        <v>214.72379655027177</v>
      </c>
      <c r="N10" s="1304">
        <f t="shared" si="0"/>
        <v>215.20879518958344</v>
      </c>
      <c r="O10" s="1304">
        <f t="shared" si="1"/>
        <v>215.69379382889508</v>
      </c>
      <c r="P10" s="1304">
        <f t="shared" si="1"/>
        <v>216.12553979254363</v>
      </c>
      <c r="Q10" s="1304">
        <f t="shared" si="1"/>
        <v>211.13009636577809</v>
      </c>
    </row>
    <row r="11" spans="1:18" s="134" customFormat="1" x14ac:dyDescent="0.35">
      <c r="A11" s="318"/>
      <c r="B11" s="199" t="s">
        <v>440</v>
      </c>
      <c r="C11" s="199"/>
      <c r="D11" s="199"/>
      <c r="E11" s="199"/>
      <c r="F11" s="199"/>
      <c r="G11" s="319">
        <f>SUM(G9:G10)</f>
        <v>-7.7346526768433819</v>
      </c>
      <c r="H11" s="319">
        <f t="shared" ref="H11:N11" si="2">SUM(H9:H10)</f>
        <v>-1534.6401726376821</v>
      </c>
      <c r="I11" s="319">
        <f t="shared" si="2"/>
        <v>349.91885513884415</v>
      </c>
      <c r="J11" s="319">
        <f t="shared" si="2"/>
        <v>395.31975979109308</v>
      </c>
      <c r="K11" s="319">
        <f t="shared" si="2"/>
        <v>422.01095262459631</v>
      </c>
      <c r="L11" s="319">
        <f t="shared" si="2"/>
        <v>447.32243056926757</v>
      </c>
      <c r="M11" s="319">
        <f t="shared" si="2"/>
        <v>476.06922208751735</v>
      </c>
      <c r="N11" s="319">
        <f t="shared" si="2"/>
        <v>507.67882609587144</v>
      </c>
      <c r="O11" s="319">
        <f>SUM(O9:O10)</f>
        <v>537.05408922470519</v>
      </c>
      <c r="P11" s="319">
        <f>SUM(P9:P10)</f>
        <v>621.19042873836133</v>
      </c>
      <c r="Q11" s="319">
        <f>SUM(Q9:Q10)</f>
        <v>670.10237207152511</v>
      </c>
    </row>
    <row r="12" spans="1:18" x14ac:dyDescent="0.35">
      <c r="B12" s="236" t="s">
        <v>441</v>
      </c>
      <c r="C12" s="236"/>
      <c r="D12" s="236"/>
      <c r="E12" s="236"/>
      <c r="F12" s="236"/>
      <c r="G12" s="237">
        <f t="shared" ref="G12:N12" si="3">IF(G11&lt;0,0,MIN(G7,G11))</f>
        <v>0</v>
      </c>
      <c r="H12" s="237">
        <f t="shared" si="3"/>
        <v>0</v>
      </c>
      <c r="I12" s="237">
        <f t="shared" si="3"/>
        <v>57.538362580947997</v>
      </c>
      <c r="J12" s="237">
        <f t="shared" si="3"/>
        <v>52.577380561988306</v>
      </c>
      <c r="K12" s="237">
        <f t="shared" si="3"/>
        <v>48.27630534780193</v>
      </c>
      <c r="L12" s="237">
        <f t="shared" si="3"/>
        <v>44.536583278739471</v>
      </c>
      <c r="M12" s="237">
        <f t="shared" si="3"/>
        <v>41.276842033150523</v>
      </c>
      <c r="N12" s="237">
        <f t="shared" si="3"/>
        <v>38.429134745232282</v>
      </c>
      <c r="O12" s="237">
        <f>IF(O11&lt;0,0,MIN(O7,O11))</f>
        <v>35.936239026488714</v>
      </c>
      <c r="P12" s="237">
        <f>IF(P11&lt;0,0,MIN(P7,P11))</f>
        <v>33.749654136266628</v>
      </c>
      <c r="Q12" s="237">
        <f>IF(Q11&lt;0,0,MIN(Q7,Q11))</f>
        <v>31.828072653939877</v>
      </c>
    </row>
    <row r="13" spans="1:18" x14ac:dyDescent="0.35">
      <c r="B13" s="199" t="s">
        <v>442</v>
      </c>
      <c r="C13" s="236"/>
      <c r="D13" s="236"/>
      <c r="E13" s="236"/>
      <c r="F13" s="236"/>
      <c r="G13" s="239">
        <f>G11-G12</f>
        <v>-7.7346526768433819</v>
      </c>
      <c r="H13" s="239">
        <f t="shared" ref="H13:N13" si="4">H11-H12</f>
        <v>-1534.6401726376821</v>
      </c>
      <c r="I13" s="239">
        <f t="shared" si="4"/>
        <v>292.38049255789616</v>
      </c>
      <c r="J13" s="239">
        <f t="shared" si="4"/>
        <v>342.74237922910476</v>
      </c>
      <c r="K13" s="239">
        <f t="shared" si="4"/>
        <v>373.73464727679436</v>
      </c>
      <c r="L13" s="239">
        <f t="shared" si="4"/>
        <v>402.78584729052807</v>
      </c>
      <c r="M13" s="239">
        <f t="shared" si="4"/>
        <v>434.79238005436684</v>
      </c>
      <c r="N13" s="239">
        <f t="shared" si="4"/>
        <v>469.24969135063918</v>
      </c>
      <c r="O13" s="239">
        <f>O11-O12</f>
        <v>501.1178501982165</v>
      </c>
      <c r="P13" s="239">
        <f>P11-P12</f>
        <v>587.44077460209473</v>
      </c>
      <c r="Q13" s="239">
        <f>Q11-Q12</f>
        <v>638.27429941758521</v>
      </c>
    </row>
    <row r="14" spans="1:18" x14ac:dyDescent="0.35">
      <c r="B14" s="236" t="s">
        <v>443</v>
      </c>
      <c r="C14" s="236"/>
      <c r="D14" s="1304"/>
      <c r="E14" s="1304"/>
      <c r="F14" s="1304"/>
      <c r="G14" s="1304">
        <f>G44</f>
        <v>0</v>
      </c>
      <c r="H14" s="1304">
        <f t="shared" ref="H14:N14" si="5">H44</f>
        <v>0</v>
      </c>
      <c r="I14" s="1304">
        <f t="shared" si="5"/>
        <v>292.38049255789616</v>
      </c>
      <c r="J14" s="1304">
        <f t="shared" si="5"/>
        <v>342.74237922910476</v>
      </c>
      <c r="K14" s="1304">
        <f t="shared" si="5"/>
        <v>373.73464727679436</v>
      </c>
      <c r="L14" s="1304">
        <f t="shared" si="5"/>
        <v>402.78584729052807</v>
      </c>
      <c r="M14" s="1304">
        <f t="shared" si="5"/>
        <v>130.73145896020219</v>
      </c>
      <c r="N14" s="1304">
        <f t="shared" si="5"/>
        <v>0</v>
      </c>
      <c r="O14" s="1304">
        <f>O44</f>
        <v>0</v>
      </c>
      <c r="P14" s="1304">
        <f>P44</f>
        <v>0</v>
      </c>
      <c r="Q14" s="1304">
        <f>Q44</f>
        <v>0</v>
      </c>
    </row>
    <row r="15" spans="1:18" x14ac:dyDescent="0.35">
      <c r="B15" s="236"/>
      <c r="C15" s="236"/>
      <c r="D15" s="236"/>
      <c r="E15" s="236"/>
      <c r="F15" s="236"/>
      <c r="G15" s="1304">
        <f>G13-G14</f>
        <v>-7.7346526768433819</v>
      </c>
      <c r="H15" s="1304">
        <f t="shared" ref="H15:N15" si="6">H13-H14</f>
        <v>-1534.6401726376821</v>
      </c>
      <c r="I15" s="1304">
        <f t="shared" si="6"/>
        <v>0</v>
      </c>
      <c r="J15" s="1304">
        <f t="shared" si="6"/>
        <v>0</v>
      </c>
      <c r="K15" s="1304">
        <f t="shared" si="6"/>
        <v>0</v>
      </c>
      <c r="L15" s="1304">
        <f t="shared" si="6"/>
        <v>0</v>
      </c>
      <c r="M15" s="1304">
        <f t="shared" si="6"/>
        <v>304.06092109416466</v>
      </c>
      <c r="N15" s="1304">
        <f t="shared" si="6"/>
        <v>469.24969135063918</v>
      </c>
      <c r="O15" s="1304">
        <f>O13-O14</f>
        <v>501.1178501982165</v>
      </c>
      <c r="P15" s="1304">
        <f>P13-P14</f>
        <v>587.44077460209473</v>
      </c>
      <c r="Q15" s="1304">
        <f>Q13-Q14</f>
        <v>638.27429941758521</v>
      </c>
    </row>
    <row r="16" spans="1:18" x14ac:dyDescent="0.35">
      <c r="B16" s="236" t="s">
        <v>444</v>
      </c>
      <c r="C16" s="236"/>
      <c r="D16" s="1304"/>
      <c r="E16" s="1304"/>
      <c r="F16" s="1304"/>
      <c r="G16" s="1304">
        <f>G51</f>
        <v>0</v>
      </c>
      <c r="H16" s="1304">
        <f t="shared" ref="H16:N16" si="7">H51</f>
        <v>0</v>
      </c>
      <c r="I16" s="1304">
        <f t="shared" si="7"/>
        <v>0</v>
      </c>
      <c r="J16" s="1304">
        <f t="shared" si="7"/>
        <v>0</v>
      </c>
      <c r="K16" s="1304">
        <f t="shared" si="7"/>
        <v>0</v>
      </c>
      <c r="L16" s="1304">
        <f t="shared" si="7"/>
        <v>0</v>
      </c>
      <c r="M16" s="1304">
        <f t="shared" si="7"/>
        <v>304.06092109416466</v>
      </c>
      <c r="N16" s="1304">
        <f t="shared" si="7"/>
        <v>469.24969135063918</v>
      </c>
      <c r="O16" s="1304">
        <f>O51</f>
        <v>501.1178501982165</v>
      </c>
      <c r="P16" s="1304">
        <f>P51</f>
        <v>587.44077460209473</v>
      </c>
      <c r="Q16" s="1304">
        <f>Q51</f>
        <v>153.93227324356462</v>
      </c>
    </row>
    <row r="17" spans="1:17" x14ac:dyDescent="0.35">
      <c r="B17" s="199" t="s">
        <v>445</v>
      </c>
      <c r="C17" s="236"/>
      <c r="D17" s="236"/>
      <c r="E17" s="236"/>
      <c r="F17" s="236"/>
      <c r="G17" s="319">
        <f>G15-G16</f>
        <v>-7.7346526768433819</v>
      </c>
      <c r="H17" s="319">
        <f t="shared" ref="H17:N17" si="8">H15-H16</f>
        <v>-1534.6401726376821</v>
      </c>
      <c r="I17" s="319">
        <f t="shared" si="8"/>
        <v>0</v>
      </c>
      <c r="J17" s="319">
        <f t="shared" si="8"/>
        <v>0</v>
      </c>
      <c r="K17" s="319">
        <f t="shared" si="8"/>
        <v>0</v>
      </c>
      <c r="L17" s="319">
        <f t="shared" si="8"/>
        <v>0</v>
      </c>
      <c r="M17" s="319">
        <f t="shared" si="8"/>
        <v>0</v>
      </c>
      <c r="N17" s="319">
        <f t="shared" si="8"/>
        <v>0</v>
      </c>
      <c r="O17" s="319">
        <f>O15-O16</f>
        <v>0</v>
      </c>
      <c r="P17" s="319">
        <f>P15-P16</f>
        <v>0</v>
      </c>
      <c r="Q17" s="319">
        <f>Q15-Q16</f>
        <v>484.34202617402059</v>
      </c>
    </row>
    <row r="18" spans="1:17" x14ac:dyDescent="0.35">
      <c r="A18" s="1311"/>
      <c r="B18" s="199"/>
      <c r="C18" s="236"/>
      <c r="D18" s="236"/>
      <c r="E18" s="236"/>
      <c r="F18" s="236"/>
      <c r="G18" s="236"/>
      <c r="H18" s="236"/>
      <c r="I18" s="236"/>
      <c r="J18" s="236"/>
      <c r="K18" s="236"/>
      <c r="L18" s="236"/>
      <c r="M18" s="236"/>
      <c r="N18" s="236"/>
      <c r="O18" s="236"/>
      <c r="P18" s="236"/>
      <c r="Q18" s="236"/>
    </row>
    <row r="19" spans="1:17" x14ac:dyDescent="0.35">
      <c r="A19" s="1305">
        <f>C166</f>
        <v>0.34943999999999997</v>
      </c>
      <c r="B19" s="199" t="s">
        <v>446</v>
      </c>
      <c r="C19" s="236"/>
      <c r="D19" s="236"/>
      <c r="E19" s="236"/>
      <c r="F19" s="236"/>
      <c r="G19" s="1312">
        <f>IF(G17&gt;0,G17*$A$19,0)</f>
        <v>0</v>
      </c>
      <c r="H19" s="1312">
        <f t="shared" ref="H19:N19" si="9">IF(H17&gt;0,H17*$A$19,0)</f>
        <v>0</v>
      </c>
      <c r="I19" s="1312">
        <f t="shared" si="9"/>
        <v>0</v>
      </c>
      <c r="J19" s="1312">
        <f t="shared" si="9"/>
        <v>0</v>
      </c>
      <c r="K19" s="1312">
        <f t="shared" si="9"/>
        <v>0</v>
      </c>
      <c r="L19" s="1312">
        <f t="shared" si="9"/>
        <v>0</v>
      </c>
      <c r="M19" s="1312">
        <f t="shared" si="9"/>
        <v>0</v>
      </c>
      <c r="N19" s="1312">
        <f t="shared" si="9"/>
        <v>0</v>
      </c>
      <c r="O19" s="1312">
        <f>IF(O17&gt;0,O17*$A$19,0)</f>
        <v>0</v>
      </c>
      <c r="P19" s="1312">
        <f>IF(P17&gt;0,P17*$A$19,0)</f>
        <v>0</v>
      </c>
      <c r="Q19" s="1312">
        <f>IF(Q17&gt;0,Q17*$A$19,0)</f>
        <v>169.24847762624975</v>
      </c>
    </row>
    <row r="20" spans="1:17" x14ac:dyDescent="0.35">
      <c r="A20" s="1305"/>
      <c r="B20" s="199"/>
      <c r="C20" s="236"/>
      <c r="D20" s="236"/>
      <c r="E20" s="236"/>
      <c r="F20" s="236"/>
      <c r="G20" s="1312"/>
      <c r="H20" s="1312"/>
      <c r="I20" s="1312"/>
      <c r="J20" s="1312"/>
      <c r="K20" s="1312"/>
      <c r="L20" s="1312"/>
      <c r="M20" s="1312"/>
      <c r="N20" s="1312"/>
      <c r="O20" s="1312"/>
      <c r="P20" s="1312"/>
      <c r="Q20" s="1312"/>
    </row>
    <row r="21" spans="1:17" x14ac:dyDescent="0.35">
      <c r="B21" s="200" t="s">
        <v>447</v>
      </c>
      <c r="C21" s="236"/>
      <c r="D21" s="236"/>
      <c r="E21" s="236"/>
      <c r="F21" s="236"/>
      <c r="G21" s="236"/>
      <c r="H21" s="236"/>
      <c r="I21" s="236"/>
      <c r="J21" s="236"/>
      <c r="K21" s="236"/>
      <c r="L21" s="236"/>
      <c r="M21" s="236"/>
      <c r="N21" s="236"/>
      <c r="O21" s="236"/>
      <c r="P21" s="236"/>
      <c r="Q21" s="236"/>
    </row>
    <row r="22" spans="1:17" x14ac:dyDescent="0.35">
      <c r="B22" s="201" t="s">
        <v>270</v>
      </c>
      <c r="C22" s="1306"/>
      <c r="D22" s="1313"/>
      <c r="E22" s="1313"/>
      <c r="F22" s="1313"/>
      <c r="G22" s="1313"/>
      <c r="H22" s="1313"/>
      <c r="I22" s="1313"/>
      <c r="J22" s="1313"/>
      <c r="K22" s="1313"/>
      <c r="L22" s="1313"/>
      <c r="M22" s="1313"/>
      <c r="N22" s="236"/>
      <c r="O22" s="236"/>
      <c r="P22" s="236"/>
      <c r="Q22" s="236"/>
    </row>
    <row r="23" spans="1:17" x14ac:dyDescent="0.35">
      <c r="B23" s="1215">
        <v>41729</v>
      </c>
      <c r="C23" s="672">
        <f t="shared" ref="C23:C30" si="10">G140</f>
        <v>456.02274220000004</v>
      </c>
      <c r="D23" s="1313"/>
      <c r="E23" s="1313"/>
      <c r="F23" s="1313"/>
      <c r="G23" s="320">
        <f>IFERROR(IF(DATEDIF($B23,G$4,"y")&gt;=9,0,$C23),0)</f>
        <v>456.02274220000004</v>
      </c>
      <c r="H23" s="320">
        <f>IFERROR(IF(DATEDIF($B23,H$4,"y")&gt;=9,0,$C23),0)</f>
        <v>0</v>
      </c>
      <c r="I23" s="237">
        <f t="shared" ref="I23:Q23" si="11">IFERROR(IF(DATEDIF($B23,I$4,"y")&gt;=9,0,H23),0)-IFERROR(IF(DATEDIF($B23,I$4,"y")&gt;=9,0,MAX(MIN(H$51-SUM(H21:H21),MIN(H23,H$51)),0)),0)</f>
        <v>0</v>
      </c>
      <c r="J23" s="237">
        <f t="shared" si="11"/>
        <v>0</v>
      </c>
      <c r="K23" s="237">
        <f t="shared" si="11"/>
        <v>0</v>
      </c>
      <c r="L23" s="237">
        <f t="shared" si="11"/>
        <v>0</v>
      </c>
      <c r="M23" s="237">
        <f t="shared" si="11"/>
        <v>0</v>
      </c>
      <c r="N23" s="237">
        <f t="shared" si="11"/>
        <v>0</v>
      </c>
      <c r="O23" s="237">
        <f t="shared" si="11"/>
        <v>0</v>
      </c>
      <c r="P23" s="237">
        <f t="shared" si="11"/>
        <v>0</v>
      </c>
      <c r="Q23" s="237">
        <f t="shared" si="11"/>
        <v>0</v>
      </c>
    </row>
    <row r="24" spans="1:17" x14ac:dyDescent="0.35">
      <c r="B24" s="1215">
        <v>42094</v>
      </c>
      <c r="C24" s="672">
        <f t="shared" si="10"/>
        <v>1020.8823732</v>
      </c>
      <c r="D24" s="236"/>
      <c r="E24" s="236"/>
      <c r="F24" s="236"/>
      <c r="G24" s="320">
        <f>IFERROR(IF(DATEDIF($B24,G$4,"y")&gt;=9,0,$C24),0)</f>
        <v>1020.8823732</v>
      </c>
      <c r="H24" s="320">
        <f>IFERROR(IF(DATEDIF($B24,H$4,"y")&gt;=9,0,$C24),0)</f>
        <v>1020.8823732</v>
      </c>
      <c r="I24" s="237">
        <f t="shared" ref="I24:Q24" si="12">IFERROR(IF(DATEDIF($B24,I$4,"y")&gt;=9,0,H24),0)-IFERROR(IF(DATEDIF($B24,I$4,"y")&gt;=9,0,MAX(MIN(H$51-SUM(H22:H22),MIN(H24,H$51)),0)),0)</f>
        <v>0</v>
      </c>
      <c r="J24" s="237">
        <f t="shared" si="12"/>
        <v>0</v>
      </c>
      <c r="K24" s="237">
        <f t="shared" si="12"/>
        <v>0</v>
      </c>
      <c r="L24" s="237">
        <f t="shared" si="12"/>
        <v>0</v>
      </c>
      <c r="M24" s="237">
        <f t="shared" si="12"/>
        <v>0</v>
      </c>
      <c r="N24" s="237">
        <f t="shared" si="12"/>
        <v>0</v>
      </c>
      <c r="O24" s="237">
        <f t="shared" si="12"/>
        <v>0</v>
      </c>
      <c r="P24" s="237">
        <f t="shared" si="12"/>
        <v>0</v>
      </c>
      <c r="Q24" s="237">
        <f t="shared" si="12"/>
        <v>0</v>
      </c>
    </row>
    <row r="25" spans="1:17" x14ac:dyDescent="0.35">
      <c r="B25" s="1215">
        <v>42460</v>
      </c>
      <c r="C25" s="672">
        <f t="shared" si="10"/>
        <v>0</v>
      </c>
      <c r="D25" s="236"/>
      <c r="E25" s="236"/>
      <c r="F25" s="236"/>
      <c r="G25" s="320">
        <f t="shared" ref="G25:H40" si="13">IFERROR(IF(DATEDIF($B25,G$4,"y")&gt;=9,0,$C25),0)</f>
        <v>0</v>
      </c>
      <c r="H25" s="320">
        <f t="shared" si="13"/>
        <v>0</v>
      </c>
      <c r="I25" s="237">
        <f t="shared" ref="I25:Q25" si="14">IFERROR(IF(DATEDIF($B25,I$4,"y")&gt;=9,0,H25),0)-IFERROR(IF(DATEDIF($B25,I$4,"y")&gt;=9,0,MAX(MIN(H$51-SUM(H24:H24),MIN(H25,H$51)),0)),0)</f>
        <v>0</v>
      </c>
      <c r="J25" s="237">
        <f t="shared" si="14"/>
        <v>0</v>
      </c>
      <c r="K25" s="237">
        <f t="shared" si="14"/>
        <v>0</v>
      </c>
      <c r="L25" s="237">
        <f t="shared" si="14"/>
        <v>0</v>
      </c>
      <c r="M25" s="237">
        <f t="shared" si="14"/>
        <v>0</v>
      </c>
      <c r="N25" s="237">
        <f t="shared" si="14"/>
        <v>0</v>
      </c>
      <c r="O25" s="237">
        <f t="shared" si="14"/>
        <v>0</v>
      </c>
      <c r="P25" s="237">
        <f t="shared" si="14"/>
        <v>0</v>
      </c>
      <c r="Q25" s="237">
        <f t="shared" si="14"/>
        <v>0</v>
      </c>
    </row>
    <row r="26" spans="1:17" x14ac:dyDescent="0.35">
      <c r="B26" s="1215">
        <f t="shared" ref="B26:B40" si="15">EOMONTH(B25,12)</f>
        <v>42825</v>
      </c>
      <c r="C26" s="672">
        <f t="shared" si="10"/>
        <v>0</v>
      </c>
      <c r="D26" s="236"/>
      <c r="E26" s="236"/>
      <c r="F26" s="236"/>
      <c r="G26" s="320">
        <f t="shared" si="13"/>
        <v>0</v>
      </c>
      <c r="H26" s="320">
        <f t="shared" si="13"/>
        <v>0</v>
      </c>
      <c r="I26" s="237">
        <f t="shared" ref="I26:Q26" si="16">IFERROR(IF(DATEDIF($B26,I$4,"y")&gt;=9,0,H26),0)-IFERROR(IF(DATEDIF($B26,I$4,"y")&gt;=9,0,MAX(MIN(H$51-SUM(H25:H25),MIN(H26,H$51)),0)),0)</f>
        <v>0</v>
      </c>
      <c r="J26" s="237">
        <f t="shared" si="16"/>
        <v>0</v>
      </c>
      <c r="K26" s="237">
        <f t="shared" si="16"/>
        <v>0</v>
      </c>
      <c r="L26" s="237">
        <f t="shared" si="16"/>
        <v>0</v>
      </c>
      <c r="M26" s="237">
        <f t="shared" si="16"/>
        <v>0</v>
      </c>
      <c r="N26" s="237">
        <f t="shared" si="16"/>
        <v>0</v>
      </c>
      <c r="O26" s="237">
        <f t="shared" si="16"/>
        <v>0</v>
      </c>
      <c r="P26" s="237">
        <f t="shared" si="16"/>
        <v>0</v>
      </c>
      <c r="Q26" s="237">
        <f t="shared" si="16"/>
        <v>0</v>
      </c>
    </row>
    <row r="27" spans="1:17" x14ac:dyDescent="0.35">
      <c r="B27" s="1215">
        <f t="shared" si="15"/>
        <v>43190</v>
      </c>
      <c r="C27" s="672">
        <f t="shared" si="10"/>
        <v>0</v>
      </c>
      <c r="D27" s="236"/>
      <c r="E27" s="236"/>
      <c r="F27" s="236"/>
      <c r="G27" s="320">
        <f t="shared" si="13"/>
        <v>0</v>
      </c>
      <c r="H27" s="320">
        <f t="shared" si="13"/>
        <v>0</v>
      </c>
      <c r="I27" s="237">
        <f t="shared" ref="I27:Q27" si="17">IFERROR(IF(DATEDIF($B27,I$4,"y")&gt;=9,0,H27),0)-IFERROR(IF(DATEDIF($B27,I$4,"y")&gt;=9,0,MAX(MIN(H$51-SUM(H26:H26),MIN(H27,H$51)),0)),0)</f>
        <v>0</v>
      </c>
      <c r="J27" s="237">
        <f t="shared" si="17"/>
        <v>0</v>
      </c>
      <c r="K27" s="237">
        <f t="shared" si="17"/>
        <v>0</v>
      </c>
      <c r="L27" s="237">
        <f t="shared" si="17"/>
        <v>0</v>
      </c>
      <c r="M27" s="237">
        <f t="shared" si="17"/>
        <v>0</v>
      </c>
      <c r="N27" s="237">
        <f t="shared" si="17"/>
        <v>0</v>
      </c>
      <c r="O27" s="237">
        <f t="shared" si="17"/>
        <v>0</v>
      </c>
      <c r="P27" s="237">
        <f t="shared" si="17"/>
        <v>0</v>
      </c>
      <c r="Q27" s="237">
        <f t="shared" si="17"/>
        <v>0</v>
      </c>
    </row>
    <row r="28" spans="1:17" x14ac:dyDescent="0.35">
      <c r="B28" s="1215">
        <f t="shared" si="15"/>
        <v>43555</v>
      </c>
      <c r="C28" s="672">
        <f t="shared" si="10"/>
        <v>0</v>
      </c>
      <c r="D28" s="236"/>
      <c r="E28" s="236"/>
      <c r="F28" s="236"/>
      <c r="G28" s="320">
        <f t="shared" si="13"/>
        <v>0</v>
      </c>
      <c r="H28" s="320">
        <f t="shared" si="13"/>
        <v>0</v>
      </c>
      <c r="I28" s="237">
        <f t="shared" ref="I28:Q28" si="18">IFERROR(IF(DATEDIF($B28,I$4,"y")&gt;=9,0,H28),0)-IFERROR(IF(DATEDIF($B28,I$4,"y")&gt;=9,0,MAX(MIN(H$51-SUM(H27:H27),MIN(H28,H$51)),0)),0)</f>
        <v>0</v>
      </c>
      <c r="J28" s="237">
        <f t="shared" si="18"/>
        <v>0</v>
      </c>
      <c r="K28" s="237">
        <f t="shared" si="18"/>
        <v>0</v>
      </c>
      <c r="L28" s="237">
        <f t="shared" si="18"/>
        <v>0</v>
      </c>
      <c r="M28" s="237">
        <f t="shared" si="18"/>
        <v>0</v>
      </c>
      <c r="N28" s="237">
        <f t="shared" si="18"/>
        <v>0</v>
      </c>
      <c r="O28" s="237">
        <f t="shared" si="18"/>
        <v>0</v>
      </c>
      <c r="P28" s="237">
        <f t="shared" si="18"/>
        <v>0</v>
      </c>
      <c r="Q28" s="237">
        <f t="shared" si="18"/>
        <v>0</v>
      </c>
    </row>
    <row r="29" spans="1:17" x14ac:dyDescent="0.35">
      <c r="B29" s="1215">
        <f t="shared" si="15"/>
        <v>43921</v>
      </c>
      <c r="C29" s="672">
        <f t="shared" si="10"/>
        <v>0</v>
      </c>
      <c r="D29" s="236"/>
      <c r="E29" s="236"/>
      <c r="F29" s="236"/>
      <c r="G29" s="320">
        <f t="shared" si="13"/>
        <v>0</v>
      </c>
      <c r="H29" s="320">
        <f t="shared" si="13"/>
        <v>0</v>
      </c>
      <c r="I29" s="237">
        <f t="shared" ref="I29:Q29" si="19">IFERROR(IF(DATEDIF($B29,I$4,"y")&gt;=9,0,H29),0)-IFERROR(IF(DATEDIF($B29,I$4,"y")&gt;=9,0,MAX(MIN(H$51-SUM(H28:H28),MIN(H29,H$51)),0)),0)</f>
        <v>0</v>
      </c>
      <c r="J29" s="237">
        <f t="shared" si="19"/>
        <v>0</v>
      </c>
      <c r="K29" s="237">
        <f t="shared" si="19"/>
        <v>0</v>
      </c>
      <c r="L29" s="237">
        <f t="shared" si="19"/>
        <v>0</v>
      </c>
      <c r="M29" s="237">
        <f t="shared" si="19"/>
        <v>0</v>
      </c>
      <c r="N29" s="237">
        <f t="shared" si="19"/>
        <v>0</v>
      </c>
      <c r="O29" s="237">
        <f t="shared" si="19"/>
        <v>0</v>
      </c>
      <c r="P29" s="237">
        <f t="shared" si="19"/>
        <v>0</v>
      </c>
      <c r="Q29" s="237">
        <f t="shared" si="19"/>
        <v>0</v>
      </c>
    </row>
    <row r="30" spans="1:17" x14ac:dyDescent="0.35">
      <c r="B30" s="1215">
        <f t="shared" si="15"/>
        <v>44286</v>
      </c>
      <c r="C30" s="672">
        <f t="shared" si="10"/>
        <v>0</v>
      </c>
      <c r="D30" s="236"/>
      <c r="E30" s="236"/>
      <c r="F30" s="236"/>
      <c r="G30" s="320">
        <f t="shared" si="13"/>
        <v>0</v>
      </c>
      <c r="H30" s="320">
        <f t="shared" si="13"/>
        <v>0</v>
      </c>
      <c r="I30" s="237">
        <f t="shared" ref="I30:Q30" si="20">IFERROR(IF(DATEDIF($B30,I$4,"y")&gt;=9,0,H30),0)-IFERROR(IF(DATEDIF($B30,I$4,"y")&gt;=9,0,MAX(MIN(H$51-SUM(H29:H29),MIN(H30,H$51)),0)),0)</f>
        <v>0</v>
      </c>
      <c r="J30" s="237">
        <f t="shared" si="20"/>
        <v>0</v>
      </c>
      <c r="K30" s="237">
        <f t="shared" si="20"/>
        <v>0</v>
      </c>
      <c r="L30" s="237">
        <f t="shared" si="20"/>
        <v>0</v>
      </c>
      <c r="M30" s="237">
        <f t="shared" si="20"/>
        <v>0</v>
      </c>
      <c r="N30" s="237">
        <f t="shared" si="20"/>
        <v>0</v>
      </c>
      <c r="O30" s="237">
        <f t="shared" si="20"/>
        <v>0</v>
      </c>
      <c r="P30" s="237">
        <f t="shared" si="20"/>
        <v>0</v>
      </c>
      <c r="Q30" s="237">
        <f t="shared" si="20"/>
        <v>0</v>
      </c>
    </row>
    <row r="31" spans="1:17" x14ac:dyDescent="0.35">
      <c r="B31" s="1215">
        <f t="shared" si="15"/>
        <v>44651</v>
      </c>
      <c r="C31" s="237">
        <f>G42</f>
        <v>7.7346526768433819</v>
      </c>
      <c r="D31" s="236"/>
      <c r="E31" s="236"/>
      <c r="F31" s="236"/>
      <c r="G31" s="320">
        <f t="shared" si="13"/>
        <v>7.7346526768433819</v>
      </c>
      <c r="H31" s="320">
        <f t="shared" si="13"/>
        <v>7.7346526768433819</v>
      </c>
      <c r="I31" s="237">
        <f>IFERROR(IF(DATEDIF($B31,I$4,"y")&gt;=9,0,H31),0)-IFERROR(IF(DATEDIF($B31,I$4,"y")&gt;=9,0,MAX(MIN(H$44-SUM(H30:H30),MIN(H31,H$44)),0)),0)</f>
        <v>7.7346526768433819</v>
      </c>
      <c r="J31" s="237">
        <f t="shared" ref="J31:Q31" si="21">IFERROR(IF(DATEDIF($B31,J$4,"y")&gt;=9,0,I31),0)-IFERROR(IF(DATEDIF($B31,J$4,"y")&gt;=9,0,MAX(MIN(I$44-SUM(I30:I30),MIN(I31,I$44)),0)),0)</f>
        <v>0</v>
      </c>
      <c r="K31" s="237">
        <f t="shared" si="21"/>
        <v>0</v>
      </c>
      <c r="L31" s="237">
        <f t="shared" si="21"/>
        <v>0</v>
      </c>
      <c r="M31" s="237">
        <f t="shared" si="21"/>
        <v>0</v>
      </c>
      <c r="N31" s="237">
        <f t="shared" si="21"/>
        <v>0</v>
      </c>
      <c r="O31" s="237">
        <f t="shared" si="21"/>
        <v>0</v>
      </c>
      <c r="P31" s="237">
        <f t="shared" si="21"/>
        <v>0</v>
      </c>
      <c r="Q31" s="237">
        <f t="shared" si="21"/>
        <v>0</v>
      </c>
    </row>
    <row r="32" spans="1:17" x14ac:dyDescent="0.35">
      <c r="B32" s="1215">
        <f t="shared" si="15"/>
        <v>45016</v>
      </c>
      <c r="C32" s="237">
        <f>H42</f>
        <v>1534.6401726376821</v>
      </c>
      <c r="D32" s="236"/>
      <c r="E32" s="236"/>
      <c r="F32" s="236"/>
      <c r="G32" s="320">
        <f t="shared" si="13"/>
        <v>0</v>
      </c>
      <c r="H32" s="320">
        <f t="shared" si="13"/>
        <v>1534.6401726376821</v>
      </c>
      <c r="I32" s="237">
        <f>IFERROR(IF(DATEDIF($B32,I$4,"y")&gt;=9,0,H32),0)-IFERROR(IF(DATEDIF($B32,I$4,"y")&gt;=9,0,MAX(MIN(H$44-SUM(H31:H31),MIN(H32,H$44)),0)),0)</f>
        <v>1534.6401726376821</v>
      </c>
      <c r="J32" s="237">
        <f t="shared" ref="J32:Q32" si="22">IFERROR(IF(DATEDIF($B32,J$4,"y")&gt;=9,0,I32),0)-IFERROR(IF(DATEDIF($B32,J$4,"y")&gt;=9,0,MAX(MIN(I$44-SUM(I31:I31),MIN(I32,I$44)),0)),0)</f>
        <v>1249.9943327566293</v>
      </c>
      <c r="K32" s="237">
        <f t="shared" si="22"/>
        <v>907.25195352752462</v>
      </c>
      <c r="L32" s="237">
        <f t="shared" si="22"/>
        <v>533.51730625073026</v>
      </c>
      <c r="M32" s="237">
        <f t="shared" si="22"/>
        <v>130.73145896020219</v>
      </c>
      <c r="N32" s="237">
        <f t="shared" si="22"/>
        <v>0</v>
      </c>
      <c r="O32" s="237">
        <f t="shared" si="22"/>
        <v>0</v>
      </c>
      <c r="P32" s="237">
        <f t="shared" si="22"/>
        <v>0</v>
      </c>
      <c r="Q32" s="237">
        <f t="shared" si="22"/>
        <v>0</v>
      </c>
    </row>
    <row r="33" spans="1:17" x14ac:dyDescent="0.35">
      <c r="B33" s="1215">
        <f t="shared" si="15"/>
        <v>45382</v>
      </c>
      <c r="C33" s="237">
        <f>I42</f>
        <v>0</v>
      </c>
      <c r="D33" s="236"/>
      <c r="E33" s="236"/>
      <c r="F33" s="236"/>
      <c r="G33" s="320">
        <f t="shared" si="13"/>
        <v>0</v>
      </c>
      <c r="H33" s="320">
        <f t="shared" si="13"/>
        <v>0</v>
      </c>
      <c r="I33" s="237">
        <f t="shared" ref="I33:I40" si="23">IFERROR(IF(DATEDIF($B33,I$4,"y")&gt;=9,0,H33),0)-IFERROR(IF(DATEDIF($B33,I$4,"y")&gt;=9,0,MAX(MIN(H$51-SUM(H32:H32),MIN(H33,H$51)),0)),0)</f>
        <v>0</v>
      </c>
      <c r="J33" s="237">
        <f t="shared" ref="J33:M40" si="24">IFERROR(IF(DATEDIF($B33,J$4,"y")&gt;=9,0,I33),0)-IFERROR(IF(DATEDIF($B33,J$4,"y")&gt;=9,0,MAX(MIN(I$51-SUM(I32:I32),MIN(I33,I$51)),0)),0)</f>
        <v>0</v>
      </c>
      <c r="K33" s="237">
        <f t="shared" si="24"/>
        <v>0</v>
      </c>
      <c r="L33" s="237">
        <f t="shared" si="24"/>
        <v>0</v>
      </c>
      <c r="M33" s="237">
        <f t="shared" si="24"/>
        <v>0</v>
      </c>
      <c r="N33" s="237">
        <f t="shared" ref="N33:Q40" si="25">IFERROR(IF(DATEDIF($B33,N$4,"y")&gt;=9,0,M33),0)-IFERROR(IF(DATEDIF($B33,N$4,"y")&gt;=9,0,MAX(MIN(M$51-SUM(M32:M32),MIN(M33,M$51)),0)),0)</f>
        <v>0</v>
      </c>
      <c r="O33" s="237">
        <f t="shared" si="25"/>
        <v>0</v>
      </c>
      <c r="P33" s="237">
        <f t="shared" si="25"/>
        <v>0</v>
      </c>
      <c r="Q33" s="237">
        <f t="shared" si="25"/>
        <v>0</v>
      </c>
    </row>
    <row r="34" spans="1:17" x14ac:dyDescent="0.35">
      <c r="B34" s="1215">
        <f t="shared" si="15"/>
        <v>45747</v>
      </c>
      <c r="C34" s="237">
        <f>J42</f>
        <v>0</v>
      </c>
      <c r="D34" s="236"/>
      <c r="E34" s="236"/>
      <c r="F34" s="236"/>
      <c r="G34" s="320">
        <f t="shared" si="13"/>
        <v>0</v>
      </c>
      <c r="H34" s="320">
        <f t="shared" si="13"/>
        <v>0</v>
      </c>
      <c r="I34" s="237">
        <f t="shared" si="23"/>
        <v>0</v>
      </c>
      <c r="J34" s="237">
        <f t="shared" si="24"/>
        <v>0</v>
      </c>
      <c r="K34" s="237">
        <f t="shared" si="24"/>
        <v>0</v>
      </c>
      <c r="L34" s="237">
        <f t="shared" si="24"/>
        <v>0</v>
      </c>
      <c r="M34" s="237">
        <f t="shared" si="24"/>
        <v>0</v>
      </c>
      <c r="N34" s="237">
        <f t="shared" si="25"/>
        <v>0</v>
      </c>
      <c r="O34" s="237">
        <f t="shared" si="25"/>
        <v>0</v>
      </c>
      <c r="P34" s="237">
        <f t="shared" si="25"/>
        <v>0</v>
      </c>
      <c r="Q34" s="237">
        <f t="shared" si="25"/>
        <v>0</v>
      </c>
    </row>
    <row r="35" spans="1:17" x14ac:dyDescent="0.35">
      <c r="B35" s="1215">
        <f t="shared" si="15"/>
        <v>46112</v>
      </c>
      <c r="C35" s="237">
        <f>K42</f>
        <v>0</v>
      </c>
      <c r="D35" s="236"/>
      <c r="E35" s="236"/>
      <c r="F35" s="236"/>
      <c r="G35" s="320">
        <f t="shared" si="13"/>
        <v>0</v>
      </c>
      <c r="H35" s="320">
        <f t="shared" si="13"/>
        <v>0</v>
      </c>
      <c r="I35" s="237">
        <f t="shared" si="23"/>
        <v>0</v>
      </c>
      <c r="J35" s="237">
        <f t="shared" si="24"/>
        <v>0</v>
      </c>
      <c r="K35" s="237">
        <f t="shared" si="24"/>
        <v>0</v>
      </c>
      <c r="L35" s="237">
        <f t="shared" si="24"/>
        <v>0</v>
      </c>
      <c r="M35" s="237">
        <f t="shared" si="24"/>
        <v>0</v>
      </c>
      <c r="N35" s="237">
        <f t="shared" si="25"/>
        <v>0</v>
      </c>
      <c r="O35" s="237">
        <f t="shared" si="25"/>
        <v>0</v>
      </c>
      <c r="P35" s="237">
        <f t="shared" si="25"/>
        <v>0</v>
      </c>
      <c r="Q35" s="237">
        <f t="shared" si="25"/>
        <v>0</v>
      </c>
    </row>
    <row r="36" spans="1:17" x14ac:dyDescent="0.35">
      <c r="B36" s="1215">
        <f t="shared" si="15"/>
        <v>46477</v>
      </c>
      <c r="C36" s="237">
        <f>L42</f>
        <v>0</v>
      </c>
      <c r="D36" s="236"/>
      <c r="E36" s="236"/>
      <c r="F36" s="236"/>
      <c r="G36" s="320">
        <f t="shared" si="13"/>
        <v>0</v>
      </c>
      <c r="H36" s="320">
        <f t="shared" si="13"/>
        <v>0</v>
      </c>
      <c r="I36" s="237">
        <f t="shared" si="23"/>
        <v>0</v>
      </c>
      <c r="J36" s="237">
        <f t="shared" si="24"/>
        <v>0</v>
      </c>
      <c r="K36" s="237">
        <f t="shared" si="24"/>
        <v>0</v>
      </c>
      <c r="L36" s="237">
        <f t="shared" si="24"/>
        <v>0</v>
      </c>
      <c r="M36" s="237">
        <f t="shared" si="24"/>
        <v>0</v>
      </c>
      <c r="N36" s="237">
        <f t="shared" si="25"/>
        <v>0</v>
      </c>
      <c r="O36" s="237">
        <f t="shared" si="25"/>
        <v>0</v>
      </c>
      <c r="P36" s="237">
        <f t="shared" si="25"/>
        <v>0</v>
      </c>
      <c r="Q36" s="237">
        <f t="shared" si="25"/>
        <v>0</v>
      </c>
    </row>
    <row r="37" spans="1:17" x14ac:dyDescent="0.35">
      <c r="B37" s="1215">
        <f t="shared" si="15"/>
        <v>46843</v>
      </c>
      <c r="C37" s="237">
        <f>M42</f>
        <v>0</v>
      </c>
      <c r="D37" s="236"/>
      <c r="E37" s="236"/>
      <c r="F37" s="236"/>
      <c r="G37" s="320">
        <f t="shared" si="13"/>
        <v>0</v>
      </c>
      <c r="H37" s="320">
        <f t="shared" si="13"/>
        <v>0</v>
      </c>
      <c r="I37" s="237">
        <f t="shared" si="23"/>
        <v>0</v>
      </c>
      <c r="J37" s="237">
        <f t="shared" si="24"/>
        <v>0</v>
      </c>
      <c r="K37" s="237">
        <f t="shared" si="24"/>
        <v>0</v>
      </c>
      <c r="L37" s="237">
        <f t="shared" si="24"/>
        <v>0</v>
      </c>
      <c r="M37" s="237">
        <f t="shared" si="24"/>
        <v>0</v>
      </c>
      <c r="N37" s="237">
        <f t="shared" si="25"/>
        <v>0</v>
      </c>
      <c r="O37" s="237">
        <f t="shared" si="25"/>
        <v>0</v>
      </c>
      <c r="P37" s="237">
        <f t="shared" si="25"/>
        <v>0</v>
      </c>
      <c r="Q37" s="237">
        <f t="shared" si="25"/>
        <v>0</v>
      </c>
    </row>
    <row r="38" spans="1:17" x14ac:dyDescent="0.35">
      <c r="B38" s="1215">
        <f t="shared" si="15"/>
        <v>47208</v>
      </c>
      <c r="C38" s="237">
        <f>N42</f>
        <v>0</v>
      </c>
      <c r="D38" s="236"/>
      <c r="E38" s="236"/>
      <c r="F38" s="236"/>
      <c r="G38" s="320">
        <f t="shared" si="13"/>
        <v>0</v>
      </c>
      <c r="H38" s="320">
        <f t="shared" si="13"/>
        <v>0</v>
      </c>
      <c r="I38" s="237">
        <f t="shared" si="23"/>
        <v>0</v>
      </c>
      <c r="J38" s="237">
        <f t="shared" si="24"/>
        <v>0</v>
      </c>
      <c r="K38" s="237">
        <f t="shared" si="24"/>
        <v>0</v>
      </c>
      <c r="L38" s="237">
        <f t="shared" si="24"/>
        <v>0</v>
      </c>
      <c r="M38" s="237">
        <f t="shared" si="24"/>
        <v>0</v>
      </c>
      <c r="N38" s="237">
        <f t="shared" si="25"/>
        <v>0</v>
      </c>
      <c r="O38" s="237">
        <f t="shared" si="25"/>
        <v>0</v>
      </c>
      <c r="P38" s="237">
        <f t="shared" si="25"/>
        <v>0</v>
      </c>
      <c r="Q38" s="237">
        <f t="shared" si="25"/>
        <v>0</v>
      </c>
    </row>
    <row r="39" spans="1:17" x14ac:dyDescent="0.35">
      <c r="B39" s="1215">
        <f t="shared" si="15"/>
        <v>47573</v>
      </c>
      <c r="C39" s="237">
        <f>O42</f>
        <v>0</v>
      </c>
      <c r="D39" s="236"/>
      <c r="E39" s="236"/>
      <c r="F39" s="236"/>
      <c r="G39" s="320">
        <f t="shared" si="13"/>
        <v>0</v>
      </c>
      <c r="H39" s="320">
        <f t="shared" si="13"/>
        <v>0</v>
      </c>
      <c r="I39" s="237">
        <f t="shared" si="23"/>
        <v>0</v>
      </c>
      <c r="J39" s="237">
        <f t="shared" si="24"/>
        <v>0</v>
      </c>
      <c r="K39" s="237">
        <f t="shared" si="24"/>
        <v>0</v>
      </c>
      <c r="L39" s="237">
        <f t="shared" si="24"/>
        <v>0</v>
      </c>
      <c r="M39" s="237">
        <f t="shared" si="24"/>
        <v>0</v>
      </c>
      <c r="N39" s="237">
        <f t="shared" si="25"/>
        <v>0</v>
      </c>
      <c r="O39" s="237">
        <f t="shared" si="25"/>
        <v>0</v>
      </c>
      <c r="P39" s="237">
        <f t="shared" si="25"/>
        <v>0</v>
      </c>
      <c r="Q39" s="237">
        <f t="shared" si="25"/>
        <v>0</v>
      </c>
    </row>
    <row r="40" spans="1:17" x14ac:dyDescent="0.35">
      <c r="B40" s="1215">
        <f t="shared" si="15"/>
        <v>47938</v>
      </c>
      <c r="C40" s="237">
        <f>P42</f>
        <v>0</v>
      </c>
      <c r="D40" s="236"/>
      <c r="E40" s="236"/>
      <c r="F40" s="236"/>
      <c r="G40" s="320">
        <f t="shared" si="13"/>
        <v>0</v>
      </c>
      <c r="H40" s="320">
        <f t="shared" si="13"/>
        <v>0</v>
      </c>
      <c r="I40" s="237">
        <f t="shared" si="23"/>
        <v>0</v>
      </c>
      <c r="J40" s="237">
        <f t="shared" si="24"/>
        <v>0</v>
      </c>
      <c r="K40" s="237">
        <f t="shared" si="24"/>
        <v>0</v>
      </c>
      <c r="L40" s="237">
        <f t="shared" si="24"/>
        <v>0</v>
      </c>
      <c r="M40" s="237">
        <f t="shared" si="24"/>
        <v>0</v>
      </c>
      <c r="N40" s="237">
        <f t="shared" si="25"/>
        <v>0</v>
      </c>
      <c r="O40" s="237">
        <f t="shared" si="25"/>
        <v>0</v>
      </c>
      <c r="P40" s="237">
        <f t="shared" si="25"/>
        <v>0</v>
      </c>
      <c r="Q40" s="237">
        <f t="shared" si="25"/>
        <v>0</v>
      </c>
    </row>
    <row r="41" spans="1:17" s="134" customFormat="1" x14ac:dyDescent="0.35">
      <c r="A41" s="318"/>
      <c r="B41" s="199" t="s">
        <v>36</v>
      </c>
      <c r="C41" s="199"/>
      <c r="D41" s="199"/>
      <c r="E41" s="199"/>
      <c r="F41" s="199"/>
      <c r="G41" s="239">
        <f>SUM(G23:G40)</f>
        <v>1484.6397680768432</v>
      </c>
      <c r="H41" s="239">
        <f t="shared" ref="H41:Q41" si="26">SUM(H23:H40)</f>
        <v>2563.2571985145255</v>
      </c>
      <c r="I41" s="321">
        <f t="shared" si="26"/>
        <v>1542.3748253145254</v>
      </c>
      <c r="J41" s="321">
        <f t="shared" si="26"/>
        <v>1249.9943327566293</v>
      </c>
      <c r="K41" s="321">
        <f t="shared" si="26"/>
        <v>907.25195352752462</v>
      </c>
      <c r="L41" s="321">
        <f t="shared" si="26"/>
        <v>533.51730625073026</v>
      </c>
      <c r="M41" s="321">
        <f t="shared" si="26"/>
        <v>130.73145896020219</v>
      </c>
      <c r="N41" s="239">
        <f t="shared" si="26"/>
        <v>0</v>
      </c>
      <c r="O41" s="239">
        <f t="shared" si="26"/>
        <v>0</v>
      </c>
      <c r="P41" s="239">
        <f t="shared" si="26"/>
        <v>0</v>
      </c>
      <c r="Q41" s="239">
        <f t="shared" si="26"/>
        <v>0</v>
      </c>
    </row>
    <row r="42" spans="1:17" s="584" customFormat="1" x14ac:dyDescent="0.35">
      <c r="B42" s="591" t="s">
        <v>448</v>
      </c>
      <c r="C42" s="591"/>
      <c r="D42" s="591"/>
      <c r="E42" s="591"/>
      <c r="F42" s="591"/>
      <c r="G42" s="320">
        <f t="shared" ref="G42:N42" si="27">IF(G13&lt;0,-G13,0)</f>
        <v>7.7346526768433819</v>
      </c>
      <c r="H42" s="320">
        <f t="shared" si="27"/>
        <v>1534.6401726376821</v>
      </c>
      <c r="I42" s="320">
        <f t="shared" si="27"/>
        <v>0</v>
      </c>
      <c r="J42" s="320">
        <f t="shared" si="27"/>
        <v>0</v>
      </c>
      <c r="K42" s="320">
        <f t="shared" si="27"/>
        <v>0</v>
      </c>
      <c r="L42" s="320">
        <f t="shared" si="27"/>
        <v>0</v>
      </c>
      <c r="M42" s="320">
        <f t="shared" si="27"/>
        <v>0</v>
      </c>
      <c r="N42" s="320">
        <f t="shared" si="27"/>
        <v>0</v>
      </c>
      <c r="O42" s="320">
        <f>IF(O13&lt;0,-O13,0)</f>
        <v>0</v>
      </c>
      <c r="P42" s="320">
        <f>IF(P13&lt;0,-P13,0)</f>
        <v>0</v>
      </c>
      <c r="Q42" s="320">
        <f>IF(Q13&lt;0,-Q13,0)</f>
        <v>0</v>
      </c>
    </row>
    <row r="43" spans="1:17" x14ac:dyDescent="0.35">
      <c r="B43" s="236"/>
      <c r="C43" s="236"/>
      <c r="D43" s="236"/>
      <c r="E43" s="236"/>
      <c r="F43" s="236"/>
      <c r="G43" s="237">
        <f>G41+G42</f>
        <v>1492.3744207536865</v>
      </c>
      <c r="H43" s="237">
        <f t="shared" ref="H43:N43" si="28">H41+H42</f>
        <v>4097.8973711522076</v>
      </c>
      <c r="I43" s="320">
        <f t="shared" si="28"/>
        <v>1542.3748253145254</v>
      </c>
      <c r="J43" s="320">
        <f t="shared" si="28"/>
        <v>1249.9943327566293</v>
      </c>
      <c r="K43" s="320">
        <f t="shared" si="28"/>
        <v>907.25195352752462</v>
      </c>
      <c r="L43" s="320">
        <f t="shared" si="28"/>
        <v>533.51730625073026</v>
      </c>
      <c r="M43" s="320">
        <f t="shared" si="28"/>
        <v>130.73145896020219</v>
      </c>
      <c r="N43" s="237">
        <f t="shared" si="28"/>
        <v>0</v>
      </c>
      <c r="O43" s="237">
        <f>O41+O42</f>
        <v>0</v>
      </c>
      <c r="P43" s="237">
        <f>P41+P42</f>
        <v>0</v>
      </c>
      <c r="Q43" s="237">
        <f>Q41+Q42</f>
        <v>0</v>
      </c>
    </row>
    <row r="44" spans="1:17" x14ac:dyDescent="0.35">
      <c r="B44" s="236" t="s">
        <v>449</v>
      </c>
      <c r="C44" s="236"/>
      <c r="D44" s="236"/>
      <c r="E44" s="236"/>
      <c r="F44" s="236"/>
      <c r="G44" s="320">
        <f t="shared" ref="G44:N44" si="29">IF(G13&lt;0,0,MIN(G13,G43))</f>
        <v>0</v>
      </c>
      <c r="H44" s="320">
        <f t="shared" si="29"/>
        <v>0</v>
      </c>
      <c r="I44" s="320">
        <f t="shared" si="29"/>
        <v>292.38049255789616</v>
      </c>
      <c r="J44" s="320">
        <f t="shared" si="29"/>
        <v>342.74237922910476</v>
      </c>
      <c r="K44" s="320">
        <f t="shared" si="29"/>
        <v>373.73464727679436</v>
      </c>
      <c r="L44" s="320">
        <f t="shared" si="29"/>
        <v>402.78584729052807</v>
      </c>
      <c r="M44" s="320">
        <f t="shared" si="29"/>
        <v>130.73145896020219</v>
      </c>
      <c r="N44" s="320">
        <f t="shared" si="29"/>
        <v>0</v>
      </c>
      <c r="O44" s="320">
        <f>IF(O13&lt;0,0,MIN(O13,O43))</f>
        <v>0</v>
      </c>
      <c r="P44" s="320">
        <f>IF(P13&lt;0,0,MIN(P13,P43))</f>
        <v>0</v>
      </c>
      <c r="Q44" s="320">
        <f>IF(Q13&lt;0,0,MIN(Q13,Q43))</f>
        <v>0</v>
      </c>
    </row>
    <row r="45" spans="1:17" x14ac:dyDescent="0.35">
      <c r="B45" s="236" t="s">
        <v>450</v>
      </c>
      <c r="C45" s="236"/>
      <c r="D45" s="236"/>
      <c r="E45" s="236"/>
      <c r="F45" s="236"/>
      <c r="G45" s="239">
        <f t="shared" ref="G45:Q45" si="30">G43-G44</f>
        <v>1492.3744207536865</v>
      </c>
      <c r="H45" s="239">
        <f t="shared" si="30"/>
        <v>4097.8973711522076</v>
      </c>
      <c r="I45" s="321">
        <f t="shared" si="30"/>
        <v>1249.9943327566293</v>
      </c>
      <c r="J45" s="321">
        <f t="shared" si="30"/>
        <v>907.25195352752462</v>
      </c>
      <c r="K45" s="321">
        <f t="shared" si="30"/>
        <v>533.51730625073026</v>
      </c>
      <c r="L45" s="321">
        <f t="shared" si="30"/>
        <v>130.73145896020219</v>
      </c>
      <c r="M45" s="321">
        <f t="shared" si="30"/>
        <v>0</v>
      </c>
      <c r="N45" s="239">
        <f t="shared" si="30"/>
        <v>0</v>
      </c>
      <c r="O45" s="239">
        <f t="shared" si="30"/>
        <v>0</v>
      </c>
      <c r="P45" s="239">
        <f t="shared" si="30"/>
        <v>0</v>
      </c>
      <c r="Q45" s="239">
        <f t="shared" si="30"/>
        <v>0</v>
      </c>
    </row>
    <row r="46" spans="1:17" x14ac:dyDescent="0.35">
      <c r="B46" s="236"/>
      <c r="C46" s="236"/>
      <c r="D46" s="236"/>
      <c r="E46" s="236"/>
      <c r="F46" s="236"/>
      <c r="G46" s="237"/>
      <c r="H46" s="237"/>
      <c r="I46" s="237"/>
      <c r="J46" s="237"/>
      <c r="K46" s="237"/>
      <c r="L46" s="237"/>
      <c r="M46" s="237"/>
      <c r="N46" s="237"/>
      <c r="O46" s="237"/>
      <c r="P46" s="237"/>
      <c r="Q46" s="237"/>
    </row>
    <row r="47" spans="1:17" x14ac:dyDescent="0.35">
      <c r="B47" s="200" t="s">
        <v>451</v>
      </c>
      <c r="C47" s="236"/>
      <c r="D47" s="236"/>
      <c r="E47" s="236"/>
      <c r="F47" s="236"/>
      <c r="G47" s="237"/>
      <c r="H47" s="237"/>
      <c r="I47" s="237"/>
      <c r="J47" s="237"/>
      <c r="K47" s="237"/>
      <c r="L47" s="237"/>
      <c r="M47" s="237"/>
      <c r="N47" s="237"/>
      <c r="O47" s="237"/>
      <c r="P47" s="237"/>
      <c r="Q47" s="237"/>
    </row>
    <row r="48" spans="1:17" x14ac:dyDescent="0.35">
      <c r="B48" s="236" t="s">
        <v>270</v>
      </c>
      <c r="C48" s="236"/>
      <c r="D48" s="236"/>
      <c r="E48" s="236"/>
      <c r="F48" s="236"/>
      <c r="G48" s="671">
        <f>F148</f>
        <v>1879.9190223000001</v>
      </c>
      <c r="H48" s="320">
        <f>G52</f>
        <v>1952.5211374828</v>
      </c>
      <c r="I48" s="320">
        <f t="shared" ref="I48:N48" si="31">H52</f>
        <v>2015.8015104886799</v>
      </c>
      <c r="J48" s="320">
        <f t="shared" si="31"/>
        <v>2015.8015104886799</v>
      </c>
      <c r="K48" s="320">
        <f t="shared" si="31"/>
        <v>2015.8015104886799</v>
      </c>
      <c r="L48" s="320">
        <f t="shared" si="31"/>
        <v>2015.8015104886799</v>
      </c>
      <c r="M48" s="320">
        <f t="shared" si="31"/>
        <v>2015.8015104886799</v>
      </c>
      <c r="N48" s="320">
        <f t="shared" si="31"/>
        <v>1711.7405893945152</v>
      </c>
      <c r="O48" s="320">
        <f>N52</f>
        <v>1242.4908980438759</v>
      </c>
      <c r="P48" s="320">
        <f>O52</f>
        <v>741.37304784565936</v>
      </c>
      <c r="Q48" s="320">
        <f>P52</f>
        <v>153.93227324356462</v>
      </c>
    </row>
    <row r="49" spans="1:17" x14ac:dyDescent="0.35">
      <c r="B49" s="236" t="s">
        <v>452</v>
      </c>
      <c r="C49" s="236"/>
      <c r="D49" s="236"/>
      <c r="E49" s="236"/>
      <c r="F49" s="236"/>
      <c r="G49" s="320">
        <f t="shared" ref="G49:Q49" si="32">G7-G12</f>
        <v>72.602115182799992</v>
      </c>
      <c r="H49" s="320">
        <f t="shared" si="32"/>
        <v>63.280373005880001</v>
      </c>
      <c r="I49" s="320">
        <f t="shared" si="32"/>
        <v>0</v>
      </c>
      <c r="J49" s="320">
        <f t="shared" si="32"/>
        <v>0</v>
      </c>
      <c r="K49" s="320">
        <f t="shared" si="32"/>
        <v>0</v>
      </c>
      <c r="L49" s="320">
        <f t="shared" si="32"/>
        <v>0</v>
      </c>
      <c r="M49" s="320">
        <f t="shared" si="32"/>
        <v>0</v>
      </c>
      <c r="N49" s="320">
        <f t="shared" si="32"/>
        <v>0</v>
      </c>
      <c r="O49" s="320">
        <f t="shared" si="32"/>
        <v>0</v>
      </c>
      <c r="P49" s="320">
        <f t="shared" si="32"/>
        <v>0</v>
      </c>
      <c r="Q49" s="320">
        <f t="shared" si="32"/>
        <v>0</v>
      </c>
    </row>
    <row r="50" spans="1:17" x14ac:dyDescent="0.35">
      <c r="B50" s="236"/>
      <c r="C50" s="236"/>
      <c r="D50" s="236"/>
      <c r="E50" s="236"/>
      <c r="F50" s="236"/>
      <c r="G50" s="320">
        <f>SUM(G48:G49)</f>
        <v>1952.5211374828</v>
      </c>
      <c r="H50" s="320">
        <f t="shared" ref="H50:N50" si="33">SUM(H48:H49)</f>
        <v>2015.8015104886799</v>
      </c>
      <c r="I50" s="320">
        <f t="shared" si="33"/>
        <v>2015.8015104886799</v>
      </c>
      <c r="J50" s="320">
        <f t="shared" si="33"/>
        <v>2015.8015104886799</v>
      </c>
      <c r="K50" s="320">
        <f t="shared" si="33"/>
        <v>2015.8015104886799</v>
      </c>
      <c r="L50" s="320">
        <f t="shared" si="33"/>
        <v>2015.8015104886799</v>
      </c>
      <c r="M50" s="320">
        <f t="shared" si="33"/>
        <v>2015.8015104886799</v>
      </c>
      <c r="N50" s="320">
        <f t="shared" si="33"/>
        <v>1711.7405893945152</v>
      </c>
      <c r="O50" s="320">
        <f>SUM(O48:O49)</f>
        <v>1242.4908980438759</v>
      </c>
      <c r="P50" s="320">
        <f>SUM(P48:P49)</f>
        <v>741.37304784565936</v>
      </c>
      <c r="Q50" s="320">
        <f>SUM(Q48:Q49)</f>
        <v>153.93227324356462</v>
      </c>
    </row>
    <row r="51" spans="1:17" x14ac:dyDescent="0.35">
      <c r="B51" s="236" t="s">
        <v>449</v>
      </c>
      <c r="C51" s="1314"/>
      <c r="D51" s="236"/>
      <c r="E51" s="236"/>
      <c r="F51" s="236"/>
      <c r="G51" s="320">
        <f t="shared" ref="G51:Q51" si="34">IF(G15&lt;0,0,MIN(G15,G50))</f>
        <v>0</v>
      </c>
      <c r="H51" s="320">
        <f t="shared" si="34"/>
        <v>0</v>
      </c>
      <c r="I51" s="320">
        <f t="shared" si="34"/>
        <v>0</v>
      </c>
      <c r="J51" s="320">
        <f t="shared" si="34"/>
        <v>0</v>
      </c>
      <c r="K51" s="320">
        <f t="shared" si="34"/>
        <v>0</v>
      </c>
      <c r="L51" s="320">
        <f t="shared" si="34"/>
        <v>0</v>
      </c>
      <c r="M51" s="320">
        <f t="shared" si="34"/>
        <v>304.06092109416466</v>
      </c>
      <c r="N51" s="320">
        <f t="shared" si="34"/>
        <v>469.24969135063918</v>
      </c>
      <c r="O51" s="320">
        <f t="shared" si="34"/>
        <v>501.1178501982165</v>
      </c>
      <c r="P51" s="320">
        <f t="shared" si="34"/>
        <v>587.44077460209473</v>
      </c>
      <c r="Q51" s="320">
        <f t="shared" si="34"/>
        <v>153.93227324356462</v>
      </c>
    </row>
    <row r="52" spans="1:17" x14ac:dyDescent="0.35">
      <c r="B52" s="199" t="s">
        <v>269</v>
      </c>
      <c r="C52" s="326"/>
      <c r="D52" s="236"/>
      <c r="E52" s="236"/>
      <c r="F52" s="236"/>
      <c r="G52" s="321">
        <f>G50-G51</f>
        <v>1952.5211374828</v>
      </c>
      <c r="H52" s="321">
        <f t="shared" ref="H52:N52" si="35">H50-H51</f>
        <v>2015.8015104886799</v>
      </c>
      <c r="I52" s="321">
        <f t="shared" si="35"/>
        <v>2015.8015104886799</v>
      </c>
      <c r="J52" s="321">
        <f t="shared" si="35"/>
        <v>2015.8015104886799</v>
      </c>
      <c r="K52" s="321">
        <f t="shared" si="35"/>
        <v>2015.8015104886799</v>
      </c>
      <c r="L52" s="321">
        <f t="shared" si="35"/>
        <v>2015.8015104886799</v>
      </c>
      <c r="M52" s="321">
        <f t="shared" si="35"/>
        <v>1711.7405893945152</v>
      </c>
      <c r="N52" s="321">
        <f t="shared" si="35"/>
        <v>1242.4908980438759</v>
      </c>
      <c r="O52" s="321">
        <f>O50-O51</f>
        <v>741.37304784565936</v>
      </c>
      <c r="P52" s="321">
        <f>P50-P51</f>
        <v>153.93227324356462</v>
      </c>
      <c r="Q52" s="321">
        <f>Q50-Q51</f>
        <v>0</v>
      </c>
    </row>
    <row r="53" spans="1:17" x14ac:dyDescent="0.35">
      <c r="B53" s="199"/>
      <c r="C53" s="326"/>
      <c r="D53" s="236"/>
      <c r="E53" s="236"/>
      <c r="F53" s="236"/>
      <c r="G53" s="321"/>
      <c r="H53" s="321"/>
      <c r="I53" s="321"/>
      <c r="J53" s="321"/>
      <c r="K53" s="321"/>
      <c r="L53" s="321"/>
      <c r="M53" s="321"/>
      <c r="N53" s="321"/>
      <c r="O53" s="321"/>
      <c r="P53" s="321"/>
      <c r="Q53" s="321"/>
    </row>
    <row r="54" spans="1:17" x14ac:dyDescent="0.35">
      <c r="B54" s="200" t="s">
        <v>453</v>
      </c>
      <c r="C54" s="326"/>
      <c r="D54" s="236"/>
      <c r="E54" s="236"/>
      <c r="F54" s="236"/>
      <c r="G54" s="321"/>
      <c r="H54" s="321"/>
      <c r="I54" s="321"/>
      <c r="J54" s="321"/>
      <c r="K54" s="321"/>
      <c r="L54" s="321"/>
      <c r="M54" s="321"/>
      <c r="N54" s="321"/>
      <c r="O54" s="321"/>
      <c r="P54" s="321"/>
      <c r="Q54" s="321"/>
    </row>
    <row r="55" spans="1:17" x14ac:dyDescent="0.35">
      <c r="B55" s="202" t="s">
        <v>440</v>
      </c>
      <c r="C55" s="326"/>
      <c r="D55" s="236"/>
      <c r="E55" s="236"/>
      <c r="F55" s="236"/>
      <c r="G55" s="320">
        <f t="shared" ref="G55:Q55" si="36">G11</f>
        <v>-7.7346526768433819</v>
      </c>
      <c r="H55" s="320">
        <f t="shared" si="36"/>
        <v>-1534.6401726376821</v>
      </c>
      <c r="I55" s="320">
        <f t="shared" si="36"/>
        <v>349.91885513884415</v>
      </c>
      <c r="J55" s="320">
        <f t="shared" si="36"/>
        <v>395.31975979109308</v>
      </c>
      <c r="K55" s="320">
        <f t="shared" si="36"/>
        <v>422.01095262459631</v>
      </c>
      <c r="L55" s="320">
        <f t="shared" si="36"/>
        <v>447.32243056926757</v>
      </c>
      <c r="M55" s="320">
        <f t="shared" si="36"/>
        <v>476.06922208751735</v>
      </c>
      <c r="N55" s="320">
        <f t="shared" si="36"/>
        <v>507.67882609587144</v>
      </c>
      <c r="O55" s="320">
        <f t="shared" si="36"/>
        <v>537.05408922470519</v>
      </c>
      <c r="P55" s="320">
        <f t="shared" si="36"/>
        <v>621.19042873836133</v>
      </c>
      <c r="Q55" s="320">
        <f t="shared" si="36"/>
        <v>670.10237207152511</v>
      </c>
    </row>
    <row r="56" spans="1:17" x14ac:dyDescent="0.35">
      <c r="B56" s="202" t="s">
        <v>454</v>
      </c>
      <c r="C56" s="326"/>
      <c r="D56" s="236"/>
      <c r="E56" s="236"/>
      <c r="F56" s="236"/>
      <c r="G56" s="320">
        <f t="shared" ref="G56:Q56" si="37">G6</f>
        <v>214.63</v>
      </c>
      <c r="H56" s="320">
        <f t="shared" si="37"/>
        <v>215.8294257165827</v>
      </c>
      <c r="I56" s="320">
        <f t="shared" si="37"/>
        <v>215.20442435589436</v>
      </c>
      <c r="J56" s="320">
        <f t="shared" si="37"/>
        <v>214.13942299520602</v>
      </c>
      <c r="K56" s="320">
        <f t="shared" si="37"/>
        <v>214.62442163451766</v>
      </c>
      <c r="L56" s="320">
        <f t="shared" si="37"/>
        <v>214.64630845948335</v>
      </c>
      <c r="M56" s="320">
        <f t="shared" si="37"/>
        <v>214.72379655027177</v>
      </c>
      <c r="N56" s="320">
        <f t="shared" si="37"/>
        <v>215.20879518958344</v>
      </c>
      <c r="O56" s="320">
        <f t="shared" si="37"/>
        <v>215.69379382889508</v>
      </c>
      <c r="P56" s="320">
        <f t="shared" si="37"/>
        <v>216.12553979254363</v>
      </c>
      <c r="Q56" s="320">
        <f t="shared" si="37"/>
        <v>211.13009636577809</v>
      </c>
    </row>
    <row r="57" spans="1:17" s="134" customFormat="1" x14ac:dyDescent="0.35">
      <c r="A57" s="318"/>
      <c r="B57" s="203" t="s">
        <v>455</v>
      </c>
      <c r="C57" s="1314"/>
      <c r="D57" s="199"/>
      <c r="E57" s="199"/>
      <c r="F57" s="199"/>
      <c r="G57" s="321">
        <f>G55-G56</f>
        <v>-222.36465267684338</v>
      </c>
      <c r="H57" s="321">
        <f t="shared" ref="H57:N57" si="38">H55-H56</f>
        <v>-1750.4695983542647</v>
      </c>
      <c r="I57" s="321">
        <f t="shared" si="38"/>
        <v>134.71443078294979</v>
      </c>
      <c r="J57" s="321">
        <f t="shared" si="38"/>
        <v>181.18033679588706</v>
      </c>
      <c r="K57" s="321">
        <f t="shared" si="38"/>
        <v>207.38653099007865</v>
      </c>
      <c r="L57" s="321">
        <f t="shared" si="38"/>
        <v>232.67612210978422</v>
      </c>
      <c r="M57" s="321">
        <f t="shared" si="38"/>
        <v>261.34542553724555</v>
      </c>
      <c r="N57" s="321">
        <f t="shared" si="38"/>
        <v>292.470030906288</v>
      </c>
      <c r="O57" s="321">
        <f>O55-O56</f>
        <v>321.36029539581011</v>
      </c>
      <c r="P57" s="321">
        <f>P55-P56</f>
        <v>405.0648889458177</v>
      </c>
      <c r="Q57" s="321">
        <f>Q55-Q56</f>
        <v>458.97227570574705</v>
      </c>
    </row>
    <row r="58" spans="1:17" x14ac:dyDescent="0.35">
      <c r="B58" s="202"/>
      <c r="C58" s="326"/>
      <c r="D58" s="236"/>
      <c r="E58" s="236"/>
      <c r="F58" s="236"/>
      <c r="G58" s="321"/>
      <c r="H58" s="321"/>
      <c r="I58" s="321"/>
      <c r="J58" s="321"/>
      <c r="K58" s="321"/>
      <c r="L58" s="321"/>
      <c r="M58" s="321"/>
      <c r="N58" s="321"/>
      <c r="O58" s="321"/>
      <c r="P58" s="321"/>
      <c r="Q58" s="321"/>
    </row>
    <row r="59" spans="1:17" x14ac:dyDescent="0.35">
      <c r="B59" s="204" t="s">
        <v>456</v>
      </c>
      <c r="C59" s="326"/>
      <c r="D59" s="236"/>
      <c r="E59" s="236"/>
      <c r="F59" s="236"/>
      <c r="G59" s="321"/>
      <c r="H59" s="321"/>
      <c r="I59" s="321"/>
      <c r="J59" s="321"/>
      <c r="K59" s="321"/>
      <c r="L59" s="321"/>
      <c r="M59" s="321"/>
      <c r="N59" s="321"/>
      <c r="O59" s="321"/>
      <c r="P59" s="321"/>
      <c r="Q59" s="321"/>
    </row>
    <row r="60" spans="1:17" x14ac:dyDescent="0.35">
      <c r="B60" s="202" t="s">
        <v>457</v>
      </c>
      <c r="C60" s="326"/>
      <c r="D60" s="236"/>
      <c r="E60" s="236"/>
      <c r="F60" s="236"/>
      <c r="G60" s="320">
        <f t="shared" ref="G60:N60" si="39">G57</f>
        <v>-222.36465267684338</v>
      </c>
      <c r="H60" s="320">
        <f t="shared" si="39"/>
        <v>-1750.4695983542647</v>
      </c>
      <c r="I60" s="320">
        <f t="shared" si="39"/>
        <v>134.71443078294979</v>
      </c>
      <c r="J60" s="320">
        <f t="shared" si="39"/>
        <v>181.18033679588706</v>
      </c>
      <c r="K60" s="320">
        <f t="shared" si="39"/>
        <v>207.38653099007865</v>
      </c>
      <c r="L60" s="320">
        <f t="shared" si="39"/>
        <v>232.67612210978422</v>
      </c>
      <c r="M60" s="320">
        <f t="shared" si="39"/>
        <v>261.34542553724555</v>
      </c>
      <c r="N60" s="320">
        <f t="shared" si="39"/>
        <v>292.470030906288</v>
      </c>
      <c r="O60" s="320">
        <f>O57</f>
        <v>321.36029539581011</v>
      </c>
      <c r="P60" s="320">
        <f>P57</f>
        <v>405.0648889458177</v>
      </c>
      <c r="Q60" s="320">
        <f>Q57</f>
        <v>458.97227570574705</v>
      </c>
    </row>
    <row r="61" spans="1:17" x14ac:dyDescent="0.35">
      <c r="B61" s="202" t="s">
        <v>458</v>
      </c>
      <c r="C61" s="326"/>
      <c r="D61" s="236"/>
      <c r="E61" s="236"/>
      <c r="F61" s="236"/>
      <c r="G61" s="273">
        <f>IF(G65&lt;G70,G67,G72)</f>
        <v>0</v>
      </c>
      <c r="H61" s="273">
        <f t="shared" ref="H61:Q61" si="40">IF(H65&lt;H70,H67,H72)</f>
        <v>0</v>
      </c>
      <c r="I61" s="273">
        <f t="shared" si="40"/>
        <v>134.71443078294979</v>
      </c>
      <c r="J61" s="273">
        <f t="shared" si="40"/>
        <v>181.18033679588706</v>
      </c>
      <c r="K61" s="273">
        <f t="shared" si="40"/>
        <v>207.38653099007865</v>
      </c>
      <c r="L61" s="273">
        <f t="shared" si="40"/>
        <v>232.67612210978422</v>
      </c>
      <c r="M61" s="273">
        <f t="shared" si="40"/>
        <v>261.34542553724555</v>
      </c>
      <c r="N61" s="273">
        <f t="shared" si="40"/>
        <v>292.470030906288</v>
      </c>
      <c r="O61" s="273">
        <f t="shared" si="40"/>
        <v>271.05654859434912</v>
      </c>
      <c r="P61" s="273">
        <f t="shared" si="40"/>
        <v>0</v>
      </c>
      <c r="Q61" s="273">
        <f t="shared" si="40"/>
        <v>0</v>
      </c>
    </row>
    <row r="62" spans="1:17" s="636" customFormat="1" x14ac:dyDescent="0.35">
      <c r="B62" s="637" t="s">
        <v>457</v>
      </c>
      <c r="C62" s="1315"/>
      <c r="D62" s="638"/>
      <c r="E62" s="638"/>
      <c r="F62" s="638"/>
      <c r="G62" s="384">
        <f>G60-G61</f>
        <v>-222.36465267684338</v>
      </c>
      <c r="H62" s="384">
        <f t="shared" ref="H62:Q62" si="41">H60-H61</f>
        <v>-1750.4695983542647</v>
      </c>
      <c r="I62" s="384">
        <f t="shared" si="41"/>
        <v>0</v>
      </c>
      <c r="J62" s="384">
        <f t="shared" si="41"/>
        <v>0</v>
      </c>
      <c r="K62" s="384">
        <f t="shared" si="41"/>
        <v>0</v>
      </c>
      <c r="L62" s="384">
        <f t="shared" si="41"/>
        <v>0</v>
      </c>
      <c r="M62" s="384">
        <f t="shared" si="41"/>
        <v>0</v>
      </c>
      <c r="N62" s="384">
        <f t="shared" si="41"/>
        <v>0</v>
      </c>
      <c r="O62" s="384">
        <f t="shared" si="41"/>
        <v>50.303746801460989</v>
      </c>
      <c r="P62" s="384">
        <f t="shared" si="41"/>
        <v>405.0648889458177</v>
      </c>
      <c r="Q62" s="384">
        <f t="shared" si="41"/>
        <v>458.97227570574705</v>
      </c>
    </row>
    <row r="63" spans="1:17" s="584" customFormat="1" x14ac:dyDescent="0.35">
      <c r="A63" s="1305">
        <f>F166</f>
        <v>0.17471999999999999</v>
      </c>
      <c r="B63" s="637" t="s">
        <v>453</v>
      </c>
      <c r="C63" s="1316"/>
      <c r="D63" s="591"/>
      <c r="E63" s="591"/>
      <c r="F63" s="591"/>
      <c r="G63" s="640">
        <f>MAX(G62*$A$63,0)</f>
        <v>0</v>
      </c>
      <c r="H63" s="640">
        <f t="shared" ref="H63:N63" si="42">MAX(H62*$A$63,0)</f>
        <v>0</v>
      </c>
      <c r="I63" s="640">
        <f t="shared" si="42"/>
        <v>0</v>
      </c>
      <c r="J63" s="640">
        <f t="shared" si="42"/>
        <v>0</v>
      </c>
      <c r="K63" s="640">
        <f t="shared" si="42"/>
        <v>0</v>
      </c>
      <c r="L63" s="640">
        <f t="shared" si="42"/>
        <v>0</v>
      </c>
      <c r="M63" s="640">
        <f t="shared" si="42"/>
        <v>0</v>
      </c>
      <c r="N63" s="640">
        <f t="shared" si="42"/>
        <v>0</v>
      </c>
      <c r="O63" s="640">
        <f>MAX(O62*$A$63,0)</f>
        <v>8.7890706411512625</v>
      </c>
      <c r="P63" s="640">
        <f>MAX(P62*$A$63,0)</f>
        <v>70.772937396613258</v>
      </c>
      <c r="Q63" s="640">
        <f>MAX(Q62*$A$63,0)</f>
        <v>80.19163601130812</v>
      </c>
    </row>
    <row r="64" spans="1:17" s="584" customFormat="1" x14ac:dyDescent="0.35">
      <c r="B64" s="289"/>
      <c r="C64" s="1316"/>
      <c r="D64" s="591"/>
      <c r="E64" s="591"/>
      <c r="F64" s="591"/>
      <c r="G64" s="640"/>
      <c r="H64" s="640"/>
      <c r="I64" s="640"/>
      <c r="J64" s="640"/>
      <c r="K64" s="640"/>
      <c r="L64" s="640"/>
      <c r="M64" s="640"/>
      <c r="N64" s="640"/>
      <c r="O64" s="640"/>
      <c r="P64" s="640"/>
      <c r="Q64" s="640"/>
    </row>
    <row r="65" spans="2:18" s="584" customFormat="1" x14ac:dyDescent="0.35">
      <c r="B65" s="639" t="s">
        <v>459</v>
      </c>
      <c r="C65" s="1316"/>
      <c r="D65" s="591"/>
      <c r="E65" s="591"/>
      <c r="F65" s="591"/>
      <c r="G65" s="384">
        <f>F160</f>
        <v>1150.3699999999999</v>
      </c>
      <c r="H65" s="384">
        <f>G68</f>
        <v>1365</v>
      </c>
      <c r="I65" s="384">
        <f t="shared" ref="I65:N65" si="43">H68</f>
        <v>1580.8294257165826</v>
      </c>
      <c r="J65" s="384">
        <f t="shared" si="43"/>
        <v>1446.1149949336327</v>
      </c>
      <c r="K65" s="384">
        <f t="shared" si="43"/>
        <v>1264.9346581377456</v>
      </c>
      <c r="L65" s="384">
        <f t="shared" si="43"/>
        <v>1057.5481271476669</v>
      </c>
      <c r="M65" s="384">
        <f t="shared" si="43"/>
        <v>824.87200503788267</v>
      </c>
      <c r="N65" s="384">
        <f t="shared" si="43"/>
        <v>563.52657950063713</v>
      </c>
      <c r="O65" s="384">
        <f>N68</f>
        <v>271.05654859434912</v>
      </c>
      <c r="P65" s="384">
        <f>O68</f>
        <v>0</v>
      </c>
      <c r="Q65" s="384">
        <f>P68</f>
        <v>0</v>
      </c>
    </row>
    <row r="66" spans="2:18" s="584" customFormat="1" x14ac:dyDescent="0.35">
      <c r="B66" s="639" t="s">
        <v>460</v>
      </c>
      <c r="C66" s="1316"/>
      <c r="D66" s="591"/>
      <c r="E66" s="591"/>
      <c r="F66" s="591"/>
      <c r="G66" s="384">
        <f>IF(G57&lt;0,MIN(-G57,G56),0)</f>
        <v>214.63</v>
      </c>
      <c r="H66" s="384">
        <f t="shared" ref="H66:N66" si="44">IF(H57&lt;0,MIN(-H57,H56),0)</f>
        <v>215.8294257165827</v>
      </c>
      <c r="I66" s="384">
        <f t="shared" si="44"/>
        <v>0</v>
      </c>
      <c r="J66" s="384">
        <f t="shared" si="44"/>
        <v>0</v>
      </c>
      <c r="K66" s="384">
        <f t="shared" si="44"/>
        <v>0</v>
      </c>
      <c r="L66" s="384">
        <f t="shared" si="44"/>
        <v>0</v>
      </c>
      <c r="M66" s="384">
        <f t="shared" si="44"/>
        <v>0</v>
      </c>
      <c r="N66" s="384">
        <f t="shared" si="44"/>
        <v>0</v>
      </c>
      <c r="O66" s="384">
        <f>IF(O57&lt;0,MIN(-O57,O56),0)</f>
        <v>0</v>
      </c>
      <c r="P66" s="384">
        <f>IF(P57&lt;0,MIN(-P57,P56),0)</f>
        <v>0</v>
      </c>
      <c r="Q66" s="384">
        <f>IF(Q57&lt;0,MIN(-Q57,Q56),0)</f>
        <v>0</v>
      </c>
    </row>
    <row r="67" spans="2:18" s="584" customFormat="1" x14ac:dyDescent="0.35">
      <c r="B67" s="639" t="s">
        <v>461</v>
      </c>
      <c r="C67" s="1316"/>
      <c r="D67" s="591"/>
      <c r="E67" s="591"/>
      <c r="F67" s="591"/>
      <c r="G67" s="384">
        <f>IF(G57&gt;0,MIN(G65,G57),0)</f>
        <v>0</v>
      </c>
      <c r="H67" s="384">
        <f t="shared" ref="H67:Q67" si="45">IF(H57&gt;0,MIN(H65,H57),0)</f>
        <v>0</v>
      </c>
      <c r="I67" s="384">
        <f t="shared" si="45"/>
        <v>134.71443078294979</v>
      </c>
      <c r="J67" s="384">
        <f t="shared" si="45"/>
        <v>181.18033679588706</v>
      </c>
      <c r="K67" s="384">
        <f t="shared" si="45"/>
        <v>207.38653099007865</v>
      </c>
      <c r="L67" s="384">
        <f t="shared" si="45"/>
        <v>232.67612210978422</v>
      </c>
      <c r="M67" s="384">
        <f t="shared" si="45"/>
        <v>261.34542553724555</v>
      </c>
      <c r="N67" s="384">
        <f t="shared" si="45"/>
        <v>292.470030906288</v>
      </c>
      <c r="O67" s="384">
        <f t="shared" si="45"/>
        <v>271.05654859434912</v>
      </c>
      <c r="P67" s="384">
        <f t="shared" si="45"/>
        <v>0</v>
      </c>
      <c r="Q67" s="384">
        <f t="shared" si="45"/>
        <v>0</v>
      </c>
    </row>
    <row r="68" spans="2:18" s="584" customFormat="1" x14ac:dyDescent="0.35">
      <c r="B68" s="639" t="s">
        <v>462</v>
      </c>
      <c r="C68" s="1316"/>
      <c r="D68" s="591"/>
      <c r="E68" s="591"/>
      <c r="F68" s="591"/>
      <c r="G68" s="384">
        <f>G65+G66-G67</f>
        <v>1365</v>
      </c>
      <c r="H68" s="384">
        <f t="shared" ref="H68:Q68" si="46">H65+H66-H67</f>
        <v>1580.8294257165826</v>
      </c>
      <c r="I68" s="384">
        <f t="shared" si="46"/>
        <v>1446.1149949336327</v>
      </c>
      <c r="J68" s="384">
        <f t="shared" si="46"/>
        <v>1264.9346581377456</v>
      </c>
      <c r="K68" s="384">
        <f t="shared" si="46"/>
        <v>1057.5481271476669</v>
      </c>
      <c r="L68" s="384">
        <f t="shared" si="46"/>
        <v>824.87200503788267</v>
      </c>
      <c r="M68" s="384">
        <f t="shared" si="46"/>
        <v>563.52657950063713</v>
      </c>
      <c r="N68" s="384">
        <f t="shared" si="46"/>
        <v>271.05654859434912</v>
      </c>
      <c r="O68" s="384">
        <f t="shared" si="46"/>
        <v>0</v>
      </c>
      <c r="P68" s="384">
        <f t="shared" si="46"/>
        <v>0</v>
      </c>
      <c r="Q68" s="384">
        <f t="shared" si="46"/>
        <v>0</v>
      </c>
    </row>
    <row r="69" spans="2:18" s="584" customFormat="1" x14ac:dyDescent="0.35">
      <c r="B69" s="205"/>
      <c r="C69" s="1316"/>
      <c r="D69" s="591"/>
      <c r="E69" s="591"/>
      <c r="F69" s="591"/>
      <c r="G69" s="384"/>
      <c r="H69" s="384"/>
      <c r="I69" s="384"/>
      <c r="J69" s="384"/>
      <c r="K69" s="384"/>
      <c r="L69" s="384"/>
      <c r="M69" s="384"/>
      <c r="N69" s="384"/>
      <c r="O69" s="384"/>
      <c r="P69" s="384"/>
      <c r="Q69" s="384"/>
    </row>
    <row r="70" spans="2:18" s="584" customFormat="1" x14ac:dyDescent="0.35">
      <c r="B70" s="639" t="s">
        <v>463</v>
      </c>
      <c r="C70" s="1316"/>
      <c r="D70" s="591"/>
      <c r="E70" s="591"/>
      <c r="F70" s="591"/>
      <c r="G70" s="384">
        <f>G160</f>
        <v>550.19000000000005</v>
      </c>
      <c r="H70" s="384">
        <f>G73</f>
        <v>557.92465267684338</v>
      </c>
      <c r="I70" s="384">
        <f t="shared" ref="I70:N70" si="47">H73</f>
        <v>2092.5648253145255</v>
      </c>
      <c r="J70" s="384">
        <f t="shared" si="47"/>
        <v>1957.8503945315756</v>
      </c>
      <c r="K70" s="384">
        <f t="shared" si="47"/>
        <v>1776.6700577356885</v>
      </c>
      <c r="L70" s="384">
        <f t="shared" si="47"/>
        <v>1569.2835267456098</v>
      </c>
      <c r="M70" s="384">
        <f t="shared" si="47"/>
        <v>1336.6074046358256</v>
      </c>
      <c r="N70" s="384">
        <f t="shared" si="47"/>
        <v>1075.26197909858</v>
      </c>
      <c r="O70" s="384">
        <f>N73</f>
        <v>782.79194819229201</v>
      </c>
      <c r="P70" s="384">
        <f>O73</f>
        <v>511.73539959794289</v>
      </c>
      <c r="Q70" s="384">
        <f>P73</f>
        <v>511.73539959794289</v>
      </c>
    </row>
    <row r="71" spans="2:18" s="584" customFormat="1" x14ac:dyDescent="0.35">
      <c r="B71" s="639" t="s">
        <v>460</v>
      </c>
      <c r="C71" s="1316"/>
      <c r="D71" s="591"/>
      <c r="E71" s="591"/>
      <c r="F71" s="591"/>
      <c r="G71" s="384">
        <f>IF(G55&lt;0,-G55,0)</f>
        <v>7.7346526768433819</v>
      </c>
      <c r="H71" s="384">
        <f t="shared" ref="H71:N71" si="48">IF(H55&lt;0,-H55,0)</f>
        <v>1534.6401726376821</v>
      </c>
      <c r="I71" s="384">
        <f t="shared" si="48"/>
        <v>0</v>
      </c>
      <c r="J71" s="384">
        <f t="shared" si="48"/>
        <v>0</v>
      </c>
      <c r="K71" s="384">
        <f t="shared" si="48"/>
        <v>0</v>
      </c>
      <c r="L71" s="384">
        <f t="shared" si="48"/>
        <v>0</v>
      </c>
      <c r="M71" s="384">
        <f t="shared" si="48"/>
        <v>0</v>
      </c>
      <c r="N71" s="384">
        <f t="shared" si="48"/>
        <v>0</v>
      </c>
      <c r="O71" s="384">
        <f>IF(O55&lt;0,-O55,0)</f>
        <v>0</v>
      </c>
      <c r="P71" s="384">
        <f>IF(P55&lt;0,-P55,0)</f>
        <v>0</v>
      </c>
      <c r="Q71" s="384">
        <f>IF(Q55&lt;0,-Q55,0)</f>
        <v>0</v>
      </c>
    </row>
    <row r="72" spans="2:18" s="584" customFormat="1" x14ac:dyDescent="0.35">
      <c r="B72" s="639" t="s">
        <v>461</v>
      </c>
      <c r="C72" s="1316"/>
      <c r="D72" s="591"/>
      <c r="E72" s="591"/>
      <c r="F72" s="591"/>
      <c r="G72" s="384">
        <f t="shared" ref="G72:Q72" si="49">IF(G57&gt;0,IF(G67&gt;0,MIN(G70,G67,G57),0),0)</f>
        <v>0</v>
      </c>
      <c r="H72" s="273">
        <f t="shared" si="49"/>
        <v>0</v>
      </c>
      <c r="I72" s="384">
        <f t="shared" si="49"/>
        <v>134.71443078294979</v>
      </c>
      <c r="J72" s="384">
        <f t="shared" si="49"/>
        <v>181.18033679588706</v>
      </c>
      <c r="K72" s="384">
        <f t="shared" si="49"/>
        <v>207.38653099007865</v>
      </c>
      <c r="L72" s="384">
        <f t="shared" si="49"/>
        <v>232.67612210978422</v>
      </c>
      <c r="M72" s="384">
        <f t="shared" si="49"/>
        <v>261.34542553724555</v>
      </c>
      <c r="N72" s="384">
        <f t="shared" si="49"/>
        <v>292.470030906288</v>
      </c>
      <c r="O72" s="384">
        <f t="shared" si="49"/>
        <v>271.05654859434912</v>
      </c>
      <c r="P72" s="384">
        <f t="shared" si="49"/>
        <v>0</v>
      </c>
      <c r="Q72" s="384">
        <f t="shared" si="49"/>
        <v>0</v>
      </c>
    </row>
    <row r="73" spans="2:18" s="584" customFormat="1" x14ac:dyDescent="0.35">
      <c r="B73" s="639" t="s">
        <v>464</v>
      </c>
      <c r="C73" s="1316"/>
      <c r="D73" s="591"/>
      <c r="E73" s="591"/>
      <c r="F73" s="591"/>
      <c r="G73" s="320">
        <f>G70+G71-G72</f>
        <v>557.92465267684338</v>
      </c>
      <c r="H73" s="320">
        <f t="shared" ref="H73:N73" si="50">H70+H71-H72</f>
        <v>2092.5648253145255</v>
      </c>
      <c r="I73" s="320">
        <f t="shared" si="50"/>
        <v>1957.8503945315756</v>
      </c>
      <c r="J73" s="320">
        <f t="shared" si="50"/>
        <v>1776.6700577356885</v>
      </c>
      <c r="K73" s="320">
        <f t="shared" si="50"/>
        <v>1569.2835267456098</v>
      </c>
      <c r="L73" s="320">
        <f t="shared" si="50"/>
        <v>1336.6074046358256</v>
      </c>
      <c r="M73" s="320">
        <f t="shared" si="50"/>
        <v>1075.26197909858</v>
      </c>
      <c r="N73" s="320">
        <f t="shared" si="50"/>
        <v>782.79194819229201</v>
      </c>
      <c r="O73" s="320">
        <f>O70+O71-O72</f>
        <v>511.73539959794289</v>
      </c>
      <c r="P73" s="320">
        <f>P70+P71-P72</f>
        <v>511.73539959794289</v>
      </c>
      <c r="Q73" s="320">
        <f>Q70+Q71-Q72</f>
        <v>511.73539959794289</v>
      </c>
    </row>
    <row r="74" spans="2:18" x14ac:dyDescent="0.35">
      <c r="B74" s="202"/>
      <c r="C74" s="326"/>
      <c r="D74" s="236"/>
      <c r="E74" s="236"/>
      <c r="F74" s="236"/>
      <c r="G74" s="237"/>
      <c r="H74" s="237"/>
      <c r="I74" s="237"/>
      <c r="J74" s="237"/>
      <c r="K74" s="237"/>
      <c r="L74" s="237"/>
      <c r="M74" s="237"/>
      <c r="N74" s="237"/>
      <c r="O74" s="237"/>
      <c r="P74" s="237"/>
      <c r="Q74" s="237"/>
    </row>
    <row r="75" spans="2:18" x14ac:dyDescent="0.35">
      <c r="B75" s="1771" t="s">
        <v>465</v>
      </c>
      <c r="C75" s="1316"/>
      <c r="D75" s="236"/>
      <c r="E75" s="236"/>
      <c r="F75" s="236"/>
      <c r="G75" s="237"/>
      <c r="H75" s="237"/>
      <c r="I75" s="237"/>
      <c r="J75" s="237"/>
      <c r="K75" s="237"/>
      <c r="L75" s="237"/>
      <c r="M75" s="237"/>
      <c r="N75" s="237"/>
      <c r="O75" s="237"/>
      <c r="P75" s="237"/>
      <c r="Q75" s="237"/>
    </row>
    <row r="76" spans="2:18" x14ac:dyDescent="0.35">
      <c r="B76" s="1378">
        <v>40633</v>
      </c>
      <c r="C76" s="1772">
        <v>0</v>
      </c>
      <c r="D76" s="236"/>
      <c r="E76" s="236"/>
      <c r="F76" s="236"/>
      <c r="G76" s="237">
        <f t="shared" ref="G76:G87" si="51">IF(DATEDIF($B76,G$4,"y")&lt;16,$C76,0)</f>
        <v>0</v>
      </c>
      <c r="H76" s="237">
        <f t="shared" ref="H76:R76" si="52">IF(DATEDIF($B76,H4,"y")&lt;16,$C76,0)</f>
        <v>0</v>
      </c>
      <c r="I76" s="237">
        <f t="shared" si="52"/>
        <v>0</v>
      </c>
      <c r="J76" s="237">
        <f t="shared" si="52"/>
        <v>0</v>
      </c>
      <c r="K76" s="237">
        <f t="shared" si="52"/>
        <v>0</v>
      </c>
      <c r="L76" s="237">
        <f t="shared" si="52"/>
        <v>0</v>
      </c>
      <c r="M76" s="237">
        <f t="shared" si="52"/>
        <v>0</v>
      </c>
      <c r="N76" s="237">
        <f t="shared" si="52"/>
        <v>0</v>
      </c>
      <c r="O76" s="237">
        <f t="shared" si="52"/>
        <v>0</v>
      </c>
      <c r="P76" s="237">
        <f t="shared" si="52"/>
        <v>0</v>
      </c>
      <c r="Q76" s="237">
        <f t="shared" si="52"/>
        <v>0</v>
      </c>
      <c r="R76" s="237">
        <f t="shared" si="52"/>
        <v>0</v>
      </c>
    </row>
    <row r="77" spans="2:18" x14ac:dyDescent="0.35">
      <c r="B77" s="1378">
        <f>EOMONTH(B76,12)</f>
        <v>40999</v>
      </c>
      <c r="C77" s="1772">
        <v>0</v>
      </c>
      <c r="D77" s="236"/>
      <c r="E77" s="236"/>
      <c r="F77" s="236"/>
      <c r="G77" s="237">
        <f t="shared" si="51"/>
        <v>0</v>
      </c>
      <c r="H77" s="237">
        <f t="shared" ref="H77:R92" si="53">IF(DATEDIF($B77,H$4,"y")&lt;16,$C77,0)</f>
        <v>0</v>
      </c>
      <c r="I77" s="237">
        <f t="shared" si="53"/>
        <v>0</v>
      </c>
      <c r="J77" s="237">
        <f t="shared" si="53"/>
        <v>0</v>
      </c>
      <c r="K77" s="237">
        <f t="shared" si="53"/>
        <v>0</v>
      </c>
      <c r="L77" s="237">
        <f t="shared" si="53"/>
        <v>0</v>
      </c>
      <c r="M77" s="237">
        <f t="shared" si="53"/>
        <v>0</v>
      </c>
      <c r="N77" s="237">
        <f t="shared" si="53"/>
        <v>0</v>
      </c>
      <c r="O77" s="237">
        <f t="shared" si="53"/>
        <v>0</v>
      </c>
      <c r="P77" s="237">
        <f t="shared" si="53"/>
        <v>0</v>
      </c>
      <c r="Q77" s="237">
        <f t="shared" si="53"/>
        <v>0</v>
      </c>
      <c r="R77" s="237">
        <f t="shared" si="53"/>
        <v>0</v>
      </c>
    </row>
    <row r="78" spans="2:18" x14ac:dyDescent="0.35">
      <c r="B78" s="1378">
        <f t="shared" ref="B78:B96" si="54">EOMONTH(B77,12)</f>
        <v>41364</v>
      </c>
      <c r="C78" s="1772">
        <v>0</v>
      </c>
      <c r="D78" s="236"/>
      <c r="E78" s="236"/>
      <c r="F78" s="236"/>
      <c r="G78" s="237">
        <f t="shared" si="51"/>
        <v>0</v>
      </c>
      <c r="H78" s="237">
        <f t="shared" si="53"/>
        <v>0</v>
      </c>
      <c r="I78" s="237">
        <f t="shared" si="53"/>
        <v>0</v>
      </c>
      <c r="J78" s="237">
        <f t="shared" si="53"/>
        <v>0</v>
      </c>
      <c r="K78" s="237">
        <f t="shared" si="53"/>
        <v>0</v>
      </c>
      <c r="L78" s="237">
        <f t="shared" si="53"/>
        <v>0</v>
      </c>
      <c r="M78" s="237">
        <f t="shared" si="53"/>
        <v>0</v>
      </c>
      <c r="N78" s="237">
        <f t="shared" si="53"/>
        <v>0</v>
      </c>
      <c r="O78" s="237">
        <f t="shared" si="53"/>
        <v>0</v>
      </c>
      <c r="P78" s="237">
        <f t="shared" si="53"/>
        <v>0</v>
      </c>
      <c r="Q78" s="237">
        <f t="shared" si="53"/>
        <v>0</v>
      </c>
      <c r="R78" s="237">
        <f t="shared" si="53"/>
        <v>0</v>
      </c>
    </row>
    <row r="79" spans="2:18" x14ac:dyDescent="0.35">
      <c r="B79" s="1378">
        <f t="shared" si="54"/>
        <v>41729</v>
      </c>
      <c r="C79" s="1772">
        <v>0</v>
      </c>
      <c r="D79" s="236"/>
      <c r="E79" s="236"/>
      <c r="F79" s="236"/>
      <c r="G79" s="237">
        <f t="shared" si="51"/>
        <v>0</v>
      </c>
      <c r="H79" s="237">
        <f t="shared" si="53"/>
        <v>0</v>
      </c>
      <c r="I79" s="237">
        <f t="shared" si="53"/>
        <v>0</v>
      </c>
      <c r="J79" s="237">
        <f t="shared" si="53"/>
        <v>0</v>
      </c>
      <c r="K79" s="237">
        <f t="shared" si="53"/>
        <v>0</v>
      </c>
      <c r="L79" s="237">
        <f t="shared" si="53"/>
        <v>0</v>
      </c>
      <c r="M79" s="237">
        <f t="shared" si="53"/>
        <v>0</v>
      </c>
      <c r="N79" s="237">
        <f t="shared" si="53"/>
        <v>0</v>
      </c>
      <c r="O79" s="237">
        <f t="shared" si="53"/>
        <v>0</v>
      </c>
      <c r="P79" s="237">
        <f t="shared" si="53"/>
        <v>0</v>
      </c>
      <c r="Q79" s="237">
        <f t="shared" si="53"/>
        <v>0</v>
      </c>
      <c r="R79" s="237">
        <f t="shared" si="53"/>
        <v>0</v>
      </c>
    </row>
    <row r="80" spans="2:18" x14ac:dyDescent="0.35">
      <c r="B80" s="1378">
        <f t="shared" si="54"/>
        <v>42094</v>
      </c>
      <c r="C80" s="1772">
        <f>G152</f>
        <v>259.47000000000003</v>
      </c>
      <c r="D80" s="236"/>
      <c r="E80" s="236"/>
      <c r="F80" s="236"/>
      <c r="G80" s="237">
        <f t="shared" si="51"/>
        <v>259.47000000000003</v>
      </c>
      <c r="H80" s="237">
        <f t="shared" si="53"/>
        <v>259.47000000000003</v>
      </c>
      <c r="I80" s="237">
        <f t="shared" si="53"/>
        <v>259.47000000000003</v>
      </c>
      <c r="J80" s="237">
        <f t="shared" si="53"/>
        <v>259.47000000000003</v>
      </c>
      <c r="K80" s="237">
        <f t="shared" si="53"/>
        <v>259.47000000000003</v>
      </c>
      <c r="L80" s="237">
        <f t="shared" si="53"/>
        <v>259.47000000000003</v>
      </c>
      <c r="M80" s="237">
        <f t="shared" si="53"/>
        <v>259.47000000000003</v>
      </c>
      <c r="N80" s="237">
        <f t="shared" si="53"/>
        <v>259.47000000000003</v>
      </c>
      <c r="O80" s="237">
        <f t="shared" si="53"/>
        <v>259.47000000000003</v>
      </c>
      <c r="P80" s="237">
        <f t="shared" si="53"/>
        <v>0</v>
      </c>
      <c r="Q80" s="237">
        <f t="shared" si="53"/>
        <v>0</v>
      </c>
      <c r="R80" s="237">
        <f t="shared" si="53"/>
        <v>0</v>
      </c>
    </row>
    <row r="81" spans="2:18" x14ac:dyDescent="0.35">
      <c r="B81" s="1378">
        <f t="shared" si="54"/>
        <v>42460</v>
      </c>
      <c r="C81" s="1772">
        <f t="shared" ref="C81:C86" si="55">G153</f>
        <v>0</v>
      </c>
      <c r="D81" s="236"/>
      <c r="E81" s="236"/>
      <c r="F81" s="236"/>
      <c r="G81" s="237">
        <f t="shared" si="51"/>
        <v>0</v>
      </c>
      <c r="H81" s="237">
        <f t="shared" si="53"/>
        <v>0</v>
      </c>
      <c r="I81" s="237">
        <f t="shared" si="53"/>
        <v>0</v>
      </c>
      <c r="J81" s="237">
        <f t="shared" si="53"/>
        <v>0</v>
      </c>
      <c r="K81" s="237">
        <f t="shared" si="53"/>
        <v>0</v>
      </c>
      <c r="L81" s="237">
        <f t="shared" si="53"/>
        <v>0</v>
      </c>
      <c r="M81" s="237">
        <f t="shared" si="53"/>
        <v>0</v>
      </c>
      <c r="N81" s="237">
        <f t="shared" si="53"/>
        <v>0</v>
      </c>
      <c r="O81" s="237">
        <f t="shared" si="53"/>
        <v>0</v>
      </c>
      <c r="P81" s="237">
        <f t="shared" si="53"/>
        <v>0</v>
      </c>
      <c r="Q81" s="237">
        <f t="shared" si="53"/>
        <v>0</v>
      </c>
      <c r="R81" s="237">
        <f t="shared" si="53"/>
        <v>0</v>
      </c>
    </row>
    <row r="82" spans="2:18" x14ac:dyDescent="0.35">
      <c r="B82" s="1378">
        <f t="shared" si="54"/>
        <v>42825</v>
      </c>
      <c r="C82" s="1772">
        <f t="shared" si="55"/>
        <v>0</v>
      </c>
      <c r="D82" s="236"/>
      <c r="E82" s="236"/>
      <c r="F82" s="236"/>
      <c r="G82" s="237">
        <f t="shared" si="51"/>
        <v>0</v>
      </c>
      <c r="H82" s="237">
        <f t="shared" si="53"/>
        <v>0</v>
      </c>
      <c r="I82" s="237">
        <f t="shared" si="53"/>
        <v>0</v>
      </c>
      <c r="J82" s="237">
        <f t="shared" si="53"/>
        <v>0</v>
      </c>
      <c r="K82" s="237">
        <f t="shared" si="53"/>
        <v>0</v>
      </c>
      <c r="L82" s="237">
        <f t="shared" si="53"/>
        <v>0</v>
      </c>
      <c r="M82" s="237">
        <f t="shared" si="53"/>
        <v>0</v>
      </c>
      <c r="N82" s="237">
        <f t="shared" si="53"/>
        <v>0</v>
      </c>
      <c r="O82" s="237">
        <f t="shared" si="53"/>
        <v>0</v>
      </c>
      <c r="P82" s="237">
        <f t="shared" si="53"/>
        <v>0</v>
      </c>
      <c r="Q82" s="237">
        <f t="shared" si="53"/>
        <v>0</v>
      </c>
      <c r="R82" s="237">
        <f t="shared" si="53"/>
        <v>0</v>
      </c>
    </row>
    <row r="83" spans="2:18" x14ac:dyDescent="0.35">
      <c r="B83" s="1378">
        <f t="shared" si="54"/>
        <v>43190</v>
      </c>
      <c r="C83" s="1772">
        <f t="shared" si="55"/>
        <v>226.28</v>
      </c>
      <c r="D83" s="236"/>
      <c r="E83" s="236"/>
      <c r="F83" s="236"/>
      <c r="G83" s="237">
        <f t="shared" si="51"/>
        <v>226.28</v>
      </c>
      <c r="H83" s="237">
        <f t="shared" si="53"/>
        <v>226.28</v>
      </c>
      <c r="I83" s="237">
        <f t="shared" si="53"/>
        <v>226.28</v>
      </c>
      <c r="J83" s="237">
        <f t="shared" si="53"/>
        <v>226.28</v>
      </c>
      <c r="K83" s="237">
        <f t="shared" si="53"/>
        <v>226.28</v>
      </c>
      <c r="L83" s="237">
        <f t="shared" si="53"/>
        <v>226.28</v>
      </c>
      <c r="M83" s="237">
        <f t="shared" si="53"/>
        <v>226.28</v>
      </c>
      <c r="N83" s="237">
        <f t="shared" si="53"/>
        <v>226.28</v>
      </c>
      <c r="O83" s="237">
        <f t="shared" si="53"/>
        <v>226.28</v>
      </c>
      <c r="P83" s="237">
        <f t="shared" si="53"/>
        <v>226.28</v>
      </c>
      <c r="Q83" s="237">
        <f t="shared" si="53"/>
        <v>226.28</v>
      </c>
      <c r="R83" s="237">
        <f t="shared" si="53"/>
        <v>226.28</v>
      </c>
    </row>
    <row r="84" spans="2:18" x14ac:dyDescent="0.35">
      <c r="B84" s="1378">
        <f t="shared" si="54"/>
        <v>43555</v>
      </c>
      <c r="C84" s="1772">
        <f t="shared" si="55"/>
        <v>0</v>
      </c>
      <c r="D84" s="236"/>
      <c r="E84" s="236"/>
      <c r="F84" s="236"/>
      <c r="G84" s="237">
        <f t="shared" si="51"/>
        <v>0</v>
      </c>
      <c r="H84" s="237">
        <f t="shared" si="53"/>
        <v>0</v>
      </c>
      <c r="I84" s="237">
        <f t="shared" si="53"/>
        <v>0</v>
      </c>
      <c r="J84" s="237">
        <f t="shared" si="53"/>
        <v>0</v>
      </c>
      <c r="K84" s="237">
        <f t="shared" si="53"/>
        <v>0</v>
      </c>
      <c r="L84" s="237">
        <f t="shared" si="53"/>
        <v>0</v>
      </c>
      <c r="M84" s="237">
        <f t="shared" si="53"/>
        <v>0</v>
      </c>
      <c r="N84" s="237">
        <f t="shared" si="53"/>
        <v>0</v>
      </c>
      <c r="O84" s="237">
        <f t="shared" si="53"/>
        <v>0</v>
      </c>
      <c r="P84" s="237">
        <f t="shared" si="53"/>
        <v>0</v>
      </c>
      <c r="Q84" s="237">
        <f t="shared" si="53"/>
        <v>0</v>
      </c>
      <c r="R84" s="237">
        <f t="shared" si="53"/>
        <v>0</v>
      </c>
    </row>
    <row r="85" spans="2:18" x14ac:dyDescent="0.35">
      <c r="B85" s="1378">
        <f t="shared" si="54"/>
        <v>43921</v>
      </c>
      <c r="C85" s="1772">
        <f t="shared" si="55"/>
        <v>0</v>
      </c>
      <c r="D85" s="236"/>
      <c r="E85" s="236"/>
      <c r="F85" s="236"/>
      <c r="G85" s="237">
        <f t="shared" si="51"/>
        <v>0</v>
      </c>
      <c r="H85" s="237">
        <f t="shared" si="53"/>
        <v>0</v>
      </c>
      <c r="I85" s="237">
        <f t="shared" si="53"/>
        <v>0</v>
      </c>
      <c r="J85" s="237">
        <f t="shared" si="53"/>
        <v>0</v>
      </c>
      <c r="K85" s="237">
        <f t="shared" si="53"/>
        <v>0</v>
      </c>
      <c r="L85" s="237">
        <f t="shared" si="53"/>
        <v>0</v>
      </c>
      <c r="M85" s="237">
        <f t="shared" si="53"/>
        <v>0</v>
      </c>
      <c r="N85" s="237">
        <f t="shared" si="53"/>
        <v>0</v>
      </c>
      <c r="O85" s="237">
        <f t="shared" si="53"/>
        <v>0</v>
      </c>
      <c r="P85" s="237">
        <f t="shared" si="53"/>
        <v>0</v>
      </c>
      <c r="Q85" s="237">
        <f t="shared" si="53"/>
        <v>0</v>
      </c>
      <c r="R85" s="237">
        <f t="shared" si="53"/>
        <v>0</v>
      </c>
    </row>
    <row r="86" spans="2:18" x14ac:dyDescent="0.35">
      <c r="B86" s="1378">
        <f t="shared" si="54"/>
        <v>44286</v>
      </c>
      <c r="C86" s="1772">
        <f t="shared" si="55"/>
        <v>64.44</v>
      </c>
      <c r="D86" s="236"/>
      <c r="E86" s="236"/>
      <c r="F86" s="236"/>
      <c r="G86" s="237">
        <f t="shared" si="51"/>
        <v>64.44</v>
      </c>
      <c r="H86" s="237">
        <f t="shared" si="53"/>
        <v>64.44</v>
      </c>
      <c r="I86" s="237">
        <f t="shared" si="53"/>
        <v>64.44</v>
      </c>
      <c r="J86" s="237">
        <f t="shared" si="53"/>
        <v>64.44</v>
      </c>
      <c r="K86" s="237">
        <f t="shared" si="53"/>
        <v>64.44</v>
      </c>
      <c r="L86" s="237">
        <f t="shared" si="53"/>
        <v>64.44</v>
      </c>
      <c r="M86" s="237">
        <f t="shared" si="53"/>
        <v>64.44</v>
      </c>
      <c r="N86" s="237">
        <f t="shared" si="53"/>
        <v>64.44</v>
      </c>
      <c r="O86" s="237">
        <f t="shared" si="53"/>
        <v>64.44</v>
      </c>
      <c r="P86" s="237">
        <f t="shared" si="53"/>
        <v>64.44</v>
      </c>
      <c r="Q86" s="237">
        <f t="shared" si="53"/>
        <v>64.44</v>
      </c>
      <c r="R86" s="237">
        <f t="shared" si="53"/>
        <v>64.44</v>
      </c>
    </row>
    <row r="87" spans="2:18" x14ac:dyDescent="0.35">
      <c r="B87" s="1378">
        <f t="shared" si="54"/>
        <v>44651</v>
      </c>
      <c r="C87" s="1773">
        <f>IF(H$63&gt;H$19,H$63-H$19,0)</f>
        <v>0</v>
      </c>
      <c r="D87" s="236"/>
      <c r="E87" s="236"/>
      <c r="F87" s="236"/>
      <c r="G87" s="237">
        <f t="shared" si="51"/>
        <v>0</v>
      </c>
      <c r="H87" s="237">
        <f t="shared" si="53"/>
        <v>0</v>
      </c>
      <c r="I87" s="237">
        <f t="shared" si="53"/>
        <v>0</v>
      </c>
      <c r="J87" s="237">
        <f t="shared" si="53"/>
        <v>0</v>
      </c>
      <c r="K87" s="237">
        <f t="shared" si="53"/>
        <v>0</v>
      </c>
      <c r="L87" s="237">
        <f t="shared" si="53"/>
        <v>0</v>
      </c>
      <c r="M87" s="237">
        <f t="shared" si="53"/>
        <v>0</v>
      </c>
      <c r="N87" s="237">
        <f t="shared" si="53"/>
        <v>0</v>
      </c>
      <c r="O87" s="237">
        <f t="shared" si="53"/>
        <v>0</v>
      </c>
      <c r="P87" s="237">
        <f t="shared" si="53"/>
        <v>0</v>
      </c>
      <c r="Q87" s="237">
        <f t="shared" si="53"/>
        <v>0</v>
      </c>
      <c r="R87" s="237">
        <f t="shared" si="53"/>
        <v>0</v>
      </c>
    </row>
    <row r="88" spans="2:18" x14ac:dyDescent="0.35">
      <c r="B88" s="1378">
        <f t="shared" si="54"/>
        <v>45016</v>
      </c>
      <c r="C88" s="1773">
        <f>IF(H$63&gt;H$19,H$63-H$19,0)</f>
        <v>0</v>
      </c>
      <c r="D88" s="236"/>
      <c r="E88" s="236"/>
      <c r="F88" s="236"/>
      <c r="G88" s="237"/>
      <c r="H88" s="237">
        <f t="shared" si="53"/>
        <v>0</v>
      </c>
      <c r="I88" s="237">
        <f t="shared" si="53"/>
        <v>0</v>
      </c>
      <c r="J88" s="237">
        <f t="shared" si="53"/>
        <v>0</v>
      </c>
      <c r="K88" s="237">
        <f t="shared" si="53"/>
        <v>0</v>
      </c>
      <c r="L88" s="237">
        <f t="shared" si="53"/>
        <v>0</v>
      </c>
      <c r="M88" s="237">
        <f t="shared" si="53"/>
        <v>0</v>
      </c>
      <c r="N88" s="237">
        <f t="shared" si="53"/>
        <v>0</v>
      </c>
      <c r="O88" s="237">
        <f t="shared" si="53"/>
        <v>0</v>
      </c>
      <c r="P88" s="237">
        <f t="shared" si="53"/>
        <v>0</v>
      </c>
      <c r="Q88" s="237">
        <f t="shared" si="53"/>
        <v>0</v>
      </c>
      <c r="R88" s="237">
        <f t="shared" si="53"/>
        <v>0</v>
      </c>
    </row>
    <row r="89" spans="2:18" x14ac:dyDescent="0.35">
      <c r="B89" s="1378">
        <f t="shared" si="54"/>
        <v>45382</v>
      </c>
      <c r="C89" s="1773">
        <f>IF(I$63&gt;I$19,I$63-I$19,0)</f>
        <v>0</v>
      </c>
      <c r="D89" s="236"/>
      <c r="E89" s="236"/>
      <c r="F89" s="236"/>
      <c r="G89" s="237"/>
      <c r="H89" s="237"/>
      <c r="I89" s="237">
        <f t="shared" si="53"/>
        <v>0</v>
      </c>
      <c r="J89" s="237">
        <f t="shared" si="53"/>
        <v>0</v>
      </c>
      <c r="K89" s="237">
        <f t="shared" si="53"/>
        <v>0</v>
      </c>
      <c r="L89" s="237">
        <f t="shared" si="53"/>
        <v>0</v>
      </c>
      <c r="M89" s="237">
        <f t="shared" si="53"/>
        <v>0</v>
      </c>
      <c r="N89" s="237">
        <f t="shared" si="53"/>
        <v>0</v>
      </c>
      <c r="O89" s="237">
        <f t="shared" si="53"/>
        <v>0</v>
      </c>
      <c r="P89" s="237">
        <f t="shared" si="53"/>
        <v>0</v>
      </c>
      <c r="Q89" s="237">
        <f t="shared" si="53"/>
        <v>0</v>
      </c>
      <c r="R89" s="237">
        <f t="shared" si="53"/>
        <v>0</v>
      </c>
    </row>
    <row r="90" spans="2:18" x14ac:dyDescent="0.35">
      <c r="B90" s="1378">
        <f t="shared" si="54"/>
        <v>45747</v>
      </c>
      <c r="C90" s="1773">
        <f>IF(J$63&gt;J$19,J$63-J$19,0)</f>
        <v>0</v>
      </c>
      <c r="D90" s="236"/>
      <c r="E90" s="236"/>
      <c r="F90" s="236"/>
      <c r="G90" s="237"/>
      <c r="H90" s="237"/>
      <c r="I90" s="237"/>
      <c r="J90" s="237">
        <f t="shared" si="53"/>
        <v>0</v>
      </c>
      <c r="K90" s="237">
        <f t="shared" si="53"/>
        <v>0</v>
      </c>
      <c r="L90" s="237">
        <f t="shared" si="53"/>
        <v>0</v>
      </c>
      <c r="M90" s="237">
        <f t="shared" si="53"/>
        <v>0</v>
      </c>
      <c r="N90" s="237">
        <f t="shared" si="53"/>
        <v>0</v>
      </c>
      <c r="O90" s="237">
        <f t="shared" si="53"/>
        <v>0</v>
      </c>
      <c r="P90" s="237">
        <f t="shared" si="53"/>
        <v>0</v>
      </c>
      <c r="Q90" s="237">
        <f t="shared" si="53"/>
        <v>0</v>
      </c>
      <c r="R90" s="237">
        <f t="shared" si="53"/>
        <v>0</v>
      </c>
    </row>
    <row r="91" spans="2:18" x14ac:dyDescent="0.35">
      <c r="B91" s="1378">
        <f t="shared" si="54"/>
        <v>46112</v>
      </c>
      <c r="C91" s="1773">
        <f>IF(K$63&gt;K$19,K$63-K$19,0)</f>
        <v>0</v>
      </c>
      <c r="D91" s="236"/>
      <c r="E91" s="236"/>
      <c r="F91" s="236"/>
      <c r="G91" s="237"/>
      <c r="H91" s="237"/>
      <c r="I91" s="237"/>
      <c r="J91" s="237"/>
      <c r="K91" s="237">
        <f t="shared" si="53"/>
        <v>0</v>
      </c>
      <c r="L91" s="237">
        <f t="shared" si="53"/>
        <v>0</v>
      </c>
      <c r="M91" s="237">
        <f t="shared" si="53"/>
        <v>0</v>
      </c>
      <c r="N91" s="237">
        <f t="shared" si="53"/>
        <v>0</v>
      </c>
      <c r="O91" s="237">
        <f t="shared" si="53"/>
        <v>0</v>
      </c>
      <c r="P91" s="237">
        <f t="shared" si="53"/>
        <v>0</v>
      </c>
      <c r="Q91" s="237">
        <f t="shared" si="53"/>
        <v>0</v>
      </c>
      <c r="R91" s="237">
        <f t="shared" si="53"/>
        <v>0</v>
      </c>
    </row>
    <row r="92" spans="2:18" x14ac:dyDescent="0.35">
      <c r="B92" s="1378">
        <f t="shared" si="54"/>
        <v>46477</v>
      </c>
      <c r="C92" s="1773">
        <f>IF(L$63&gt;L$19,L$63-L$19,0)</f>
        <v>0</v>
      </c>
      <c r="D92" s="236"/>
      <c r="E92" s="236"/>
      <c r="F92" s="236"/>
      <c r="G92" s="237"/>
      <c r="H92" s="237"/>
      <c r="I92" s="237"/>
      <c r="J92" s="237"/>
      <c r="K92" s="237"/>
      <c r="L92" s="237">
        <f t="shared" si="53"/>
        <v>0</v>
      </c>
      <c r="M92" s="237">
        <f t="shared" si="53"/>
        <v>0</v>
      </c>
      <c r="N92" s="237">
        <f t="shared" si="53"/>
        <v>0</v>
      </c>
      <c r="O92" s="237">
        <f t="shared" si="53"/>
        <v>0</v>
      </c>
      <c r="P92" s="237">
        <f t="shared" si="53"/>
        <v>0</v>
      </c>
      <c r="Q92" s="237">
        <f t="shared" si="53"/>
        <v>0</v>
      </c>
      <c r="R92" s="237">
        <f t="shared" si="53"/>
        <v>0</v>
      </c>
    </row>
    <row r="93" spans="2:18" x14ac:dyDescent="0.35">
      <c r="B93" s="1378">
        <f t="shared" si="54"/>
        <v>46843</v>
      </c>
      <c r="C93" s="1773">
        <f>IF(M$63&gt;M$19,M$63-M$19,0)</f>
        <v>0</v>
      </c>
      <c r="D93" s="236"/>
      <c r="E93" s="236"/>
      <c r="F93" s="236"/>
      <c r="G93" s="237"/>
      <c r="H93" s="237"/>
      <c r="I93" s="237"/>
      <c r="J93" s="237"/>
      <c r="K93" s="237"/>
      <c r="L93" s="237"/>
      <c r="M93" s="237">
        <f t="shared" ref="M93:R93" si="56">IF(DATEDIF($B93,M$4,"y")&lt;16,$C93,0)</f>
        <v>0</v>
      </c>
      <c r="N93" s="237">
        <f t="shared" si="56"/>
        <v>0</v>
      </c>
      <c r="O93" s="237">
        <f t="shared" si="56"/>
        <v>0</v>
      </c>
      <c r="P93" s="237">
        <f t="shared" si="56"/>
        <v>0</v>
      </c>
      <c r="Q93" s="237">
        <f t="shared" si="56"/>
        <v>0</v>
      </c>
      <c r="R93" s="237">
        <f t="shared" si="56"/>
        <v>0</v>
      </c>
    </row>
    <row r="94" spans="2:18" x14ac:dyDescent="0.35">
      <c r="B94" s="1378">
        <f t="shared" si="54"/>
        <v>47208</v>
      </c>
      <c r="C94" s="1773">
        <f>IF(N$63&gt;N$19,N$63-N$19,0)</f>
        <v>0</v>
      </c>
      <c r="D94" s="236"/>
      <c r="E94" s="236"/>
      <c r="F94" s="236"/>
      <c r="G94" s="237"/>
      <c r="H94" s="237"/>
      <c r="I94" s="237"/>
      <c r="J94" s="237"/>
      <c r="K94" s="237"/>
      <c r="L94" s="237"/>
      <c r="M94" s="237"/>
      <c r="N94" s="237">
        <f>IF(DATEDIF($B94,N$4,"y")&lt;16,$C94,0)</f>
        <v>0</v>
      </c>
      <c r="O94" s="237">
        <f>IF(DATEDIF($B94,O$4,"y")&lt;16,$C94,0)</f>
        <v>0</v>
      </c>
      <c r="P94" s="237">
        <f>IF(DATEDIF($B94,P$4,"y")&lt;16,$C94,0)</f>
        <v>0</v>
      </c>
      <c r="Q94" s="237">
        <f>IF(DATEDIF($B94,Q$4,"y")&lt;16,$C94,0)</f>
        <v>0</v>
      </c>
      <c r="R94" s="237">
        <f>IF(DATEDIF($B94,R$4,"y")&lt;16,$C94,0)</f>
        <v>0</v>
      </c>
    </row>
    <row r="95" spans="2:18" x14ac:dyDescent="0.35">
      <c r="B95" s="1378">
        <f t="shared" si="54"/>
        <v>47573</v>
      </c>
      <c r="C95" s="1773">
        <f>IF(O$63&gt;O$19,O$63-O$19,0)</f>
        <v>8.7890706411512625</v>
      </c>
      <c r="D95" s="236"/>
      <c r="E95" s="236"/>
      <c r="F95" s="236"/>
      <c r="G95" s="237"/>
      <c r="H95" s="237"/>
      <c r="I95" s="237"/>
      <c r="J95" s="237"/>
      <c r="K95" s="237"/>
      <c r="L95" s="237"/>
      <c r="M95" s="237"/>
      <c r="N95" s="237"/>
      <c r="O95" s="237">
        <f>IF(DATEDIF($B95,O$4,"y")&lt;16,$C95,0)</f>
        <v>8.7890706411512625</v>
      </c>
      <c r="P95" s="237">
        <f>IF(DATEDIF($B95,P$4,"y")&lt;16,$C95,0)</f>
        <v>8.7890706411512625</v>
      </c>
      <c r="Q95" s="237">
        <f>IF(DATEDIF($B95,Q$4,"y")&lt;16,$C95,0)</f>
        <v>8.7890706411512625</v>
      </c>
      <c r="R95" s="237">
        <f>IF(DATEDIF($B95,R$4,"y")&lt;16,$C95,0)</f>
        <v>8.7890706411512625</v>
      </c>
    </row>
    <row r="96" spans="2:18" x14ac:dyDescent="0.35">
      <c r="B96" s="1378">
        <f t="shared" si="54"/>
        <v>47938</v>
      </c>
      <c r="C96" s="1773">
        <f>IF(P$63&gt;P$19,P$63-P$19,0)</f>
        <v>70.772937396613258</v>
      </c>
      <c r="D96" s="236"/>
      <c r="E96" s="236"/>
      <c r="F96" s="236"/>
      <c r="G96" s="237"/>
      <c r="H96" s="237"/>
      <c r="I96" s="237"/>
      <c r="J96" s="237"/>
      <c r="K96" s="237"/>
      <c r="L96" s="237"/>
      <c r="M96" s="237"/>
      <c r="N96" s="237"/>
      <c r="O96" s="237"/>
      <c r="P96" s="237">
        <f>IF(DATEDIF($B96,P$4,"y")&lt;16,$C96,0)</f>
        <v>70.772937396613258</v>
      </c>
      <c r="Q96" s="237">
        <f>IF(DATEDIF($B96,Q$4,"y")&lt;16,$C96,0)</f>
        <v>70.772937396613258</v>
      </c>
      <c r="R96" s="237">
        <f>IF(DATEDIF($B96,R$4,"y")&lt;16,$C96,0)</f>
        <v>70.772937396613258</v>
      </c>
    </row>
    <row r="97" spans="1:18" x14ac:dyDescent="0.35">
      <c r="B97" s="1317" t="s">
        <v>36</v>
      </c>
      <c r="C97" s="326"/>
      <c r="D97" s="236"/>
      <c r="E97" s="236"/>
      <c r="F97" s="236"/>
      <c r="G97" s="239">
        <f t="shared" ref="G97:P97" si="57">SUM(G76:G96)</f>
        <v>550.19000000000005</v>
      </c>
      <c r="H97" s="239">
        <f t="shared" si="57"/>
        <v>550.19000000000005</v>
      </c>
      <c r="I97" s="239">
        <f t="shared" si="57"/>
        <v>550.19000000000005</v>
      </c>
      <c r="J97" s="239">
        <f t="shared" si="57"/>
        <v>550.19000000000005</v>
      </c>
      <c r="K97" s="239">
        <f t="shared" si="57"/>
        <v>550.19000000000005</v>
      </c>
      <c r="L97" s="239">
        <f t="shared" si="57"/>
        <v>550.19000000000005</v>
      </c>
      <c r="M97" s="239">
        <f t="shared" si="57"/>
        <v>550.19000000000005</v>
      </c>
      <c r="N97" s="239">
        <f t="shared" si="57"/>
        <v>550.19000000000005</v>
      </c>
      <c r="O97" s="239">
        <f t="shared" si="57"/>
        <v>558.97907064115134</v>
      </c>
      <c r="P97" s="239">
        <f t="shared" si="57"/>
        <v>370.28200803776457</v>
      </c>
      <c r="Q97" s="239">
        <f>SUM(Q76:Q96)</f>
        <v>370.28200803776457</v>
      </c>
      <c r="R97" s="239">
        <f>SUM(R76:R96)</f>
        <v>370.28200803776457</v>
      </c>
    </row>
    <row r="98" spans="1:18" x14ac:dyDescent="0.35">
      <c r="B98" s="1317"/>
      <c r="C98" s="326"/>
      <c r="D98" s="236"/>
      <c r="E98" s="236"/>
      <c r="F98" s="236"/>
      <c r="G98" s="239"/>
      <c r="H98" s="239"/>
      <c r="I98" s="239"/>
      <c r="J98" s="239"/>
      <c r="K98" s="239"/>
      <c r="L98" s="239"/>
      <c r="M98" s="239"/>
      <c r="N98" s="239"/>
      <c r="O98" s="237"/>
      <c r="P98" s="237"/>
      <c r="Q98" s="237"/>
    </row>
    <row r="99" spans="1:18" x14ac:dyDescent="0.35">
      <c r="B99" s="1321" t="s">
        <v>466</v>
      </c>
      <c r="C99" s="326"/>
      <c r="D99" s="236"/>
      <c r="E99" s="236"/>
      <c r="F99" s="236"/>
      <c r="G99" s="1698">
        <f>'Working - Corporate'!H124</f>
        <v>79.44</v>
      </c>
      <c r="H99" s="237">
        <f>G104</f>
        <v>79.44</v>
      </c>
      <c r="I99" s="237">
        <f t="shared" ref="I99:N99" si="58">H104</f>
        <v>79.44</v>
      </c>
      <c r="J99" s="237">
        <f t="shared" si="58"/>
        <v>79.44</v>
      </c>
      <c r="K99" s="237">
        <f t="shared" si="58"/>
        <v>79.44</v>
      </c>
      <c r="L99" s="237">
        <f t="shared" si="58"/>
        <v>79.44</v>
      </c>
      <c r="M99" s="237">
        <f t="shared" si="58"/>
        <v>79.44</v>
      </c>
      <c r="N99" s="237">
        <f t="shared" si="58"/>
        <v>79.44</v>
      </c>
      <c r="O99" s="237">
        <f>N104</f>
        <v>79.44</v>
      </c>
      <c r="P99" s="237">
        <f>O104</f>
        <v>88.229070641151253</v>
      </c>
      <c r="Q99" s="237">
        <f>P104</f>
        <v>159.00200803776451</v>
      </c>
    </row>
    <row r="100" spans="1:18" x14ac:dyDescent="0.35">
      <c r="B100" s="1321" t="s">
        <v>467</v>
      </c>
      <c r="C100" s="326"/>
      <c r="D100" s="236"/>
      <c r="E100" s="236"/>
      <c r="F100" s="236"/>
      <c r="G100" s="237">
        <f t="shared" ref="G100:Q100" si="59">IF(G63&gt;G19,G63-G19,0)</f>
        <v>0</v>
      </c>
      <c r="H100" s="320">
        <f t="shared" si="59"/>
        <v>0</v>
      </c>
      <c r="I100" s="237">
        <f t="shared" si="59"/>
        <v>0</v>
      </c>
      <c r="J100" s="237">
        <f t="shared" si="59"/>
        <v>0</v>
      </c>
      <c r="K100" s="237">
        <f t="shared" si="59"/>
        <v>0</v>
      </c>
      <c r="L100" s="237">
        <f t="shared" si="59"/>
        <v>0</v>
      </c>
      <c r="M100" s="237">
        <f t="shared" si="59"/>
        <v>0</v>
      </c>
      <c r="N100" s="237">
        <f t="shared" si="59"/>
        <v>0</v>
      </c>
      <c r="O100" s="237">
        <f t="shared" si="59"/>
        <v>8.7890706411512625</v>
      </c>
      <c r="P100" s="237">
        <f t="shared" si="59"/>
        <v>70.772937396613258</v>
      </c>
      <c r="Q100" s="237">
        <f t="shared" si="59"/>
        <v>0</v>
      </c>
    </row>
    <row r="101" spans="1:18" x14ac:dyDescent="0.35">
      <c r="B101" s="1321" t="s">
        <v>468</v>
      </c>
      <c r="C101" s="326"/>
      <c r="D101" s="236"/>
      <c r="E101" s="236"/>
      <c r="F101" s="236"/>
      <c r="G101" s="237">
        <f t="shared" ref="G101:Q101" si="60">IF(G63&lt;G19,MIN(G19-G63,G99),0)</f>
        <v>0</v>
      </c>
      <c r="H101" s="320">
        <f t="shared" si="60"/>
        <v>0</v>
      </c>
      <c r="I101" s="237">
        <f t="shared" si="60"/>
        <v>0</v>
      </c>
      <c r="J101" s="237">
        <f t="shared" si="60"/>
        <v>0</v>
      </c>
      <c r="K101" s="237">
        <f t="shared" si="60"/>
        <v>0</v>
      </c>
      <c r="L101" s="237">
        <f t="shared" si="60"/>
        <v>0</v>
      </c>
      <c r="M101" s="237">
        <f t="shared" si="60"/>
        <v>0</v>
      </c>
      <c r="N101" s="237">
        <f t="shared" si="60"/>
        <v>0</v>
      </c>
      <c r="O101" s="237">
        <f t="shared" si="60"/>
        <v>0</v>
      </c>
      <c r="P101" s="237">
        <f t="shared" si="60"/>
        <v>0</v>
      </c>
      <c r="Q101" s="237">
        <f t="shared" si="60"/>
        <v>89.056841614941632</v>
      </c>
    </row>
    <row r="102" spans="1:18" x14ac:dyDescent="0.35">
      <c r="B102" s="1321" t="s">
        <v>469</v>
      </c>
      <c r="C102" s="326"/>
      <c r="D102" s="236"/>
      <c r="E102" s="236"/>
      <c r="F102" s="236"/>
      <c r="G102" s="273">
        <f>G99+G100-G101</f>
        <v>79.44</v>
      </c>
      <c r="H102" s="384">
        <f t="shared" ref="H102:N102" si="61">H99+H100-H101</f>
        <v>79.44</v>
      </c>
      <c r="I102" s="273">
        <f t="shared" si="61"/>
        <v>79.44</v>
      </c>
      <c r="J102" s="273">
        <f t="shared" si="61"/>
        <v>79.44</v>
      </c>
      <c r="K102" s="273">
        <f t="shared" si="61"/>
        <v>79.44</v>
      </c>
      <c r="L102" s="273">
        <f t="shared" si="61"/>
        <v>79.44</v>
      </c>
      <c r="M102" s="273">
        <f t="shared" si="61"/>
        <v>79.44</v>
      </c>
      <c r="N102" s="273">
        <f t="shared" si="61"/>
        <v>79.44</v>
      </c>
      <c r="O102" s="273">
        <f>O99+O100-O101</f>
        <v>88.229070641151253</v>
      </c>
      <c r="P102" s="273">
        <f>P99+P100-P101</f>
        <v>159.00200803776451</v>
      </c>
      <c r="Q102" s="273">
        <f>Q99+Q100-Q101</f>
        <v>69.945166422822879</v>
      </c>
    </row>
    <row r="103" spans="1:18" x14ac:dyDescent="0.35">
      <c r="B103" s="1321" t="s">
        <v>470</v>
      </c>
      <c r="C103" s="326"/>
      <c r="D103" s="236"/>
      <c r="E103" s="236"/>
      <c r="F103" s="236"/>
      <c r="G103" s="237">
        <f t="shared" ref="G103:N103" si="62">IF(G102&gt;H97,G102-H97,0)</f>
        <v>0</v>
      </c>
      <c r="H103" s="320">
        <f t="shared" si="62"/>
        <v>0</v>
      </c>
      <c r="I103" s="237">
        <f t="shared" si="62"/>
        <v>0</v>
      </c>
      <c r="J103" s="237">
        <f t="shared" si="62"/>
        <v>0</v>
      </c>
      <c r="K103" s="237">
        <f t="shared" si="62"/>
        <v>0</v>
      </c>
      <c r="L103" s="237">
        <f t="shared" si="62"/>
        <v>0</v>
      </c>
      <c r="M103" s="237">
        <f t="shared" si="62"/>
        <v>0</v>
      </c>
      <c r="N103" s="237">
        <f t="shared" si="62"/>
        <v>0</v>
      </c>
      <c r="O103" s="237">
        <f>IF(O102&gt;P97,O102-P97,0)</f>
        <v>0</v>
      </c>
      <c r="P103" s="237">
        <f>IF(P102&gt;Q97,P102-Q97,0)</f>
        <v>0</v>
      </c>
      <c r="Q103" s="237">
        <f>IF(Q102&gt;R97,Q102-R97,0)</f>
        <v>0</v>
      </c>
    </row>
    <row r="104" spans="1:18" x14ac:dyDescent="0.35">
      <c r="B104" s="1321" t="s">
        <v>471</v>
      </c>
      <c r="C104" s="326"/>
      <c r="D104" s="236"/>
      <c r="E104" s="237"/>
      <c r="F104" s="237"/>
      <c r="G104" s="239">
        <f>G102-G103</f>
        <v>79.44</v>
      </c>
      <c r="H104" s="239">
        <f t="shared" ref="H104:N104" si="63">H102-H103</f>
        <v>79.44</v>
      </c>
      <c r="I104" s="239">
        <f t="shared" si="63"/>
        <v>79.44</v>
      </c>
      <c r="J104" s="239">
        <f t="shared" si="63"/>
        <v>79.44</v>
      </c>
      <c r="K104" s="239">
        <f t="shared" si="63"/>
        <v>79.44</v>
      </c>
      <c r="L104" s="239">
        <f t="shared" si="63"/>
        <v>79.44</v>
      </c>
      <c r="M104" s="239">
        <f t="shared" si="63"/>
        <v>79.44</v>
      </c>
      <c r="N104" s="239">
        <f t="shared" si="63"/>
        <v>79.44</v>
      </c>
      <c r="O104" s="239">
        <f>O102-O103</f>
        <v>88.229070641151253</v>
      </c>
      <c r="P104" s="239">
        <f>P102-P103</f>
        <v>159.00200803776451</v>
      </c>
      <c r="Q104" s="239">
        <f>Q102-Q103</f>
        <v>69.945166422822879</v>
      </c>
    </row>
    <row r="105" spans="1:18" x14ac:dyDescent="0.35">
      <c r="B105" s="1317"/>
      <c r="C105" s="326"/>
      <c r="D105" s="236"/>
      <c r="E105" s="236"/>
      <c r="F105" s="236"/>
      <c r="G105" s="239"/>
      <c r="H105" s="239"/>
      <c r="I105" s="239"/>
      <c r="J105" s="239"/>
      <c r="K105" s="239"/>
      <c r="L105" s="239"/>
      <c r="M105" s="239"/>
      <c r="N105" s="239"/>
      <c r="O105" s="239"/>
      <c r="P105" s="239"/>
      <c r="Q105" s="239"/>
    </row>
    <row r="106" spans="1:18" s="134" customFormat="1" x14ac:dyDescent="0.35">
      <c r="A106" s="318"/>
      <c r="B106" s="1318" t="s">
        <v>472</v>
      </c>
      <c r="C106" s="1314"/>
      <c r="D106" s="199"/>
      <c r="E106" s="199"/>
      <c r="F106" s="199"/>
      <c r="G106" s="239">
        <f t="shared" ref="G106:Q106" si="64">MAX(G63,G19)</f>
        <v>0</v>
      </c>
      <c r="H106" s="239">
        <f t="shared" si="64"/>
        <v>0</v>
      </c>
      <c r="I106" s="239">
        <f t="shared" si="64"/>
        <v>0</v>
      </c>
      <c r="J106" s="239">
        <f t="shared" si="64"/>
        <v>0</v>
      </c>
      <c r="K106" s="239">
        <f t="shared" si="64"/>
        <v>0</v>
      </c>
      <c r="L106" s="239">
        <f t="shared" si="64"/>
        <v>0</v>
      </c>
      <c r="M106" s="239">
        <f t="shared" si="64"/>
        <v>0</v>
      </c>
      <c r="N106" s="239">
        <f t="shared" si="64"/>
        <v>0</v>
      </c>
      <c r="O106" s="239">
        <f t="shared" si="64"/>
        <v>8.7890706411512625</v>
      </c>
      <c r="P106" s="239">
        <f t="shared" si="64"/>
        <v>70.772937396613258</v>
      </c>
      <c r="Q106" s="239">
        <f t="shared" si="64"/>
        <v>169.24847762624975</v>
      </c>
    </row>
    <row r="107" spans="1:18" x14ac:dyDescent="0.35">
      <c r="B107" s="1319" t="s">
        <v>473</v>
      </c>
      <c r="C107" s="326"/>
      <c r="D107" s="236"/>
      <c r="E107" s="236"/>
      <c r="F107" s="236"/>
      <c r="G107" s="237">
        <f>G101</f>
        <v>0</v>
      </c>
      <c r="H107" s="237">
        <f t="shared" ref="H107:N107" si="65">H101</f>
        <v>0</v>
      </c>
      <c r="I107" s="237">
        <f t="shared" si="65"/>
        <v>0</v>
      </c>
      <c r="J107" s="237">
        <f t="shared" si="65"/>
        <v>0</v>
      </c>
      <c r="K107" s="237">
        <f t="shared" si="65"/>
        <v>0</v>
      </c>
      <c r="L107" s="237">
        <f t="shared" si="65"/>
        <v>0</v>
      </c>
      <c r="M107" s="237">
        <f t="shared" si="65"/>
        <v>0</v>
      </c>
      <c r="N107" s="237">
        <f t="shared" si="65"/>
        <v>0</v>
      </c>
      <c r="O107" s="237">
        <f>O101</f>
        <v>0</v>
      </c>
      <c r="P107" s="237">
        <f>P101</f>
        <v>0</v>
      </c>
      <c r="Q107" s="237">
        <f>Q101</f>
        <v>89.056841614941632</v>
      </c>
    </row>
    <row r="108" spans="1:18" x14ac:dyDescent="0.35">
      <c r="B108" s="1317" t="s">
        <v>474</v>
      </c>
      <c r="C108" s="326"/>
      <c r="D108" s="236"/>
      <c r="E108" s="236"/>
      <c r="F108" s="236"/>
      <c r="G108" s="239">
        <f>G106-G107</f>
        <v>0</v>
      </c>
      <c r="H108" s="239">
        <f t="shared" ref="H108:N108" si="66">H106-H107</f>
        <v>0</v>
      </c>
      <c r="I108" s="239">
        <f t="shared" si="66"/>
        <v>0</v>
      </c>
      <c r="J108" s="239">
        <f t="shared" si="66"/>
        <v>0</v>
      </c>
      <c r="K108" s="239">
        <f t="shared" si="66"/>
        <v>0</v>
      </c>
      <c r="L108" s="239">
        <f t="shared" si="66"/>
        <v>0</v>
      </c>
      <c r="M108" s="239">
        <f t="shared" si="66"/>
        <v>0</v>
      </c>
      <c r="N108" s="239">
        <f t="shared" si="66"/>
        <v>0</v>
      </c>
      <c r="O108" s="239">
        <f>O106-O107</f>
        <v>8.7890706411512625</v>
      </c>
      <c r="P108" s="239">
        <f>P106-P107</f>
        <v>70.772937396613258</v>
      </c>
      <c r="Q108" s="239">
        <f>Q106-Q107</f>
        <v>80.19163601130812</v>
      </c>
    </row>
    <row r="109" spans="1:18" x14ac:dyDescent="0.35">
      <c r="B109" s="1317"/>
      <c r="C109" s="326"/>
      <c r="D109" s="236"/>
      <c r="E109" s="236"/>
      <c r="F109" s="236"/>
      <c r="G109" s="239"/>
      <c r="H109" s="239"/>
      <c r="I109" s="239"/>
      <c r="J109" s="239"/>
      <c r="K109" s="239"/>
      <c r="L109" s="239"/>
      <c r="M109" s="239"/>
      <c r="N109" s="239"/>
      <c r="O109" s="239"/>
      <c r="P109" s="239"/>
      <c r="Q109" s="239"/>
    </row>
    <row r="110" spans="1:18" x14ac:dyDescent="0.35">
      <c r="B110" s="1320" t="s">
        <v>475</v>
      </c>
      <c r="C110" s="326"/>
      <c r="D110" s="236"/>
      <c r="E110" s="236"/>
      <c r="F110" s="236"/>
      <c r="G110" s="239"/>
      <c r="H110" s="239"/>
      <c r="I110" s="239"/>
      <c r="J110" s="239"/>
      <c r="K110" s="239"/>
      <c r="L110" s="239"/>
      <c r="M110" s="239"/>
      <c r="N110" s="239"/>
      <c r="O110" s="239"/>
      <c r="P110" s="239"/>
      <c r="Q110" s="239"/>
    </row>
    <row r="111" spans="1:18" x14ac:dyDescent="0.35">
      <c r="B111" s="1321" t="s">
        <v>476</v>
      </c>
      <c r="C111" s="326"/>
      <c r="D111" s="236"/>
      <c r="E111" s="236"/>
      <c r="F111" s="236"/>
      <c r="G111" s="237">
        <f t="shared" ref="G111:Q111" si="67">G6</f>
        <v>214.63</v>
      </c>
      <c r="H111" s="237">
        <f t="shared" si="67"/>
        <v>215.8294257165827</v>
      </c>
      <c r="I111" s="237">
        <f t="shared" si="67"/>
        <v>215.20442435589436</v>
      </c>
      <c r="J111" s="237">
        <f t="shared" si="67"/>
        <v>214.13942299520602</v>
      </c>
      <c r="K111" s="237">
        <f t="shared" si="67"/>
        <v>214.62442163451766</v>
      </c>
      <c r="L111" s="237">
        <f t="shared" si="67"/>
        <v>214.64630845948335</v>
      </c>
      <c r="M111" s="237">
        <f t="shared" si="67"/>
        <v>214.72379655027177</v>
      </c>
      <c r="N111" s="237">
        <f t="shared" si="67"/>
        <v>215.20879518958344</v>
      </c>
      <c r="O111" s="237">
        <f t="shared" si="67"/>
        <v>215.69379382889508</v>
      </c>
      <c r="P111" s="237">
        <f t="shared" si="67"/>
        <v>216.12553979254363</v>
      </c>
      <c r="Q111" s="237">
        <f t="shared" si="67"/>
        <v>211.13009636577809</v>
      </c>
    </row>
    <row r="112" spans="1:18" x14ac:dyDescent="0.35">
      <c r="B112" s="1321" t="s">
        <v>477</v>
      </c>
      <c r="C112" s="326"/>
      <c r="D112" s="236"/>
      <c r="E112" s="236"/>
      <c r="F112" s="236"/>
      <c r="G112" s="237">
        <f t="shared" ref="G112:Q112" si="68">G7</f>
        <v>72.602115182799992</v>
      </c>
      <c r="H112" s="237">
        <f t="shared" si="68"/>
        <v>63.280373005880001</v>
      </c>
      <c r="I112" s="237">
        <f t="shared" si="68"/>
        <v>57.538362580947997</v>
      </c>
      <c r="J112" s="237">
        <f t="shared" si="68"/>
        <v>52.577380561988306</v>
      </c>
      <c r="K112" s="237">
        <f t="shared" si="68"/>
        <v>48.27630534780193</v>
      </c>
      <c r="L112" s="237">
        <f t="shared" si="68"/>
        <v>44.536583278739471</v>
      </c>
      <c r="M112" s="237">
        <f t="shared" si="68"/>
        <v>41.276842033150523</v>
      </c>
      <c r="N112" s="237">
        <f t="shared" si="68"/>
        <v>38.429134745232282</v>
      </c>
      <c r="O112" s="237">
        <f t="shared" si="68"/>
        <v>35.936239026488714</v>
      </c>
      <c r="P112" s="237">
        <f t="shared" si="68"/>
        <v>33.749654136266628</v>
      </c>
      <c r="Q112" s="237">
        <f t="shared" si="68"/>
        <v>31.828072653939877</v>
      </c>
    </row>
    <row r="113" spans="1:17" x14ac:dyDescent="0.35">
      <c r="B113" s="1321" t="s">
        <v>478</v>
      </c>
      <c r="C113" s="326"/>
      <c r="D113" s="236"/>
      <c r="E113" s="236"/>
      <c r="F113" s="236"/>
      <c r="G113" s="237">
        <f>G111-G112</f>
        <v>142.0278848172</v>
      </c>
      <c r="H113" s="237">
        <f t="shared" ref="H113:N113" si="69">H111-H112</f>
        <v>152.54905271070271</v>
      </c>
      <c r="I113" s="237">
        <f t="shared" si="69"/>
        <v>157.66606177494637</v>
      </c>
      <c r="J113" s="237">
        <f t="shared" si="69"/>
        <v>161.5620424332177</v>
      </c>
      <c r="K113" s="237">
        <f t="shared" si="69"/>
        <v>166.34811628671574</v>
      </c>
      <c r="L113" s="237">
        <f t="shared" si="69"/>
        <v>170.10972518074388</v>
      </c>
      <c r="M113" s="237">
        <f t="shared" si="69"/>
        <v>173.44695451712124</v>
      </c>
      <c r="N113" s="237">
        <f t="shared" si="69"/>
        <v>176.77966044435115</v>
      </c>
      <c r="O113" s="237">
        <f>O111-O112</f>
        <v>179.75755480240636</v>
      </c>
      <c r="P113" s="237">
        <f>P111-P112</f>
        <v>182.37588565627701</v>
      </c>
      <c r="Q113" s="237">
        <f>Q111-Q112</f>
        <v>179.30202371183822</v>
      </c>
    </row>
    <row r="114" spans="1:17" x14ac:dyDescent="0.35">
      <c r="B114" s="1322" t="s">
        <v>479</v>
      </c>
      <c r="C114" s="326"/>
      <c r="D114" s="236"/>
      <c r="E114" s="236"/>
      <c r="F114" s="236"/>
      <c r="G114" s="239">
        <f>(G113*$C$166)*0</f>
        <v>0</v>
      </c>
      <c r="H114" s="239">
        <f t="shared" ref="H114:Q114" si="70">(H113*$C$166)*0</f>
        <v>0</v>
      </c>
      <c r="I114" s="239">
        <f t="shared" si="70"/>
        <v>0</v>
      </c>
      <c r="J114" s="239">
        <f t="shared" si="70"/>
        <v>0</v>
      </c>
      <c r="K114" s="239">
        <f t="shared" si="70"/>
        <v>0</v>
      </c>
      <c r="L114" s="239">
        <f t="shared" si="70"/>
        <v>0</v>
      </c>
      <c r="M114" s="239">
        <f t="shared" si="70"/>
        <v>0</v>
      </c>
      <c r="N114" s="239">
        <f t="shared" si="70"/>
        <v>0</v>
      </c>
      <c r="O114" s="239">
        <f t="shared" si="70"/>
        <v>0</v>
      </c>
      <c r="P114" s="239">
        <f t="shared" si="70"/>
        <v>0</v>
      </c>
      <c r="Q114" s="239">
        <f t="shared" si="70"/>
        <v>0</v>
      </c>
    </row>
    <row r="115" spans="1:17" x14ac:dyDescent="0.35">
      <c r="B115" s="1321"/>
      <c r="C115" s="326"/>
      <c r="D115" s="236"/>
      <c r="E115" s="236"/>
      <c r="F115" s="236"/>
      <c r="G115" s="239"/>
      <c r="H115" s="239"/>
      <c r="I115" s="239"/>
      <c r="J115" s="239"/>
      <c r="K115" s="239"/>
      <c r="L115" s="239"/>
      <c r="M115" s="239"/>
      <c r="N115" s="239"/>
      <c r="O115" s="239"/>
      <c r="P115" s="239"/>
      <c r="Q115" s="239"/>
    </row>
    <row r="116" spans="1:17" x14ac:dyDescent="0.35">
      <c r="B116" s="1321" t="s">
        <v>480</v>
      </c>
      <c r="C116" s="326"/>
      <c r="D116" s="236"/>
      <c r="E116" s="236"/>
      <c r="F116" s="236"/>
      <c r="G116" s="1698">
        <f>'Balance Sheet'!F51</f>
        <v>590.93999999999994</v>
      </c>
      <c r="H116" s="237">
        <f>G118</f>
        <v>505.63</v>
      </c>
      <c r="I116" s="237">
        <f t="shared" ref="I116:Q116" si="71">H118</f>
        <v>505.63</v>
      </c>
      <c r="J116" s="237">
        <f t="shared" si="71"/>
        <v>505.63</v>
      </c>
      <c r="K116" s="237">
        <f t="shared" si="71"/>
        <v>505.63</v>
      </c>
      <c r="L116" s="237">
        <f t="shared" si="71"/>
        <v>505.63</v>
      </c>
      <c r="M116" s="237">
        <f t="shared" si="71"/>
        <v>505.63</v>
      </c>
      <c r="N116" s="237">
        <f t="shared" si="71"/>
        <v>505.63</v>
      </c>
      <c r="O116" s="237">
        <f t="shared" si="71"/>
        <v>505.63</v>
      </c>
      <c r="P116" s="237">
        <f t="shared" si="71"/>
        <v>505.63</v>
      </c>
      <c r="Q116" s="237">
        <f t="shared" si="71"/>
        <v>505.63</v>
      </c>
    </row>
    <row r="117" spans="1:17" x14ac:dyDescent="0.35">
      <c r="B117" s="1321" t="s">
        <v>481</v>
      </c>
      <c r="C117" s="326"/>
      <c r="D117" s="236"/>
      <c r="E117" s="236"/>
      <c r="F117" s="236"/>
      <c r="G117" s="1698">
        <f>G118-G116</f>
        <v>-85.309999999999945</v>
      </c>
      <c r="H117" s="320">
        <f t="shared" ref="H117:Q117" si="72">-H114</f>
        <v>0</v>
      </c>
      <c r="I117" s="237">
        <f t="shared" si="72"/>
        <v>0</v>
      </c>
      <c r="J117" s="237">
        <f t="shared" si="72"/>
        <v>0</v>
      </c>
      <c r="K117" s="237">
        <f t="shared" si="72"/>
        <v>0</v>
      </c>
      <c r="L117" s="237">
        <f t="shared" si="72"/>
        <v>0</v>
      </c>
      <c r="M117" s="237">
        <f t="shared" si="72"/>
        <v>0</v>
      </c>
      <c r="N117" s="237">
        <f t="shared" si="72"/>
        <v>0</v>
      </c>
      <c r="O117" s="237">
        <f t="shared" si="72"/>
        <v>0</v>
      </c>
      <c r="P117" s="237">
        <f t="shared" si="72"/>
        <v>0</v>
      </c>
      <c r="Q117" s="237">
        <f t="shared" si="72"/>
        <v>0</v>
      </c>
    </row>
    <row r="118" spans="1:17" s="134" customFormat="1" x14ac:dyDescent="0.35">
      <c r="A118" s="318"/>
      <c r="B118" s="1322" t="s">
        <v>482</v>
      </c>
      <c r="C118" s="1314"/>
      <c r="D118" s="199"/>
      <c r="E118" s="199"/>
      <c r="F118" s="199"/>
      <c r="G118" s="1715">
        <f>'Balance Sheet'!G51</f>
        <v>505.63</v>
      </c>
      <c r="H118" s="239">
        <f t="shared" ref="H118:N118" si="73">H116+H117</f>
        <v>505.63</v>
      </c>
      <c r="I118" s="239">
        <f t="shared" si="73"/>
        <v>505.63</v>
      </c>
      <c r="J118" s="239">
        <f t="shared" si="73"/>
        <v>505.63</v>
      </c>
      <c r="K118" s="239">
        <f t="shared" si="73"/>
        <v>505.63</v>
      </c>
      <c r="L118" s="239">
        <f t="shared" si="73"/>
        <v>505.63</v>
      </c>
      <c r="M118" s="239">
        <f t="shared" si="73"/>
        <v>505.63</v>
      </c>
      <c r="N118" s="239">
        <f t="shared" si="73"/>
        <v>505.63</v>
      </c>
      <c r="O118" s="239">
        <f>O116+O117</f>
        <v>505.63</v>
      </c>
      <c r="P118" s="239">
        <f>P116+P117</f>
        <v>505.63</v>
      </c>
      <c r="Q118" s="239">
        <f>Q116+Q117</f>
        <v>505.63</v>
      </c>
    </row>
    <row r="119" spans="1:17" s="114" customFormat="1" x14ac:dyDescent="0.35">
      <c r="A119" s="117"/>
      <c r="B119" s="1323"/>
      <c r="C119" s="1324"/>
      <c r="G119" s="1717"/>
    </row>
    <row r="120" spans="1:17" s="114" customFormat="1" x14ac:dyDescent="0.35">
      <c r="A120" s="117"/>
      <c r="B120" s="209" t="s">
        <v>1025</v>
      </c>
      <c r="C120" s="182"/>
      <c r="D120" s="182"/>
      <c r="E120" s="182"/>
      <c r="F120" s="182"/>
      <c r="G120" s="182"/>
    </row>
    <row r="121" spans="1:17" s="114" customFormat="1" x14ac:dyDescent="0.35">
      <c r="A121" s="117"/>
      <c r="B121" s="322" t="s">
        <v>257</v>
      </c>
      <c r="C121" s="322"/>
      <c r="D121" s="323"/>
      <c r="E121" s="323"/>
      <c r="F121" s="629" t="s">
        <v>451</v>
      </c>
      <c r="G121" s="323" t="s">
        <v>447</v>
      </c>
    </row>
    <row r="122" spans="1:17" s="114" customFormat="1" x14ac:dyDescent="0.35">
      <c r="A122" s="117"/>
      <c r="B122" s="324">
        <f t="shared" ref="B122:B127" si="74">B123-1</f>
        <v>1996</v>
      </c>
      <c r="C122" s="673"/>
      <c r="D122" s="674"/>
      <c r="E122" s="674"/>
      <c r="F122" s="675"/>
      <c r="G122" s="674"/>
    </row>
    <row r="123" spans="1:17" s="114" customFormat="1" x14ac:dyDescent="0.35">
      <c r="A123" s="117"/>
      <c r="B123" s="324">
        <f t="shared" si="74"/>
        <v>1997</v>
      </c>
      <c r="C123" s="673"/>
      <c r="D123" s="674"/>
      <c r="E123" s="674"/>
      <c r="F123" s="677">
        <v>0.42284709999999998</v>
      </c>
      <c r="G123" s="678"/>
    </row>
    <row r="124" spans="1:17" s="114" customFormat="1" x14ac:dyDescent="0.35">
      <c r="A124" s="117"/>
      <c r="B124" s="324">
        <f t="shared" si="74"/>
        <v>1998</v>
      </c>
      <c r="C124" s="673"/>
      <c r="D124" s="674"/>
      <c r="E124" s="674"/>
      <c r="F124" s="677"/>
      <c r="G124" s="678"/>
    </row>
    <row r="125" spans="1:17" s="114" customFormat="1" x14ac:dyDescent="0.35">
      <c r="A125" s="117"/>
      <c r="B125" s="324">
        <f t="shared" si="74"/>
        <v>1999</v>
      </c>
      <c r="C125" s="673"/>
      <c r="D125" s="674"/>
      <c r="E125" s="674"/>
      <c r="F125" s="677"/>
      <c r="G125" s="678"/>
    </row>
    <row r="126" spans="1:17" s="114" customFormat="1" x14ac:dyDescent="0.35">
      <c r="A126" s="117"/>
      <c r="B126" s="324">
        <f t="shared" si="74"/>
        <v>2000</v>
      </c>
      <c r="C126" s="673"/>
      <c r="D126" s="674"/>
      <c r="E126" s="674"/>
      <c r="F126" s="677">
        <v>2.3493268</v>
      </c>
      <c r="G126" s="678"/>
    </row>
    <row r="127" spans="1:17" s="114" customFormat="1" x14ac:dyDescent="0.35">
      <c r="A127" s="117"/>
      <c r="B127" s="324">
        <f t="shared" si="74"/>
        <v>2001</v>
      </c>
      <c r="C127" s="673"/>
      <c r="D127" s="674"/>
      <c r="E127" s="674"/>
      <c r="F127" s="677">
        <v>1.2952121999999999</v>
      </c>
      <c r="G127" s="678"/>
    </row>
    <row r="128" spans="1:17" s="117" customFormat="1" x14ac:dyDescent="0.35">
      <c r="B128" s="324">
        <f t="shared" ref="B128:B138" si="75">B129-1</f>
        <v>2002</v>
      </c>
      <c r="C128" s="673"/>
      <c r="D128" s="674"/>
      <c r="E128" s="674"/>
      <c r="F128" s="677">
        <v>0.35476940000000001</v>
      </c>
      <c r="G128" s="678"/>
    </row>
    <row r="129" spans="1:7" s="117" customFormat="1" x14ac:dyDescent="0.35">
      <c r="B129" s="324">
        <f t="shared" si="75"/>
        <v>2003</v>
      </c>
      <c r="C129" s="673"/>
      <c r="D129" s="674"/>
      <c r="E129" s="674"/>
      <c r="F129" s="677">
        <v>3.2873538999999998</v>
      </c>
      <c r="G129" s="678"/>
    </row>
    <row r="130" spans="1:7" s="117" customFormat="1" x14ac:dyDescent="0.35">
      <c r="B130" s="324">
        <f t="shared" si="75"/>
        <v>2004</v>
      </c>
      <c r="C130" s="673"/>
      <c r="D130" s="674"/>
      <c r="E130" s="674"/>
      <c r="F130" s="677"/>
      <c r="G130" s="678"/>
    </row>
    <row r="131" spans="1:7" s="117" customFormat="1" x14ac:dyDescent="0.35">
      <c r="B131" s="324">
        <f t="shared" si="75"/>
        <v>2005</v>
      </c>
      <c r="C131" s="673"/>
      <c r="D131" s="674"/>
      <c r="E131" s="674"/>
      <c r="F131" s="677">
        <v>2.8361589</v>
      </c>
      <c r="G131" s="678"/>
    </row>
    <row r="132" spans="1:7" s="117" customFormat="1" x14ac:dyDescent="0.35">
      <c r="B132" s="324">
        <f t="shared" si="75"/>
        <v>2006</v>
      </c>
      <c r="C132" s="673"/>
      <c r="D132" s="674"/>
      <c r="E132" s="674"/>
      <c r="F132" s="677">
        <v>2.384004</v>
      </c>
      <c r="G132" s="678"/>
    </row>
    <row r="133" spans="1:7" s="117" customFormat="1" x14ac:dyDescent="0.35">
      <c r="B133" s="324">
        <f t="shared" si="75"/>
        <v>2007</v>
      </c>
      <c r="C133" s="673"/>
      <c r="D133" s="674"/>
      <c r="E133" s="674"/>
      <c r="F133" s="677">
        <v>17.1784143</v>
      </c>
      <c r="G133" s="678"/>
    </row>
    <row r="134" spans="1:7" s="117" customFormat="1" x14ac:dyDescent="0.35">
      <c r="B134" s="324">
        <f t="shared" si="75"/>
        <v>2008</v>
      </c>
      <c r="C134" s="673"/>
      <c r="D134" s="674"/>
      <c r="E134" s="674"/>
      <c r="F134" s="677">
        <v>606.57000000000005</v>
      </c>
      <c r="G134" s="678"/>
    </row>
    <row r="135" spans="1:7" s="117" customFormat="1" x14ac:dyDescent="0.35">
      <c r="B135" s="324">
        <f t="shared" si="75"/>
        <v>2009</v>
      </c>
      <c r="C135" s="673"/>
      <c r="D135" s="674"/>
      <c r="E135" s="674"/>
      <c r="F135" s="677">
        <v>295.37</v>
      </c>
      <c r="G135" s="678"/>
    </row>
    <row r="136" spans="1:7" s="117" customFormat="1" x14ac:dyDescent="0.35">
      <c r="B136" s="324">
        <f t="shared" si="75"/>
        <v>2010</v>
      </c>
      <c r="C136" s="673"/>
      <c r="D136" s="674"/>
      <c r="E136" s="674"/>
      <c r="F136" s="677">
        <v>82.886673299999998</v>
      </c>
      <c r="G136" s="678"/>
    </row>
    <row r="137" spans="1:7" s="117" customFormat="1" x14ac:dyDescent="0.35">
      <c r="B137" s="324">
        <f t="shared" si="75"/>
        <v>2011</v>
      </c>
      <c r="C137" s="673"/>
      <c r="D137" s="674"/>
      <c r="E137" s="674"/>
      <c r="F137" s="677">
        <v>0.68449780000000005</v>
      </c>
      <c r="G137" s="678"/>
    </row>
    <row r="138" spans="1:7" s="117" customFormat="1" x14ac:dyDescent="0.35">
      <c r="B138" s="324">
        <f t="shared" si="75"/>
        <v>2012</v>
      </c>
      <c r="C138" s="673"/>
      <c r="D138" s="674"/>
      <c r="E138" s="674"/>
      <c r="F138" s="677">
        <v>223.6653025</v>
      </c>
      <c r="G138" s="678"/>
    </row>
    <row r="139" spans="1:7" s="117" customFormat="1" x14ac:dyDescent="0.35">
      <c r="B139" s="324">
        <f>B140-1</f>
        <v>2013</v>
      </c>
      <c r="C139" s="673"/>
      <c r="D139" s="674"/>
      <c r="E139" s="674"/>
      <c r="F139" s="677">
        <v>187.90125140000001</v>
      </c>
      <c r="G139" s="678"/>
    </row>
    <row r="140" spans="1:7" s="114" customFormat="1" x14ac:dyDescent="0.35">
      <c r="A140" s="117"/>
      <c r="B140" s="324">
        <v>2014</v>
      </c>
      <c r="C140" s="325"/>
      <c r="D140" s="326"/>
      <c r="E140" s="326"/>
      <c r="F140" s="1795">
        <v>209.0424476</v>
      </c>
      <c r="G140" s="676">
        <v>456.02274220000004</v>
      </c>
    </row>
    <row r="141" spans="1:7" s="114" customFormat="1" x14ac:dyDescent="0.35">
      <c r="A141" s="117"/>
      <c r="B141" s="324">
        <v>2015</v>
      </c>
      <c r="C141" s="325"/>
      <c r="D141" s="326"/>
      <c r="E141" s="326"/>
      <c r="F141" s="1795">
        <v>176.6607631</v>
      </c>
      <c r="G141" s="676">
        <v>1020.8823732</v>
      </c>
    </row>
    <row r="142" spans="1:7" s="114" customFormat="1" x14ac:dyDescent="0.35">
      <c r="A142" s="117"/>
      <c r="B142" s="324">
        <v>2016</v>
      </c>
      <c r="C142" s="325"/>
      <c r="D142" s="326"/>
      <c r="E142" s="326"/>
      <c r="F142" s="1795"/>
      <c r="G142" s="676">
        <v>0</v>
      </c>
    </row>
    <row r="143" spans="1:7" s="114" customFormat="1" x14ac:dyDescent="0.35">
      <c r="A143" s="117"/>
      <c r="B143" s="324">
        <v>2017</v>
      </c>
      <c r="C143" s="325"/>
      <c r="D143" s="326"/>
      <c r="E143" s="326"/>
      <c r="F143" s="1795"/>
      <c r="G143" s="676">
        <v>0</v>
      </c>
    </row>
    <row r="144" spans="1:7" s="114" customFormat="1" x14ac:dyDescent="0.35">
      <c r="A144" s="117"/>
      <c r="B144" s="324">
        <v>2018</v>
      </c>
      <c r="C144" s="325"/>
      <c r="D144" s="326"/>
      <c r="E144" s="326"/>
      <c r="F144" s="1795">
        <v>23.6</v>
      </c>
      <c r="G144" s="676">
        <v>0</v>
      </c>
    </row>
    <row r="145" spans="1:7" s="114" customFormat="1" x14ac:dyDescent="0.35">
      <c r="A145" s="117"/>
      <c r="B145" s="324">
        <v>2019</v>
      </c>
      <c r="C145" s="325"/>
      <c r="D145" s="326"/>
      <c r="E145" s="326"/>
      <c r="F145" s="1795"/>
      <c r="G145" s="676">
        <v>0</v>
      </c>
    </row>
    <row r="146" spans="1:7" s="114" customFormat="1" x14ac:dyDescent="0.35">
      <c r="A146" s="117"/>
      <c r="B146" s="324">
        <v>2020</v>
      </c>
      <c r="C146" s="325"/>
      <c r="D146" s="326"/>
      <c r="E146" s="326"/>
      <c r="F146" s="1795"/>
      <c r="G146" s="676">
        <v>0</v>
      </c>
    </row>
    <row r="147" spans="1:7" s="114" customFormat="1" x14ac:dyDescent="0.35">
      <c r="A147" s="117"/>
      <c r="B147" s="324">
        <v>2021</v>
      </c>
      <c r="C147" s="325"/>
      <c r="D147" s="326"/>
      <c r="E147" s="326"/>
      <c r="F147" s="1795">
        <v>43.43</v>
      </c>
      <c r="G147" s="676"/>
    </row>
    <row r="148" spans="1:7" s="114" customFormat="1" x14ac:dyDescent="0.35">
      <c r="A148" s="117"/>
      <c r="B148" s="632" t="s">
        <v>36</v>
      </c>
      <c r="C148" s="325"/>
      <c r="D148" s="326"/>
      <c r="E148" s="326"/>
      <c r="F148" s="633">
        <f>SUM(F123:F147)</f>
        <v>1879.9190223000001</v>
      </c>
      <c r="G148" s="633">
        <f>SUM(G123:G147)</f>
        <v>1476.9051153999999</v>
      </c>
    </row>
    <row r="149" spans="1:7" s="114" customFormat="1" x14ac:dyDescent="0.35">
      <c r="A149" s="117"/>
      <c r="B149" s="1323"/>
      <c r="C149" s="1324"/>
    </row>
    <row r="150" spans="1:7" s="114" customFormat="1" x14ac:dyDescent="0.35">
      <c r="A150" s="117"/>
      <c r="B150" s="209" t="s">
        <v>1024</v>
      </c>
      <c r="C150" s="182"/>
      <c r="D150" s="182"/>
      <c r="E150" s="182"/>
      <c r="F150" s="182"/>
      <c r="G150" s="182"/>
    </row>
    <row r="151" spans="1:7" s="114" customFormat="1" x14ac:dyDescent="0.35">
      <c r="A151" s="117"/>
      <c r="B151" s="322" t="s">
        <v>257</v>
      </c>
      <c r="C151" s="322"/>
      <c r="D151" s="323"/>
      <c r="E151" s="323"/>
      <c r="F151" s="629" t="s">
        <v>451</v>
      </c>
      <c r="G151" s="323" t="s">
        <v>447</v>
      </c>
    </row>
    <row r="152" spans="1:7" s="114" customFormat="1" x14ac:dyDescent="0.35">
      <c r="A152" s="117"/>
      <c r="B152" s="324">
        <v>2015</v>
      </c>
      <c r="C152" s="325"/>
      <c r="D152" s="326"/>
      <c r="E152" s="326"/>
      <c r="F152" s="676">
        <v>239.94</v>
      </c>
      <c r="G152" s="676">
        <v>259.47000000000003</v>
      </c>
    </row>
    <row r="153" spans="1:7" s="114" customFormat="1" x14ac:dyDescent="0.35">
      <c r="A153" s="117"/>
      <c r="B153" s="324">
        <v>2016</v>
      </c>
      <c r="C153" s="325"/>
      <c r="D153" s="326"/>
      <c r="E153" s="326"/>
      <c r="F153" s="676">
        <v>114.28</v>
      </c>
      <c r="G153" s="676">
        <v>0</v>
      </c>
    </row>
    <row r="154" spans="1:7" s="114" customFormat="1" x14ac:dyDescent="0.35">
      <c r="A154" s="117"/>
      <c r="B154" s="324">
        <v>2017</v>
      </c>
      <c r="C154" s="325"/>
      <c r="D154" s="326"/>
      <c r="E154" s="326"/>
      <c r="F154" s="676">
        <v>0</v>
      </c>
      <c r="G154" s="676">
        <v>0</v>
      </c>
    </row>
    <row r="155" spans="1:7" s="114" customFormat="1" x14ac:dyDescent="0.35">
      <c r="A155" s="117"/>
      <c r="B155" s="324">
        <v>2018</v>
      </c>
      <c r="C155" s="325"/>
      <c r="D155" s="326"/>
      <c r="E155" s="326"/>
      <c r="F155" s="676">
        <v>196.91</v>
      </c>
      <c r="G155" s="676">
        <v>226.28</v>
      </c>
    </row>
    <row r="156" spans="1:7" s="114" customFormat="1" x14ac:dyDescent="0.35">
      <c r="A156" s="117"/>
      <c r="B156" s="324">
        <v>2019</v>
      </c>
      <c r="C156" s="325"/>
      <c r="D156" s="326"/>
      <c r="E156" s="326"/>
      <c r="F156" s="676">
        <v>64.08</v>
      </c>
      <c r="G156" s="676">
        <v>0</v>
      </c>
    </row>
    <row r="157" spans="1:7" s="114" customFormat="1" x14ac:dyDescent="0.35">
      <c r="A157" s="117"/>
      <c r="B157" s="324">
        <v>2020</v>
      </c>
      <c r="C157" s="325"/>
      <c r="D157" s="326"/>
      <c r="E157" s="326"/>
      <c r="F157" s="676">
        <v>105.37</v>
      </c>
      <c r="G157" s="676">
        <v>0</v>
      </c>
    </row>
    <row r="158" spans="1:7" s="114" customFormat="1" x14ac:dyDescent="0.35">
      <c r="A158" s="117"/>
      <c r="B158" s="324">
        <v>2021</v>
      </c>
      <c r="C158" s="325"/>
      <c r="D158" s="326"/>
      <c r="E158" s="326"/>
      <c r="F158" s="676">
        <v>215.16</v>
      </c>
      <c r="G158" s="676">
        <v>64.44</v>
      </c>
    </row>
    <row r="159" spans="1:7" s="114" customFormat="1" x14ac:dyDescent="0.35">
      <c r="A159" s="117"/>
      <c r="B159" s="324">
        <v>2022</v>
      </c>
      <c r="C159" s="325"/>
      <c r="D159" s="326"/>
      <c r="E159" s="326"/>
      <c r="F159" s="676">
        <v>214.63</v>
      </c>
      <c r="G159" s="676">
        <f>222.36-F159</f>
        <v>7.7300000000000182</v>
      </c>
    </row>
    <row r="160" spans="1:7" s="114" customFormat="1" x14ac:dyDescent="0.35">
      <c r="A160" s="117"/>
      <c r="B160" s="632" t="s">
        <v>36</v>
      </c>
      <c r="C160" s="325"/>
      <c r="D160" s="326"/>
      <c r="E160" s="326"/>
      <c r="F160" s="633">
        <f>SUM(F152:F159)</f>
        <v>1150.3699999999999</v>
      </c>
      <c r="G160" s="633">
        <f>SUM(G152:G158)</f>
        <v>550.19000000000005</v>
      </c>
    </row>
    <row r="161" spans="1:6" s="114" customFormat="1" x14ac:dyDescent="0.35">
      <c r="A161" s="117"/>
    </row>
    <row r="162" spans="1:6" s="114" customFormat="1" x14ac:dyDescent="0.35">
      <c r="A162" s="117"/>
      <c r="B162" s="208" t="s">
        <v>484</v>
      </c>
      <c r="C162" s="410" t="s">
        <v>485</v>
      </c>
      <c r="E162" s="1325"/>
      <c r="F162" s="410" t="s">
        <v>486</v>
      </c>
    </row>
    <row r="163" spans="1:6" s="114" customFormat="1" x14ac:dyDescent="0.35">
      <c r="A163" s="117"/>
      <c r="B163" s="236" t="s">
        <v>487</v>
      </c>
      <c r="C163" s="327">
        <v>0.3</v>
      </c>
      <c r="E163" s="1308"/>
      <c r="F163" s="1307">
        <v>0.15</v>
      </c>
    </row>
    <row r="164" spans="1:6" s="114" customFormat="1" x14ac:dyDescent="0.35">
      <c r="A164" s="117"/>
      <c r="B164" s="236" t="s">
        <v>488</v>
      </c>
      <c r="C164" s="1309">
        <f>C163*12%</f>
        <v>3.5999999999999997E-2</v>
      </c>
      <c r="E164" s="1310"/>
      <c r="F164" s="1309">
        <f>F163*12%</f>
        <v>1.7999999999999999E-2</v>
      </c>
    </row>
    <row r="165" spans="1:6" s="114" customFormat="1" x14ac:dyDescent="0.35">
      <c r="A165" s="117"/>
      <c r="B165" s="236" t="s">
        <v>489</v>
      </c>
      <c r="C165" s="1309">
        <f>SUM(C163:C164)*4%</f>
        <v>1.3439999999999999E-2</v>
      </c>
      <c r="E165" s="1310"/>
      <c r="F165" s="1309">
        <f>SUM(F163:F164)*4%</f>
        <v>6.7199999999999994E-3</v>
      </c>
    </row>
    <row r="166" spans="1:6" s="114" customFormat="1" x14ac:dyDescent="0.35">
      <c r="A166" s="117"/>
      <c r="B166" s="199" t="s">
        <v>490</v>
      </c>
      <c r="C166" s="207">
        <f>SUM(C163:C165)</f>
        <v>0.34943999999999997</v>
      </c>
      <c r="E166" s="1310"/>
      <c r="F166" s="207">
        <f>SUM(F163:F165)</f>
        <v>0.17471999999999999</v>
      </c>
    </row>
    <row r="167" spans="1:6" s="114" customFormat="1" x14ac:dyDescent="0.35">
      <c r="A167" s="117"/>
    </row>
    <row r="168" spans="1:6" s="114" customFormat="1" x14ac:dyDescent="0.35">
      <c r="A168" s="117"/>
    </row>
  </sheetData>
  <phoneticPr fontId="37" type="noConversion"/>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C14:C18"/>
  <sheetViews>
    <sheetView workbookViewId="0">
      <selection activeCell="H16" sqref="H16"/>
    </sheetView>
  </sheetViews>
  <sheetFormatPr defaultColWidth="8.7265625" defaultRowHeight="14.5" x14ac:dyDescent="0.35"/>
  <cols>
    <col min="1" max="2" width="8.7265625" style="211"/>
    <col min="3" max="3" width="29" style="211" customWidth="1"/>
    <col min="4" max="4" width="9.7265625" style="211" customWidth="1"/>
    <col min="5" max="16384" width="8.7265625" style="211"/>
  </cols>
  <sheetData>
    <row r="14" spans="3:3" x14ac:dyDescent="0.35">
      <c r="C14" s="1732"/>
    </row>
    <row r="15" spans="3:3" x14ac:dyDescent="0.35">
      <c r="C15" s="1732"/>
    </row>
    <row r="16" spans="3:3" x14ac:dyDescent="0.35">
      <c r="C16" s="1732"/>
    </row>
    <row r="17" spans="3:3" x14ac:dyDescent="0.35">
      <c r="C17" s="1732"/>
    </row>
    <row r="18" spans="3:3" x14ac:dyDescent="0.35">
      <c r="C18" s="1732"/>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4">
    <tabColor rgb="FFFFFF00"/>
  </sheetPr>
  <dimension ref="A1:K431"/>
  <sheetViews>
    <sheetView showGridLines="0" zoomScale="85" zoomScaleNormal="85" workbookViewId="0">
      <selection activeCell="C242" sqref="C242:D242"/>
    </sheetView>
  </sheetViews>
  <sheetFormatPr defaultColWidth="9.453125" defaultRowHeight="14.5" x14ac:dyDescent="0.35"/>
  <cols>
    <col min="1" max="1" width="3.453125" style="715" customWidth="1"/>
    <col min="2" max="2" width="4.453125" style="719" customWidth="1"/>
    <col min="3" max="3" width="40.54296875" style="718" customWidth="1"/>
    <col min="4" max="4" width="7.453125" style="717" customWidth="1"/>
    <col min="5" max="5" width="14.54296875" style="717" customWidth="1"/>
    <col min="6" max="9" width="13.26953125" style="715" bestFit="1" customWidth="1"/>
    <col min="10" max="10" width="13.26953125" style="716" bestFit="1" customWidth="1"/>
    <col min="11" max="11" width="9.453125" style="715" customWidth="1"/>
    <col min="12" max="16384" width="9.453125" style="715"/>
  </cols>
  <sheetData>
    <row r="1" spans="2:10" x14ac:dyDescent="0.35">
      <c r="B1" s="754"/>
      <c r="C1" s="1134" t="s">
        <v>1391</v>
      </c>
      <c r="D1" s="718"/>
      <c r="E1" s="718"/>
    </row>
    <row r="2" spans="2:10" ht="15" thickBot="1" x14ac:dyDescent="0.4">
      <c r="B2" s="1133"/>
      <c r="C2" s="788"/>
      <c r="D2" s="788"/>
      <c r="E2" s="788"/>
      <c r="F2" s="799"/>
      <c r="G2" s="799"/>
      <c r="H2" s="799"/>
      <c r="I2" s="799"/>
      <c r="J2" s="1216" t="s">
        <v>97</v>
      </c>
    </row>
    <row r="3" spans="2:10" x14ac:dyDescent="0.35">
      <c r="B3" s="1217"/>
      <c r="C3" s="1863" t="s">
        <v>1390</v>
      </c>
      <c r="D3" s="1864"/>
      <c r="E3" s="1218" t="s">
        <v>367</v>
      </c>
      <c r="F3" s="1218" t="s">
        <v>367</v>
      </c>
      <c r="G3" s="1218" t="s">
        <v>367</v>
      </c>
      <c r="H3" s="1218" t="s">
        <v>367</v>
      </c>
      <c r="I3" s="1218" t="s">
        <v>1389</v>
      </c>
      <c r="J3" s="1219" t="s">
        <v>368</v>
      </c>
    </row>
    <row r="4" spans="2:10" x14ac:dyDescent="0.35">
      <c r="B4" s="1220"/>
      <c r="C4" s="1865" t="s">
        <v>1388</v>
      </c>
      <c r="D4" s="1866"/>
      <c r="E4" s="1221" t="s">
        <v>337</v>
      </c>
      <c r="F4" s="1221" t="s">
        <v>338</v>
      </c>
      <c r="G4" s="1222" t="s">
        <v>339</v>
      </c>
      <c r="H4" s="1222" t="s">
        <v>340</v>
      </c>
      <c r="I4" s="1222" t="s">
        <v>1387</v>
      </c>
      <c r="J4" s="1223" t="s">
        <v>1386</v>
      </c>
    </row>
    <row r="5" spans="2:10" ht="15" thickBot="1" x14ac:dyDescent="0.4">
      <c r="B5" s="1224"/>
      <c r="C5" s="1867" t="s">
        <v>1385</v>
      </c>
      <c r="D5" s="1868"/>
      <c r="E5" s="1225">
        <v>12</v>
      </c>
      <c r="F5" s="1225">
        <v>12</v>
      </c>
      <c r="G5" s="1226">
        <v>12</v>
      </c>
      <c r="H5" s="1226">
        <v>12</v>
      </c>
      <c r="I5" s="1225">
        <v>12</v>
      </c>
      <c r="J5" s="1227">
        <v>12</v>
      </c>
    </row>
    <row r="6" spans="2:10" ht="15" thickBot="1" x14ac:dyDescent="0.4">
      <c r="B6" s="768"/>
      <c r="C6" s="1160"/>
      <c r="D6" s="1116"/>
      <c r="E6" s="1161"/>
      <c r="F6" s="1114"/>
      <c r="G6" s="1115"/>
      <c r="H6" s="1115"/>
      <c r="I6" s="1114"/>
      <c r="J6" s="1162"/>
    </row>
    <row r="7" spans="2:10" x14ac:dyDescent="0.35">
      <c r="B7" s="768"/>
      <c r="C7" s="916" t="s">
        <v>1384</v>
      </c>
      <c r="D7" s="1131"/>
      <c r="E7" s="1130">
        <f>Assumptions!E17</f>
        <v>1476.4185062000001</v>
      </c>
      <c r="F7" s="1129">
        <f>Assumptions!F17</f>
        <v>1676.1591172999999</v>
      </c>
      <c r="G7" s="1129">
        <f>Assumptions!G17</f>
        <v>1584.5986722999999</v>
      </c>
      <c r="H7" s="1129">
        <f>Assumptions!H17</f>
        <v>1560.3393888999999</v>
      </c>
      <c r="I7" s="1129" t="e">
        <f>Assumptions!#REF!</f>
        <v>#REF!</v>
      </c>
      <c r="J7" s="1128">
        <f>Assumptions!J17</f>
        <v>1450</v>
      </c>
    </row>
    <row r="8" spans="2:10" x14ac:dyDescent="0.35">
      <c r="B8" s="768"/>
      <c r="C8" s="1150" t="s">
        <v>1383</v>
      </c>
      <c r="D8" s="1122"/>
      <c r="E8" s="1127">
        <f>Assumptions!E25</f>
        <v>0.10619999999999999</v>
      </c>
      <c r="F8" s="1126">
        <f>Assumptions!F25</f>
        <v>0.114</v>
      </c>
      <c r="G8" s="1126">
        <f>Assumptions!G25</f>
        <v>0.11650000000000001</v>
      </c>
      <c r="H8" s="1126">
        <f>Assumptions!H25</f>
        <v>0.11060008113521419</v>
      </c>
      <c r="I8" s="1126" t="e">
        <f>Assumptions!#REF!</f>
        <v>#REF!</v>
      </c>
      <c r="J8" s="1125">
        <f>Assumptions!J25</f>
        <v>0.10219390243902438</v>
      </c>
    </row>
    <row r="9" spans="2:10" x14ac:dyDescent="0.35">
      <c r="B9" s="768"/>
      <c r="C9" s="1150" t="s">
        <v>1382</v>
      </c>
      <c r="D9" s="1122"/>
      <c r="E9" s="1122">
        <f>Assumptions!E46</f>
        <v>3495.1955719619027</v>
      </c>
      <c r="F9" s="1124">
        <f>Assumptions!F46</f>
        <v>3065.0434713512195</v>
      </c>
      <c r="G9" s="1124">
        <f>Assumptions!G46</f>
        <v>3261.4174997408254</v>
      </c>
      <c r="H9" s="1124">
        <f>Assumptions!H46</f>
        <v>3201.1113904878807</v>
      </c>
      <c r="I9" s="1124" t="e">
        <f>Assumptions!#REF!</f>
        <v>#REF!</v>
      </c>
      <c r="J9" s="1123">
        <f>Assumptions!J46</f>
        <v>3500</v>
      </c>
    </row>
    <row r="10" spans="2:10" x14ac:dyDescent="0.35">
      <c r="B10" s="768"/>
      <c r="C10" s="1150" t="s">
        <v>1381</v>
      </c>
      <c r="D10" s="1122"/>
      <c r="E10" s="1124">
        <v>315</v>
      </c>
      <c r="F10" s="1124">
        <v>315</v>
      </c>
      <c r="G10" s="1124">
        <v>315</v>
      </c>
      <c r="H10" s="1124">
        <v>315</v>
      </c>
      <c r="I10" s="1124">
        <v>340</v>
      </c>
      <c r="J10" s="1123">
        <f>+I10*2%+I10</f>
        <v>346.8</v>
      </c>
    </row>
    <row r="11" spans="2:10" x14ac:dyDescent="0.35">
      <c r="B11" s="768"/>
      <c r="C11" s="1150"/>
      <c r="D11" s="1122"/>
      <c r="E11" s="1122"/>
      <c r="F11" s="1124"/>
      <c r="G11" s="1124"/>
      <c r="H11" s="1124"/>
      <c r="I11" s="1124"/>
      <c r="J11" s="1123"/>
    </row>
    <row r="12" spans="2:10" x14ac:dyDescent="0.35">
      <c r="B12" s="768"/>
      <c r="C12" s="1150" t="s">
        <v>1380</v>
      </c>
      <c r="D12" s="1122"/>
      <c r="E12" s="1122">
        <f>'Stock movement'!E8</f>
        <v>75.273605000000003</v>
      </c>
      <c r="F12" s="1121">
        <f>'Stock movement'!F8</f>
        <v>85.002160000000003</v>
      </c>
      <c r="G12" s="1121">
        <f>'Stock movement'!G8</f>
        <v>80.626499999999993</v>
      </c>
      <c r="H12" s="1121">
        <f>'Stock movement'!H8</f>
        <v>77.875529999999998</v>
      </c>
      <c r="I12" s="1121" t="e">
        <f>'Stock movement'!#REF!</f>
        <v>#REF!</v>
      </c>
      <c r="J12" s="1120">
        <f>'Stock movement'!J8</f>
        <v>64.262100000000004</v>
      </c>
    </row>
    <row r="13" spans="2:10" ht="15" thickBot="1" x14ac:dyDescent="0.4">
      <c r="B13" s="768"/>
      <c r="C13" s="985" t="s">
        <v>1379</v>
      </c>
      <c r="D13" s="1119"/>
      <c r="E13" s="1119">
        <f>'Stock movement'!E12</f>
        <v>85.002160000000003</v>
      </c>
      <c r="F13" s="1118">
        <f>'Stock movement'!F12</f>
        <v>80.626499999999993</v>
      </c>
      <c r="G13" s="1118">
        <f>'Stock movement'!G12</f>
        <v>77.875529999999998</v>
      </c>
      <c r="H13" s="1118">
        <f>'Stock movement'!H12</f>
        <v>66.372320000000002</v>
      </c>
      <c r="I13" s="1118" t="e">
        <f>'Stock movement'!#REF!</f>
        <v>#REF!</v>
      </c>
      <c r="J13" s="1117">
        <f>'Stock movement'!J12</f>
        <v>59.272463414634139</v>
      </c>
    </row>
    <row r="14" spans="2:10" x14ac:dyDescent="0.35">
      <c r="B14" s="768"/>
      <c r="C14" s="1163"/>
      <c r="D14" s="1116"/>
      <c r="E14" s="1161"/>
      <c r="F14" s="1114"/>
      <c r="G14" s="1115"/>
      <c r="H14" s="1115"/>
      <c r="I14" s="1114"/>
      <c r="J14" s="1162"/>
    </row>
    <row r="15" spans="2:10" x14ac:dyDescent="0.35">
      <c r="B15" s="768"/>
      <c r="C15" s="1160"/>
      <c r="D15" s="1116"/>
      <c r="E15" s="1161"/>
      <c r="F15" s="1114"/>
      <c r="G15" s="1115"/>
      <c r="H15" s="1115"/>
      <c r="I15" s="1114"/>
      <c r="J15" s="1162"/>
    </row>
    <row r="16" spans="2:10" x14ac:dyDescent="0.35">
      <c r="B16" s="813"/>
      <c r="C16" s="1113" t="s">
        <v>1378</v>
      </c>
      <c r="D16" s="1155"/>
      <c r="E16" s="1155"/>
      <c r="F16" s="932"/>
      <c r="G16" s="932"/>
      <c r="H16" s="932"/>
      <c r="I16" s="932"/>
      <c r="J16" s="771"/>
    </row>
    <row r="17" spans="2:10" x14ac:dyDescent="0.35">
      <c r="B17" s="813">
        <v>1</v>
      </c>
      <c r="C17" s="1163" t="s">
        <v>1377</v>
      </c>
      <c r="D17" s="1139"/>
      <c r="E17" s="1034">
        <f>'P&amp;L'!$E$14</f>
        <v>5851.4155228408999</v>
      </c>
      <c r="F17" s="1034">
        <f>'P&amp;L'!F14</f>
        <v>6683.3430871707997</v>
      </c>
      <c r="G17" s="1034">
        <f>'P&amp;L'!G14</f>
        <v>6603.2052743099994</v>
      </c>
      <c r="H17" s="1034">
        <f>'P&amp;L'!H14</f>
        <v>6555.1348893891991</v>
      </c>
      <c r="I17" s="1034" t="e">
        <f>'P&amp;L'!#REF!</f>
        <v>#REF!</v>
      </c>
      <c r="J17" s="1033">
        <f>'P&amp;L'!J14</f>
        <v>6563.3646862909191</v>
      </c>
    </row>
    <row r="18" spans="2:10" x14ac:dyDescent="0.35">
      <c r="B18" s="813"/>
      <c r="C18" s="1163" t="s">
        <v>1376</v>
      </c>
      <c r="D18" s="1139"/>
      <c r="E18" s="971"/>
      <c r="F18" s="1034"/>
      <c r="G18" s="1034"/>
      <c r="H18" s="1034"/>
      <c r="I18" s="1034"/>
      <c r="J18" s="1033"/>
    </row>
    <row r="19" spans="2:10" ht="15" thickBot="1" x14ac:dyDescent="0.4">
      <c r="B19" s="813"/>
      <c r="C19" s="1163" t="s">
        <v>1375</v>
      </c>
      <c r="D19" s="1139"/>
      <c r="E19" s="971">
        <f>'P&amp;L'!E15</f>
        <v>253.89296387600001</v>
      </c>
      <c r="F19" s="1109">
        <f>'P&amp;L'!F15</f>
        <v>284.09313833200002</v>
      </c>
      <c r="G19" s="1156">
        <f>'P&amp;L'!G15</f>
        <v>73.403106600000001</v>
      </c>
      <c r="H19" s="1156">
        <f>'P&amp;L'!H15</f>
        <v>133.06425659999999</v>
      </c>
      <c r="I19" s="1156" t="e">
        <f>'P&amp;L'!#REF!</f>
        <v>#REF!</v>
      </c>
      <c r="J19" s="1164">
        <f>'P&amp;L'!J15</f>
        <v>70.583191800440005</v>
      </c>
    </row>
    <row r="20" spans="2:10" x14ac:dyDescent="0.35">
      <c r="B20" s="813">
        <v>1</v>
      </c>
      <c r="C20" s="1163" t="s">
        <v>1374</v>
      </c>
      <c r="D20" s="1139"/>
      <c r="E20" s="1112">
        <f t="shared" ref="E20:J20" si="0">SUM(E17:E19)</f>
        <v>6105.3084867169</v>
      </c>
      <c r="F20" s="1112">
        <f t="shared" si="0"/>
        <v>6967.4362255028</v>
      </c>
      <c r="G20" s="879">
        <f t="shared" si="0"/>
        <v>6676.6083809099991</v>
      </c>
      <c r="H20" s="879">
        <f t="shared" si="0"/>
        <v>6688.1991459891988</v>
      </c>
      <c r="I20" s="879" t="e">
        <f t="shared" si="0"/>
        <v>#REF!</v>
      </c>
      <c r="J20" s="878">
        <f t="shared" si="0"/>
        <v>6633.9478780913587</v>
      </c>
    </row>
    <row r="21" spans="2:10" ht="15" thickBot="1" x14ac:dyDescent="0.4">
      <c r="B21" s="813">
        <v>2</v>
      </c>
      <c r="C21" s="1163" t="s">
        <v>1373</v>
      </c>
      <c r="D21" s="1139"/>
      <c r="E21" s="971">
        <f>'P&amp;L'!E21</f>
        <v>95.99</v>
      </c>
      <c r="F21" s="1067">
        <f>'P&amp;L'!F21</f>
        <v>0</v>
      </c>
      <c r="G21" s="1067">
        <f>'P&amp;L'!G21</f>
        <v>0</v>
      </c>
      <c r="H21" s="1067">
        <f>'P&amp;L'!H21</f>
        <v>0</v>
      </c>
      <c r="I21" s="1067" t="e">
        <f>'P&amp;L'!#REF!</f>
        <v>#REF!</v>
      </c>
      <c r="J21" s="1165">
        <f>'P&amp;L'!J21</f>
        <v>0</v>
      </c>
    </row>
    <row r="22" spans="2:10" x14ac:dyDescent="0.35">
      <c r="B22" s="813">
        <v>3</v>
      </c>
      <c r="C22" s="1166" t="s">
        <v>1372</v>
      </c>
      <c r="D22" s="1139"/>
      <c r="E22" s="1005">
        <f t="shared" ref="E22:J22" si="1">E20-E21</f>
        <v>6009.3184867169002</v>
      </c>
      <c r="F22" s="1005">
        <f t="shared" si="1"/>
        <v>6967.4362255028</v>
      </c>
      <c r="G22" s="1005">
        <f t="shared" si="1"/>
        <v>6676.6083809099991</v>
      </c>
      <c r="H22" s="1005">
        <f t="shared" si="1"/>
        <v>6688.1991459891988</v>
      </c>
      <c r="I22" s="1005" t="e">
        <f t="shared" si="1"/>
        <v>#REF!</v>
      </c>
      <c r="J22" s="1003">
        <f t="shared" si="1"/>
        <v>6633.9478780913587</v>
      </c>
    </row>
    <row r="23" spans="2:10" x14ac:dyDescent="0.35">
      <c r="B23" s="813">
        <v>4</v>
      </c>
      <c r="C23" s="1167" t="s">
        <v>1371</v>
      </c>
      <c r="D23" s="1139"/>
      <c r="E23" s="971">
        <v>0.35580586321227775</v>
      </c>
      <c r="F23" s="779">
        <f>IF(D22&gt;0,IF(F22&gt;0,(F22-D22)/D22,0),0)</f>
        <v>0</v>
      </c>
      <c r="G23" s="779">
        <f>IF(F22&gt;0,IF(G22&gt;0,(G22-F22)/F22,0),0)</f>
        <v>-4.174101278864787E-2</v>
      </c>
      <c r="H23" s="779">
        <f>IF(G22&gt;0,IF(H22&gt;0,(H22-G22)/G22,0),0)</f>
        <v>1.7360259008661289E-3</v>
      </c>
      <c r="I23" s="779" t="e">
        <f>IF(G22&gt;0,IF(I22&gt;0,(I22-G22)/G22,0),0)</f>
        <v>#REF!</v>
      </c>
      <c r="J23" s="778" t="e">
        <f>IF(I22&gt;0,IF(J22&gt;0,(J22-I22)/I22,0),0)</f>
        <v>#REF!</v>
      </c>
    </row>
    <row r="24" spans="2:10" x14ac:dyDescent="0.35">
      <c r="B24" s="813"/>
      <c r="C24" s="1166" t="s">
        <v>1370</v>
      </c>
      <c r="D24" s="1139"/>
      <c r="E24" s="971"/>
      <c r="F24" s="1111"/>
      <c r="G24" s="1111"/>
      <c r="H24" s="1111"/>
      <c r="I24" s="1111"/>
      <c r="J24" s="1168"/>
    </row>
    <row r="25" spans="2:10" x14ac:dyDescent="0.35">
      <c r="B25" s="813">
        <v>5</v>
      </c>
      <c r="C25" s="1163" t="s">
        <v>1369</v>
      </c>
      <c r="D25" s="1139"/>
      <c r="E25" s="971">
        <v>0</v>
      </c>
      <c r="F25" s="971">
        <v>0</v>
      </c>
      <c r="G25" s="971">
        <v>0</v>
      </c>
      <c r="H25" s="971">
        <v>0</v>
      </c>
      <c r="I25" s="971">
        <v>0</v>
      </c>
      <c r="J25" s="1169">
        <v>0</v>
      </c>
    </row>
    <row r="26" spans="2:10" x14ac:dyDescent="0.35">
      <c r="B26" s="813"/>
      <c r="C26" s="1163" t="s">
        <v>1368</v>
      </c>
      <c r="D26" s="1139"/>
      <c r="E26" s="971">
        <f>'P&amp;L'!E20</f>
        <v>4900.5300000000007</v>
      </c>
      <c r="F26" s="1110">
        <f>'P&amp;L'!F20</f>
        <v>5658.63</v>
      </c>
      <c r="G26" s="1110">
        <f>'P&amp;L'!G20</f>
        <v>5363.34</v>
      </c>
      <c r="H26" s="1110">
        <f>'P&amp;L'!H20</f>
        <v>5297.3174285210007</v>
      </c>
      <c r="I26" s="1110" t="e">
        <f>'P&amp;L'!#REF!</f>
        <v>#REF!</v>
      </c>
      <c r="J26" s="1170">
        <f>'P&amp;L'!J20</f>
        <v>5400.381213023923</v>
      </c>
    </row>
    <row r="27" spans="2:10" x14ac:dyDescent="0.35">
      <c r="B27" s="813"/>
      <c r="C27" s="1163" t="s">
        <v>1367</v>
      </c>
      <c r="D27" s="1139"/>
      <c r="E27" s="971">
        <v>0</v>
      </c>
      <c r="F27" s="971">
        <v>0</v>
      </c>
      <c r="G27" s="971">
        <v>0</v>
      </c>
      <c r="H27" s="971">
        <v>0</v>
      </c>
      <c r="I27" s="971">
        <v>0</v>
      </c>
      <c r="J27" s="1169">
        <v>0</v>
      </c>
    </row>
    <row r="28" spans="2:10" x14ac:dyDescent="0.35">
      <c r="B28" s="813"/>
      <c r="C28" s="1163" t="s">
        <v>1366</v>
      </c>
      <c r="D28" s="1139"/>
      <c r="E28" s="971">
        <v>0</v>
      </c>
      <c r="F28" s="971">
        <v>0</v>
      </c>
      <c r="G28" s="971">
        <v>0</v>
      </c>
      <c r="H28" s="971">
        <v>0</v>
      </c>
      <c r="I28" s="971">
        <v>0</v>
      </c>
      <c r="J28" s="1169">
        <v>0</v>
      </c>
    </row>
    <row r="29" spans="2:10" x14ac:dyDescent="0.35">
      <c r="B29" s="813">
        <v>6</v>
      </c>
      <c r="C29" s="1163" t="s">
        <v>1365</v>
      </c>
      <c r="D29" s="1139"/>
      <c r="E29" s="971">
        <f>'P&amp;L'!E33</f>
        <v>12.921987375000114</v>
      </c>
      <c r="F29" s="1050">
        <f>'P&amp;L'!F33</f>
        <v>14.626720739999962</v>
      </c>
      <c r="G29" s="1050">
        <f>'P&amp;L'!G33</f>
        <v>25.935486141999991</v>
      </c>
      <c r="H29" s="1050">
        <f>'P&amp;L'!H33</f>
        <v>25.863745106</v>
      </c>
      <c r="I29" s="1050" t="e">
        <f>'P&amp;L'!#REF!</f>
        <v>#REF!</v>
      </c>
      <c r="J29" s="1049">
        <f>'P&amp;L'!J33</f>
        <v>19.837615269419999</v>
      </c>
    </row>
    <row r="30" spans="2:10" x14ac:dyDescent="0.35">
      <c r="B30" s="813">
        <v>7</v>
      </c>
      <c r="C30" s="1163" t="s">
        <v>1364</v>
      </c>
      <c r="D30" s="1139"/>
      <c r="E30" s="971">
        <f>'P&amp;L'!E23</f>
        <v>249.1</v>
      </c>
      <c r="F30" s="1050">
        <f>'P&amp;L'!F23</f>
        <v>274.76891016500002</v>
      </c>
      <c r="G30" s="1050">
        <f>'P&amp;L'!G23</f>
        <v>299.10598741000001</v>
      </c>
      <c r="H30" s="1050">
        <f>'P&amp;L'!H23</f>
        <v>327.994332009</v>
      </c>
      <c r="I30" s="1050" t="e">
        <f>'P&amp;L'!#REF!</f>
        <v>#REF!</v>
      </c>
      <c r="J30" s="1049">
        <f>'P&amp;L'!J23</f>
        <v>375.75855553537002</v>
      </c>
    </row>
    <row r="31" spans="2:10" x14ac:dyDescent="0.35">
      <c r="B31" s="813">
        <v>8</v>
      </c>
      <c r="C31" s="1163" t="s">
        <v>1363</v>
      </c>
      <c r="D31" s="1139"/>
      <c r="E31" s="971">
        <f>'P&amp;L'!E32</f>
        <v>91.727289005999992</v>
      </c>
      <c r="F31" s="1050">
        <f>'P&amp;L'!F32</f>
        <v>129.50941306800001</v>
      </c>
      <c r="G31" s="1050">
        <f>'P&amp;L'!G32</f>
        <v>158.11597693699997</v>
      </c>
      <c r="H31" s="1050">
        <f>'P&amp;L'!H32</f>
        <v>336.171702079</v>
      </c>
      <c r="I31" s="1050" t="e">
        <f>'P&amp;L'!#REF!</f>
        <v>#REF!</v>
      </c>
      <c r="J31" s="1049">
        <f>'P&amp;L'!J32</f>
        <v>157.1272988780637</v>
      </c>
    </row>
    <row r="32" spans="2:10" x14ac:dyDescent="0.35">
      <c r="B32" s="813">
        <v>9</v>
      </c>
      <c r="C32" s="1163" t="s">
        <v>1362</v>
      </c>
      <c r="D32" s="1139"/>
      <c r="E32" s="971"/>
      <c r="F32" s="1034"/>
      <c r="G32" s="1034"/>
      <c r="H32" s="1034"/>
      <c r="I32" s="1034"/>
      <c r="J32" s="1033"/>
    </row>
    <row r="33" spans="1:10" ht="15" thickBot="1" x14ac:dyDescent="0.4">
      <c r="B33" s="813">
        <v>10</v>
      </c>
      <c r="C33" s="1163" t="s">
        <v>1361</v>
      </c>
      <c r="D33" s="1139"/>
      <c r="E33" s="971">
        <f>'P&amp;L'!E39</f>
        <v>196.91</v>
      </c>
      <c r="F33" s="1109">
        <f>'P&amp;L'!F39</f>
        <v>211.33</v>
      </c>
      <c r="G33" s="1109">
        <f>'P&amp;L'!G39</f>
        <v>215.873643684</v>
      </c>
      <c r="H33" s="1109">
        <f>'P&amp;L'!H39</f>
        <v>215.163237815</v>
      </c>
      <c r="I33" s="1109" t="e">
        <f>'P&amp;L'!#REF!</f>
        <v>#REF!</v>
      </c>
      <c r="J33" s="1171">
        <f>'P&amp;L'!J39</f>
        <v>215.8294257165827</v>
      </c>
    </row>
    <row r="34" spans="1:10" x14ac:dyDescent="0.35">
      <c r="B34" s="813">
        <v>11</v>
      </c>
      <c r="C34" s="1163" t="s">
        <v>1360</v>
      </c>
      <c r="D34" s="1139"/>
      <c r="E34" s="1108">
        <f t="shared" ref="E34:J34" si="2">ROUND(SUM(E35:E39),2)</f>
        <v>-50.99</v>
      </c>
      <c r="F34" s="1108">
        <f t="shared" si="2"/>
        <v>170.04</v>
      </c>
      <c r="G34" s="1107">
        <f t="shared" si="2"/>
        <v>168.98</v>
      </c>
      <c r="H34" s="1107">
        <f t="shared" si="2"/>
        <v>193.21</v>
      </c>
      <c r="I34" s="1107" t="e">
        <f t="shared" si="2"/>
        <v>#REF!</v>
      </c>
      <c r="J34" s="1172">
        <f t="shared" si="2"/>
        <v>232.15</v>
      </c>
    </row>
    <row r="35" spans="1:10" s="716" customFormat="1" x14ac:dyDescent="0.35">
      <c r="B35" s="1096" t="s">
        <v>1226</v>
      </c>
      <c r="C35" s="1173" t="s">
        <v>1359</v>
      </c>
      <c r="D35" s="1173"/>
      <c r="E35" s="1105">
        <f>'P&amp;L'!E27</f>
        <v>55.430362779999996</v>
      </c>
      <c r="F35" s="1011">
        <f>'P&amp;L'!F27</f>
        <v>70.928991277999998</v>
      </c>
      <c r="G35" s="1011">
        <f>'P&amp;L'!G27</f>
        <v>64.531457869999997</v>
      </c>
      <c r="H35" s="1011">
        <f>'P&amp;L'!H27</f>
        <v>66.441441089000008</v>
      </c>
      <c r="I35" s="1011" t="e">
        <f>'P&amp;L'!#REF!</f>
        <v>#REF!</v>
      </c>
      <c r="J35" s="1016">
        <f>'P&amp;L'!J27</f>
        <v>73.161098985990236</v>
      </c>
    </row>
    <row r="36" spans="1:10" s="716" customFormat="1" x14ac:dyDescent="0.35">
      <c r="B36" s="1096" t="s">
        <v>1224</v>
      </c>
      <c r="C36" s="1173" t="s">
        <v>1358</v>
      </c>
      <c r="D36" s="1173"/>
      <c r="E36" s="1106">
        <f>+'P&amp;L'!E25+'P&amp;L'!E26</f>
        <v>53.157211879999984</v>
      </c>
      <c r="F36" s="1106">
        <f>+'P&amp;L'!F25+'P&amp;L'!F26</f>
        <v>86.351008722000088</v>
      </c>
      <c r="G36" s="1106">
        <f>+'P&amp;L'!G25+'P&amp;L'!G26</f>
        <v>93.352061491000001</v>
      </c>
      <c r="H36" s="1106">
        <f>+'P&amp;L'!H25+'P&amp;L'!H26</f>
        <v>108.15649492799996</v>
      </c>
      <c r="I36" s="1106" t="e">
        <f>+'P&amp;L'!#REF!+'P&amp;L'!#REF!</f>
        <v>#REF!</v>
      </c>
      <c r="J36" s="1174">
        <f>+'P&amp;L'!J25+'P&amp;L'!J26</f>
        <v>140.48382934188584</v>
      </c>
    </row>
    <row r="37" spans="1:10" s="716" customFormat="1" x14ac:dyDescent="0.35">
      <c r="B37" s="1096" t="s">
        <v>1222</v>
      </c>
      <c r="C37" s="1173" t="s">
        <v>1357</v>
      </c>
      <c r="D37" s="1173" t="s">
        <v>326</v>
      </c>
      <c r="E37" s="1105">
        <f>'P&amp;L'!E29</f>
        <v>4.46</v>
      </c>
      <c r="F37" s="1011">
        <f>'P&amp;L'!F29</f>
        <v>6.26</v>
      </c>
      <c r="G37" s="1011">
        <f>'P&amp;L'!G29</f>
        <v>7.860832692999999</v>
      </c>
      <c r="H37" s="1011">
        <f>'P&amp;L'!H29</f>
        <v>12.489999999999998</v>
      </c>
      <c r="I37" s="1011" t="e">
        <f>'P&amp;L'!#REF!</f>
        <v>#REF!</v>
      </c>
      <c r="J37" s="1016">
        <f>'P&amp;L'!J29</f>
        <v>14.777411176320001</v>
      </c>
    </row>
    <row r="38" spans="1:10" s="716" customFormat="1" x14ac:dyDescent="0.35">
      <c r="B38" s="1096" t="s">
        <v>1220</v>
      </c>
      <c r="C38" s="1173" t="s">
        <v>1356</v>
      </c>
      <c r="D38" s="1173"/>
      <c r="E38" s="1105">
        <f>'P&amp;L'!E28</f>
        <v>6.2700000000000005</v>
      </c>
      <c r="F38" s="1011">
        <f>'P&amp;L'!F28</f>
        <v>6.5025026190000004</v>
      </c>
      <c r="G38" s="1011">
        <f>'P&amp;L'!G28</f>
        <v>3.2399704309999997</v>
      </c>
      <c r="H38" s="1011">
        <f>'P&amp;L'!H28</f>
        <v>6.1203434000000003</v>
      </c>
      <c r="I38" s="1011" t="e">
        <f>'P&amp;L'!#REF!</f>
        <v>#REF!</v>
      </c>
      <c r="J38" s="1016">
        <f>'P&amp;L'!J28</f>
        <v>3.7307349292799996</v>
      </c>
    </row>
    <row r="39" spans="1:10" s="716" customFormat="1" x14ac:dyDescent="0.35">
      <c r="B39" s="1096" t="s">
        <v>1219</v>
      </c>
      <c r="C39" s="1173" t="s">
        <v>1355</v>
      </c>
      <c r="D39" s="1173"/>
      <c r="E39" s="1105">
        <v>-170.30850465</v>
      </c>
      <c r="F39" s="1105">
        <v>0</v>
      </c>
      <c r="G39" s="1011">
        <v>0</v>
      </c>
      <c r="H39" s="1011">
        <v>0</v>
      </c>
      <c r="I39" s="1011">
        <v>0</v>
      </c>
      <c r="J39" s="1016">
        <v>0</v>
      </c>
    </row>
    <row r="40" spans="1:10" ht="15" thickBot="1" x14ac:dyDescent="0.4">
      <c r="A40" s="800"/>
      <c r="B40" s="811"/>
      <c r="C40" s="1147" t="s">
        <v>1330</v>
      </c>
      <c r="D40" s="1143"/>
      <c r="E40" s="1063">
        <v>5400.1905423890003</v>
      </c>
      <c r="F40" s="1024">
        <f>SUM(F24:F34)</f>
        <v>6458.9050439729999</v>
      </c>
      <c r="G40" s="1024">
        <f>SUM(G24:G34)</f>
        <v>6231.3510941729992</v>
      </c>
      <c r="H40" s="1024">
        <f>SUM(H24:H34)</f>
        <v>6395.7204455300007</v>
      </c>
      <c r="I40" s="1024" t="e">
        <f>SUM(I24:I34)</f>
        <v>#REF!</v>
      </c>
      <c r="J40" s="1175">
        <f>SUM(J24:J34)</f>
        <v>6401.0841084233589</v>
      </c>
    </row>
    <row r="41" spans="1:10" ht="15" thickBot="1" x14ac:dyDescent="0.4">
      <c r="B41" s="1021">
        <v>12</v>
      </c>
      <c r="C41" s="1104" t="s">
        <v>1354</v>
      </c>
      <c r="D41" s="1060"/>
      <c r="E41" s="1059">
        <v>34.4</v>
      </c>
      <c r="F41" s="1103">
        <f>+E43</f>
        <v>55</v>
      </c>
      <c r="G41" s="1103">
        <f>+F43</f>
        <v>56.18</v>
      </c>
      <c r="H41" s="1103">
        <f>+G43</f>
        <v>61.767974400000021</v>
      </c>
      <c r="I41" s="1103">
        <f>+H43</f>
        <v>25.788956600000006</v>
      </c>
      <c r="J41" s="1176" t="e">
        <f>+I43</f>
        <v>#REF!</v>
      </c>
    </row>
    <row r="42" spans="1:10" x14ac:dyDescent="0.35">
      <c r="B42" s="813"/>
      <c r="C42" s="1138" t="s">
        <v>1330</v>
      </c>
      <c r="D42" s="1139"/>
      <c r="E42" s="971">
        <v>5434.5905423889999</v>
      </c>
      <c r="F42" s="1005">
        <f>SUM(F40:F41)</f>
        <v>6513.9050439729999</v>
      </c>
      <c r="G42" s="1005">
        <f>SUM(G40:G41)</f>
        <v>6287.5310941729995</v>
      </c>
      <c r="H42" s="1005">
        <f>SUM(H40:H41)</f>
        <v>6457.4884199300004</v>
      </c>
      <c r="I42" s="1005" t="e">
        <f>SUM(I40:I41)</f>
        <v>#REF!</v>
      </c>
      <c r="J42" s="1003" t="e">
        <f>SUM(J40:J41)</f>
        <v>#REF!</v>
      </c>
    </row>
    <row r="43" spans="1:10" ht="15" thickBot="1" x14ac:dyDescent="0.4">
      <c r="B43" s="813">
        <v>13</v>
      </c>
      <c r="C43" s="1138" t="s">
        <v>1353</v>
      </c>
      <c r="D43" s="1139"/>
      <c r="E43" s="971">
        <f>'Working - Corporate'!E114</f>
        <v>55</v>
      </c>
      <c r="F43" s="997">
        <f>'Working - Corporate'!F114</f>
        <v>56.18</v>
      </c>
      <c r="G43" s="997">
        <f>'Working - Corporate'!G114</f>
        <v>61.767974400000021</v>
      </c>
      <c r="H43" s="997">
        <f>'Working - Corporate'!H114</f>
        <v>25.788956600000006</v>
      </c>
      <c r="I43" s="997" t="e">
        <f>'Working - Corporate'!#REF!</f>
        <v>#REF!</v>
      </c>
      <c r="J43" s="1040">
        <f>'Working - Corporate'!J114</f>
        <v>34.855159334654182</v>
      </c>
    </row>
    <row r="44" spans="1:10" x14ac:dyDescent="0.35">
      <c r="B44" s="813"/>
      <c r="C44" s="1138" t="s">
        <v>1352</v>
      </c>
      <c r="D44" s="1139"/>
      <c r="E44" s="971">
        <v>5379.5905423889999</v>
      </c>
      <c r="F44" s="1005">
        <f>F42-F43</f>
        <v>6457.7250439729996</v>
      </c>
      <c r="G44" s="1005">
        <f>G42-G43</f>
        <v>6225.7631197729997</v>
      </c>
      <c r="H44" s="1005">
        <f>H42-H43</f>
        <v>6431.6994633300001</v>
      </c>
      <c r="I44" s="1005" t="e">
        <f>I42-I43</f>
        <v>#REF!</v>
      </c>
      <c r="J44" s="1003" t="e">
        <f>J42-J43</f>
        <v>#REF!</v>
      </c>
    </row>
    <row r="45" spans="1:10" ht="15" thickBot="1" x14ac:dyDescent="0.4">
      <c r="B45" s="813">
        <v>14</v>
      </c>
      <c r="C45" s="1138" t="s">
        <v>1351</v>
      </c>
      <c r="D45" s="1139"/>
      <c r="E45" s="971">
        <v>2914.0566100000001</v>
      </c>
      <c r="F45" s="997">
        <f>++E47</f>
        <v>2725.75</v>
      </c>
      <c r="G45" s="997">
        <f>++F47</f>
        <v>2618.15</v>
      </c>
      <c r="H45" s="997">
        <f>++G47</f>
        <v>2552.391695089409</v>
      </c>
      <c r="I45" s="997">
        <f>++H47</f>
        <v>2395.0633977233001</v>
      </c>
      <c r="J45" s="1040" t="e">
        <f>++I47</f>
        <v>#REF!</v>
      </c>
    </row>
    <row r="46" spans="1:10" x14ac:dyDescent="0.35">
      <c r="B46" s="813"/>
      <c r="C46" s="1138" t="s">
        <v>1330</v>
      </c>
      <c r="D46" s="1139"/>
      <c r="E46" s="971">
        <v>8293.6471523889995</v>
      </c>
      <c r="F46" s="1005">
        <f>SUM(F44:F45)</f>
        <v>9183.4750439729996</v>
      </c>
      <c r="G46" s="1005">
        <f>SUM(G44:G45)</f>
        <v>8843.9131197730003</v>
      </c>
      <c r="H46" s="1005">
        <f>SUM(H44:H45)</f>
        <v>8984.0911584194091</v>
      </c>
      <c r="I46" s="1005" t="e">
        <f>SUM(I44:I45)</f>
        <v>#REF!</v>
      </c>
      <c r="J46" s="1003" t="e">
        <f>SUM(J44:J45)</f>
        <v>#REF!</v>
      </c>
    </row>
    <row r="47" spans="1:10" x14ac:dyDescent="0.35">
      <c r="B47" s="813">
        <v>15</v>
      </c>
      <c r="C47" s="1138" t="s">
        <v>1350</v>
      </c>
      <c r="D47" s="1139"/>
      <c r="E47" s="971">
        <f>+'Working - Corporate'!E112+'Working - Corporate'!E113</f>
        <v>2725.75</v>
      </c>
      <c r="F47" s="971">
        <f>+'Working - Corporate'!F112+'Working - Corporate'!F113</f>
        <v>2618.15</v>
      </c>
      <c r="G47" s="971">
        <f>+'Working - Corporate'!G112+'Working - Corporate'!G113</f>
        <v>2552.391695089409</v>
      </c>
      <c r="H47" s="971">
        <f>+'Working - Corporate'!H112+'Working - Corporate'!H113</f>
        <v>2395.0633977233001</v>
      </c>
      <c r="I47" s="971" t="e">
        <f>+'Working - Corporate'!#REF!+'Working - Corporate'!#REF!</f>
        <v>#REF!</v>
      </c>
      <c r="J47" s="1169">
        <f>+'Working - Corporate'!J112+'Working - Corporate'!J113</f>
        <v>2674.4279425196473</v>
      </c>
    </row>
    <row r="48" spans="1:10" x14ac:dyDescent="0.35">
      <c r="B48" s="813"/>
      <c r="C48" s="1138" t="s">
        <v>1349</v>
      </c>
      <c r="D48" s="1139"/>
      <c r="E48" s="971">
        <v>5567.8972826889994</v>
      </c>
      <c r="F48" s="1092">
        <f>F46-F47</f>
        <v>6565.325043973</v>
      </c>
      <c r="G48" s="1102">
        <f>G46-G47</f>
        <v>6291.5214246835912</v>
      </c>
      <c r="H48" s="1102">
        <f>H46-H47</f>
        <v>6589.027760696109</v>
      </c>
      <c r="I48" s="1102" t="e">
        <f>I46-I47</f>
        <v>#REF!</v>
      </c>
      <c r="J48" s="1177" t="e">
        <f>J46-J47</f>
        <v>#REF!</v>
      </c>
    </row>
    <row r="49" spans="2:11" x14ac:dyDescent="0.35">
      <c r="B49" s="813">
        <v>16</v>
      </c>
      <c r="C49" s="1137" t="s">
        <v>1348</v>
      </c>
      <c r="D49" s="1139"/>
      <c r="E49" s="971">
        <v>309.19543059699572</v>
      </c>
      <c r="F49" s="1101">
        <f>F22-F48</f>
        <v>402.11118152979998</v>
      </c>
      <c r="G49" s="1101">
        <f>G22-G48</f>
        <v>385.08695622640789</v>
      </c>
      <c r="H49" s="1101">
        <f>H22-H48</f>
        <v>99.17138529308977</v>
      </c>
      <c r="I49" s="1101" t="e">
        <f>I22-I48</f>
        <v>#REF!</v>
      </c>
      <c r="J49" s="1178" t="e">
        <f>J22-J48</f>
        <v>#REF!</v>
      </c>
    </row>
    <row r="50" spans="2:11" x14ac:dyDescent="0.35">
      <c r="B50" s="813"/>
      <c r="C50" s="1138" t="s">
        <v>1347</v>
      </c>
      <c r="D50" s="1139"/>
      <c r="E50" s="879">
        <f t="shared" ref="E50:J50" si="3">IF(E22&gt;0, E49/E22,0)</f>
        <v>5.1452661608874045E-2</v>
      </c>
      <c r="F50" s="879">
        <f t="shared" si="3"/>
        <v>5.7712933210347671E-2</v>
      </c>
      <c r="G50" s="879">
        <f t="shared" si="3"/>
        <v>5.7677032148158114E-2</v>
      </c>
      <c r="H50" s="879">
        <f t="shared" si="3"/>
        <v>1.4827815848240881E-2</v>
      </c>
      <c r="I50" s="879" t="e">
        <f t="shared" si="3"/>
        <v>#REF!</v>
      </c>
      <c r="J50" s="878" t="e">
        <f t="shared" si="3"/>
        <v>#REF!</v>
      </c>
    </row>
    <row r="51" spans="2:11" x14ac:dyDescent="0.35">
      <c r="B51" s="813">
        <v>17</v>
      </c>
      <c r="C51" s="1138" t="s">
        <v>1346</v>
      </c>
      <c r="D51" s="1139"/>
      <c r="E51" s="971">
        <f>+'P&amp;L'!E30+'P&amp;L'!E31</f>
        <v>81.082149848</v>
      </c>
      <c r="F51" s="971">
        <f>+'P&amp;L'!F30+'P&amp;L'!F31</f>
        <v>76.350435743000006</v>
      </c>
      <c r="G51" s="971">
        <f>+'P&amp;L'!G30+'P&amp;L'!G31</f>
        <v>57.040153926000002</v>
      </c>
      <c r="H51" s="971">
        <f>+'P&amp;L'!H30+'P&amp;L'!H31</f>
        <v>52.111049947000012</v>
      </c>
      <c r="I51" s="971" t="e">
        <f>+'P&amp;L'!#REF!+'P&amp;L'!#REF!</f>
        <v>#REF!</v>
      </c>
      <c r="J51" s="1169">
        <f>+'P&amp;L'!J30+'P&amp;L'!J31</f>
        <v>69.663328441709353</v>
      </c>
    </row>
    <row r="52" spans="2:11" x14ac:dyDescent="0.35">
      <c r="B52" s="813">
        <v>18</v>
      </c>
      <c r="C52" s="1138" t="s">
        <v>1345</v>
      </c>
      <c r="D52" s="1139"/>
      <c r="E52" s="971">
        <f>'P&amp;L'!E34</f>
        <v>107.467658665</v>
      </c>
      <c r="F52" s="1100">
        <f>'P&amp;L'!F34</f>
        <v>70.315790480999993</v>
      </c>
      <c r="G52" s="1100">
        <f>'P&amp;L'!G34</f>
        <v>74.311351255999995</v>
      </c>
      <c r="H52" s="1100">
        <f>'P&amp;L'!H34</f>
        <v>66.6554</v>
      </c>
      <c r="I52" s="1100" t="e">
        <f>'P&amp;L'!#REF!</f>
        <v>#REF!</v>
      </c>
      <c r="J52" s="1179">
        <f>'P&amp;L'!J34</f>
        <v>68.165863123439991</v>
      </c>
    </row>
    <row r="53" spans="2:11" ht="15" thickBot="1" x14ac:dyDescent="0.4">
      <c r="B53" s="813"/>
      <c r="C53" s="1137" t="s">
        <v>1344</v>
      </c>
      <c r="D53" s="1139"/>
      <c r="E53" s="971">
        <v>5756.4487366649992</v>
      </c>
      <c r="F53" s="982">
        <f>F48+F51+F52</f>
        <v>6711.9912701969997</v>
      </c>
      <c r="G53" s="982">
        <f>G48+G51+G52</f>
        <v>6422.8729298655917</v>
      </c>
      <c r="H53" s="982">
        <f>H48+H51+H52</f>
        <v>6707.7942106431083</v>
      </c>
      <c r="I53" s="982" t="e">
        <f>I48+I51+I52</f>
        <v>#REF!</v>
      </c>
      <c r="J53" s="981" t="e">
        <f>J48+J51+J52</f>
        <v>#REF!</v>
      </c>
    </row>
    <row r="54" spans="2:11" x14ac:dyDescent="0.35">
      <c r="B54" s="1099">
        <v>19</v>
      </c>
      <c r="C54" s="1098" t="s">
        <v>1343</v>
      </c>
      <c r="D54" s="827"/>
      <c r="E54" s="1092">
        <f t="shared" ref="E54:J54" si="4">E22-E53</f>
        <v>252.86975005190106</v>
      </c>
      <c r="F54" s="1092">
        <f t="shared" si="4"/>
        <v>255.44495530580025</v>
      </c>
      <c r="G54" s="1092">
        <f t="shared" si="4"/>
        <v>253.73545104440745</v>
      </c>
      <c r="H54" s="1092">
        <f t="shared" si="4"/>
        <v>-19.595064653909503</v>
      </c>
      <c r="I54" s="1092" t="e">
        <f t="shared" si="4"/>
        <v>#REF!</v>
      </c>
      <c r="J54" s="1180" t="e">
        <f t="shared" si="4"/>
        <v>#REF!</v>
      </c>
    </row>
    <row r="55" spans="2:11" x14ac:dyDescent="0.35">
      <c r="B55" s="813"/>
      <c r="C55" s="1138" t="s">
        <v>1342</v>
      </c>
      <c r="D55" s="1097"/>
      <c r="E55" s="1065">
        <f>'Working - Corporate'!E33</f>
        <v>21.24</v>
      </c>
      <c r="F55" s="879">
        <f>'Working - Corporate'!F33</f>
        <v>7.98</v>
      </c>
      <c r="G55" s="879">
        <f>'Working - Corporate'!G33</f>
        <v>0</v>
      </c>
      <c r="H55" s="879">
        <f>'Working - Corporate'!H33</f>
        <v>0</v>
      </c>
      <c r="I55" s="879" t="e">
        <f>'Working - Corporate'!#REF!</f>
        <v>#REF!</v>
      </c>
      <c r="J55" s="878">
        <f>'Working - Corporate'!J33</f>
        <v>0</v>
      </c>
    </row>
    <row r="56" spans="2:11" x14ac:dyDescent="0.35">
      <c r="B56" s="813"/>
      <c r="C56" s="1138" t="s">
        <v>1341</v>
      </c>
      <c r="D56" s="1097"/>
      <c r="E56" s="1065">
        <f>'Working - Corporate'!E32</f>
        <v>641.77</v>
      </c>
      <c r="F56" s="879">
        <f>'Working - Corporate'!F32</f>
        <v>290.45</v>
      </c>
      <c r="G56" s="879">
        <f>'Working - Corporate'!G32</f>
        <v>244.84</v>
      </c>
      <c r="H56" s="879">
        <f>'Working - Corporate'!H32</f>
        <v>203.26</v>
      </c>
      <c r="I56" s="879" t="e">
        <f>'Working - Corporate'!#REF!</f>
        <v>#REF!</v>
      </c>
      <c r="J56" s="878">
        <f>'Working - Corporate'!J32</f>
        <v>121.55663532003958</v>
      </c>
    </row>
    <row r="57" spans="2:11" x14ac:dyDescent="0.35">
      <c r="B57" s="813"/>
      <c r="C57" s="1138" t="s">
        <v>1340</v>
      </c>
      <c r="D57" s="1097"/>
      <c r="E57" s="1065">
        <f>+'Working - Corporate'!E40-E55-E56</f>
        <v>17.160000000000082</v>
      </c>
      <c r="F57" s="1027">
        <f>+'Working - Corporate'!F40-F55-F56</f>
        <v>23.349999999999966</v>
      </c>
      <c r="G57" s="1027">
        <f>+'Working - Corporate'!G40-G55-G56</f>
        <v>55.91</v>
      </c>
      <c r="H57" s="1027">
        <f>+'Working - Corporate'!H40-H55-H56</f>
        <v>59.819999999999993</v>
      </c>
      <c r="I57" s="1027" t="e">
        <f>+'Working - Corporate'!#REF!-I55-I56</f>
        <v>#REF!</v>
      </c>
      <c r="J57" s="1026">
        <f>+'Working - Corporate'!J40-J55-J56</f>
        <v>1806.2942975052122</v>
      </c>
    </row>
    <row r="58" spans="2:11" ht="15" thickBot="1" x14ac:dyDescent="0.4">
      <c r="B58" s="813">
        <v>20</v>
      </c>
      <c r="C58" s="1137" t="s">
        <v>391</v>
      </c>
      <c r="D58" s="1139"/>
      <c r="E58" s="1023">
        <f t="shared" ref="E58:J58" si="5">SUM(E55:E57)</f>
        <v>680.17000000000007</v>
      </c>
      <c r="F58" s="1023">
        <f t="shared" si="5"/>
        <v>321.77999999999997</v>
      </c>
      <c r="G58" s="1023">
        <f t="shared" si="5"/>
        <v>300.75</v>
      </c>
      <c r="H58" s="1023">
        <f t="shared" si="5"/>
        <v>263.08</v>
      </c>
      <c r="I58" s="1023" t="e">
        <f t="shared" si="5"/>
        <v>#REF!</v>
      </c>
      <c r="J58" s="1022">
        <f t="shared" si="5"/>
        <v>1927.8509328252517</v>
      </c>
    </row>
    <row r="59" spans="2:11" x14ac:dyDescent="0.35">
      <c r="B59" s="813">
        <v>21</v>
      </c>
      <c r="C59" s="1137" t="s">
        <v>1339</v>
      </c>
      <c r="D59" s="1139"/>
      <c r="E59" s="1092">
        <f t="shared" ref="E59:J59" si="6">E54-E58</f>
        <v>-427.30024994809901</v>
      </c>
      <c r="F59" s="1092">
        <f t="shared" si="6"/>
        <v>-66.335044694199723</v>
      </c>
      <c r="G59" s="1092">
        <f t="shared" si="6"/>
        <v>-47.014548955592545</v>
      </c>
      <c r="H59" s="1092">
        <f t="shared" si="6"/>
        <v>-282.67506465390949</v>
      </c>
      <c r="I59" s="1092" t="e">
        <f t="shared" si="6"/>
        <v>#REF!</v>
      </c>
      <c r="J59" s="1180" t="e">
        <f t="shared" si="6"/>
        <v>#REF!</v>
      </c>
    </row>
    <row r="60" spans="2:11" x14ac:dyDescent="0.35">
      <c r="B60" s="813">
        <v>22</v>
      </c>
      <c r="C60" s="1138" t="s">
        <v>1338</v>
      </c>
      <c r="D60" s="1139"/>
      <c r="E60" s="971">
        <v>0</v>
      </c>
      <c r="F60" s="971">
        <v>0</v>
      </c>
      <c r="G60" s="971">
        <v>0</v>
      </c>
      <c r="H60" s="971">
        <v>0</v>
      </c>
      <c r="I60" s="971">
        <v>0</v>
      </c>
      <c r="J60" s="1169">
        <v>0</v>
      </c>
      <c r="K60" s="1157"/>
    </row>
    <row r="61" spans="2:11" x14ac:dyDescent="0.35">
      <c r="B61" s="1015" t="s">
        <v>1226</v>
      </c>
      <c r="C61" s="1091" t="s">
        <v>1334</v>
      </c>
      <c r="D61" s="1028"/>
      <c r="E61" s="1065">
        <v>0</v>
      </c>
      <c r="F61" s="1034"/>
      <c r="G61" s="1034"/>
      <c r="H61" s="1034"/>
      <c r="I61" s="1034"/>
      <c r="J61" s="1033"/>
      <c r="K61" s="1157"/>
    </row>
    <row r="62" spans="2:11" x14ac:dyDescent="0.35">
      <c r="B62" s="1015" t="s">
        <v>1224</v>
      </c>
      <c r="C62" s="1091" t="s">
        <v>73</v>
      </c>
      <c r="D62" s="1028"/>
      <c r="E62" s="1065">
        <v>0</v>
      </c>
      <c r="F62" s="1034"/>
      <c r="G62" s="1034"/>
      <c r="H62" s="1034"/>
      <c r="I62" s="1034"/>
      <c r="J62" s="1033"/>
      <c r="K62" s="1157"/>
    </row>
    <row r="63" spans="2:11" s="716" customFormat="1" x14ac:dyDescent="0.35">
      <c r="B63" s="1096" t="s">
        <v>1222</v>
      </c>
      <c r="C63" s="1095" t="s">
        <v>1337</v>
      </c>
      <c r="D63" s="1094"/>
      <c r="E63" s="1065">
        <v>0</v>
      </c>
      <c r="F63" s="1011"/>
      <c r="G63" s="1011"/>
      <c r="H63" s="1011"/>
      <c r="I63" s="1011"/>
      <c r="J63" s="1016"/>
      <c r="K63" s="1157"/>
    </row>
    <row r="64" spans="2:11" s="716" customFormat="1" x14ac:dyDescent="0.35">
      <c r="B64" s="1096" t="s">
        <v>1220</v>
      </c>
      <c r="C64" s="1095" t="s">
        <v>1336</v>
      </c>
      <c r="D64" s="1094"/>
      <c r="E64" s="1093">
        <v>0</v>
      </c>
      <c r="F64" s="1011">
        <v>0</v>
      </c>
      <c r="G64" s="1011">
        <v>0</v>
      </c>
      <c r="H64" s="1011">
        <v>0</v>
      </c>
      <c r="I64" s="1011">
        <v>0</v>
      </c>
      <c r="J64" s="1016">
        <v>0</v>
      </c>
    </row>
    <row r="65" spans="2:10" x14ac:dyDescent="0.35">
      <c r="B65" s="813"/>
      <c r="C65" s="1138" t="s">
        <v>1330</v>
      </c>
      <c r="D65" s="1139"/>
      <c r="E65" s="1092">
        <f t="shared" ref="E65:J65" si="7">ROUND(SUM(E61:E64),2)</f>
        <v>0</v>
      </c>
      <c r="F65" s="1092">
        <f t="shared" si="7"/>
        <v>0</v>
      </c>
      <c r="G65" s="1092">
        <f t="shared" si="7"/>
        <v>0</v>
      </c>
      <c r="H65" s="1092">
        <f t="shared" si="7"/>
        <v>0</v>
      </c>
      <c r="I65" s="1092">
        <f t="shared" si="7"/>
        <v>0</v>
      </c>
      <c r="J65" s="1180">
        <f t="shared" si="7"/>
        <v>0</v>
      </c>
    </row>
    <row r="66" spans="2:10" x14ac:dyDescent="0.35">
      <c r="B66" s="813">
        <v>23</v>
      </c>
      <c r="C66" s="1138" t="s">
        <v>1335</v>
      </c>
      <c r="D66" s="1139"/>
      <c r="E66" s="971"/>
      <c r="F66" s="1066"/>
      <c r="G66" s="1066"/>
      <c r="H66" s="1066"/>
      <c r="I66" s="1066"/>
      <c r="J66" s="1000"/>
    </row>
    <row r="67" spans="2:10" x14ac:dyDescent="0.35">
      <c r="B67" s="1015" t="s">
        <v>1226</v>
      </c>
      <c r="C67" s="1091" t="s">
        <v>1334</v>
      </c>
      <c r="D67" s="1139"/>
      <c r="E67" s="971"/>
      <c r="F67" s="1034"/>
      <c r="G67" s="1034"/>
      <c r="H67" s="1034"/>
      <c r="I67" s="1034"/>
      <c r="J67" s="1033"/>
    </row>
    <row r="68" spans="2:10" x14ac:dyDescent="0.35">
      <c r="B68" s="1015" t="s">
        <v>1224</v>
      </c>
      <c r="C68" s="1091" t="s">
        <v>55</v>
      </c>
      <c r="D68" s="1028"/>
      <c r="E68" s="1065"/>
      <c r="F68" s="1011"/>
      <c r="G68" s="1011"/>
      <c r="H68" s="1011"/>
      <c r="I68" s="1011">
        <v>0</v>
      </c>
      <c r="J68" s="1016">
        <v>0</v>
      </c>
    </row>
    <row r="69" spans="2:10" x14ac:dyDescent="0.35">
      <c r="B69" s="1015" t="s">
        <v>1222</v>
      </c>
      <c r="C69" s="1091" t="s">
        <v>1333</v>
      </c>
      <c r="D69" s="1028"/>
      <c r="E69" s="1065">
        <f>'P&amp;L'!E41</f>
        <v>0</v>
      </c>
      <c r="F69" s="1011">
        <f>'P&amp;L'!F41</f>
        <v>0</v>
      </c>
      <c r="G69" s="1011">
        <f>'P&amp;L'!G41</f>
        <v>60.71</v>
      </c>
      <c r="H69" s="1011">
        <f>'P&amp;L'!H41</f>
        <v>0</v>
      </c>
      <c r="I69" s="1011" t="e">
        <f>'P&amp;L'!#REF!</f>
        <v>#REF!</v>
      </c>
      <c r="J69" s="1016">
        <f>'P&amp;L'!J41</f>
        <v>0</v>
      </c>
    </row>
    <row r="70" spans="2:10" x14ac:dyDescent="0.35">
      <c r="B70" s="1015" t="s">
        <v>1220</v>
      </c>
      <c r="C70" s="1014" t="s">
        <v>1332</v>
      </c>
      <c r="D70" s="1028"/>
      <c r="E70" s="1065"/>
      <c r="F70" s="1068"/>
      <c r="G70" s="1068"/>
      <c r="H70" s="1068"/>
      <c r="I70" s="1068"/>
      <c r="J70" s="1181"/>
    </row>
    <row r="71" spans="2:10" x14ac:dyDescent="0.35">
      <c r="B71" s="1015" t="s">
        <v>1219</v>
      </c>
      <c r="C71" s="1014" t="s">
        <v>1331</v>
      </c>
      <c r="D71" s="1028"/>
      <c r="E71" s="1065">
        <f>-'P&amp;L'!E46</f>
        <v>33.22</v>
      </c>
      <c r="F71" s="1065">
        <f>-'P&amp;L'!F46</f>
        <v>27.520000000000007</v>
      </c>
      <c r="G71" s="1065">
        <f>-'P&amp;L'!G46</f>
        <v>43.83</v>
      </c>
      <c r="H71" s="1065">
        <f>-'P&amp;L'!H46</f>
        <v>33.599999999999994</v>
      </c>
      <c r="I71" s="1065" t="e">
        <f>-'P&amp;L'!#REF!</f>
        <v>#REF!</v>
      </c>
      <c r="J71" s="1182">
        <f>-'P&amp;L'!J46</f>
        <v>0</v>
      </c>
    </row>
    <row r="72" spans="2:10" ht="15" thickBot="1" x14ac:dyDescent="0.4">
      <c r="B72" s="813"/>
      <c r="C72" s="1138" t="s">
        <v>1330</v>
      </c>
      <c r="D72" s="1139"/>
      <c r="E72" s="997">
        <f t="shared" ref="E72:J72" si="8">SUM(E67:E71)</f>
        <v>33.22</v>
      </c>
      <c r="F72" s="997">
        <f t="shared" si="8"/>
        <v>27.520000000000007</v>
      </c>
      <c r="G72" s="997">
        <f t="shared" si="8"/>
        <v>104.53999999999999</v>
      </c>
      <c r="H72" s="997">
        <f t="shared" si="8"/>
        <v>33.599999999999994</v>
      </c>
      <c r="I72" s="997" t="e">
        <f t="shared" si="8"/>
        <v>#REF!</v>
      </c>
      <c r="J72" s="1040">
        <f t="shared" si="8"/>
        <v>0</v>
      </c>
    </row>
    <row r="73" spans="2:10" ht="29.5" thickBot="1" x14ac:dyDescent="0.4">
      <c r="B73" s="813">
        <v>24</v>
      </c>
      <c r="C73" s="1090" t="s">
        <v>1329</v>
      </c>
      <c r="D73" s="1139"/>
      <c r="E73" s="1089">
        <f t="shared" ref="E73:J73" si="9">E65-E72</f>
        <v>-33.22</v>
      </c>
      <c r="F73" s="1089">
        <f t="shared" si="9"/>
        <v>-27.520000000000007</v>
      </c>
      <c r="G73" s="1089">
        <f t="shared" si="9"/>
        <v>-104.53999999999999</v>
      </c>
      <c r="H73" s="1089">
        <f t="shared" si="9"/>
        <v>-33.599999999999994</v>
      </c>
      <c r="I73" s="1089" t="e">
        <f t="shared" si="9"/>
        <v>#REF!</v>
      </c>
      <c r="J73" s="1183">
        <f t="shared" si="9"/>
        <v>0</v>
      </c>
    </row>
    <row r="74" spans="2:10" x14ac:dyDescent="0.35">
      <c r="B74" s="813">
        <v>25</v>
      </c>
      <c r="C74" s="1137" t="s">
        <v>1328</v>
      </c>
      <c r="D74" s="1139"/>
      <c r="E74" s="836">
        <f t="shared" ref="E74:J74" si="10">E73+E59</f>
        <v>-460.52024994809904</v>
      </c>
      <c r="F74" s="836">
        <f t="shared" si="10"/>
        <v>-93.855044694199734</v>
      </c>
      <c r="G74" s="836">
        <f t="shared" si="10"/>
        <v>-151.55454895559254</v>
      </c>
      <c r="H74" s="836">
        <f t="shared" si="10"/>
        <v>-316.27506465390945</v>
      </c>
      <c r="I74" s="836" t="e">
        <f t="shared" si="10"/>
        <v>#REF!</v>
      </c>
      <c r="J74" s="835" t="e">
        <f t="shared" si="10"/>
        <v>#REF!</v>
      </c>
    </row>
    <row r="75" spans="2:10" x14ac:dyDescent="0.35">
      <c r="B75" s="813">
        <v>26</v>
      </c>
      <c r="C75" s="1138" t="s">
        <v>1327</v>
      </c>
      <c r="D75" s="1139"/>
      <c r="E75" s="971">
        <f>+'P&amp;L'!E43+'P&amp;L'!E44</f>
        <v>-4.1099999999999994</v>
      </c>
      <c r="F75" s="971">
        <f>+'P&amp;L'!F43+'P&amp;L'!F44</f>
        <v>-2.2600000000000002</v>
      </c>
      <c r="G75" s="971">
        <f>+'P&amp;L'!G43+'P&amp;L'!G44</f>
        <v>-2.36</v>
      </c>
      <c r="H75" s="971">
        <f>+'P&amp;L'!H43+'P&amp;L'!H44</f>
        <v>-3.08</v>
      </c>
      <c r="I75" s="971" t="e">
        <f>+'P&amp;L'!#REF!+'P&amp;L'!#REF!</f>
        <v>#REF!</v>
      </c>
      <c r="J75" s="1169">
        <f>+'P&amp;L'!J43+'P&amp;L'!J44</f>
        <v>0</v>
      </c>
    </row>
    <row r="76" spans="2:10" x14ac:dyDescent="0.35">
      <c r="B76" s="813">
        <v>27</v>
      </c>
      <c r="C76" s="1137" t="s">
        <v>1326</v>
      </c>
      <c r="D76" s="1139"/>
      <c r="E76" s="836">
        <f t="shared" ref="E76:J76" si="11">E74-E75</f>
        <v>-456.41024994809902</v>
      </c>
      <c r="F76" s="836">
        <f t="shared" si="11"/>
        <v>-91.595044694199728</v>
      </c>
      <c r="G76" s="836">
        <f t="shared" si="11"/>
        <v>-149.19454895559252</v>
      </c>
      <c r="H76" s="836">
        <f t="shared" si="11"/>
        <v>-313.19506465390947</v>
      </c>
      <c r="I76" s="836" t="e">
        <f t="shared" si="11"/>
        <v>#REF!</v>
      </c>
      <c r="J76" s="835" t="e">
        <f t="shared" si="11"/>
        <v>#REF!</v>
      </c>
    </row>
    <row r="77" spans="2:10" ht="15" thickBot="1" x14ac:dyDescent="0.4">
      <c r="B77" s="811">
        <v>28</v>
      </c>
      <c r="C77" s="1025" t="s">
        <v>1082</v>
      </c>
      <c r="D77" s="1143"/>
      <c r="E77" s="1088">
        <f t="shared" ref="E77:J77" si="12">E76+E69+E33+E71-E72</f>
        <v>-259.50024994809905</v>
      </c>
      <c r="F77" s="1088">
        <f t="shared" si="12"/>
        <v>119.73495530580027</v>
      </c>
      <c r="G77" s="1088">
        <f t="shared" si="12"/>
        <v>66.679094728407478</v>
      </c>
      <c r="H77" s="1088">
        <f t="shared" si="12"/>
        <v>-98.031826838909467</v>
      </c>
      <c r="I77" s="1088" t="e">
        <f t="shared" si="12"/>
        <v>#REF!</v>
      </c>
      <c r="J77" s="1184" t="e">
        <f t="shared" si="12"/>
        <v>#REF!</v>
      </c>
    </row>
    <row r="78" spans="2:10" ht="15" thickBot="1" x14ac:dyDescent="0.4">
      <c r="B78" s="1021">
        <v>29</v>
      </c>
      <c r="C78" s="1145" t="s">
        <v>1325</v>
      </c>
      <c r="D78" s="1060"/>
      <c r="E78" s="1059">
        <v>0</v>
      </c>
      <c r="F78" s="1087">
        <v>0</v>
      </c>
      <c r="G78" s="1087">
        <v>0</v>
      </c>
      <c r="H78" s="1087">
        <v>0</v>
      </c>
      <c r="I78" s="1087">
        <v>0</v>
      </c>
      <c r="J78" s="1185">
        <v>0</v>
      </c>
    </row>
    <row r="79" spans="2:10" x14ac:dyDescent="0.35">
      <c r="B79" s="813">
        <v>30</v>
      </c>
      <c r="C79" s="1166" t="s">
        <v>1324</v>
      </c>
      <c r="D79" s="1139"/>
      <c r="E79" s="843">
        <f t="shared" ref="E79:J79" si="13">E76-E78</f>
        <v>-456.41024994809902</v>
      </c>
      <c r="F79" s="843">
        <f t="shared" si="13"/>
        <v>-91.595044694199728</v>
      </c>
      <c r="G79" s="843">
        <f t="shared" si="13"/>
        <v>-149.19454895559252</v>
      </c>
      <c r="H79" s="843">
        <f t="shared" si="13"/>
        <v>-313.19506465390947</v>
      </c>
      <c r="I79" s="843" t="e">
        <f t="shared" si="13"/>
        <v>#REF!</v>
      </c>
      <c r="J79" s="841" t="e">
        <f t="shared" si="13"/>
        <v>#REF!</v>
      </c>
    </row>
    <row r="80" spans="2:10" x14ac:dyDescent="0.35">
      <c r="B80" s="813">
        <v>31</v>
      </c>
      <c r="C80" s="1166" t="s">
        <v>1323</v>
      </c>
      <c r="D80" s="1139"/>
      <c r="E80" s="1086">
        <f t="shared" ref="E80:J80" si="14">E79+E69+E33+E71</f>
        <v>-226.28024994809905</v>
      </c>
      <c r="F80" s="1086">
        <f t="shared" si="14"/>
        <v>147.25495530580028</v>
      </c>
      <c r="G80" s="1086">
        <f t="shared" si="14"/>
        <v>171.21909472840747</v>
      </c>
      <c r="H80" s="1086">
        <f t="shared" si="14"/>
        <v>-64.431826838909473</v>
      </c>
      <c r="I80" s="1086" t="e">
        <f t="shared" si="14"/>
        <v>#REF!</v>
      </c>
      <c r="J80" s="1186" t="e">
        <f t="shared" si="14"/>
        <v>#REF!</v>
      </c>
    </row>
    <row r="81" spans="1:10" x14ac:dyDescent="0.35">
      <c r="B81" s="813">
        <v>32</v>
      </c>
      <c r="C81" s="1163" t="s">
        <v>1322</v>
      </c>
      <c r="D81" s="1163"/>
      <c r="E81" s="779">
        <f t="shared" ref="E81:J81" si="15">IF((E22+(E43-E41)+(E47-E45))&gt;0,SUM(E25:E28)/(E22+(E43-E41)+(E47-E45)),0)</f>
        <v>0.83890030755589906</v>
      </c>
      <c r="F81" s="779">
        <f t="shared" si="15"/>
        <v>0.82475100102030652</v>
      </c>
      <c r="G81" s="779">
        <f t="shared" si="15"/>
        <v>0.8106083604419505</v>
      </c>
      <c r="H81" s="779">
        <f t="shared" si="15"/>
        <v>0.81561287955271122</v>
      </c>
      <c r="I81" s="779" t="e">
        <f t="shared" si="15"/>
        <v>#REF!</v>
      </c>
      <c r="J81" s="778" t="e">
        <f t="shared" si="15"/>
        <v>#REF!</v>
      </c>
    </row>
    <row r="82" spans="1:10" x14ac:dyDescent="0.35">
      <c r="B82" s="813">
        <v>33</v>
      </c>
      <c r="C82" s="1163" t="s">
        <v>1321</v>
      </c>
      <c r="D82" s="1163"/>
      <c r="E82" s="777">
        <f t="shared" ref="E82:J82" si="16">IF(E22&gt;0,IF((E74+E33+E58-E65)&gt;0,(E74+E33+E58-E65-E73),"-ve"),0)</f>
        <v>449.77975005190103</v>
      </c>
      <c r="F82" s="777">
        <f t="shared" si="16"/>
        <v>466.77495530580023</v>
      </c>
      <c r="G82" s="777">
        <f t="shared" si="16"/>
        <v>469.6090947284074</v>
      </c>
      <c r="H82" s="777">
        <f t="shared" si="16"/>
        <v>195.56817316109053</v>
      </c>
      <c r="I82" s="777" t="e">
        <f t="shared" si="16"/>
        <v>#REF!</v>
      </c>
      <c r="J82" s="776" t="e">
        <f t="shared" si="16"/>
        <v>#REF!</v>
      </c>
    </row>
    <row r="83" spans="1:10" x14ac:dyDescent="0.35">
      <c r="B83" s="813">
        <v>34</v>
      </c>
      <c r="C83" s="1187" t="s">
        <v>1085</v>
      </c>
      <c r="D83" s="1163"/>
      <c r="E83" s="770">
        <f t="shared" ref="E83:J83" si="17">IF(E22&gt;0,IF((E74+E33+E58)&gt;0,(E74+E33+E58)/E22,"-ve"),0)</f>
        <v>6.9318967029734196E-2</v>
      </c>
      <c r="F83" s="770">
        <f t="shared" si="17"/>
        <v>6.3043986495061419E-2</v>
      </c>
      <c r="G83" s="770">
        <f t="shared" si="17"/>
        <v>5.4678824022721811E-2</v>
      </c>
      <c r="H83" s="770">
        <f t="shared" si="17"/>
        <v>2.4217008140109006E-2</v>
      </c>
      <c r="I83" s="770" t="e">
        <f t="shared" si="17"/>
        <v>#REF!</v>
      </c>
      <c r="J83" s="769" t="e">
        <f t="shared" si="17"/>
        <v>#REF!</v>
      </c>
    </row>
    <row r="84" spans="1:10" x14ac:dyDescent="0.35">
      <c r="B84" s="813">
        <v>35</v>
      </c>
      <c r="C84" s="1163" t="s">
        <v>1105</v>
      </c>
      <c r="D84" s="1163"/>
      <c r="E84" s="770" t="str">
        <f t="shared" ref="E84:J84" si="18">IF(E22&gt;0,IF(E59&gt;0,E59/E22,"-ve"),0)</f>
        <v>-ve</v>
      </c>
      <c r="F84" s="770" t="str">
        <f t="shared" si="18"/>
        <v>-ve</v>
      </c>
      <c r="G84" s="770" t="str">
        <f t="shared" si="18"/>
        <v>-ve</v>
      </c>
      <c r="H84" s="770" t="str">
        <f t="shared" si="18"/>
        <v>-ve</v>
      </c>
      <c r="I84" s="770" t="e">
        <f t="shared" si="18"/>
        <v>#REF!</v>
      </c>
      <c r="J84" s="769" t="e">
        <f t="shared" si="18"/>
        <v>#REF!</v>
      </c>
    </row>
    <row r="85" spans="1:10" x14ac:dyDescent="0.35">
      <c r="B85" s="813">
        <v>36</v>
      </c>
      <c r="C85" s="1163" t="s">
        <v>1104</v>
      </c>
      <c r="D85" s="1163"/>
      <c r="E85" s="770" t="str">
        <f t="shared" ref="E85:J85" si="19">IF(E22&gt;0,IF(E74&gt;0,E74/E22,"-ve"),0)</f>
        <v>-ve</v>
      </c>
      <c r="F85" s="770" t="str">
        <f t="shared" si="19"/>
        <v>-ve</v>
      </c>
      <c r="G85" s="770" t="str">
        <f t="shared" si="19"/>
        <v>-ve</v>
      </c>
      <c r="H85" s="770" t="str">
        <f t="shared" si="19"/>
        <v>-ve</v>
      </c>
      <c r="I85" s="770" t="e">
        <f t="shared" si="19"/>
        <v>#REF!</v>
      </c>
      <c r="J85" s="769" t="e">
        <f t="shared" si="19"/>
        <v>#REF!</v>
      </c>
    </row>
    <row r="86" spans="1:10" x14ac:dyDescent="0.35">
      <c r="B86" s="813">
        <v>37</v>
      </c>
      <c r="C86" s="1163" t="s">
        <v>1103</v>
      </c>
      <c r="D86" s="1163"/>
      <c r="E86" s="770" t="str">
        <f t="shared" ref="E86:J86" si="20">IF(E22&gt;0,IF(E76&gt;0,E76/E22,"-ve"),0)</f>
        <v>-ve</v>
      </c>
      <c r="F86" s="770" t="str">
        <f t="shared" si="20"/>
        <v>-ve</v>
      </c>
      <c r="G86" s="770" t="str">
        <f t="shared" si="20"/>
        <v>-ve</v>
      </c>
      <c r="H86" s="770" t="str">
        <f t="shared" si="20"/>
        <v>-ve</v>
      </c>
      <c r="I86" s="770" t="e">
        <f t="shared" si="20"/>
        <v>#REF!</v>
      </c>
      <c r="J86" s="769" t="e">
        <f t="shared" si="20"/>
        <v>#REF!</v>
      </c>
    </row>
    <row r="87" spans="1:10" ht="15" thickBot="1" x14ac:dyDescent="0.4">
      <c r="B87" s="811">
        <v>38</v>
      </c>
      <c r="C87" s="1147" t="s">
        <v>1102</v>
      </c>
      <c r="D87" s="1147"/>
      <c r="E87" s="770" t="str">
        <f t="shared" ref="E87:J87" si="21">IF(E22&gt;0,IF(E77&gt;0,E77/E22,"-ve"),0)</f>
        <v>-ve</v>
      </c>
      <c r="F87" s="770">
        <f t="shared" si="21"/>
        <v>1.7184937390246395E-2</v>
      </c>
      <c r="G87" s="770">
        <f t="shared" si="21"/>
        <v>9.9869710673848658E-3</v>
      </c>
      <c r="H87" s="770" t="str">
        <f t="shared" si="21"/>
        <v>-ve</v>
      </c>
      <c r="I87" s="770" t="e">
        <f t="shared" si="21"/>
        <v>#REF!</v>
      </c>
      <c r="J87" s="769" t="e">
        <f t="shared" si="21"/>
        <v>#REF!</v>
      </c>
    </row>
    <row r="88" spans="1:10" ht="15" thickBot="1" x14ac:dyDescent="0.4">
      <c r="B88" s="768"/>
      <c r="C88" s="979"/>
      <c r="D88" s="1163"/>
      <c r="E88" s="996"/>
      <c r="F88" s="1187"/>
      <c r="G88" s="1187"/>
      <c r="H88" s="1187"/>
      <c r="I88" s="1187"/>
      <c r="J88" s="798"/>
    </row>
    <row r="89" spans="1:10" x14ac:dyDescent="0.35">
      <c r="B89" s="953"/>
      <c r="C89" s="1145" t="s">
        <v>1320</v>
      </c>
      <c r="D89" s="1145"/>
      <c r="E89" s="1080">
        <v>21.24</v>
      </c>
      <c r="F89" s="1084">
        <f t="shared" ref="F89:J91" si="22">F55</f>
        <v>7.98</v>
      </c>
      <c r="G89" s="1084">
        <f t="shared" si="22"/>
        <v>0</v>
      </c>
      <c r="H89" s="1084">
        <f t="shared" si="22"/>
        <v>0</v>
      </c>
      <c r="I89" s="1084" t="e">
        <f t="shared" si="22"/>
        <v>#REF!</v>
      </c>
      <c r="J89" s="1132">
        <f t="shared" si="22"/>
        <v>0</v>
      </c>
    </row>
    <row r="90" spans="1:10" x14ac:dyDescent="0.35">
      <c r="B90" s="768"/>
      <c r="C90" s="1163" t="s">
        <v>1319</v>
      </c>
      <c r="D90" s="1163"/>
      <c r="E90" s="996">
        <v>648.87000000000012</v>
      </c>
      <c r="F90" s="957">
        <f t="shared" si="22"/>
        <v>290.45</v>
      </c>
      <c r="G90" s="957">
        <f t="shared" si="22"/>
        <v>244.84</v>
      </c>
      <c r="H90" s="957">
        <f t="shared" si="22"/>
        <v>203.26</v>
      </c>
      <c r="I90" s="957" t="e">
        <f t="shared" si="22"/>
        <v>#REF!</v>
      </c>
      <c r="J90" s="1188">
        <f t="shared" si="22"/>
        <v>121.55663532003958</v>
      </c>
    </row>
    <row r="91" spans="1:10" ht="15" thickBot="1" x14ac:dyDescent="0.4">
      <c r="B91" s="840"/>
      <c r="C91" s="1147" t="s">
        <v>1318</v>
      </c>
      <c r="D91" s="1147"/>
      <c r="E91" s="1061">
        <v>0.1</v>
      </c>
      <c r="F91" s="954">
        <f t="shared" si="22"/>
        <v>23.349999999999966</v>
      </c>
      <c r="G91" s="954">
        <f t="shared" si="22"/>
        <v>55.91</v>
      </c>
      <c r="H91" s="954">
        <f t="shared" si="22"/>
        <v>59.819999999999993</v>
      </c>
      <c r="I91" s="954" t="e">
        <f t="shared" si="22"/>
        <v>#REF!</v>
      </c>
      <c r="J91" s="1189">
        <f t="shared" si="22"/>
        <v>1806.2942975052122</v>
      </c>
    </row>
    <row r="92" spans="1:10" ht="15" thickBot="1" x14ac:dyDescent="0.4">
      <c r="B92" s="768"/>
      <c r="C92" s="1163"/>
      <c r="D92" s="1163"/>
      <c r="E92" s="996"/>
      <c r="F92" s="1159"/>
      <c r="G92" s="1159"/>
      <c r="H92" s="1159"/>
      <c r="I92" s="1159"/>
      <c r="J92" s="798"/>
    </row>
    <row r="93" spans="1:10" x14ac:dyDescent="0.35">
      <c r="B93" s="882"/>
      <c r="C93" s="1869" t="s">
        <v>1317</v>
      </c>
      <c r="D93" s="1870"/>
      <c r="E93" s="1085"/>
      <c r="F93" s="1084"/>
      <c r="G93" s="1084"/>
      <c r="H93" s="1084"/>
      <c r="I93" s="1084"/>
      <c r="J93" s="1132"/>
    </row>
    <row r="94" spans="1:10" x14ac:dyDescent="0.35">
      <c r="B94" s="942"/>
      <c r="C94" s="816"/>
      <c r="D94" s="1154"/>
      <c r="E94" s="996"/>
      <c r="F94" s="1159"/>
      <c r="G94" s="1159"/>
      <c r="H94" s="1159"/>
      <c r="I94" s="1159"/>
      <c r="J94" s="798"/>
    </row>
    <row r="95" spans="1:10" ht="15" thickBot="1" x14ac:dyDescent="0.4">
      <c r="B95" s="840"/>
      <c r="C95" s="1871" t="s">
        <v>1316</v>
      </c>
      <c r="D95" s="1872"/>
      <c r="E95" s="1083"/>
      <c r="F95" s="954"/>
      <c r="G95" s="954"/>
      <c r="H95" s="954"/>
      <c r="I95" s="954"/>
      <c r="J95" s="1189"/>
    </row>
    <row r="96" spans="1:10" x14ac:dyDescent="0.35">
      <c r="A96" s="1159"/>
      <c r="B96" s="1158"/>
      <c r="C96" s="801"/>
      <c r="D96" s="718"/>
      <c r="E96" s="996"/>
    </row>
    <row r="97" spans="1:10" hidden="1" x14ac:dyDescent="0.35">
      <c r="B97" s="768"/>
      <c r="D97" s="718"/>
      <c r="E97" s="996"/>
    </row>
    <row r="98" spans="1:10" hidden="1" x14ac:dyDescent="0.35">
      <c r="B98" s="1081"/>
      <c r="C98" s="844"/>
      <c r="D98" s="718"/>
      <c r="E98" s="996"/>
    </row>
    <row r="99" spans="1:10" ht="15" thickBot="1" x14ac:dyDescent="0.4">
      <c r="A99" s="1159"/>
      <c r="B99" s="1159"/>
      <c r="C99" s="1082" t="s">
        <v>1315</v>
      </c>
      <c r="D99" s="718"/>
      <c r="E99" s="996"/>
    </row>
    <row r="100" spans="1:10" ht="15" hidden="1" thickBot="1" x14ac:dyDescent="0.4">
      <c r="B100" s="1081"/>
      <c r="C100" s="844"/>
      <c r="D100" s="718"/>
      <c r="E100" s="996"/>
    </row>
    <row r="101" spans="1:10" ht="15" hidden="1" thickBot="1" x14ac:dyDescent="0.4">
      <c r="B101" s="840"/>
      <c r="C101" s="788"/>
      <c r="D101" s="788"/>
      <c r="E101" s="1061">
        <v>0</v>
      </c>
      <c r="F101" s="799"/>
      <c r="G101" s="799"/>
      <c r="H101" s="799"/>
      <c r="I101" s="799"/>
    </row>
    <row r="102" spans="1:10" ht="15" hidden="1" thickBot="1" x14ac:dyDescent="0.4">
      <c r="B102" s="953"/>
      <c r="C102" s="795"/>
      <c r="D102" s="795"/>
      <c r="E102" s="1080"/>
      <c r="F102" s="960"/>
      <c r="G102" s="1079"/>
      <c r="H102" s="1079"/>
      <c r="I102" s="1078"/>
      <c r="J102" s="783"/>
    </row>
    <row r="103" spans="1:10" ht="15" hidden="1" thickBot="1" x14ac:dyDescent="0.4">
      <c r="B103" s="768"/>
      <c r="D103" s="727"/>
      <c r="E103" s="971" t="s">
        <v>367</v>
      </c>
      <c r="F103" s="772" t="str">
        <f t="shared" ref="F103:J104" si="23">F3</f>
        <v>Audited</v>
      </c>
      <c r="G103" s="1077" t="str">
        <f t="shared" si="23"/>
        <v>Audited</v>
      </c>
      <c r="H103" s="1077" t="str">
        <f t="shared" si="23"/>
        <v>Audited</v>
      </c>
      <c r="I103" s="905" t="str">
        <f t="shared" si="23"/>
        <v>Protected</v>
      </c>
      <c r="J103" s="772" t="str">
        <f t="shared" si="23"/>
        <v>Projected</v>
      </c>
    </row>
    <row r="104" spans="1:10" ht="15" hidden="1" thickBot="1" x14ac:dyDescent="0.4">
      <c r="B104" s="768"/>
      <c r="D104" s="727"/>
      <c r="E104" s="971" t="s">
        <v>337</v>
      </c>
      <c r="F104" s="1057" t="str">
        <f t="shared" si="23"/>
        <v>2018-19</v>
      </c>
      <c r="G104" s="1056" t="str">
        <f t="shared" si="23"/>
        <v>2019-20</v>
      </c>
      <c r="H104" s="1056" t="str">
        <f t="shared" si="23"/>
        <v>2020-21</v>
      </c>
      <c r="I104" s="1055" t="str">
        <f t="shared" si="23"/>
        <v>2021-22</v>
      </c>
      <c r="J104" s="1057" t="str">
        <f t="shared" si="23"/>
        <v>2022-23</v>
      </c>
    </row>
    <row r="105" spans="1:10" x14ac:dyDescent="0.35">
      <c r="B105" s="839"/>
      <c r="C105" s="752" t="s">
        <v>1314</v>
      </c>
      <c r="D105" s="784"/>
      <c r="E105" s="1076"/>
      <c r="F105" s="960"/>
      <c r="G105" s="960"/>
      <c r="H105" s="960"/>
      <c r="I105" s="960"/>
      <c r="J105" s="782"/>
    </row>
    <row r="106" spans="1:10" x14ac:dyDescent="0.35">
      <c r="B106" s="813"/>
      <c r="C106" s="1166" t="s">
        <v>1313</v>
      </c>
      <c r="D106" s="1163"/>
      <c r="E106" s="996"/>
      <c r="F106" s="1075"/>
      <c r="G106" s="1075"/>
      <c r="H106" s="1075"/>
      <c r="I106" s="1075"/>
      <c r="J106" s="841"/>
    </row>
    <row r="107" spans="1:10" ht="29" x14ac:dyDescent="0.35">
      <c r="B107" s="813">
        <v>1</v>
      </c>
      <c r="C107" s="1136" t="s">
        <v>1312</v>
      </c>
      <c r="D107" s="1139"/>
      <c r="E107" s="971">
        <v>0</v>
      </c>
      <c r="F107" s="971">
        <v>0</v>
      </c>
      <c r="G107" s="971">
        <v>0</v>
      </c>
      <c r="H107" s="971">
        <v>0</v>
      </c>
      <c r="I107" s="971">
        <v>0</v>
      </c>
      <c r="J107" s="1169">
        <v>0</v>
      </c>
    </row>
    <row r="108" spans="1:10" ht="29" x14ac:dyDescent="0.35">
      <c r="B108" s="813"/>
      <c r="C108" s="1136" t="s">
        <v>1311</v>
      </c>
      <c r="D108" s="1139"/>
      <c r="E108" s="971">
        <v>0</v>
      </c>
      <c r="F108" s="971">
        <v>0</v>
      </c>
      <c r="G108" s="971">
        <v>0</v>
      </c>
      <c r="H108" s="971">
        <v>0</v>
      </c>
      <c r="I108" s="971">
        <v>0</v>
      </c>
      <c r="J108" s="1169">
        <v>0</v>
      </c>
    </row>
    <row r="109" spans="1:10" x14ac:dyDescent="0.35">
      <c r="B109" s="813"/>
      <c r="C109" s="1138" t="s">
        <v>1310</v>
      </c>
      <c r="D109" s="1139"/>
      <c r="E109" s="1005">
        <f>'Balance Sheet'!C57</f>
        <v>156.26</v>
      </c>
      <c r="F109" s="1005">
        <f>'Balance Sheet'!D57</f>
        <v>0</v>
      </c>
      <c r="G109" s="1005">
        <f>'Balance Sheet'!E57</f>
        <v>0</v>
      </c>
      <c r="H109" s="1005">
        <f>'Balance Sheet'!F57</f>
        <v>0</v>
      </c>
      <c r="I109" s="1005" t="e">
        <f>'Balance Sheet'!#REF!</f>
        <v>#REF!</v>
      </c>
      <c r="J109" s="1003">
        <f>'Balance Sheet'!H57</f>
        <v>0</v>
      </c>
    </row>
    <row r="110" spans="1:10" x14ac:dyDescent="0.35">
      <c r="B110" s="813"/>
      <c r="C110" s="1138"/>
      <c r="D110" s="1139"/>
      <c r="E110" s="971"/>
      <c r="F110" s="1066"/>
      <c r="G110" s="1066"/>
      <c r="H110" s="1066"/>
      <c r="I110" s="1066"/>
      <c r="J110" s="1000"/>
    </row>
    <row r="111" spans="1:10" x14ac:dyDescent="0.35">
      <c r="B111" s="813">
        <v>2</v>
      </c>
      <c r="C111" s="1138" t="s">
        <v>1309</v>
      </c>
      <c r="D111" s="1139"/>
      <c r="E111" s="971">
        <v>0</v>
      </c>
      <c r="F111" s="1034">
        <v>0</v>
      </c>
      <c r="G111" s="1034">
        <v>0</v>
      </c>
      <c r="H111" s="1034">
        <v>0</v>
      </c>
      <c r="I111" s="1034">
        <v>0</v>
      </c>
      <c r="J111" s="1033">
        <v>0</v>
      </c>
    </row>
    <row r="112" spans="1:10" x14ac:dyDescent="0.35">
      <c r="B112" s="813">
        <v>3</v>
      </c>
      <c r="C112" s="1138" t="s">
        <v>1308</v>
      </c>
      <c r="D112" s="1139"/>
      <c r="E112" s="971">
        <f>+'Balance Sheet'!C58+'Balance Sheet'!C59</f>
        <v>3372.67</v>
      </c>
      <c r="F112" s="971">
        <f>+'Balance Sheet'!D58+'Balance Sheet'!D59</f>
        <v>4161.92</v>
      </c>
      <c r="G112" s="971">
        <f>+'Balance Sheet'!E58+'Balance Sheet'!E59</f>
        <v>4439.5200000000004</v>
      </c>
      <c r="H112" s="971">
        <f>+'Balance Sheet'!F58+'Balance Sheet'!F59</f>
        <v>4459.92</v>
      </c>
      <c r="I112" s="971" t="e">
        <f>+'Balance Sheet'!#REF!+'Balance Sheet'!#REF!</f>
        <v>#REF!</v>
      </c>
      <c r="J112" s="1169">
        <f>+'Balance Sheet'!H58+'Balance Sheet'!H59</f>
        <v>2902.9878843898487</v>
      </c>
    </row>
    <row r="113" spans="2:10" x14ac:dyDescent="0.35">
      <c r="B113" s="813">
        <v>4</v>
      </c>
      <c r="C113" s="1138" t="s">
        <v>1307</v>
      </c>
      <c r="D113" s="1139"/>
      <c r="E113" s="971">
        <v>0</v>
      </c>
      <c r="F113" s="971">
        <v>0</v>
      </c>
      <c r="G113" s="971">
        <v>0</v>
      </c>
      <c r="H113" s="971">
        <v>0</v>
      </c>
      <c r="I113" s="971">
        <v>0</v>
      </c>
      <c r="J113" s="1169">
        <v>0</v>
      </c>
    </row>
    <row r="114" spans="2:10" x14ac:dyDescent="0.35">
      <c r="B114" s="813">
        <v>5</v>
      </c>
      <c r="C114" s="1138" t="s">
        <v>1306</v>
      </c>
      <c r="D114" s="1139"/>
      <c r="E114" s="971">
        <v>0</v>
      </c>
      <c r="F114" s="1034">
        <v>0</v>
      </c>
      <c r="G114" s="1034">
        <v>0</v>
      </c>
      <c r="H114" s="1034">
        <v>0</v>
      </c>
      <c r="I114" s="1034">
        <v>0</v>
      </c>
      <c r="J114" s="1033">
        <v>0</v>
      </c>
    </row>
    <row r="115" spans="2:10" x14ac:dyDescent="0.35">
      <c r="B115" s="813">
        <v>6</v>
      </c>
      <c r="C115" s="1138" t="s">
        <v>1305</v>
      </c>
      <c r="D115" s="1139"/>
      <c r="E115" s="971">
        <v>0</v>
      </c>
      <c r="F115" s="1034">
        <v>0</v>
      </c>
      <c r="G115" s="1034">
        <v>0</v>
      </c>
      <c r="H115" s="1034">
        <v>0</v>
      </c>
      <c r="I115" s="1034">
        <v>0</v>
      </c>
      <c r="J115" s="1033">
        <v>0</v>
      </c>
    </row>
    <row r="116" spans="2:10" x14ac:dyDescent="0.35">
      <c r="B116" s="813">
        <v>7</v>
      </c>
      <c r="C116" s="1138" t="s">
        <v>1304</v>
      </c>
      <c r="D116" s="1139"/>
      <c r="E116" s="971">
        <v>0</v>
      </c>
      <c r="F116" s="1034">
        <v>0</v>
      </c>
      <c r="G116" s="1034">
        <v>0</v>
      </c>
      <c r="H116" s="1034">
        <v>0</v>
      </c>
      <c r="I116" s="1034">
        <v>0</v>
      </c>
      <c r="J116" s="1033">
        <v>0</v>
      </c>
    </row>
    <row r="117" spans="2:10" x14ac:dyDescent="0.35">
      <c r="B117" s="813">
        <v>8</v>
      </c>
      <c r="C117" s="1138" t="s">
        <v>1303</v>
      </c>
      <c r="D117" s="1139"/>
      <c r="E117" s="971"/>
      <c r="F117" s="1011"/>
      <c r="G117" s="1011"/>
      <c r="H117" s="1011"/>
      <c r="I117" s="1011"/>
      <c r="J117" s="1016"/>
    </row>
    <row r="118" spans="2:10" x14ac:dyDescent="0.35">
      <c r="B118" s="1070">
        <v>9</v>
      </c>
      <c r="C118" s="1828" t="s">
        <v>1302</v>
      </c>
      <c r="D118" s="1859"/>
      <c r="E118" s="1071" t="e">
        <f>'Balance Sheet'!#REF!</f>
        <v>#REF!</v>
      </c>
      <c r="F118" s="1034" t="e">
        <f>'Balance Sheet'!#REF!</f>
        <v>#REF!</v>
      </c>
      <c r="G118" s="1034" t="e">
        <f>'Balance Sheet'!#REF!</f>
        <v>#REF!</v>
      </c>
      <c r="H118" s="1034" t="e">
        <f>'Balance Sheet'!#REF!</f>
        <v>#REF!</v>
      </c>
      <c r="I118" s="1034" t="e">
        <f>'Balance Sheet'!#REF!</f>
        <v>#REF!</v>
      </c>
      <c r="J118" s="1033" t="e">
        <f>'Balance Sheet'!#REF!</f>
        <v>#REF!</v>
      </c>
    </row>
    <row r="119" spans="2:10" x14ac:dyDescent="0.35">
      <c r="B119" s="1070">
        <v>10</v>
      </c>
      <c r="C119" s="1828" t="s">
        <v>1301</v>
      </c>
      <c r="D119" s="1859"/>
      <c r="E119" s="999">
        <f t="shared" ref="E119:J119" si="24">SUM(E120:E123)</f>
        <v>231.77001000000027</v>
      </c>
      <c r="F119" s="999">
        <f t="shared" si="24"/>
        <v>111.71000999999977</v>
      </c>
      <c r="G119" s="999">
        <f t="shared" si="24"/>
        <v>195.91847363667341</v>
      </c>
      <c r="H119" s="999">
        <f t="shared" si="24"/>
        <v>188.62959254147185</v>
      </c>
      <c r="I119" s="999" t="e">
        <f t="shared" si="24"/>
        <v>#REF!</v>
      </c>
      <c r="J119" s="1051">
        <f t="shared" si="24"/>
        <v>146.191884161384</v>
      </c>
    </row>
    <row r="120" spans="2:10" x14ac:dyDescent="0.35">
      <c r="B120" s="1030" t="s">
        <v>1226</v>
      </c>
      <c r="C120" s="1029" t="s">
        <v>1300</v>
      </c>
      <c r="D120" s="1028"/>
      <c r="E120" s="1065">
        <f>'Balance Sheet'!C62</f>
        <v>190.6</v>
      </c>
      <c r="F120" s="1034">
        <f>'Balance Sheet'!D62</f>
        <v>76.2</v>
      </c>
      <c r="G120" s="1034">
        <f>'Balance Sheet'!E62</f>
        <v>139.71</v>
      </c>
      <c r="H120" s="1034">
        <f>'Balance Sheet'!F62</f>
        <v>154.76999999999998</v>
      </c>
      <c r="I120" s="1034" t="e">
        <f>'Balance Sheet'!#REF!</f>
        <v>#REF!</v>
      </c>
      <c r="J120" s="1033">
        <f>'Balance Sheet'!H62</f>
        <v>123.031884161384</v>
      </c>
    </row>
    <row r="121" spans="2:10" x14ac:dyDescent="0.35">
      <c r="B121" s="1030" t="s">
        <v>1224</v>
      </c>
      <c r="C121" s="1014" t="s">
        <v>1299</v>
      </c>
      <c r="D121" s="1028"/>
      <c r="E121" s="1065">
        <v>0</v>
      </c>
      <c r="F121" s="1065">
        <v>0</v>
      </c>
      <c r="G121" s="1065">
        <v>0</v>
      </c>
      <c r="H121" s="1065">
        <v>0</v>
      </c>
      <c r="I121" s="1065">
        <v>0</v>
      </c>
      <c r="J121" s="1182">
        <v>0</v>
      </c>
    </row>
    <row r="122" spans="2:10" x14ac:dyDescent="0.35">
      <c r="B122" s="1030" t="s">
        <v>1222</v>
      </c>
      <c r="C122" s="1029" t="s">
        <v>1298</v>
      </c>
      <c r="D122" s="1028"/>
      <c r="E122" s="1065">
        <f>'Balance Sheet'!C63</f>
        <v>9.9400100000002602</v>
      </c>
      <c r="F122" s="1034">
        <f>'Balance Sheet'!D63</f>
        <v>11.580009999999699</v>
      </c>
      <c r="G122" s="1034">
        <f>'Balance Sheet'!E63</f>
        <v>13.508473636673401</v>
      </c>
      <c r="H122" s="1034">
        <f>'Balance Sheet'!F63</f>
        <v>16.1895925414719</v>
      </c>
      <c r="I122" s="1034" t="e">
        <f>'Balance Sheet'!#REF!</f>
        <v>#REF!</v>
      </c>
      <c r="J122" s="1033">
        <f>'Balance Sheet'!H63</f>
        <v>20.78</v>
      </c>
    </row>
    <row r="123" spans="2:10" ht="15" thickBot="1" x14ac:dyDescent="0.4">
      <c r="B123" s="1030" t="s">
        <v>1220</v>
      </c>
      <c r="C123" s="1014" t="s">
        <v>1297</v>
      </c>
      <c r="D123" s="1028"/>
      <c r="E123" s="1065">
        <f>'Balance Sheet'!C61</f>
        <v>31.230000000000018</v>
      </c>
      <c r="F123" s="1067">
        <f>'Balance Sheet'!D61</f>
        <v>23.930000000000064</v>
      </c>
      <c r="G123" s="1067">
        <f>'Balance Sheet'!E61</f>
        <v>42.699999999999989</v>
      </c>
      <c r="H123" s="1067">
        <f>'Balance Sheet'!F61</f>
        <v>17.669999999999959</v>
      </c>
      <c r="I123" s="1067" t="e">
        <f>'Balance Sheet'!#REF!</f>
        <v>#REF!</v>
      </c>
      <c r="J123" s="1165">
        <f>'Balance Sheet'!H61</f>
        <v>2.38</v>
      </c>
    </row>
    <row r="124" spans="2:10" ht="15" thickBot="1" x14ac:dyDescent="0.4">
      <c r="B124" s="813">
        <v>11</v>
      </c>
      <c r="C124" s="1138" t="s">
        <v>1296</v>
      </c>
      <c r="D124" s="1139"/>
      <c r="E124" s="1023" t="e">
        <f t="shared" ref="E124:J124" si="25">SUM(E111:E119)</f>
        <v>#REF!</v>
      </c>
      <c r="F124" s="1023" t="e">
        <f t="shared" si="25"/>
        <v>#REF!</v>
      </c>
      <c r="G124" s="1023" t="e">
        <f t="shared" si="25"/>
        <v>#REF!</v>
      </c>
      <c r="H124" s="1023" t="e">
        <f t="shared" si="25"/>
        <v>#REF!</v>
      </c>
      <c r="I124" s="1023" t="e">
        <f t="shared" si="25"/>
        <v>#REF!</v>
      </c>
      <c r="J124" s="1022" t="e">
        <f t="shared" si="25"/>
        <v>#REF!</v>
      </c>
    </row>
    <row r="125" spans="2:10" ht="15" thickBot="1" x14ac:dyDescent="0.4">
      <c r="B125" s="811">
        <v>12</v>
      </c>
      <c r="C125" s="1025" t="s">
        <v>1295</v>
      </c>
      <c r="D125" s="1143"/>
      <c r="E125" s="1023" t="e">
        <f t="shared" ref="E125:J125" si="26">E109+E124</f>
        <v>#REF!</v>
      </c>
      <c r="F125" s="1023" t="e">
        <f t="shared" si="26"/>
        <v>#REF!</v>
      </c>
      <c r="G125" s="1023" t="e">
        <f t="shared" si="26"/>
        <v>#REF!</v>
      </c>
      <c r="H125" s="1023" t="e">
        <f t="shared" si="26"/>
        <v>#REF!</v>
      </c>
      <c r="I125" s="1023" t="e">
        <f t="shared" si="26"/>
        <v>#REF!</v>
      </c>
      <c r="J125" s="1022" t="e">
        <f t="shared" si="26"/>
        <v>#REF!</v>
      </c>
    </row>
    <row r="126" spans="2:10" x14ac:dyDescent="0.35">
      <c r="B126" s="1021"/>
      <c r="C126" s="1140" t="s">
        <v>1294</v>
      </c>
      <c r="D126" s="1060"/>
      <c r="E126" s="1059"/>
      <c r="F126" s="1074"/>
      <c r="G126" s="1074"/>
      <c r="H126" s="1074"/>
      <c r="I126" s="1074"/>
      <c r="J126" s="1017"/>
    </row>
    <row r="127" spans="2:10" x14ac:dyDescent="0.35">
      <c r="B127" s="813">
        <v>13</v>
      </c>
      <c r="C127" s="1138" t="s">
        <v>1293</v>
      </c>
      <c r="D127" s="1139"/>
      <c r="E127" s="971">
        <f>'Balance Sheet'!C44</f>
        <v>3483.25</v>
      </c>
      <c r="F127" s="1034">
        <f>'Balance Sheet'!D44</f>
        <v>3483.25</v>
      </c>
      <c r="G127" s="1034">
        <f>'Balance Sheet'!E44</f>
        <v>3483.25</v>
      </c>
      <c r="H127" s="1034">
        <f>'Balance Sheet'!F44</f>
        <v>3483.25</v>
      </c>
      <c r="I127" s="1034" t="e">
        <f>'Balance Sheet'!#REF!</f>
        <v>#REF!</v>
      </c>
      <c r="J127" s="1033">
        <f>'Balance Sheet'!H44</f>
        <v>0</v>
      </c>
    </row>
    <row r="128" spans="2:10" x14ac:dyDescent="0.35">
      <c r="B128" s="813">
        <v>14</v>
      </c>
      <c r="C128" s="1187" t="s">
        <v>1292</v>
      </c>
      <c r="D128" s="1139"/>
      <c r="E128" s="971">
        <v>0</v>
      </c>
      <c r="F128" s="971">
        <v>0</v>
      </c>
      <c r="G128" s="971">
        <v>0</v>
      </c>
      <c r="H128" s="971">
        <v>0</v>
      </c>
      <c r="I128" s="971">
        <v>0</v>
      </c>
      <c r="J128" s="1169">
        <v>0</v>
      </c>
    </row>
    <row r="129" spans="2:10" x14ac:dyDescent="0.35">
      <c r="B129" s="1070">
        <v>15</v>
      </c>
      <c r="C129" s="1873" t="s">
        <v>1291</v>
      </c>
      <c r="D129" s="1874"/>
      <c r="E129" s="1073">
        <v>0</v>
      </c>
      <c r="F129" s="1073">
        <v>0</v>
      </c>
      <c r="G129" s="1073">
        <v>0</v>
      </c>
      <c r="H129" s="1073">
        <v>0</v>
      </c>
      <c r="I129" s="1073">
        <v>0</v>
      </c>
      <c r="J129" s="1190">
        <v>0</v>
      </c>
    </row>
    <row r="130" spans="2:10" ht="29" x14ac:dyDescent="0.35">
      <c r="B130" s="1072" t="s">
        <v>1290</v>
      </c>
      <c r="C130" s="1873" t="s">
        <v>1289</v>
      </c>
      <c r="D130" s="1874"/>
      <c r="E130" s="1073" t="e">
        <f>+'Balance Sheet'!C45-E118</f>
        <v>#REF!</v>
      </c>
      <c r="F130" s="1073" t="e">
        <f>+'Balance Sheet'!D45-F118</f>
        <v>#REF!</v>
      </c>
      <c r="G130" s="1073" t="e">
        <f>+'Balance Sheet'!E45-G118</f>
        <v>#REF!</v>
      </c>
      <c r="H130" s="1073" t="e">
        <f>+'Balance Sheet'!F45-H118</f>
        <v>#REF!</v>
      </c>
      <c r="I130" s="1073" t="e">
        <f>+'Balance Sheet'!#REF!-I118</f>
        <v>#REF!</v>
      </c>
      <c r="J130" s="1190" t="e">
        <f>+'Balance Sheet'!H45-J118</f>
        <v>#REF!</v>
      </c>
    </row>
    <row r="131" spans="2:10" ht="29" x14ac:dyDescent="0.35">
      <c r="B131" s="1072" t="s">
        <v>1288</v>
      </c>
      <c r="C131" s="1828" t="s">
        <v>1287</v>
      </c>
      <c r="D131" s="1859"/>
      <c r="E131" s="1071">
        <v>0</v>
      </c>
      <c r="F131" s="1071">
        <v>0</v>
      </c>
      <c r="G131" s="1071">
        <v>0</v>
      </c>
      <c r="H131" s="1071">
        <v>0</v>
      </c>
      <c r="I131" s="1071">
        <v>0</v>
      </c>
      <c r="J131" s="1191">
        <v>0</v>
      </c>
    </row>
    <row r="132" spans="2:10" x14ac:dyDescent="0.35">
      <c r="B132" s="1070">
        <v>16</v>
      </c>
      <c r="C132" s="1828" t="s">
        <v>1286</v>
      </c>
      <c r="D132" s="1860"/>
      <c r="E132" s="1011">
        <v>0</v>
      </c>
      <c r="F132" s="1011">
        <v>0</v>
      </c>
      <c r="G132" s="1011">
        <v>0</v>
      </c>
      <c r="H132" s="1011">
        <v>0</v>
      </c>
      <c r="I132" s="1011">
        <v>0</v>
      </c>
      <c r="J132" s="1016">
        <v>0</v>
      </c>
    </row>
    <row r="133" spans="2:10" x14ac:dyDescent="0.35">
      <c r="B133" s="813">
        <v>17</v>
      </c>
      <c r="C133" s="1138" t="s">
        <v>1285</v>
      </c>
      <c r="D133" s="1139"/>
      <c r="E133" s="1069">
        <f t="shared" ref="E133:J133" si="27">SUM(E134:E139)</f>
        <v>802.54</v>
      </c>
      <c r="F133" s="1069">
        <f t="shared" si="27"/>
        <v>812.29000000000008</v>
      </c>
      <c r="G133" s="1069">
        <f t="shared" si="27"/>
        <v>830.36</v>
      </c>
      <c r="H133" s="1069">
        <f t="shared" si="27"/>
        <v>840.09299999999996</v>
      </c>
      <c r="I133" s="1069" t="e">
        <f t="shared" si="27"/>
        <v>#REF!</v>
      </c>
      <c r="J133" s="1192">
        <f t="shared" si="27"/>
        <v>628.66002686459512</v>
      </c>
    </row>
    <row r="134" spans="2:10" x14ac:dyDescent="0.35">
      <c r="B134" s="1015" t="s">
        <v>1226</v>
      </c>
      <c r="C134" s="1014" t="s">
        <v>1284</v>
      </c>
      <c r="D134" s="1028"/>
      <c r="E134" s="1065">
        <f>'Balance Sheet'!C46</f>
        <v>93.88</v>
      </c>
      <c r="F134" s="1034">
        <f>'Balance Sheet'!D46</f>
        <v>105.15</v>
      </c>
      <c r="G134" s="1034">
        <f>'Balance Sheet'!E46</f>
        <v>117.77</v>
      </c>
      <c r="H134" s="1034">
        <f>'Balance Sheet'!F46</f>
        <v>131.893</v>
      </c>
      <c r="I134" s="1034" t="e">
        <f>'Balance Sheet'!#REF!</f>
        <v>#REF!</v>
      </c>
      <c r="J134" s="1033">
        <f>'Balance Sheet'!H46</f>
        <v>9.0700268645951301</v>
      </c>
    </row>
    <row r="135" spans="2:10" x14ac:dyDescent="0.35">
      <c r="B135" s="1015" t="s">
        <v>1224</v>
      </c>
      <c r="C135" s="1014" t="s">
        <v>1283</v>
      </c>
      <c r="D135" s="1028"/>
      <c r="E135" s="1065">
        <f>'Balance Sheet'!C47</f>
        <v>9.07</v>
      </c>
      <c r="F135" s="1034">
        <f>'Balance Sheet'!D47</f>
        <v>2.19</v>
      </c>
      <c r="G135" s="1034">
        <f>'Balance Sheet'!E47</f>
        <v>0</v>
      </c>
      <c r="H135" s="1034">
        <f>'Balance Sheet'!F47</f>
        <v>0</v>
      </c>
      <c r="I135" s="1034" t="e">
        <f>'Balance Sheet'!#REF!</f>
        <v>#REF!</v>
      </c>
      <c r="J135" s="1033">
        <f>'Balance Sheet'!H47</f>
        <v>0</v>
      </c>
    </row>
    <row r="136" spans="2:10" x14ac:dyDescent="0.35">
      <c r="B136" s="1015" t="s">
        <v>1222</v>
      </c>
      <c r="C136" s="1014" t="s">
        <v>1282</v>
      </c>
      <c r="D136" s="1028"/>
      <c r="E136" s="1065">
        <f>'Balance Sheet'!C51</f>
        <v>642.54</v>
      </c>
      <c r="F136" s="1068">
        <f>'Balance Sheet'!D51</f>
        <v>629.46</v>
      </c>
      <c r="G136" s="1068">
        <f>'Balance Sheet'!E51</f>
        <v>610.07000000000005</v>
      </c>
      <c r="H136" s="1068">
        <f>'Balance Sheet'!F51</f>
        <v>590.93999999999994</v>
      </c>
      <c r="I136" s="1068" t="e">
        <f>'Balance Sheet'!#REF!</f>
        <v>#REF!</v>
      </c>
      <c r="J136" s="1181">
        <f>'Balance Sheet'!H51</f>
        <v>505.63</v>
      </c>
    </row>
    <row r="137" spans="2:10" x14ac:dyDescent="0.35">
      <c r="B137" s="1015" t="s">
        <v>1220</v>
      </c>
      <c r="C137" s="1014" t="s">
        <v>1281</v>
      </c>
      <c r="D137" s="1028"/>
      <c r="E137" s="1065">
        <f>'Balance Sheet'!C50+'Balance Sheet'!C49+'Balance Sheet'!C52</f>
        <v>57.05</v>
      </c>
      <c r="F137" s="1065">
        <f>'Balance Sheet'!D50+'Balance Sheet'!D49+'Balance Sheet'!D52</f>
        <v>75.489999999999995</v>
      </c>
      <c r="G137" s="1065">
        <f>'Balance Sheet'!E50+'Balance Sheet'!E49+'Balance Sheet'!E52</f>
        <v>102.52</v>
      </c>
      <c r="H137" s="1065">
        <f>'Balance Sheet'!F50+'Balance Sheet'!F49+'Balance Sheet'!F52</f>
        <v>117.26</v>
      </c>
      <c r="I137" s="1065" t="e">
        <f>'Balance Sheet'!#REF!+'Balance Sheet'!#REF!+'Balance Sheet'!#REF!</f>
        <v>#REF!</v>
      </c>
      <c r="J137" s="1182">
        <f>'Balance Sheet'!H50+'Balance Sheet'!H49+'Balance Sheet'!H52</f>
        <v>113.96</v>
      </c>
    </row>
    <row r="138" spans="2:10" x14ac:dyDescent="0.35">
      <c r="B138" s="1015" t="s">
        <v>1219</v>
      </c>
      <c r="C138" s="1014" t="s">
        <v>1280</v>
      </c>
      <c r="D138" s="1028"/>
      <c r="E138" s="1065">
        <v>0</v>
      </c>
      <c r="F138" s="1065">
        <v>0</v>
      </c>
      <c r="G138" s="1065">
        <v>0</v>
      </c>
      <c r="H138" s="1065">
        <v>0</v>
      </c>
      <c r="I138" s="1065">
        <v>0</v>
      </c>
      <c r="J138" s="1182">
        <v>0</v>
      </c>
    </row>
    <row r="139" spans="2:10" ht="15" thickBot="1" x14ac:dyDescent="0.4">
      <c r="B139" s="1081" t="s">
        <v>1235</v>
      </c>
      <c r="C139" s="1014" t="s">
        <v>1279</v>
      </c>
      <c r="D139" s="1028"/>
      <c r="E139" s="1065">
        <v>0</v>
      </c>
      <c r="F139" s="1067">
        <v>0</v>
      </c>
      <c r="G139" s="1067">
        <v>0</v>
      </c>
      <c r="H139" s="1067">
        <v>0</v>
      </c>
      <c r="I139" s="1067">
        <v>0</v>
      </c>
      <c r="J139" s="1165">
        <v>0</v>
      </c>
    </row>
    <row r="140" spans="2:10" x14ac:dyDescent="0.35">
      <c r="B140" s="813">
        <v>18</v>
      </c>
      <c r="C140" s="1137" t="s">
        <v>1278</v>
      </c>
      <c r="D140" s="1139"/>
      <c r="E140" s="1005" t="e">
        <f t="shared" ref="E140:J140" si="28">SUM(E127:E133)</f>
        <v>#REF!</v>
      </c>
      <c r="F140" s="1005" t="e">
        <f t="shared" si="28"/>
        <v>#REF!</v>
      </c>
      <c r="G140" s="1005" t="e">
        <f t="shared" si="28"/>
        <v>#REF!</v>
      </c>
      <c r="H140" s="1005" t="e">
        <f t="shared" si="28"/>
        <v>#REF!</v>
      </c>
      <c r="I140" s="1005" t="e">
        <f t="shared" si="28"/>
        <v>#REF!</v>
      </c>
      <c r="J140" s="1003" t="e">
        <f t="shared" si="28"/>
        <v>#REF!</v>
      </c>
    </row>
    <row r="141" spans="2:10" x14ac:dyDescent="0.35">
      <c r="B141" s="813">
        <v>19</v>
      </c>
      <c r="C141" s="1137" t="s">
        <v>1277</v>
      </c>
      <c r="D141" s="1139"/>
      <c r="E141" s="1005" t="e">
        <f t="shared" ref="E141:J141" si="29">E140+E125</f>
        <v>#REF!</v>
      </c>
      <c r="F141" s="1005" t="e">
        <f t="shared" si="29"/>
        <v>#REF!</v>
      </c>
      <c r="G141" s="1005" t="e">
        <f t="shared" si="29"/>
        <v>#REF!</v>
      </c>
      <c r="H141" s="1005" t="e">
        <f t="shared" si="29"/>
        <v>#REF!</v>
      </c>
      <c r="I141" s="1005" t="e">
        <f t="shared" si="29"/>
        <v>#REF!</v>
      </c>
      <c r="J141" s="1003" t="e">
        <f t="shared" si="29"/>
        <v>#REF!</v>
      </c>
    </row>
    <row r="142" spans="2:10" x14ac:dyDescent="0.35">
      <c r="B142" s="813"/>
      <c r="C142" s="1137" t="s">
        <v>1268</v>
      </c>
      <c r="D142" s="1139"/>
      <c r="E142" s="971"/>
      <c r="F142" s="1066"/>
      <c r="G142" s="1066"/>
      <c r="H142" s="1066"/>
      <c r="I142" s="1066"/>
      <c r="J142" s="1000"/>
    </row>
    <row r="143" spans="2:10" x14ac:dyDescent="0.35">
      <c r="B143" s="813">
        <v>20</v>
      </c>
      <c r="C143" s="1138" t="s">
        <v>1276</v>
      </c>
      <c r="D143" s="1139"/>
      <c r="E143" s="971">
        <f>+'Balance Sheet'!C37+'Balance Sheet'!C38</f>
        <v>110.07</v>
      </c>
      <c r="F143" s="971">
        <f>+'Balance Sheet'!D37+'Balance Sheet'!D38</f>
        <v>110.07</v>
      </c>
      <c r="G143" s="971">
        <f>+'Balance Sheet'!E37+'Balance Sheet'!E38</f>
        <v>110.07</v>
      </c>
      <c r="H143" s="971">
        <f>+'Balance Sheet'!F37+'Balance Sheet'!F38</f>
        <v>110.07</v>
      </c>
      <c r="I143" s="971" t="e">
        <f>+'Balance Sheet'!#REF!+'Balance Sheet'!#REF!</f>
        <v>#REF!</v>
      </c>
      <c r="J143" s="1169">
        <f>+'Balance Sheet'!H37+'Balance Sheet'!H38</f>
        <v>1568.2787370000001</v>
      </c>
    </row>
    <row r="144" spans="2:10" x14ac:dyDescent="0.35">
      <c r="B144" s="813">
        <v>21</v>
      </c>
      <c r="C144" s="1138" t="s">
        <v>263</v>
      </c>
      <c r="D144" s="1139"/>
      <c r="E144" s="1034">
        <f>'Working - Corporate'!E155</f>
        <v>156.05000000000001</v>
      </c>
      <c r="F144" s="1034">
        <f>'Working - Corporate'!F155</f>
        <v>156.05000000000001</v>
      </c>
      <c r="G144" s="1034">
        <f>'Working - Corporate'!G155</f>
        <v>156.05000000000001</v>
      </c>
      <c r="H144" s="1034">
        <f>'Working - Corporate'!H155</f>
        <v>156.05000000000001</v>
      </c>
      <c r="I144" s="1034" t="e">
        <f>'Working - Corporate'!#REF!</f>
        <v>#REF!</v>
      </c>
      <c r="J144" s="1033">
        <f>'Working - Corporate'!J155</f>
        <v>156.05000000000001</v>
      </c>
    </row>
    <row r="145" spans="2:10" x14ac:dyDescent="0.35">
      <c r="B145" s="813">
        <v>22</v>
      </c>
      <c r="C145" s="1138" t="s">
        <v>1275</v>
      </c>
      <c r="D145" s="1139"/>
      <c r="E145" s="971">
        <v>0</v>
      </c>
      <c r="F145" s="971">
        <v>0</v>
      </c>
      <c r="G145" s="971">
        <v>0</v>
      </c>
      <c r="H145" s="971">
        <v>0</v>
      </c>
      <c r="I145" s="971">
        <v>0</v>
      </c>
      <c r="J145" s="1169">
        <v>0</v>
      </c>
    </row>
    <row r="146" spans="2:10" x14ac:dyDescent="0.35">
      <c r="B146" s="813">
        <v>23</v>
      </c>
      <c r="C146" s="1138" t="s">
        <v>1274</v>
      </c>
      <c r="D146" s="1139"/>
      <c r="E146" s="971"/>
      <c r="F146" s="1011"/>
      <c r="G146" s="1011"/>
      <c r="H146" s="1011"/>
      <c r="I146" s="1011"/>
      <c r="J146" s="1016"/>
    </row>
    <row r="147" spans="2:10" x14ac:dyDescent="0.35">
      <c r="B147" s="813">
        <v>24</v>
      </c>
      <c r="C147" s="1138" t="s">
        <v>1273</v>
      </c>
      <c r="D147" s="1139"/>
      <c r="E147" s="1034">
        <f>+'Working - Corporate'!E161+'Working - Corporate'!E139</f>
        <v>2.9299999999999997</v>
      </c>
      <c r="F147" s="1034">
        <f>+'Working - Corporate'!F161+'Working - Corporate'!F139</f>
        <v>2.9</v>
      </c>
      <c r="G147" s="1034">
        <f>+'Working - Corporate'!G161+'Working - Corporate'!G139</f>
        <v>2.1499999999999995</v>
      </c>
      <c r="H147" s="1034">
        <f>+'Working - Corporate'!H161+'Working - Corporate'!H139</f>
        <v>2.9399999999999995</v>
      </c>
      <c r="I147" s="1034" t="e">
        <f>+'Working - Corporate'!#REF!+'Working - Corporate'!#REF!</f>
        <v>#REF!</v>
      </c>
      <c r="J147" s="1033">
        <f>+'Working - Corporate'!J161+'Working - Corporate'!J139</f>
        <v>1.94</v>
      </c>
    </row>
    <row r="148" spans="2:10" x14ac:dyDescent="0.35">
      <c r="B148" s="813">
        <v>25</v>
      </c>
      <c r="C148" s="1138" t="s">
        <v>215</v>
      </c>
      <c r="D148" s="1139"/>
      <c r="E148" s="879">
        <f t="shared" ref="E148:J148" si="30">SUM(E149:E153)</f>
        <v>4262.7299999999996</v>
      </c>
      <c r="F148" s="879">
        <f t="shared" si="30"/>
        <v>4235.21</v>
      </c>
      <c r="G148" s="879">
        <f t="shared" si="30"/>
        <v>4191.38</v>
      </c>
      <c r="H148" s="879">
        <f t="shared" si="30"/>
        <v>4157.78</v>
      </c>
      <c r="I148" s="879" t="e">
        <f t="shared" si="30"/>
        <v>#REF!</v>
      </c>
      <c r="J148" s="878">
        <f t="shared" si="30"/>
        <v>10388.420734661449</v>
      </c>
    </row>
    <row r="149" spans="2:10" x14ac:dyDescent="0.35">
      <c r="B149" s="1015" t="s">
        <v>1226</v>
      </c>
      <c r="C149" s="1014" t="s">
        <v>1272</v>
      </c>
      <c r="D149" s="1028"/>
      <c r="E149" s="1065">
        <v>0</v>
      </c>
      <c r="F149" s="1065">
        <v>0</v>
      </c>
      <c r="G149" s="1065">
        <v>0</v>
      </c>
      <c r="H149" s="1065">
        <v>0</v>
      </c>
      <c r="I149" s="1065">
        <v>0</v>
      </c>
      <c r="J149" s="1182">
        <v>0</v>
      </c>
    </row>
    <row r="150" spans="2:10" x14ac:dyDescent="0.35">
      <c r="B150" s="1015" t="s">
        <v>1224</v>
      </c>
      <c r="C150" s="1014" t="s">
        <v>1271</v>
      </c>
      <c r="D150" s="1028"/>
      <c r="E150" s="1034">
        <f>'Working - Corporate'!E145</f>
        <v>4185.3100000000004</v>
      </c>
      <c r="F150" s="1034">
        <f>'Working - Corporate'!F145</f>
        <v>4185.3100000000004</v>
      </c>
      <c r="G150" s="1034">
        <f>'Working - Corporate'!G145</f>
        <v>4185.3100000000004</v>
      </c>
      <c r="H150" s="1034">
        <f>'Working - Corporate'!H145</f>
        <v>4185.3100000000004</v>
      </c>
      <c r="I150" s="1034" t="e">
        <f>'Working - Corporate'!#REF!</f>
        <v>#REF!</v>
      </c>
      <c r="J150" s="1033">
        <f>'Working - Corporate'!J145</f>
        <v>10446.401651616165</v>
      </c>
    </row>
    <row r="151" spans="2:10" ht="29" x14ac:dyDescent="0.35">
      <c r="B151" s="1015" t="s">
        <v>1222</v>
      </c>
      <c r="C151" s="1029" t="s">
        <v>1270</v>
      </c>
      <c r="D151" s="1028"/>
      <c r="E151" s="1034">
        <f>'Working - Corporate'!E150</f>
        <v>146.54</v>
      </c>
      <c r="F151" s="1034">
        <f>'Working - Corporate'!F150</f>
        <v>146.54</v>
      </c>
      <c r="G151" s="1034">
        <f>'Working - Corporate'!G150</f>
        <v>146.54</v>
      </c>
      <c r="H151" s="1034">
        <f>'Working - Corporate'!H150</f>
        <v>146.54</v>
      </c>
      <c r="I151" s="1034" t="e">
        <f>'Working - Corporate'!#REF!</f>
        <v>#REF!</v>
      </c>
      <c r="J151" s="1033">
        <f>'Working - Corporate'!J150</f>
        <v>83.979083045283403</v>
      </c>
    </row>
    <row r="152" spans="2:10" x14ac:dyDescent="0.35">
      <c r="B152" s="1015" t="s">
        <v>1220</v>
      </c>
      <c r="C152" s="1029" t="s">
        <v>199</v>
      </c>
      <c r="D152" s="1028"/>
      <c r="E152" s="1034">
        <f>'Working - Corporate'!E166</f>
        <v>-60.81</v>
      </c>
      <c r="F152" s="1034">
        <f>'Working - Corporate'!F166</f>
        <v>-84.56</v>
      </c>
      <c r="G152" s="1034">
        <f>'Working - Corporate'!G166</f>
        <v>-122.12</v>
      </c>
      <c r="H152" s="1034">
        <f>'Working - Corporate'!H166</f>
        <v>-157.51</v>
      </c>
      <c r="I152" s="1034" t="e">
        <f>'Working - Corporate'!#REF!</f>
        <v>#REF!</v>
      </c>
      <c r="J152" s="1033">
        <f>'Working - Corporate'!J166</f>
        <v>-124.21</v>
      </c>
    </row>
    <row r="153" spans="2:10" x14ac:dyDescent="0.35">
      <c r="B153" s="1030" t="s">
        <v>1219</v>
      </c>
      <c r="C153" s="1029" t="s">
        <v>201</v>
      </c>
      <c r="D153" s="1028"/>
      <c r="E153" s="1034">
        <f>'Working - Corporate'!E171</f>
        <v>-8.31</v>
      </c>
      <c r="F153" s="1034">
        <f>'Working - Corporate'!F171</f>
        <v>-12.08</v>
      </c>
      <c r="G153" s="1034">
        <f>'Working - Corporate'!G171</f>
        <v>-18.350000000000001</v>
      </c>
      <c r="H153" s="1034">
        <f>'Working - Corporate'!H171</f>
        <v>-16.560000000000002</v>
      </c>
      <c r="I153" s="1034" t="e">
        <f>'Working - Corporate'!#REF!</f>
        <v>#REF!</v>
      </c>
      <c r="J153" s="1033">
        <f>'Working - Corporate'!J171</f>
        <v>-17.750000000000004</v>
      </c>
    </row>
    <row r="154" spans="2:10" x14ac:dyDescent="0.35">
      <c r="B154" s="813">
        <v>26</v>
      </c>
      <c r="C154" s="1138" t="s">
        <v>1269</v>
      </c>
      <c r="D154" s="1139"/>
      <c r="E154" s="879">
        <v>-1033.9199999999998</v>
      </c>
      <c r="F154" s="879">
        <f>'Working - Corporate'!F177</f>
        <v>-1099.18</v>
      </c>
      <c r="G154" s="879">
        <f>'Working - Corporate'!G177</f>
        <v>-1205.3687941472642</v>
      </c>
      <c r="H154" s="879">
        <f>'Working - Corporate'!H177</f>
        <v>-1485.922138218175</v>
      </c>
      <c r="I154" s="879" t="e">
        <f>'Working - Corporate'!#REF!</f>
        <v>#REF!</v>
      </c>
      <c r="J154" s="878">
        <f>'Working - Corporate'!J177</f>
        <v>-3459.4363892492829</v>
      </c>
    </row>
    <row r="155" spans="2:10" x14ac:dyDescent="0.35">
      <c r="B155" s="813">
        <v>27</v>
      </c>
      <c r="C155" s="1137" t="s">
        <v>1268</v>
      </c>
      <c r="D155" s="1139"/>
      <c r="E155" s="1064">
        <f t="shared" ref="E155:J155" si="31">(SUM(E142:E148)+E154)</f>
        <v>3497.8599999999997</v>
      </c>
      <c r="F155" s="1064">
        <f t="shared" si="31"/>
        <v>3405.0499999999993</v>
      </c>
      <c r="G155" s="1064">
        <f t="shared" si="31"/>
        <v>3254.2812058527352</v>
      </c>
      <c r="H155" s="1064">
        <f t="shared" si="31"/>
        <v>2940.9178617818252</v>
      </c>
      <c r="I155" s="1064" t="e">
        <f t="shared" si="31"/>
        <v>#REF!</v>
      </c>
      <c r="J155" s="1193">
        <f t="shared" si="31"/>
        <v>8655.2530824121677</v>
      </c>
    </row>
    <row r="156" spans="2:10" ht="15" thickBot="1" x14ac:dyDescent="0.4">
      <c r="B156" s="811">
        <v>28</v>
      </c>
      <c r="C156" s="1025" t="s">
        <v>1267</v>
      </c>
      <c r="D156" s="1143"/>
      <c r="E156" s="1063">
        <v>14592.658516000363</v>
      </c>
      <c r="F156" s="982" t="e">
        <f>F141+F155</f>
        <v>#REF!</v>
      </c>
      <c r="G156" s="982" t="e">
        <f>G141+G155</f>
        <v>#REF!</v>
      </c>
      <c r="H156" s="982" t="e">
        <f>H141+H155</f>
        <v>#REF!</v>
      </c>
      <c r="I156" s="982" t="e">
        <f>I141+I155</f>
        <v>#REF!</v>
      </c>
      <c r="J156" s="981" t="e">
        <f>J141+J155</f>
        <v>#REF!</v>
      </c>
    </row>
    <row r="157" spans="2:10" x14ac:dyDescent="0.35">
      <c r="B157" s="844"/>
      <c r="D157" s="718"/>
      <c r="E157" s="996"/>
      <c r="F157" s="715">
        <f>+F155-E155</f>
        <v>-92.8100000000004</v>
      </c>
      <c r="J157" s="715"/>
    </row>
    <row r="158" spans="2:10" x14ac:dyDescent="0.35">
      <c r="B158" s="715"/>
      <c r="C158" s="844"/>
      <c r="D158" s="718"/>
      <c r="E158" s="996"/>
      <c r="F158" s="715">
        <f>+F76</f>
        <v>-91.595044694199728</v>
      </c>
      <c r="J158" s="715"/>
    </row>
    <row r="159" spans="2:10" ht="15" thickBot="1" x14ac:dyDescent="0.4">
      <c r="B159" s="715"/>
      <c r="C159" s="1062" t="s">
        <v>1266</v>
      </c>
      <c r="D159" s="718"/>
      <c r="E159" s="996"/>
    </row>
    <row r="160" spans="2:10" ht="15" hidden="1" thickBot="1" x14ac:dyDescent="0.4">
      <c r="B160" s="844"/>
      <c r="D160" s="718"/>
      <c r="E160" s="996"/>
    </row>
    <row r="161" spans="2:10" ht="15" hidden="1" thickBot="1" x14ac:dyDescent="0.4">
      <c r="B161" s="929"/>
      <c r="C161" s="788"/>
      <c r="D161" s="788"/>
      <c r="E161" s="1061">
        <v>0</v>
      </c>
      <c r="F161" s="799"/>
      <c r="G161" s="799"/>
      <c r="H161" s="799"/>
      <c r="I161" s="799"/>
    </row>
    <row r="162" spans="2:10" ht="15" hidden="1" thickBot="1" x14ac:dyDescent="0.4">
      <c r="B162" s="953"/>
      <c r="C162" s="795"/>
      <c r="D162" s="1060"/>
      <c r="E162" s="1059" t="s">
        <v>367</v>
      </c>
      <c r="F162" s="783" t="str">
        <f t="shared" ref="F162:J163" si="32">F3</f>
        <v>Audited</v>
      </c>
      <c r="G162" s="1058" t="str">
        <f t="shared" si="32"/>
        <v>Audited</v>
      </c>
      <c r="H162" s="1058" t="str">
        <f t="shared" si="32"/>
        <v>Audited</v>
      </c>
      <c r="I162" s="915" t="str">
        <f t="shared" si="32"/>
        <v>Protected</v>
      </c>
      <c r="J162" s="915" t="str">
        <f t="shared" si="32"/>
        <v>Projected</v>
      </c>
    </row>
    <row r="163" spans="2:10" ht="15" hidden="1" thickBot="1" x14ac:dyDescent="0.4">
      <c r="B163" s="768"/>
      <c r="D163" s="727"/>
      <c r="E163" s="971" t="s">
        <v>337</v>
      </c>
      <c r="F163" s="1057" t="str">
        <f t="shared" si="32"/>
        <v>2018-19</v>
      </c>
      <c r="G163" s="1056" t="str">
        <f t="shared" si="32"/>
        <v>2019-20</v>
      </c>
      <c r="H163" s="1056" t="str">
        <f t="shared" si="32"/>
        <v>2020-21</v>
      </c>
      <c r="I163" s="1055" t="str">
        <f t="shared" si="32"/>
        <v>2021-22</v>
      </c>
      <c r="J163" s="1055" t="str">
        <f t="shared" si="32"/>
        <v>2022-23</v>
      </c>
    </row>
    <row r="164" spans="2:10" x14ac:dyDescent="0.35">
      <c r="B164" s="839"/>
      <c r="C164" s="1861" t="s">
        <v>408</v>
      </c>
      <c r="D164" s="1862"/>
      <c r="E164" s="1054"/>
      <c r="F164" s="783"/>
      <c r="G164" s="783"/>
      <c r="H164" s="783"/>
      <c r="I164" s="783"/>
      <c r="J164" s="782"/>
    </row>
    <row r="165" spans="2:10" x14ac:dyDescent="0.35">
      <c r="B165" s="813"/>
      <c r="C165" s="1830" t="s">
        <v>151</v>
      </c>
      <c r="D165" s="1829"/>
      <c r="E165" s="959"/>
      <c r="F165" s="843"/>
      <c r="G165" s="843"/>
      <c r="H165" s="843"/>
      <c r="I165" s="1053"/>
      <c r="J165" s="841"/>
    </row>
    <row r="166" spans="2:10" x14ac:dyDescent="0.35">
      <c r="B166" s="813">
        <v>1</v>
      </c>
      <c r="C166" s="1818" t="s">
        <v>1265</v>
      </c>
      <c r="D166" s="1829"/>
      <c r="E166" s="959">
        <f>'Balance Sheet'!C24</f>
        <v>31.28</v>
      </c>
      <c r="F166" s="1034">
        <f>'Balance Sheet'!D24</f>
        <v>48.1</v>
      </c>
      <c r="G166" s="1034">
        <f>'Balance Sheet'!E24</f>
        <v>100.69000000000001</v>
      </c>
      <c r="H166" s="1034">
        <f>'Balance Sheet'!F24</f>
        <v>63.01</v>
      </c>
      <c r="I166" s="1034" t="e">
        <f>'Balance Sheet'!#REF!</f>
        <v>#REF!</v>
      </c>
      <c r="J166" s="1033">
        <f>'Balance Sheet'!H24</f>
        <v>27.593922838053928</v>
      </c>
    </row>
    <row r="167" spans="2:10" x14ac:dyDescent="0.35">
      <c r="B167" s="813">
        <v>2</v>
      </c>
      <c r="C167" s="1818" t="s">
        <v>1264</v>
      </c>
      <c r="D167" s="1829"/>
      <c r="E167" s="959">
        <v>0</v>
      </c>
      <c r="F167" s="959">
        <v>0</v>
      </c>
      <c r="G167" s="959">
        <v>0</v>
      </c>
      <c r="H167" s="959">
        <v>0</v>
      </c>
      <c r="I167" s="959">
        <v>0</v>
      </c>
      <c r="J167" s="1052">
        <v>0</v>
      </c>
    </row>
    <row r="168" spans="2:10" x14ac:dyDescent="0.35">
      <c r="B168" s="813">
        <v>3</v>
      </c>
      <c r="C168" s="1818" t="s">
        <v>1263</v>
      </c>
      <c r="D168" s="1829"/>
      <c r="E168" s="959">
        <f>'Balance Sheet'!C26</f>
        <v>23.39</v>
      </c>
      <c r="F168" s="1034">
        <f>'Balance Sheet'!D26</f>
        <v>11.42</v>
      </c>
      <c r="G168" s="1034">
        <f>'Balance Sheet'!E26</f>
        <v>10.49</v>
      </c>
      <c r="H168" s="1034">
        <f>'Balance Sheet'!F26</f>
        <v>0</v>
      </c>
      <c r="I168" s="1034" t="e">
        <f>'Balance Sheet'!#REF!</f>
        <v>#REF!</v>
      </c>
      <c r="J168" s="1033">
        <f>'Balance Sheet'!H26</f>
        <v>0</v>
      </c>
    </row>
    <row r="169" spans="2:10" x14ac:dyDescent="0.35">
      <c r="B169" s="813">
        <v>4</v>
      </c>
      <c r="C169" s="1828" t="s">
        <v>1262</v>
      </c>
      <c r="D169" s="1829"/>
      <c r="E169" s="959">
        <f>'Balance Sheet'!C23</f>
        <v>192.43</v>
      </c>
      <c r="F169" s="959">
        <f>'Balance Sheet'!D23</f>
        <v>206.05</v>
      </c>
      <c r="G169" s="959">
        <f>'Balance Sheet'!E23</f>
        <v>173.18</v>
      </c>
      <c r="H169" s="959">
        <f>'Balance Sheet'!F23</f>
        <v>218.73</v>
      </c>
      <c r="I169" s="959" t="e">
        <f>'Balance Sheet'!#REF!</f>
        <v>#REF!</v>
      </c>
      <c r="J169" s="1052">
        <f>'Balance Sheet'!H23</f>
        <v>179.81821058331286</v>
      </c>
    </row>
    <row r="170" spans="2:10" x14ac:dyDescent="0.35">
      <c r="B170" s="813">
        <v>5</v>
      </c>
      <c r="C170" s="1818" t="s">
        <v>1261</v>
      </c>
      <c r="D170" s="1829"/>
      <c r="E170" s="959">
        <v>0</v>
      </c>
      <c r="F170" s="1034">
        <v>0</v>
      </c>
      <c r="G170" s="1034">
        <v>0</v>
      </c>
      <c r="H170" s="1034">
        <v>0</v>
      </c>
      <c r="I170" s="1034">
        <v>0</v>
      </c>
      <c r="J170" s="1033">
        <v>0</v>
      </c>
    </row>
    <row r="171" spans="2:10" x14ac:dyDescent="0.35">
      <c r="B171" s="813">
        <v>6</v>
      </c>
      <c r="C171" s="1818" t="s">
        <v>1260</v>
      </c>
      <c r="D171" s="1829"/>
      <c r="E171" s="959">
        <v>0</v>
      </c>
      <c r="F171" s="1034">
        <v>0</v>
      </c>
      <c r="G171" s="1034">
        <v>0</v>
      </c>
      <c r="H171" s="1034">
        <v>0</v>
      </c>
      <c r="I171" s="1034">
        <v>0</v>
      </c>
      <c r="J171" s="1033">
        <v>0</v>
      </c>
    </row>
    <row r="172" spans="2:10" x14ac:dyDescent="0.35">
      <c r="B172" s="813">
        <v>7</v>
      </c>
      <c r="C172" s="1818" t="s">
        <v>1259</v>
      </c>
      <c r="D172" s="1829"/>
      <c r="E172" s="959">
        <v>0</v>
      </c>
      <c r="F172" s="1034">
        <v>0</v>
      </c>
      <c r="G172" s="1034">
        <v>0</v>
      </c>
      <c r="H172" s="1034">
        <v>0</v>
      </c>
      <c r="I172" s="1034">
        <v>0</v>
      </c>
      <c r="J172" s="1033">
        <v>0</v>
      </c>
    </row>
    <row r="173" spans="2:10" x14ac:dyDescent="0.35">
      <c r="B173" s="813">
        <v>8</v>
      </c>
      <c r="C173" s="1818" t="s">
        <v>1258</v>
      </c>
      <c r="D173" s="1829"/>
      <c r="E173" s="1034">
        <f>'Working - Corporate'!E110</f>
        <v>5.36</v>
      </c>
      <c r="F173" s="1034">
        <f>'Working - Corporate'!F110</f>
        <v>6.36</v>
      </c>
      <c r="G173" s="1034">
        <f>'Working - Corporate'!G110</f>
        <v>4.37</v>
      </c>
      <c r="H173" s="1034">
        <f>'Working - Corporate'!H110</f>
        <v>8.33</v>
      </c>
      <c r="I173" s="1034" t="e">
        <f>'Working - Corporate'!#REF!</f>
        <v>#REF!</v>
      </c>
      <c r="J173" s="1033">
        <f>'Working - Corporate'!J110</f>
        <v>6.22</v>
      </c>
    </row>
    <row r="174" spans="2:10" x14ac:dyDescent="0.35">
      <c r="B174" s="813">
        <v>9</v>
      </c>
      <c r="C174" s="1818" t="s">
        <v>1257</v>
      </c>
      <c r="D174" s="1829"/>
      <c r="E174" s="959">
        <f>'Working - Corporate'!E114</f>
        <v>55</v>
      </c>
      <c r="F174" s="879">
        <f>'Working - Corporate'!F114</f>
        <v>56.18</v>
      </c>
      <c r="G174" s="879">
        <f>'Working - Corporate'!G114</f>
        <v>61.767974400000021</v>
      </c>
      <c r="H174" s="879">
        <f>'Working - Corporate'!H114</f>
        <v>25.788956600000006</v>
      </c>
      <c r="I174" s="879" t="e">
        <f>'Working - Corporate'!#REF!</f>
        <v>#REF!</v>
      </c>
      <c r="J174" s="878">
        <f>'Working - Corporate'!J114</f>
        <v>34.855159334654182</v>
      </c>
    </row>
    <row r="175" spans="2:10" x14ac:dyDescent="0.35">
      <c r="B175" s="813">
        <v>10</v>
      </c>
      <c r="C175" s="1818" t="s">
        <v>1256</v>
      </c>
      <c r="D175" s="1829"/>
      <c r="E175" s="959">
        <f>'Working - Corporate'!E112</f>
        <v>2655.03</v>
      </c>
      <c r="F175" s="999">
        <f>'Working - Corporate'!F112</f>
        <v>2516.9</v>
      </c>
      <c r="G175" s="999">
        <f>'Working - Corporate'!G112</f>
        <v>2398.3885123707682</v>
      </c>
      <c r="H175" s="999">
        <f>'Working - Corporate'!H112</f>
        <v>2093.2791183170002</v>
      </c>
      <c r="I175" s="999" t="e">
        <f>'Working - Corporate'!#REF!</f>
        <v>#REF!</v>
      </c>
      <c r="J175" s="1051">
        <f>'Working - Corporate'!J112</f>
        <v>2149.2324930769641</v>
      </c>
    </row>
    <row r="176" spans="2:10" x14ac:dyDescent="0.35">
      <c r="B176" s="813">
        <v>11</v>
      </c>
      <c r="C176" s="1818" t="s">
        <v>1255</v>
      </c>
      <c r="D176" s="1829"/>
      <c r="E176" s="959">
        <f>'Working - Corporate'!E113</f>
        <v>70.72</v>
      </c>
      <c r="F176" s="1050">
        <f>'Working - Corporate'!F113</f>
        <v>101.25</v>
      </c>
      <c r="G176" s="1050">
        <f>'Working - Corporate'!G113</f>
        <v>154.00318271864091</v>
      </c>
      <c r="H176" s="1050">
        <f>'Working - Corporate'!H113</f>
        <v>301.78427940630002</v>
      </c>
      <c r="I176" s="1050" t="e">
        <f>'Working - Corporate'!#REF!</f>
        <v>#REF!</v>
      </c>
      <c r="J176" s="1049">
        <f>'Working - Corporate'!J113</f>
        <v>525.19544944268296</v>
      </c>
    </row>
    <row r="177" spans="2:11" x14ac:dyDescent="0.35">
      <c r="B177" s="813">
        <v>12</v>
      </c>
      <c r="C177" s="1818" t="s">
        <v>1254</v>
      </c>
      <c r="D177" s="1829"/>
      <c r="E177" s="959">
        <f>'Working - Corporate'!E111</f>
        <v>61.77</v>
      </c>
      <c r="F177" s="1034">
        <f>'Working - Corporate'!F111</f>
        <v>84.29</v>
      </c>
      <c r="G177" s="1034">
        <f>'Working - Corporate'!G111</f>
        <v>92.86</v>
      </c>
      <c r="H177" s="1034">
        <f>'Working - Corporate'!H111</f>
        <v>112.16</v>
      </c>
      <c r="I177" s="1034" t="e">
        <f>'Working - Corporate'!#REF!</f>
        <v>#REF!</v>
      </c>
      <c r="J177" s="1033">
        <f>'Working - Corporate'!J111</f>
        <v>108.82</v>
      </c>
    </row>
    <row r="178" spans="2:11" x14ac:dyDescent="0.35">
      <c r="B178" s="813">
        <v>13</v>
      </c>
      <c r="C178" s="1818" t="s">
        <v>1253</v>
      </c>
      <c r="D178" s="1829"/>
      <c r="E178" s="959">
        <v>0</v>
      </c>
      <c r="F178" s="1034"/>
      <c r="G178" s="1034"/>
      <c r="H178" s="1034"/>
      <c r="I178" s="1034"/>
      <c r="J178" s="1033"/>
    </row>
    <row r="179" spans="2:11" x14ac:dyDescent="0.35">
      <c r="B179" s="813">
        <v>14</v>
      </c>
      <c r="C179" s="1818" t="s">
        <v>1252</v>
      </c>
      <c r="D179" s="1829"/>
      <c r="E179" s="959"/>
      <c r="F179" s="1034"/>
      <c r="G179" s="1034"/>
      <c r="H179" s="1034"/>
      <c r="I179" s="1034"/>
      <c r="J179" s="1033"/>
    </row>
    <row r="180" spans="2:11" x14ac:dyDescent="0.35">
      <c r="B180" s="813">
        <v>15</v>
      </c>
      <c r="C180" s="1818" t="s">
        <v>1251</v>
      </c>
      <c r="D180" s="1829"/>
      <c r="E180" s="1048">
        <f t="shared" ref="E180:J180" si="33">SUM(E181:E185)</f>
        <v>2824.2699999999995</v>
      </c>
      <c r="F180" s="1048">
        <f t="shared" si="33"/>
        <v>3700.28</v>
      </c>
      <c r="G180" s="1048">
        <f t="shared" si="33"/>
        <v>793.57999999999993</v>
      </c>
      <c r="H180" s="1048">
        <f t="shared" si="33"/>
        <v>690.70500000000004</v>
      </c>
      <c r="I180" s="1048" t="e">
        <f t="shared" si="33"/>
        <v>#REF!</v>
      </c>
      <c r="J180" s="1047">
        <f t="shared" si="33"/>
        <v>693.07655155399993</v>
      </c>
    </row>
    <row r="181" spans="2:11" x14ac:dyDescent="0.35">
      <c r="B181" s="1015" t="s">
        <v>1226</v>
      </c>
      <c r="C181" s="1014" t="s">
        <v>1250</v>
      </c>
      <c r="D181" s="1013"/>
      <c r="E181" s="1045">
        <f>+'Balance Sheet'!C28+'Balance Sheet'!C31</f>
        <v>742.78999999999985</v>
      </c>
      <c r="F181" s="1045">
        <f>+'Balance Sheet'!D28+'Balance Sheet'!D31</f>
        <v>704.13000000000011</v>
      </c>
      <c r="G181" s="1045">
        <f>+'Balance Sheet'!E28+'Balance Sheet'!E31</f>
        <v>714.14</v>
      </c>
      <c r="H181" s="1045">
        <f>+'Balance Sheet'!F28+'Balance Sheet'!F31</f>
        <v>690.70500000000004</v>
      </c>
      <c r="I181" s="1045" t="e">
        <f>+'Balance Sheet'!#REF!+'Balance Sheet'!#REF!</f>
        <v>#REF!</v>
      </c>
      <c r="J181" s="1046">
        <f>+'Balance Sheet'!H28+'Balance Sheet'!H31</f>
        <v>693.07655155399993</v>
      </c>
    </row>
    <row r="182" spans="2:11" x14ac:dyDescent="0.35">
      <c r="B182" s="1015" t="s">
        <v>1224</v>
      </c>
      <c r="C182" s="1014" t="s">
        <v>1249</v>
      </c>
      <c r="D182" s="1013"/>
      <c r="E182" s="1045">
        <f>'Balance Sheet'!C30</f>
        <v>79.44</v>
      </c>
      <c r="F182" s="1034">
        <f>'Balance Sheet'!D30</f>
        <v>79.44</v>
      </c>
      <c r="G182" s="1034">
        <f>'Balance Sheet'!E30</f>
        <v>79.44</v>
      </c>
      <c r="H182" s="1034">
        <f>'Balance Sheet'!F30</f>
        <v>0</v>
      </c>
      <c r="I182" s="1034" t="e">
        <f>'Balance Sheet'!#REF!</f>
        <v>#REF!</v>
      </c>
      <c r="J182" s="1033">
        <f>'Balance Sheet'!H30</f>
        <v>0</v>
      </c>
    </row>
    <row r="183" spans="2:11" x14ac:dyDescent="0.35">
      <c r="B183" s="1015" t="s">
        <v>1222</v>
      </c>
      <c r="C183" s="1014" t="s">
        <v>1248</v>
      </c>
      <c r="D183" s="1013"/>
      <c r="E183" s="1012">
        <v>0</v>
      </c>
      <c r="F183" s="1042">
        <v>0</v>
      </c>
      <c r="G183" s="1042">
        <v>0</v>
      </c>
      <c r="H183" s="1042">
        <v>0</v>
      </c>
      <c r="I183" s="1042">
        <v>0</v>
      </c>
      <c r="J183" s="1041">
        <v>0</v>
      </c>
    </row>
    <row r="184" spans="2:11" x14ac:dyDescent="0.35">
      <c r="B184" s="1015" t="s">
        <v>1220</v>
      </c>
      <c r="C184" s="1014" t="s">
        <v>1392</v>
      </c>
      <c r="D184" s="1013"/>
      <c r="E184" s="1044">
        <f>'Balance Sheet'!C22</f>
        <v>0</v>
      </c>
      <c r="F184" s="1043">
        <f>'Balance Sheet'!D22</f>
        <v>770.13</v>
      </c>
      <c r="G184" s="1042">
        <v>0</v>
      </c>
      <c r="H184" s="1042">
        <v>0</v>
      </c>
      <c r="I184" s="1042">
        <v>0</v>
      </c>
      <c r="J184" s="1041">
        <v>0</v>
      </c>
      <c r="K184" s="1157"/>
    </row>
    <row r="185" spans="2:11" x14ac:dyDescent="0.35">
      <c r="B185" s="1015" t="s">
        <v>1219</v>
      </c>
      <c r="C185" s="1014" t="s">
        <v>1247</v>
      </c>
      <c r="D185" s="1013"/>
      <c r="E185" s="1012">
        <f>'Balance Sheet'!C27</f>
        <v>2002.04</v>
      </c>
      <c r="F185" s="1042">
        <f>'Balance Sheet'!D27</f>
        <v>2146.58</v>
      </c>
      <c r="G185" s="1042">
        <v>0</v>
      </c>
      <c r="H185" s="1042">
        <v>0</v>
      </c>
      <c r="I185" s="1042">
        <v>0</v>
      </c>
      <c r="J185" s="1041">
        <v>0</v>
      </c>
    </row>
    <row r="186" spans="2:11" x14ac:dyDescent="0.35">
      <c r="B186" s="813">
        <v>16</v>
      </c>
      <c r="C186" s="1830" t="s">
        <v>1246</v>
      </c>
      <c r="D186" s="1829"/>
      <c r="E186" s="1005">
        <f t="shared" ref="E186:J186" si="34">SUM(E164:E180)</f>
        <v>5919.25</v>
      </c>
      <c r="F186" s="1005">
        <f t="shared" si="34"/>
        <v>6730.83</v>
      </c>
      <c r="G186" s="1005">
        <f t="shared" si="34"/>
        <v>3789.3296694894093</v>
      </c>
      <c r="H186" s="1005">
        <f t="shared" si="34"/>
        <v>3513.7873543233</v>
      </c>
      <c r="I186" s="1004" t="e">
        <f t="shared" si="34"/>
        <v>#REF!</v>
      </c>
      <c r="J186" s="1004">
        <f t="shared" si="34"/>
        <v>3724.8117868296686</v>
      </c>
    </row>
    <row r="187" spans="2:11" x14ac:dyDescent="0.35">
      <c r="B187" s="813"/>
      <c r="C187" s="1818"/>
      <c r="D187" s="1829"/>
      <c r="E187" s="959"/>
      <c r="F187" s="1002"/>
      <c r="G187" s="1002"/>
      <c r="H187" s="1002"/>
      <c r="I187" s="1001"/>
      <c r="J187" s="1000"/>
    </row>
    <row r="188" spans="2:11" x14ac:dyDescent="0.35">
      <c r="B188" s="813"/>
      <c r="C188" s="1830" t="s">
        <v>1245</v>
      </c>
      <c r="D188" s="1829"/>
      <c r="E188" s="959"/>
      <c r="F188" s="1002"/>
      <c r="G188" s="1002"/>
      <c r="H188" s="1002"/>
      <c r="I188" s="1001"/>
      <c r="J188" s="1000"/>
    </row>
    <row r="189" spans="2:11" x14ac:dyDescent="0.35">
      <c r="B189" s="813">
        <v>17</v>
      </c>
      <c r="C189" s="1818" t="s">
        <v>1244</v>
      </c>
      <c r="D189" s="1829"/>
      <c r="E189" s="1034">
        <f>'Fixed Asset schedule'!E69+'Balance Sheet'!C11+'Balance Sheet'!C9</f>
        <v>10561.66001</v>
      </c>
      <c r="F189" s="1034">
        <f>'Fixed Asset schedule'!F69+'Balance Sheet'!D11+'Balance Sheet'!D9</f>
        <v>10624.75001</v>
      </c>
      <c r="G189" s="1034">
        <f>'Fixed Asset schedule'!G69+'Balance Sheet'!E11+'Balance Sheet'!E9</f>
        <v>10636.09001</v>
      </c>
      <c r="H189" s="1034">
        <f>'Fixed Asset schedule'!H69+'Balance Sheet'!F11+'Balance Sheet'!F9</f>
        <v>10648.650100000001</v>
      </c>
      <c r="I189" s="1034" t="e">
        <f>'Fixed Asset schedule'!#REF!+'Balance Sheet'!#REF!+'Balance Sheet'!#REF!</f>
        <v>#REF!</v>
      </c>
      <c r="J189" s="1033">
        <f>'Fixed Asset schedule'!J69+'Balance Sheet'!H11+'Balance Sheet'!H9</f>
        <v>10664.6200004</v>
      </c>
    </row>
    <row r="190" spans="2:11" x14ac:dyDescent="0.35">
      <c r="B190" s="813">
        <v>18</v>
      </c>
      <c r="C190" s="1818" t="s">
        <v>1243</v>
      </c>
      <c r="D190" s="1829"/>
      <c r="E190" s="959">
        <f>'Balance Sheet'!C10</f>
        <v>65.790000000000006</v>
      </c>
      <c r="F190" s="1034">
        <f>'Balance Sheet'!D10</f>
        <v>16.559999999999999</v>
      </c>
      <c r="G190" s="1034">
        <f>'Balance Sheet'!E10</f>
        <v>43.07</v>
      </c>
      <c r="H190" s="1034">
        <f>'Balance Sheet'!F10</f>
        <v>25.17</v>
      </c>
      <c r="I190" s="1034" t="e">
        <f>'Balance Sheet'!#REF!</f>
        <v>#REF!</v>
      </c>
      <c r="J190" s="1033">
        <f>'Balance Sheet'!H10</f>
        <v>4.2899999999999991</v>
      </c>
    </row>
    <row r="191" spans="2:11" ht="15" thickBot="1" x14ac:dyDescent="0.4">
      <c r="B191" s="813">
        <v>19</v>
      </c>
      <c r="C191" s="728" t="s">
        <v>1242</v>
      </c>
      <c r="D191" s="727"/>
      <c r="E191" s="971">
        <f>'Fixed Asset schedule'!E71</f>
        <v>3025.9</v>
      </c>
      <c r="F191" s="997">
        <f>'Fixed Asset schedule'!F71</f>
        <v>3234.6699999999996</v>
      </c>
      <c r="G191" s="997">
        <f>'Fixed Asset schedule'!G71</f>
        <v>3448.4999999999995</v>
      </c>
      <c r="H191" s="997">
        <f>'Fixed Asset schedule'!H71</f>
        <v>3656.6100000000006</v>
      </c>
      <c r="I191" s="997" t="e">
        <f>'Fixed Asset schedule'!#REF!</f>
        <v>#REF!</v>
      </c>
      <c r="J191" s="1040">
        <f>'Fixed Asset schedule'!J71</f>
        <v>4076.9594257165827</v>
      </c>
    </row>
    <row r="192" spans="2:11" x14ac:dyDescent="0.35">
      <c r="B192" s="813">
        <v>20</v>
      </c>
      <c r="C192" s="1830" t="s">
        <v>497</v>
      </c>
      <c r="D192" s="1829"/>
      <c r="E192" s="1039">
        <f t="shared" ref="E192:J192" si="35">E189+E190-E191</f>
        <v>7601.5500100000008</v>
      </c>
      <c r="F192" s="1039">
        <f t="shared" si="35"/>
        <v>7406.6400099999992</v>
      </c>
      <c r="G192" s="1039">
        <f t="shared" si="35"/>
        <v>7230.6600099999996</v>
      </c>
      <c r="H192" s="1039">
        <f t="shared" si="35"/>
        <v>7017.2101000000002</v>
      </c>
      <c r="I192" s="1039" t="e">
        <f t="shared" si="35"/>
        <v>#REF!</v>
      </c>
      <c r="J192" s="1038">
        <f t="shared" si="35"/>
        <v>6591.9505746834184</v>
      </c>
    </row>
    <row r="193" spans="2:11" x14ac:dyDescent="0.35">
      <c r="B193" s="813">
        <v>21</v>
      </c>
      <c r="C193" s="1830" t="s">
        <v>1241</v>
      </c>
      <c r="D193" s="1829"/>
      <c r="E193" s="959"/>
      <c r="F193" s="1037"/>
      <c r="G193" s="1037"/>
      <c r="H193" s="1037"/>
      <c r="I193" s="1036"/>
      <c r="J193" s="1035"/>
    </row>
    <row r="194" spans="2:11" x14ac:dyDescent="0.35">
      <c r="B194" s="1030" t="s">
        <v>1226</v>
      </c>
      <c r="C194" s="1818" t="s">
        <v>1240</v>
      </c>
      <c r="D194" s="1819"/>
      <c r="E194" s="1032">
        <f>+'Working - Corporate'!E67+'Working - Corporate'!E68+'Working - Corporate'!E69+'Working - Corporate'!E71+'Working - Corporate'!E72+'Working - Corporate'!E73+'Working - Corporate'!E81+'Working - Corporate'!E82+'Working - Corporate'!E83+'Working - Corporate'!E85+'Working - Corporate'!E86</f>
        <v>867.47</v>
      </c>
      <c r="F194" s="1032">
        <f>+'Working - Corporate'!F67+'Working - Corporate'!F68+'Working - Corporate'!F69+'Working - Corporate'!F71+'Working - Corporate'!F72+'Working - Corporate'!F73+'Working - Corporate'!F81+'Working - Corporate'!F82+'Working - Corporate'!F83+'Working - Corporate'!F85+'Working - Corporate'!F86</f>
        <v>97.339999999999989</v>
      </c>
      <c r="G194" s="1032">
        <f>+'Working - Corporate'!G67+'Working - Corporate'!G68+'Working - Corporate'!G69+'Working - Corporate'!G71+'Working - Corporate'!G72+'Working - Corporate'!G73+'Working - Corporate'!G81+'Working - Corporate'!G82+'Working - Corporate'!G83+'Working - Corporate'!G85+'Working - Corporate'!G86</f>
        <v>92.339999999999989</v>
      </c>
      <c r="H194" s="1032">
        <f>+'Working - Corporate'!H67+'Working - Corporate'!H68+'Working - Corporate'!H69+'Working - Corporate'!H71+'Working - Corporate'!H72+'Working - Corporate'!H73+'Working - Corporate'!H81+'Working - Corporate'!H82+'Working - Corporate'!H83+'Working - Corporate'!H85+'Working - Corporate'!H86</f>
        <v>92.339999999999989</v>
      </c>
      <c r="I194" s="1032" t="e">
        <f>+'Working - Corporate'!#REF!+'Working - Corporate'!#REF!+'Working - Corporate'!#REF!+'Working - Corporate'!#REF!+'Working - Corporate'!#REF!+'Working - Corporate'!#REF!+'Working - Corporate'!#REF!+'Working - Corporate'!#REF!+'Working - Corporate'!#REF!+'Working - Corporate'!#REF!+'Working - Corporate'!#REF!</f>
        <v>#REF!</v>
      </c>
      <c r="J194" s="1031">
        <f>+'Working - Corporate'!J67+'Working - Corporate'!J68+'Working - Corporate'!J69+'Working - Corporate'!J71+'Working - Corporate'!J72+'Working - Corporate'!J73+'Working - Corporate'!J81+'Working - Corporate'!J82+'Working - Corporate'!J83+'Working - Corporate'!J85+'Working - Corporate'!J86</f>
        <v>92.339999999999989</v>
      </c>
      <c r="K194" s="804"/>
    </row>
    <row r="195" spans="2:11" x14ac:dyDescent="0.35">
      <c r="B195" s="1030" t="s">
        <v>1224</v>
      </c>
      <c r="C195" s="1818" t="s">
        <v>1239</v>
      </c>
      <c r="D195" s="1819"/>
      <c r="E195" s="1032">
        <f>+'Working - Corporate'!E75+'Working - Corporate'!E76+'Working - Corporate'!E88+'Working - Corporate'!E89</f>
        <v>188.44999999999996</v>
      </c>
      <c r="F195" s="1032">
        <f>+'Working - Corporate'!F75+'Working - Corporate'!F76+'Working - Corporate'!F88+'Working - Corporate'!F89</f>
        <v>153.92999999999995</v>
      </c>
      <c r="G195" s="1032">
        <f>+'Working - Corporate'!G75+'Working - Corporate'!G76+'Working - Corporate'!G88+'Working - Corporate'!G89+'Balance Sheet'!E22</f>
        <v>869.47</v>
      </c>
      <c r="H195" s="1032">
        <f>+'Working - Corporate'!H75+'Working - Corporate'!H76+'Working - Corporate'!H88+'Working - Corporate'!H89+'Balance Sheet'!F22</f>
        <v>818.03</v>
      </c>
      <c r="I195" s="1032" t="e">
        <f>+'Working - Corporate'!#REF!+'Working - Corporate'!#REF!+'Working - Corporate'!#REF!+'Working - Corporate'!#REF!+'Balance Sheet'!#REF!</f>
        <v>#REF!</v>
      </c>
      <c r="J195" s="1032">
        <f>+'Working - Corporate'!J75+'Working - Corporate'!J76+'Working - Corporate'!J88+'Working - Corporate'!J89+'Balance Sheet'!H22</f>
        <v>770.12999999999988</v>
      </c>
      <c r="K195" s="804"/>
    </row>
    <row r="196" spans="2:11" x14ac:dyDescent="0.35">
      <c r="B196" s="1030" t="s">
        <v>1222</v>
      </c>
      <c r="C196" s="1828" t="s">
        <v>1238</v>
      </c>
      <c r="D196" s="1819"/>
      <c r="E196" s="1032">
        <v>0</v>
      </c>
      <c r="F196" s="1034">
        <v>0</v>
      </c>
      <c r="G196" s="1034">
        <v>0</v>
      </c>
      <c r="H196" s="1034">
        <v>0</v>
      </c>
      <c r="I196" s="1034">
        <v>0</v>
      </c>
      <c r="J196" s="1033">
        <v>0</v>
      </c>
      <c r="K196" s="804"/>
    </row>
    <row r="197" spans="2:11" x14ac:dyDescent="0.35">
      <c r="B197" s="1030" t="s">
        <v>1220</v>
      </c>
      <c r="C197" s="728" t="s">
        <v>1237</v>
      </c>
      <c r="D197" s="727"/>
      <c r="E197" s="1032">
        <v>0</v>
      </c>
      <c r="F197" s="1034">
        <v>0</v>
      </c>
      <c r="G197" s="1034">
        <v>0</v>
      </c>
      <c r="H197" s="1034">
        <v>0</v>
      </c>
      <c r="I197" s="1034">
        <v>0</v>
      </c>
      <c r="J197" s="1033">
        <v>0</v>
      </c>
      <c r="K197" s="804"/>
    </row>
    <row r="198" spans="2:11" x14ac:dyDescent="0.35">
      <c r="B198" s="1030" t="s">
        <v>1219</v>
      </c>
      <c r="C198" s="1818" t="s">
        <v>1236</v>
      </c>
      <c r="D198" s="1819"/>
      <c r="E198" s="1032">
        <v>0</v>
      </c>
      <c r="F198" s="1034">
        <v>0</v>
      </c>
      <c r="G198" s="1034">
        <v>0</v>
      </c>
      <c r="H198" s="1034">
        <v>0</v>
      </c>
      <c r="I198" s="1034">
        <v>0</v>
      </c>
      <c r="J198" s="1033">
        <v>0</v>
      </c>
      <c r="K198" s="804"/>
    </row>
    <row r="199" spans="2:11" x14ac:dyDescent="0.35">
      <c r="B199" s="1030" t="s">
        <v>1235</v>
      </c>
      <c r="C199" s="1818" t="s">
        <v>1234</v>
      </c>
      <c r="D199" s="1819"/>
      <c r="E199" s="1032">
        <v>0</v>
      </c>
      <c r="F199" s="1034">
        <v>0</v>
      </c>
      <c r="G199" s="1034">
        <v>0</v>
      </c>
      <c r="H199" s="1034">
        <v>0</v>
      </c>
      <c r="I199" s="1034">
        <v>0</v>
      </c>
      <c r="J199" s="1033">
        <v>0</v>
      </c>
      <c r="K199" s="804"/>
    </row>
    <row r="200" spans="2:11" x14ac:dyDescent="0.35">
      <c r="B200" s="1030" t="s">
        <v>1233</v>
      </c>
      <c r="C200" s="1828" t="s">
        <v>1232</v>
      </c>
      <c r="D200" s="1819"/>
      <c r="E200" s="1032">
        <f>+'Balance Sheet'!C14+'Balance Sheet'!C15</f>
        <v>15.94</v>
      </c>
      <c r="F200" s="1032">
        <f>+'Balance Sheet'!D14+'Balance Sheet'!D15</f>
        <v>16.96</v>
      </c>
      <c r="G200" s="1032">
        <f>+'Balance Sheet'!E14+'Balance Sheet'!E15</f>
        <v>16.21</v>
      </c>
      <c r="H200" s="1032">
        <f>+'Balance Sheet'!F14+'Balance Sheet'!F15</f>
        <v>146.42000000000002</v>
      </c>
      <c r="I200" s="1032" t="e">
        <f>+'Balance Sheet'!#REF!+'Balance Sheet'!#REF!</f>
        <v>#REF!</v>
      </c>
      <c r="J200" s="1031">
        <f>+'Balance Sheet'!H14+'Balance Sheet'!H15</f>
        <v>151.37</v>
      </c>
      <c r="K200" s="804"/>
    </row>
    <row r="201" spans="2:11" x14ac:dyDescent="0.35">
      <c r="B201" s="1030" t="s">
        <v>1231</v>
      </c>
      <c r="C201" s="1029" t="s">
        <v>1393</v>
      </c>
      <c r="D201" s="1028"/>
      <c r="E201" s="1027">
        <v>0</v>
      </c>
      <c r="F201" s="1027">
        <v>0</v>
      </c>
      <c r="G201" s="1027">
        <f>+'Balance Sheet'!E27</f>
        <v>2091.2900000000004</v>
      </c>
      <c r="H201" s="1027">
        <f>+'Balance Sheet'!F27</f>
        <v>2091.2900000000004</v>
      </c>
      <c r="I201" s="1027" t="e">
        <f>+'Balance Sheet'!#REF!</f>
        <v>#REF!</v>
      </c>
      <c r="J201" s="1027">
        <f>+'Balance Sheet'!H27</f>
        <v>2088.7900000000004</v>
      </c>
      <c r="K201" s="804"/>
    </row>
    <row r="202" spans="2:11" x14ac:dyDescent="0.35">
      <c r="B202" s="1030" t="s">
        <v>1230</v>
      </c>
      <c r="C202" s="1029" t="s">
        <v>1229</v>
      </c>
      <c r="D202" s="1028"/>
      <c r="E202" s="1027">
        <v>0</v>
      </c>
      <c r="F202" s="1027">
        <v>0</v>
      </c>
      <c r="G202" s="1027">
        <v>0</v>
      </c>
      <c r="H202" s="1027">
        <v>0</v>
      </c>
      <c r="I202" s="1027">
        <v>0</v>
      </c>
      <c r="J202" s="1026">
        <v>0</v>
      </c>
      <c r="K202" s="804"/>
    </row>
    <row r="203" spans="2:11" ht="15" thickBot="1" x14ac:dyDescent="0.4">
      <c r="B203" s="811"/>
      <c r="C203" s="1025" t="s">
        <v>1228</v>
      </c>
      <c r="D203" s="722"/>
      <c r="E203" s="1024">
        <f t="shared" ref="E203:J203" si="36">SUM(E194:E202)</f>
        <v>1071.8600000000001</v>
      </c>
      <c r="F203" s="1024">
        <f t="shared" si="36"/>
        <v>268.2299999999999</v>
      </c>
      <c r="G203" s="1024">
        <f t="shared" si="36"/>
        <v>3069.3100000000004</v>
      </c>
      <c r="H203" s="1024">
        <f t="shared" si="36"/>
        <v>3148.0800000000004</v>
      </c>
      <c r="I203" s="1023" t="e">
        <f t="shared" si="36"/>
        <v>#REF!</v>
      </c>
      <c r="J203" s="1022">
        <f t="shared" si="36"/>
        <v>3102.63</v>
      </c>
      <c r="K203" s="804"/>
    </row>
    <row r="204" spans="2:11" x14ac:dyDescent="0.35">
      <c r="B204" s="1021">
        <v>22</v>
      </c>
      <c r="C204" s="1857" t="s">
        <v>1227</v>
      </c>
      <c r="D204" s="1858"/>
      <c r="E204" s="1020"/>
      <c r="F204" s="1019"/>
      <c r="G204" s="1019"/>
      <c r="H204" s="1019"/>
      <c r="I204" s="1018"/>
      <c r="J204" s="1017"/>
      <c r="K204" s="804"/>
    </row>
    <row r="205" spans="2:11" x14ac:dyDescent="0.35">
      <c r="B205" s="1015" t="s">
        <v>1226</v>
      </c>
      <c r="C205" s="1818" t="s">
        <v>1225</v>
      </c>
      <c r="D205" s="1829"/>
      <c r="E205" s="959">
        <v>0</v>
      </c>
      <c r="F205" s="1011">
        <v>0</v>
      </c>
      <c r="G205" s="1011">
        <v>0</v>
      </c>
      <c r="H205" s="1011">
        <v>0</v>
      </c>
      <c r="I205" s="1010">
        <v>0</v>
      </c>
      <c r="J205" s="1016">
        <v>0</v>
      </c>
      <c r="K205" s="804"/>
    </row>
    <row r="206" spans="2:11" x14ac:dyDescent="0.35">
      <c r="B206" s="1015" t="s">
        <v>1224</v>
      </c>
      <c r="C206" s="1818" t="s">
        <v>1223</v>
      </c>
      <c r="D206" s="1829"/>
      <c r="E206" s="959">
        <v>0</v>
      </c>
      <c r="F206" s="1011">
        <v>0</v>
      </c>
      <c r="G206" s="1011">
        <v>0</v>
      </c>
      <c r="H206" s="1011">
        <v>0</v>
      </c>
      <c r="I206" s="1010">
        <v>0</v>
      </c>
      <c r="J206" s="1016">
        <v>0</v>
      </c>
      <c r="K206" s="804"/>
    </row>
    <row r="207" spans="2:11" x14ac:dyDescent="0.35">
      <c r="B207" s="1015" t="s">
        <v>1222</v>
      </c>
      <c r="C207" s="1818" t="s">
        <v>1221</v>
      </c>
      <c r="D207" s="1829"/>
      <c r="E207" s="959">
        <v>0</v>
      </c>
      <c r="F207" s="1011">
        <v>0</v>
      </c>
      <c r="G207" s="1011">
        <v>0</v>
      </c>
      <c r="H207" s="1011">
        <v>0</v>
      </c>
      <c r="I207" s="1010">
        <v>0</v>
      </c>
      <c r="J207" s="1016">
        <v>0</v>
      </c>
      <c r="K207" s="804"/>
    </row>
    <row r="208" spans="2:11" x14ac:dyDescent="0.35">
      <c r="B208" s="1015" t="s">
        <v>1220</v>
      </c>
      <c r="C208" s="1014" t="s">
        <v>326</v>
      </c>
      <c r="D208" s="1013"/>
      <c r="E208" s="1012"/>
      <c r="F208" s="1011"/>
      <c r="G208" s="1011"/>
      <c r="H208" s="1011"/>
      <c r="I208" s="1010"/>
      <c r="J208" s="1016"/>
      <c r="K208" s="804"/>
    </row>
    <row r="209" spans="2:11" ht="15" thickBot="1" x14ac:dyDescent="0.4">
      <c r="B209" s="1015" t="s">
        <v>1219</v>
      </c>
      <c r="C209" s="1014" t="s">
        <v>326</v>
      </c>
      <c r="D209" s="1013"/>
      <c r="E209" s="1012"/>
      <c r="F209" s="1011"/>
      <c r="G209" s="1011"/>
      <c r="H209" s="1011"/>
      <c r="I209" s="1010"/>
      <c r="J209" s="1009"/>
      <c r="K209" s="804"/>
    </row>
    <row r="210" spans="2:11" ht="15" thickBot="1" x14ac:dyDescent="0.4">
      <c r="B210" s="813">
        <v>23</v>
      </c>
      <c r="C210" s="1830" t="s">
        <v>1218</v>
      </c>
      <c r="D210" s="1829"/>
      <c r="E210" s="959">
        <v>0</v>
      </c>
      <c r="F210" s="1008">
        <f>SUM(F205:F209)</f>
        <v>0</v>
      </c>
      <c r="G210" s="1008">
        <f>SUM(G205:G209)</f>
        <v>0</v>
      </c>
      <c r="H210" s="1008">
        <f>SUM(H205:H209)</f>
        <v>0</v>
      </c>
      <c r="I210" s="1007">
        <f>SUM(I205:I209)</f>
        <v>0</v>
      </c>
      <c r="J210" s="1006">
        <f>SUM(J205:J209)</f>
        <v>0</v>
      </c>
      <c r="K210" s="804"/>
    </row>
    <row r="211" spans="2:11" x14ac:dyDescent="0.35">
      <c r="B211" s="813">
        <v>24</v>
      </c>
      <c r="C211" s="1830" t="s">
        <v>1217</v>
      </c>
      <c r="D211" s="1831"/>
      <c r="E211" s="1005">
        <f t="shared" ref="E211:J211" si="37">E210+E203+E192+E186</f>
        <v>14592.660010000001</v>
      </c>
      <c r="F211" s="1005">
        <f t="shared" si="37"/>
        <v>14405.700009999999</v>
      </c>
      <c r="G211" s="1005">
        <f t="shared" si="37"/>
        <v>14089.29967948941</v>
      </c>
      <c r="H211" s="1005">
        <f t="shared" si="37"/>
        <v>13679.0774543233</v>
      </c>
      <c r="I211" s="1004" t="e">
        <f t="shared" si="37"/>
        <v>#REF!</v>
      </c>
      <c r="J211" s="1003">
        <f t="shared" si="37"/>
        <v>13419.392361513088</v>
      </c>
      <c r="K211" s="804"/>
    </row>
    <row r="212" spans="2:11" x14ac:dyDescent="0.35">
      <c r="B212" s="813"/>
      <c r="C212" s="1818"/>
      <c r="D212" s="1829"/>
      <c r="E212" s="959"/>
      <c r="F212" s="1002"/>
      <c r="G212" s="1002"/>
      <c r="H212" s="1002"/>
      <c r="I212" s="1001"/>
      <c r="J212" s="1000"/>
      <c r="K212" s="804"/>
    </row>
    <row r="213" spans="2:11" x14ac:dyDescent="0.35">
      <c r="B213" s="813"/>
      <c r="C213" s="1818" t="s">
        <v>1216</v>
      </c>
      <c r="D213" s="1819"/>
      <c r="E213" s="999">
        <f t="shared" ref="E213:J213" si="38">E155-E210-E145</f>
        <v>3497.8599999999997</v>
      </c>
      <c r="F213" s="999">
        <f t="shared" si="38"/>
        <v>3405.0499999999993</v>
      </c>
      <c r="G213" s="999">
        <f t="shared" si="38"/>
        <v>3254.2812058527352</v>
      </c>
      <c r="H213" s="999">
        <f t="shared" si="38"/>
        <v>2940.9178617818252</v>
      </c>
      <c r="I213" s="998" t="e">
        <f t="shared" si="38"/>
        <v>#REF!</v>
      </c>
      <c r="J213" s="878">
        <f t="shared" si="38"/>
        <v>8655.2530824121677</v>
      </c>
      <c r="K213" s="804"/>
    </row>
    <row r="214" spans="2:11" ht="15" thickBot="1" x14ac:dyDescent="0.4">
      <c r="B214" s="811"/>
      <c r="C214" s="1855" t="s">
        <v>1215</v>
      </c>
      <c r="D214" s="1823"/>
      <c r="E214" s="997" t="e">
        <f t="shared" ref="E214:J214" si="39">E186-E125</f>
        <v>#REF!</v>
      </c>
      <c r="F214" s="997" t="e">
        <f t="shared" si="39"/>
        <v>#REF!</v>
      </c>
      <c r="G214" s="997" t="e">
        <f t="shared" si="39"/>
        <v>#REF!</v>
      </c>
      <c r="H214" s="997" t="e">
        <f t="shared" si="39"/>
        <v>#REF!</v>
      </c>
      <c r="I214" s="997" t="e">
        <f t="shared" si="39"/>
        <v>#REF!</v>
      </c>
      <c r="J214" s="997" t="e">
        <f t="shared" si="39"/>
        <v>#REF!</v>
      </c>
      <c r="K214" s="804"/>
    </row>
    <row r="215" spans="2:11" x14ac:dyDescent="0.35">
      <c r="B215" s="844"/>
      <c r="D215" s="718"/>
      <c r="E215" s="996"/>
      <c r="F215" s="995"/>
      <c r="G215" s="995"/>
      <c r="H215" s="995"/>
      <c r="I215" s="995"/>
      <c r="J215" s="995"/>
      <c r="K215" s="804"/>
    </row>
    <row r="216" spans="2:11" x14ac:dyDescent="0.35">
      <c r="B216" s="844"/>
      <c r="D216" s="718"/>
      <c r="E216" s="996">
        <v>6.0141663925605826E-4</v>
      </c>
      <c r="F216" s="995" t="e">
        <f>F211-F156</f>
        <v>#REF!</v>
      </c>
      <c r="G216" s="995" t="e">
        <f>G211-G156</f>
        <v>#REF!</v>
      </c>
      <c r="H216" s="995" t="e">
        <f>H211-H156</f>
        <v>#REF!</v>
      </c>
      <c r="I216" s="995" t="e">
        <f>I211-I156</f>
        <v>#REF!</v>
      </c>
      <c r="J216" s="995" t="e">
        <f>J211-J156</f>
        <v>#REF!</v>
      </c>
      <c r="K216" s="804"/>
    </row>
    <row r="217" spans="2:11" ht="15" thickBot="1" x14ac:dyDescent="0.4">
      <c r="B217" s="994"/>
      <c r="D217" s="952"/>
      <c r="E217" s="993"/>
      <c r="F217" s="992"/>
      <c r="G217" s="992"/>
      <c r="H217" s="992"/>
      <c r="I217" s="992"/>
      <c r="J217" s="992"/>
      <c r="K217" s="804"/>
    </row>
    <row r="218" spans="2:11" x14ac:dyDescent="0.35">
      <c r="B218" s="975"/>
      <c r="C218" s="991" t="s">
        <v>1052</v>
      </c>
      <c r="D218" s="1141"/>
      <c r="E218" s="990"/>
      <c r="F218" s="989"/>
      <c r="G218" s="989"/>
      <c r="H218" s="989"/>
      <c r="I218" s="989"/>
      <c r="J218" s="988"/>
      <c r="K218" s="804"/>
    </row>
    <row r="219" spans="2:11" x14ac:dyDescent="0.35">
      <c r="B219" s="987"/>
      <c r="C219" s="1150" t="s">
        <v>1053</v>
      </c>
      <c r="D219" s="1151"/>
      <c r="E219" s="948">
        <v>1354.0299999999984</v>
      </c>
      <c r="F219" s="879">
        <f>IF(F22&gt;0,E223,0)</f>
        <v>907.57944615874158</v>
      </c>
      <c r="G219" s="879">
        <f>IF(G22&gt;0,F223,0)</f>
        <v>814.76944615874118</v>
      </c>
      <c r="H219" s="879">
        <f>IF(H22&gt;0,G223,0)</f>
        <v>664.00065201147709</v>
      </c>
      <c r="I219" s="879" t="e">
        <f>IF(I22&gt;0,G223,0)</f>
        <v>#REF!</v>
      </c>
      <c r="J219" s="878" t="e">
        <f>IF(J22&gt;0,I223,0)</f>
        <v>#REF!</v>
      </c>
      <c r="K219" s="804"/>
    </row>
    <row r="220" spans="2:11" x14ac:dyDescent="0.35">
      <c r="B220" s="987"/>
      <c r="C220" s="1150" t="s">
        <v>1054</v>
      </c>
      <c r="D220" s="1151"/>
      <c r="E220" s="948">
        <v>-284.01602337900414</v>
      </c>
      <c r="F220" s="879">
        <f>IF(F22&gt;0,F79,0)</f>
        <v>-91.595044694199728</v>
      </c>
      <c r="G220" s="879">
        <f>IF(G22&gt;0,G79,0)</f>
        <v>-149.19454895559252</v>
      </c>
      <c r="H220" s="879">
        <f>IF(H22&gt;0,H79,0)</f>
        <v>-313.19506465390947</v>
      </c>
      <c r="I220" s="879" t="e">
        <f>IF(I22&gt;0,I79,0)</f>
        <v>#REF!</v>
      </c>
      <c r="J220" s="878" t="e">
        <f>IF(J22&gt;0,J79,0)</f>
        <v>#REF!</v>
      </c>
      <c r="K220" s="804"/>
    </row>
    <row r="221" spans="2:11" x14ac:dyDescent="0.35">
      <c r="B221" s="987"/>
      <c r="C221" s="1150" t="s">
        <v>1055</v>
      </c>
      <c r="D221" s="1151"/>
      <c r="E221" s="948">
        <v>-162.43453046225267</v>
      </c>
      <c r="F221" s="879">
        <f>IF(F22&gt;0,F155-E155-(F145-E145)-F79,0)</f>
        <v>-1.2149553058006717</v>
      </c>
      <c r="G221" s="879">
        <f>IF(G22&gt;0,G155-F155-(G145-F145)-G79,0)</f>
        <v>-1.5742451916715652</v>
      </c>
      <c r="H221" s="879">
        <f>IF(H22&gt;0,H155-G155-(H145-G145)-H79,0)</f>
        <v>-0.16827941700051952</v>
      </c>
      <c r="I221" s="879" t="e">
        <f>IF(I22&gt;0,I155-G155-(I145-G145)-I79,0)</f>
        <v>#REF!</v>
      </c>
      <c r="J221" s="878" t="e">
        <f>IF(J22&gt;0,J155-I155-(J145-I145)-J79,0)</f>
        <v>#REF!</v>
      </c>
      <c r="K221" s="804"/>
    </row>
    <row r="222" spans="2:11" x14ac:dyDescent="0.35">
      <c r="B222" s="987"/>
      <c r="C222" s="891" t="s">
        <v>1056</v>
      </c>
      <c r="D222" s="1153"/>
      <c r="E222" s="945">
        <v>0</v>
      </c>
      <c r="F222" s="879">
        <f>IF(F22&gt;0, (E210-F210),0)</f>
        <v>0</v>
      </c>
      <c r="G222" s="879">
        <f>IF(G22&gt;0, (F210-G210),0)</f>
        <v>0</v>
      </c>
      <c r="H222" s="879">
        <f>IF(H22&gt;0, (G210-H210),0)</f>
        <v>0</v>
      </c>
      <c r="I222" s="879" t="e">
        <f>IF(I22&gt;0, (G210-I210),0)</f>
        <v>#REF!</v>
      </c>
      <c r="J222" s="878">
        <f>IF(J22&gt;0, (I210-J210),0)</f>
        <v>0</v>
      </c>
      <c r="K222" s="804"/>
    </row>
    <row r="223" spans="2:11" ht="15" thickBot="1" x14ac:dyDescent="0.4">
      <c r="B223" s="986"/>
      <c r="C223" s="985" t="s">
        <v>1057</v>
      </c>
      <c r="D223" s="984"/>
      <c r="E223" s="983">
        <v>907.57944615874158</v>
      </c>
      <c r="F223" s="982">
        <f>F219+F220+F221+F222</f>
        <v>814.76944615874118</v>
      </c>
      <c r="G223" s="982">
        <f>G219+G220+G221+G222</f>
        <v>664.00065201147709</v>
      </c>
      <c r="H223" s="982">
        <f>H219+H220+H221+H222</f>
        <v>350.6373079405671</v>
      </c>
      <c r="I223" s="982" t="e">
        <f>I219+I220+I221+I222</f>
        <v>#REF!</v>
      </c>
      <c r="J223" s="981" t="e">
        <f>J219+J220+J221+J222</f>
        <v>#REF!</v>
      </c>
      <c r="K223" s="804"/>
    </row>
    <row r="224" spans="2:11" ht="15" thickBot="1" x14ac:dyDescent="0.4">
      <c r="B224" s="980"/>
      <c r="C224" s="979"/>
      <c r="D224" s="978"/>
      <c r="E224" s="977"/>
      <c r="F224" s="976"/>
      <c r="G224" s="976"/>
      <c r="H224" s="976"/>
      <c r="I224" s="976"/>
      <c r="J224" s="1194"/>
      <c r="K224" s="804"/>
    </row>
    <row r="225" spans="2:10" x14ac:dyDescent="0.35">
      <c r="B225" s="975"/>
      <c r="C225" s="1144" t="s">
        <v>1214</v>
      </c>
      <c r="D225" s="974"/>
      <c r="E225" s="973"/>
      <c r="F225" s="972"/>
      <c r="G225" s="972"/>
      <c r="H225" s="972"/>
      <c r="I225" s="972"/>
      <c r="J225" s="1195"/>
    </row>
    <row r="226" spans="2:10" x14ac:dyDescent="0.35">
      <c r="B226" s="813"/>
      <c r="C226" s="1818" t="s">
        <v>1058</v>
      </c>
      <c r="D226" s="1819"/>
      <c r="E226" s="971">
        <v>0.91422456662714313</v>
      </c>
      <c r="F226" s="970" t="e">
        <f>IF(F125&gt;0,F186/F125,0)</f>
        <v>#REF!</v>
      </c>
      <c r="G226" s="970" t="e">
        <f>IF(G125&gt;0,G186/G125,0)</f>
        <v>#REF!</v>
      </c>
      <c r="H226" s="970" t="e">
        <f>IF(H125&gt;0,H186/H125,0)</f>
        <v>#REF!</v>
      </c>
      <c r="I226" s="970" t="e">
        <f>IF(I125&gt;0,I186/I125,0)</f>
        <v>#REF!</v>
      </c>
      <c r="J226" s="1196" t="e">
        <f>IF(J125&gt;0,J186/J125,0)</f>
        <v>#REF!</v>
      </c>
    </row>
    <row r="227" spans="2:10" x14ac:dyDescent="0.35">
      <c r="B227" s="813"/>
      <c r="C227" s="1828" t="s">
        <v>1059</v>
      </c>
      <c r="D227" s="1850"/>
      <c r="E227" s="968">
        <v>7.4599765261833211</v>
      </c>
      <c r="F227" s="969" t="e">
        <f>IF(F213&gt;0,F140/F213,0)</f>
        <v>#REF!</v>
      </c>
      <c r="G227" s="969" t="e">
        <f>IF(G213&gt;0,G140/G213,0)</f>
        <v>#REF!</v>
      </c>
      <c r="H227" s="969" t="e">
        <f>IF(H213&gt;0,H140/H213,0)</f>
        <v>#REF!</v>
      </c>
      <c r="I227" s="969" t="e">
        <f>IF(I213&gt;0,I140/I213,0)</f>
        <v>#REF!</v>
      </c>
      <c r="J227" s="1197" t="e">
        <f>IF(J213&gt;0,J140/J213,0)</f>
        <v>#REF!</v>
      </c>
    </row>
    <row r="228" spans="2:10" x14ac:dyDescent="0.35">
      <c r="B228" s="813"/>
      <c r="C228" s="1828" t="s">
        <v>1096</v>
      </c>
      <c r="D228" s="1850"/>
      <c r="E228" s="968">
        <v>12.354752101647319</v>
      </c>
      <c r="F228" s="969" t="e">
        <f>IF(F213&gt;0,F141/F213,0)</f>
        <v>#REF!</v>
      </c>
      <c r="G228" s="969" t="e">
        <f>IF(G213&gt;0,G141/G213,0)</f>
        <v>#REF!</v>
      </c>
      <c r="H228" s="969" t="e">
        <f>IF(H213&gt;0,H141/H213,0)</f>
        <v>#REF!</v>
      </c>
      <c r="I228" s="969" t="e">
        <f>IF(I213&gt;0,I141/I213,0)</f>
        <v>#REF!</v>
      </c>
      <c r="J228" s="1197" t="e">
        <f>IF(J213&gt;0,J141/J213,0)</f>
        <v>#REF!</v>
      </c>
    </row>
    <row r="229" spans="2:10" x14ac:dyDescent="0.35">
      <c r="B229" s="813"/>
      <c r="C229" s="1828" t="s">
        <v>1060</v>
      </c>
      <c r="D229" s="1850"/>
      <c r="E229" s="968">
        <v>0.27831453368012932</v>
      </c>
      <c r="F229" s="967">
        <f>IF((F211-F210)&gt;0,F186/(F211-F210),0)</f>
        <v>0.46723380296185973</v>
      </c>
      <c r="G229" s="967">
        <f>IF((G211-G210)&gt;0,G186/(G211-G210),0)</f>
        <v>0.26895088866664896</v>
      </c>
      <c r="H229" s="967">
        <f>IF((H211-H210)&gt;0,H186/(H211-H210),0)</f>
        <v>0.25687312364860981</v>
      </c>
      <c r="I229" s="967" t="e">
        <f>IF((I211-I210)&gt;0,I186/(I211-I210),0)</f>
        <v>#REF!</v>
      </c>
      <c r="J229" s="1198">
        <f>IF((J211-J210)&gt;0,J186/(J211-J210),0)</f>
        <v>0.27756933298354514</v>
      </c>
    </row>
    <row r="230" spans="2:10" x14ac:dyDescent="0.35">
      <c r="B230" s="813"/>
      <c r="C230" s="1828" t="s">
        <v>1061</v>
      </c>
      <c r="D230" s="1850"/>
      <c r="E230" s="968">
        <v>3.96770713248513E-2</v>
      </c>
      <c r="F230" s="967">
        <f>IF((F211-F210)&gt;0,IF((F73+F54+F33)&gt;0,(F73+F54+F33)/(F211-F210),"-ve"),0)</f>
        <v>3.0491746669782296E-2</v>
      </c>
      <c r="G230" s="967">
        <f>IF((G211-G210)&gt;0,IF((G73+G54+G33)&gt;0,(G73+G54+G33)/(G211-G210),"-ve"),0)</f>
        <v>2.591108877184713E-2</v>
      </c>
      <c r="H230" s="967">
        <f>IF((H211-H210)&gt;0,IF((H73+H54+H33)&gt;0,(H73+H54+H33)/(H211-H210),"-ve"),0)</f>
        <v>1.1840577239359086E-2</v>
      </c>
      <c r="I230" s="967" t="e">
        <f>IF((I211-I210)&gt;0,IF((I73+I54+I33)&gt;0,(I73+I54+I33)/(I211-I210),"-ve"),0)</f>
        <v>#REF!</v>
      </c>
      <c r="J230" s="1198" t="e">
        <f>IF((J211-J210)&gt;0,IF((J73+J54+J33)&gt;0,(J73+J54+J33)/(J211-J210),"-ve"),0)</f>
        <v>#REF!</v>
      </c>
    </row>
    <row r="231" spans="2:10" ht="15" thickBot="1" x14ac:dyDescent="0.4">
      <c r="B231" s="811"/>
      <c r="C231" s="1851" t="s">
        <v>1092</v>
      </c>
      <c r="D231" s="1852"/>
      <c r="E231" s="966">
        <v>188.82007764346432</v>
      </c>
      <c r="F231" s="965">
        <f>IF(F22&gt;0,SUM(F169:F177)/F22*365,0)</f>
        <v>155.64203458808743</v>
      </c>
      <c r="G231" s="965">
        <f>IF(G22&gt;0,SUM(G169:G177)/G22*365,0)</f>
        <v>157.69502557226997</v>
      </c>
      <c r="H231" s="965">
        <f>IF(H22&gt;0,SUM(H169:H177)/H22*365,0)</f>
        <v>150.62745401834232</v>
      </c>
      <c r="I231" s="965" t="e">
        <f>IF(I22&gt;0,SUM(I169:I177)/I22*365,0)</f>
        <v>#REF!</v>
      </c>
      <c r="J231" s="1199">
        <f>IF(J22&gt;0,SUM(J169:J177)/J22*365,0)</f>
        <v>165.28794003054554</v>
      </c>
    </row>
    <row r="232" spans="2:10" ht="15" thickBot="1" x14ac:dyDescent="0.4">
      <c r="B232" s="896"/>
      <c r="C232" s="964"/>
      <c r="D232" s="964"/>
      <c r="E232" s="963"/>
      <c r="F232" s="962"/>
      <c r="G232" s="962"/>
      <c r="H232" s="962"/>
      <c r="I232" s="962"/>
      <c r="J232" s="1200"/>
    </row>
    <row r="233" spans="2:10" x14ac:dyDescent="0.35">
      <c r="B233" s="882"/>
      <c r="C233" s="1853" t="s">
        <v>1213</v>
      </c>
      <c r="D233" s="1854"/>
      <c r="E233" s="961"/>
      <c r="F233" s="960"/>
      <c r="G233" s="960"/>
      <c r="H233" s="960"/>
      <c r="I233" s="960"/>
      <c r="J233" s="782"/>
    </row>
    <row r="234" spans="2:10" x14ac:dyDescent="0.35">
      <c r="B234" s="813"/>
      <c r="C234" s="1818" t="s">
        <v>1212</v>
      </c>
      <c r="D234" s="1829"/>
      <c r="E234" s="959"/>
      <c r="F234" s="958"/>
      <c r="G234" s="958"/>
      <c r="H234" s="958"/>
      <c r="I234" s="958"/>
      <c r="J234" s="1188"/>
    </row>
    <row r="235" spans="2:10" x14ac:dyDescent="0.35">
      <c r="B235" s="813"/>
      <c r="C235" s="1818" t="s">
        <v>1211</v>
      </c>
      <c r="D235" s="1829"/>
      <c r="E235" s="959"/>
      <c r="F235" s="958"/>
      <c r="G235" s="958"/>
      <c r="H235" s="958"/>
      <c r="I235" s="958"/>
      <c r="J235" s="1188"/>
    </row>
    <row r="236" spans="2:10" x14ac:dyDescent="0.35">
      <c r="B236" s="813"/>
      <c r="C236" s="1818" t="s">
        <v>1210</v>
      </c>
      <c r="D236" s="1829"/>
      <c r="E236" s="959"/>
      <c r="F236" s="958"/>
      <c r="G236" s="958"/>
      <c r="H236" s="958"/>
      <c r="I236" s="958"/>
      <c r="J236" s="1188"/>
    </row>
    <row r="237" spans="2:10" x14ac:dyDescent="0.35">
      <c r="B237" s="813"/>
      <c r="C237" s="1818" t="s">
        <v>1209</v>
      </c>
      <c r="D237" s="1829"/>
      <c r="E237" s="959"/>
      <c r="F237" s="958"/>
      <c r="G237" s="958"/>
      <c r="H237" s="958"/>
      <c r="I237" s="958"/>
      <c r="J237" s="1188"/>
    </row>
    <row r="238" spans="2:10" x14ac:dyDescent="0.35">
      <c r="B238" s="813"/>
      <c r="C238" s="1818" t="s">
        <v>1208</v>
      </c>
      <c r="D238" s="1829"/>
      <c r="E238" s="959"/>
      <c r="F238" s="958"/>
      <c r="G238" s="958"/>
      <c r="H238" s="958"/>
      <c r="I238" s="958"/>
      <c r="J238" s="1188"/>
    </row>
    <row r="239" spans="2:10" ht="15" thickBot="1" x14ac:dyDescent="0.4">
      <c r="B239" s="811"/>
      <c r="C239" s="1855" t="s">
        <v>1207</v>
      </c>
      <c r="D239" s="1856"/>
      <c r="E239" s="956"/>
      <c r="F239" s="955"/>
      <c r="G239" s="955"/>
      <c r="H239" s="955"/>
      <c r="I239" s="955"/>
      <c r="J239" s="1189"/>
    </row>
    <row r="240" spans="2:10" x14ac:dyDescent="0.35">
      <c r="B240" s="953"/>
      <c r="C240" s="1838"/>
      <c r="D240" s="1839"/>
      <c r="E240" s="1146"/>
      <c r="F240" s="934"/>
      <c r="G240" s="934"/>
      <c r="H240" s="934"/>
      <c r="I240" s="934"/>
      <c r="J240" s="1201"/>
    </row>
    <row r="241" spans="2:10" ht="15" thickBot="1" x14ac:dyDescent="0.4">
      <c r="B241" s="768"/>
      <c r="C241" s="1822"/>
      <c r="D241" s="1840"/>
      <c r="E241" s="1148"/>
      <c r="F241" s="799"/>
      <c r="G241" s="799"/>
      <c r="H241" s="799"/>
      <c r="I241" s="799"/>
      <c r="J241" s="883"/>
    </row>
    <row r="242" spans="2:10" x14ac:dyDescent="0.35">
      <c r="B242" s="882"/>
      <c r="C242" s="1841" t="s">
        <v>1206</v>
      </c>
      <c r="D242" s="1842"/>
      <c r="E242" s="1149"/>
      <c r="F242" s="951"/>
      <c r="G242" s="951"/>
      <c r="H242" s="951"/>
      <c r="I242" s="950"/>
      <c r="J242" s="949"/>
    </row>
    <row r="243" spans="2:10" x14ac:dyDescent="0.35">
      <c r="B243" s="942">
        <v>1</v>
      </c>
      <c r="C243" s="1843" t="s">
        <v>1205</v>
      </c>
      <c r="D243" s="1827"/>
      <c r="E243" s="948">
        <v>-6.0141663925605826E-4</v>
      </c>
      <c r="F243" s="947" t="e">
        <f>+F156-F211</f>
        <v>#REF!</v>
      </c>
      <c r="G243" s="947" t="e">
        <f>+G156-G211</f>
        <v>#REF!</v>
      </c>
      <c r="H243" s="947" t="e">
        <f>+H156-H211</f>
        <v>#REF!</v>
      </c>
      <c r="I243" s="947" t="e">
        <f>+I156-I211</f>
        <v>#REF!</v>
      </c>
      <c r="J243" s="946" t="e">
        <f>+J156-J211</f>
        <v>#REF!</v>
      </c>
    </row>
    <row r="244" spans="2:10" x14ac:dyDescent="0.35">
      <c r="B244" s="942">
        <v>2</v>
      </c>
      <c r="C244" s="1844" t="s">
        <v>1204</v>
      </c>
      <c r="D244" s="1827"/>
      <c r="E244" s="945">
        <v>0</v>
      </c>
      <c r="F244" s="944">
        <f>IF((F155-E155)&gt;(F154-E154),((F155-E155)-(F154-E154)),0)</f>
        <v>0</v>
      </c>
      <c r="G244" s="944">
        <f>IF((G155-F155)&gt;(G154-F154),((G155-F155)-(G154-F154)),0)</f>
        <v>0</v>
      </c>
      <c r="H244" s="944">
        <f>IF((H155-G155)&gt;(H154-G154),((H155-G155)-(H154-G154)),0)</f>
        <v>0</v>
      </c>
      <c r="I244" s="944" t="e">
        <f>IF((I155-H155)&gt;(I154-H154),((I155-H155)-(I154-H154)),0)</f>
        <v>#REF!</v>
      </c>
      <c r="J244" s="943" t="e">
        <f>IF((J155-I155)&gt;(J154-I154),((J155-I155)-(J154-I154)),0)</f>
        <v>#REF!</v>
      </c>
    </row>
    <row r="245" spans="2:10" x14ac:dyDescent="0.35">
      <c r="B245" s="942">
        <v>3</v>
      </c>
      <c r="C245" s="1844" t="s">
        <v>1203</v>
      </c>
      <c r="D245" s="1845"/>
      <c r="E245" s="941">
        <v>0</v>
      </c>
      <c r="F245" s="940">
        <f>IF((E210-F210)=F69,0,(E210-F69)-F210)</f>
        <v>0</v>
      </c>
      <c r="G245" s="940">
        <f>IF((F210-G210)=G69,0,(F210-G69)-G210)</f>
        <v>-60.71</v>
      </c>
      <c r="H245" s="940">
        <f>IF((G210-H210)=H69,0,(G210-H69)-H210)</f>
        <v>0</v>
      </c>
      <c r="I245" s="940" t="e">
        <f>IF((H210-I210)=I69,0,(H210-I69)-I210)</f>
        <v>#REF!</v>
      </c>
      <c r="J245" s="939">
        <f>IF((I210-J210)=J69,0,(I210-J69)-J210)</f>
        <v>0</v>
      </c>
    </row>
    <row r="246" spans="2:10" ht="15" thickBot="1" x14ac:dyDescent="0.4">
      <c r="B246" s="840">
        <v>4</v>
      </c>
      <c r="C246" s="1846" t="s">
        <v>1202</v>
      </c>
      <c r="D246" s="1847"/>
      <c r="E246" s="938">
        <v>0</v>
      </c>
      <c r="F246" s="937" t="e">
        <f>IF((E140-F140)&gt;F118,E140-F140-F118,0)</f>
        <v>#REF!</v>
      </c>
      <c r="G246" s="937" t="e">
        <f>IF((F140-G140)&gt;G118,F140-G140-G118,0)</f>
        <v>#REF!</v>
      </c>
      <c r="H246" s="937" t="e">
        <f>IF((G140-H140)&gt;H118,G140-H140-H118,0)</f>
        <v>#REF!</v>
      </c>
      <c r="I246" s="937" t="e">
        <f>IF((H140-I140)&gt;I118,H140-I140-I118,0)</f>
        <v>#REF!</v>
      </c>
      <c r="J246" s="936" t="e">
        <f>IF((I140-J140)&gt;J118,I140-J140-J118,0)</f>
        <v>#REF!</v>
      </c>
    </row>
    <row r="247" spans="2:10" ht="15" thickBot="1" x14ac:dyDescent="0.4">
      <c r="B247" s="768"/>
      <c r="C247" s="1163"/>
      <c r="D247" s="1163"/>
      <c r="E247" s="1163"/>
      <c r="F247" s="1159"/>
      <c r="G247" s="1159"/>
      <c r="H247" s="1159"/>
      <c r="I247" s="1159"/>
      <c r="J247" s="798"/>
    </row>
    <row r="248" spans="2:10" x14ac:dyDescent="0.35">
      <c r="B248" s="882"/>
      <c r="C248" s="935" t="s">
        <v>1201</v>
      </c>
      <c r="D248" s="1135"/>
      <c r="E248" s="1145"/>
      <c r="F248" s="934"/>
      <c r="G248" s="934"/>
      <c r="H248" s="934"/>
      <c r="I248" s="934"/>
      <c r="J248" s="1201"/>
    </row>
    <row r="249" spans="2:10" x14ac:dyDescent="0.35">
      <c r="B249" s="768"/>
      <c r="C249" s="905" t="s">
        <v>1200</v>
      </c>
      <c r="D249" s="933"/>
      <c r="E249" s="933"/>
      <c r="F249" s="772" t="e">
        <f>E118</f>
        <v>#REF!</v>
      </c>
      <c r="G249" s="772" t="e">
        <f>F118</f>
        <v>#REF!</v>
      </c>
      <c r="H249" s="772" t="e">
        <f>G118</f>
        <v>#REF!</v>
      </c>
      <c r="I249" s="772" t="e">
        <f>H118</f>
        <v>#REF!</v>
      </c>
      <c r="J249" s="771" t="e">
        <f>I118</f>
        <v>#REF!</v>
      </c>
    </row>
    <row r="250" spans="2:10" x14ac:dyDescent="0.35">
      <c r="B250" s="768"/>
      <c r="C250" s="1138"/>
      <c r="D250" s="1163"/>
      <c r="E250" s="1163"/>
      <c r="F250" s="1159"/>
      <c r="G250" s="1159"/>
      <c r="H250" s="1159"/>
      <c r="I250" s="1159"/>
      <c r="J250" s="798"/>
    </row>
    <row r="251" spans="2:10" x14ac:dyDescent="0.35">
      <c r="B251" s="768"/>
      <c r="C251" s="1848" t="s">
        <v>1199</v>
      </c>
      <c r="D251" s="1849"/>
      <c r="E251" s="1202"/>
      <c r="F251" s="1159"/>
      <c r="G251" s="1159"/>
      <c r="H251" s="1159"/>
      <c r="I251" s="1159"/>
      <c r="J251" s="798"/>
    </row>
    <row r="252" spans="2:10" x14ac:dyDescent="0.35">
      <c r="B252" s="768"/>
      <c r="C252" s="1152" t="s">
        <v>1198</v>
      </c>
      <c r="D252" s="1151"/>
      <c r="E252" s="1151"/>
      <c r="F252" s="932"/>
      <c r="G252" s="932"/>
      <c r="H252" s="932"/>
      <c r="I252" s="932"/>
      <c r="J252" s="771"/>
    </row>
    <row r="253" spans="2:10" ht="15" thickBot="1" x14ac:dyDescent="0.4">
      <c r="B253" s="840"/>
      <c r="C253" s="1142"/>
      <c r="D253" s="1147"/>
      <c r="E253" s="1147"/>
      <c r="F253" s="799"/>
      <c r="G253" s="799"/>
      <c r="H253" s="799"/>
      <c r="I253" s="799"/>
      <c r="J253" s="883"/>
    </row>
    <row r="254" spans="2:10" x14ac:dyDescent="0.35">
      <c r="B254" s="844"/>
      <c r="C254" s="931"/>
      <c r="D254" s="718"/>
      <c r="E254" s="718"/>
    </row>
    <row r="255" spans="2:10" x14ac:dyDescent="0.35">
      <c r="B255" s="715"/>
      <c r="C255" s="844"/>
      <c r="D255" s="718"/>
      <c r="E255" s="718"/>
    </row>
    <row r="256" spans="2:10" x14ac:dyDescent="0.35">
      <c r="B256" s="715"/>
      <c r="C256" s="930" t="s">
        <v>1197</v>
      </c>
      <c r="D256" s="718"/>
      <c r="E256" s="718"/>
    </row>
    <row r="257" spans="2:10" x14ac:dyDescent="0.35">
      <c r="B257" s="715"/>
      <c r="C257" s="930" t="s">
        <v>1196</v>
      </c>
      <c r="D257" s="718"/>
      <c r="E257" s="718"/>
    </row>
    <row r="258" spans="2:10" x14ac:dyDescent="0.35">
      <c r="B258" s="844"/>
      <c r="D258" s="718"/>
      <c r="E258" s="718"/>
    </row>
    <row r="259" spans="2:10" ht="15" thickBot="1" x14ac:dyDescent="0.4">
      <c r="B259" s="929"/>
      <c r="C259" s="788"/>
      <c r="D259" s="788"/>
      <c r="E259" s="788"/>
      <c r="F259" s="799"/>
      <c r="G259" s="799"/>
      <c r="H259" s="799"/>
      <c r="I259" s="799"/>
    </row>
    <row r="260" spans="2:10" ht="17.25" customHeight="1" x14ac:dyDescent="0.35">
      <c r="B260" s="928"/>
      <c r="C260" s="927"/>
      <c r="D260" s="926"/>
      <c r="E260" s="925"/>
      <c r="F260" s="924" t="str">
        <f t="shared" ref="F260:J261" si="40">F162</f>
        <v>Audited</v>
      </c>
      <c r="G260" s="924" t="str">
        <f t="shared" si="40"/>
        <v>Audited</v>
      </c>
      <c r="H260" s="924" t="str">
        <f t="shared" si="40"/>
        <v>Audited</v>
      </c>
      <c r="I260" s="924" t="str">
        <f t="shared" si="40"/>
        <v>Protected</v>
      </c>
      <c r="J260" s="923" t="str">
        <f t="shared" si="40"/>
        <v>Projected</v>
      </c>
    </row>
    <row r="261" spans="2:10" ht="15" thickBot="1" x14ac:dyDescent="0.4">
      <c r="B261" s="922"/>
      <c r="C261" s="921"/>
      <c r="D261" s="920"/>
      <c r="E261" s="919"/>
      <c r="F261" s="918" t="str">
        <f t="shared" si="40"/>
        <v>2018-19</v>
      </c>
      <c r="G261" s="918" t="str">
        <f t="shared" si="40"/>
        <v>2019-20</v>
      </c>
      <c r="H261" s="918" t="str">
        <f t="shared" si="40"/>
        <v>2020-21</v>
      </c>
      <c r="I261" s="918" t="str">
        <f t="shared" si="40"/>
        <v>2021-22</v>
      </c>
      <c r="J261" s="917" t="str">
        <f t="shared" si="40"/>
        <v>2022-23</v>
      </c>
    </row>
    <row r="262" spans="2:10" x14ac:dyDescent="0.35">
      <c r="B262" s="882" t="s">
        <v>1195</v>
      </c>
      <c r="C262" s="916" t="s">
        <v>1194</v>
      </c>
      <c r="D262" s="784"/>
      <c r="E262" s="784"/>
      <c r="F262" s="783"/>
      <c r="G262" s="783"/>
      <c r="H262" s="783"/>
      <c r="I262" s="915"/>
      <c r="J262" s="782"/>
    </row>
    <row r="263" spans="2:10" x14ac:dyDescent="0.35">
      <c r="B263" s="768"/>
      <c r="C263" s="888"/>
      <c r="D263" s="727"/>
      <c r="E263" s="727"/>
      <c r="F263" s="772"/>
      <c r="G263" s="772"/>
      <c r="H263" s="772"/>
      <c r="I263" s="905"/>
      <c r="J263" s="771"/>
    </row>
    <row r="264" spans="2:10" x14ac:dyDescent="0.35">
      <c r="B264" s="768"/>
      <c r="C264" s="1835" t="s">
        <v>1193</v>
      </c>
      <c r="D264" s="1829"/>
      <c r="E264" s="763"/>
      <c r="F264" s="908">
        <f>IF(F25&gt;0,ROUND(F172/(F25/365),0),0)</f>
        <v>0</v>
      </c>
      <c r="G264" s="908">
        <f>IF(G25&gt;0,ROUND(G172/(G25/365),0),0)</f>
        <v>0</v>
      </c>
      <c r="H264" s="908">
        <f>IF(H25&gt;0,ROUND(H172/(H25/365),0),0)</f>
        <v>0</v>
      </c>
      <c r="I264" s="914">
        <f>IF(I25&gt;0,ROUND(I172/(I25/365),0),0)</f>
        <v>0</v>
      </c>
      <c r="J264" s="907">
        <f>IF(J25&gt;0,ROUND(J172/(J25/365),0),0)</f>
        <v>0</v>
      </c>
    </row>
    <row r="265" spans="2:10" x14ac:dyDescent="0.35">
      <c r="B265" s="768"/>
      <c r="C265" s="1835" t="s">
        <v>1192</v>
      </c>
      <c r="D265" s="1829"/>
      <c r="E265" s="763"/>
      <c r="F265" s="909">
        <f>IF(F26&gt;0,ROUND((F173+F177)/((F26+F28+F25+F27)/365),0),0)</f>
        <v>6</v>
      </c>
      <c r="G265" s="909">
        <f>IF(G26&gt;0,ROUND((G173+G177)/((G26+G28+G25+G27)/365),0),0)</f>
        <v>7</v>
      </c>
      <c r="H265" s="909">
        <f>IF(H26&gt;0,ROUND((H173+H177)/((H26+H28+H25+H27)/365),0),0)</f>
        <v>8</v>
      </c>
      <c r="I265" s="909" t="e">
        <f>IF(I26&gt;0,ROUND((I173+I177)/((I26+I28+I25+I27)/365),0),0)</f>
        <v>#REF!</v>
      </c>
      <c r="J265" s="913">
        <f>IF(J26&gt;0,ROUND((J173+J177)/((J26+J28+J25+J27)/365),0),0)</f>
        <v>8</v>
      </c>
    </row>
    <row r="266" spans="2:10" x14ac:dyDescent="0.35">
      <c r="B266" s="768"/>
      <c r="C266" s="1835" t="s">
        <v>1191</v>
      </c>
      <c r="D266" s="1829"/>
      <c r="E266" s="763"/>
      <c r="F266" s="908">
        <f>IF(F27&gt;0,ROUND(F176/(F27/365),0),0)</f>
        <v>0</v>
      </c>
      <c r="G266" s="908">
        <f>IF(G27&gt;0,ROUND(G176/(G27/365),0),0)</f>
        <v>0</v>
      </c>
      <c r="H266" s="908">
        <f>IF(H27&gt;0,ROUND(H176/(H27/365),0),0)</f>
        <v>0</v>
      </c>
      <c r="I266" s="914">
        <f>IF(I27&gt;0,ROUND(I176/(I27/365),0),0)</f>
        <v>0</v>
      </c>
      <c r="J266" s="907">
        <f>IF(J27&gt;0,ROUND(J176/(J27/365),0),0)</f>
        <v>0</v>
      </c>
    </row>
    <row r="267" spans="2:10" x14ac:dyDescent="0.35">
      <c r="B267" s="768"/>
      <c r="C267" s="1835" t="s">
        <v>1190</v>
      </c>
      <c r="D267" s="1829"/>
      <c r="E267" s="763"/>
      <c r="F267" s="908"/>
      <c r="G267" s="908"/>
      <c r="H267" s="908"/>
      <c r="I267" s="914"/>
      <c r="J267" s="907"/>
    </row>
    <row r="268" spans="2:10" x14ac:dyDescent="0.35">
      <c r="B268" s="768"/>
      <c r="C268" s="1835" t="s">
        <v>1189</v>
      </c>
      <c r="D268" s="1829"/>
      <c r="E268" s="763"/>
      <c r="F268" s="908">
        <f>IF(F44&gt;0,ROUND(F174/(F44/365),0),0)</f>
        <v>3</v>
      </c>
      <c r="G268" s="908">
        <f>IF(G44&gt;0,ROUND(G174/(G44/365),0),0)</f>
        <v>4</v>
      </c>
      <c r="H268" s="908">
        <f>IF(H44&gt;0,ROUND(H174/(H44/365),0),0)</f>
        <v>1</v>
      </c>
      <c r="I268" s="914" t="e">
        <f>IF(I44&gt;0,ROUND(I174/(I44/365),0),0)</f>
        <v>#REF!</v>
      </c>
      <c r="J268" s="907" t="e">
        <f>IF(J44&gt;0,ROUND(J174/(J44/365),0),0)</f>
        <v>#REF!</v>
      </c>
    </row>
    <row r="269" spans="2:10" x14ac:dyDescent="0.35">
      <c r="B269" s="768"/>
      <c r="C269" s="1835" t="s">
        <v>1188</v>
      </c>
      <c r="D269" s="1829"/>
      <c r="E269" s="763"/>
      <c r="F269" s="908">
        <f>IF(F48&gt;0,ROUND(F175/(F48/365),0),0)</f>
        <v>140</v>
      </c>
      <c r="G269" s="908">
        <f>IF(G48&gt;0,ROUND(G175/(G48/365),0),0)</f>
        <v>139</v>
      </c>
      <c r="H269" s="908">
        <f>IF(H48&gt;0,ROUND(H175/(H48/365),0),0)</f>
        <v>116</v>
      </c>
      <c r="I269" s="914" t="e">
        <f>IF(I48&gt;0,ROUND(I175/(I48/365),0),0)</f>
        <v>#REF!</v>
      </c>
      <c r="J269" s="907" t="e">
        <f>IF(J48&gt;0,ROUND(J175/(J48/365),0),0)</f>
        <v>#REF!</v>
      </c>
    </row>
    <row r="270" spans="2:10" x14ac:dyDescent="0.35">
      <c r="B270" s="768"/>
      <c r="C270" s="1835"/>
      <c r="D270" s="1829"/>
      <c r="E270" s="763"/>
      <c r="F270" s="772"/>
      <c r="G270" s="772"/>
      <c r="H270" s="772"/>
      <c r="I270" s="905"/>
      <c r="J270" s="771"/>
    </row>
    <row r="271" spans="2:10" x14ac:dyDescent="0.35">
      <c r="B271" s="768"/>
      <c r="C271" s="1835" t="s">
        <v>1187</v>
      </c>
      <c r="D271" s="1829"/>
      <c r="E271" s="763"/>
      <c r="F271" s="912">
        <f>SUM(F172:F177)</f>
        <v>2764.98</v>
      </c>
      <c r="G271" s="912">
        <f>SUM(G172:G177)</f>
        <v>2711.3896694894092</v>
      </c>
      <c r="H271" s="912">
        <f>SUM(H172:H177)</f>
        <v>2541.3423543232998</v>
      </c>
      <c r="I271" s="911" t="e">
        <f>SUM(I172:I177)</f>
        <v>#REF!</v>
      </c>
      <c r="J271" s="910">
        <f>SUM(J172:J177)</f>
        <v>2824.3231018543015</v>
      </c>
    </row>
    <row r="272" spans="2:10" x14ac:dyDescent="0.35">
      <c r="B272" s="768"/>
      <c r="C272" s="1835" t="s">
        <v>1186</v>
      </c>
      <c r="D272" s="1829"/>
      <c r="E272" s="763"/>
      <c r="F272" s="908">
        <f>IF(F22&gt;0,F271*365/F22,0)</f>
        <v>144.84778436951828</v>
      </c>
      <c r="G272" s="908">
        <f>IF(G22&gt;0,G271*365/G22,0)</f>
        <v>148.22753902914212</v>
      </c>
      <c r="H272" s="908">
        <f>IF(H22&gt;0,H271*365/H22,0)</f>
        <v>138.69054121755102</v>
      </c>
      <c r="I272" s="914" t="e">
        <f>IF(I22&gt;0,I271*365/I22,0)</f>
        <v>#REF!</v>
      </c>
      <c r="J272" s="907">
        <f>IF(J22&gt;0,J271*365/J22,0)</f>
        <v>155.39433699521499</v>
      </c>
    </row>
    <row r="273" spans="2:10" x14ac:dyDescent="0.35">
      <c r="B273" s="768"/>
      <c r="C273" s="1835"/>
      <c r="D273" s="1829"/>
      <c r="E273" s="763"/>
      <c r="F273" s="772"/>
      <c r="G273" s="772"/>
      <c r="H273" s="772"/>
      <c r="I273" s="905"/>
      <c r="J273" s="771"/>
    </row>
    <row r="274" spans="2:10" x14ac:dyDescent="0.35">
      <c r="B274" s="768"/>
      <c r="C274" s="1835" t="s">
        <v>1185</v>
      </c>
      <c r="D274" s="1829"/>
      <c r="E274" s="763"/>
      <c r="F274" s="908">
        <f>IF(F17&gt;0,ROUND(F169/(+F17/365),0),0)</f>
        <v>11</v>
      </c>
      <c r="G274" s="908">
        <f>IF(G17&gt;0,ROUND(G169/(+G17/365),0),0)</f>
        <v>10</v>
      </c>
      <c r="H274" s="908">
        <f>IF(H17&gt;0,ROUND(H169/(+H17/365),0),0)</f>
        <v>12</v>
      </c>
      <c r="I274" s="914" t="e">
        <f>IF(I17&gt;0,ROUND(I169/(+I17/365),0),0)</f>
        <v>#REF!</v>
      </c>
      <c r="J274" s="907">
        <f>IF(J17&gt;0,ROUND(J169/(+J17/365),0),0)</f>
        <v>10</v>
      </c>
    </row>
    <row r="275" spans="2:10" x14ac:dyDescent="0.35">
      <c r="B275" s="768"/>
      <c r="C275" s="1835" t="s">
        <v>1184</v>
      </c>
      <c r="D275" s="1829"/>
      <c r="E275" s="763"/>
      <c r="F275" s="909">
        <f>IF(F20&gt;0,ROUND(F170/(+F20/365),2),0)</f>
        <v>0</v>
      </c>
      <c r="G275" s="909">
        <f>IF(G20&gt;0,ROUND(G170/(+G20/365),2),0)</f>
        <v>0</v>
      </c>
      <c r="H275" s="909">
        <f>IF(H20&gt;0,ROUND(H170/(+H20/365),2),0)</f>
        <v>0</v>
      </c>
      <c r="I275" s="909" t="e">
        <f>IF(I20&gt;0,ROUND(I170/(+I20/365),2),0)</f>
        <v>#REF!</v>
      </c>
      <c r="J275" s="913">
        <f>IF(J20&gt;0,ROUND(J170/(+J20/365),2),0)</f>
        <v>0</v>
      </c>
    </row>
    <row r="276" spans="2:10" x14ac:dyDescent="0.35">
      <c r="B276" s="768"/>
      <c r="C276" s="1835"/>
      <c r="D276" s="1829"/>
      <c r="E276" s="763"/>
      <c r="F276" s="772"/>
      <c r="G276" s="772"/>
      <c r="H276" s="772"/>
      <c r="I276" s="905"/>
      <c r="J276" s="771"/>
    </row>
    <row r="277" spans="2:10" x14ac:dyDescent="0.35">
      <c r="B277" s="768"/>
      <c r="C277" s="1835" t="s">
        <v>1183</v>
      </c>
      <c r="D277" s="1829"/>
      <c r="E277" s="763"/>
      <c r="F277" s="912">
        <f>F169+F170</f>
        <v>206.05</v>
      </c>
      <c r="G277" s="912">
        <f>G169+G170</f>
        <v>173.18</v>
      </c>
      <c r="H277" s="912">
        <f>H169+H170</f>
        <v>218.73</v>
      </c>
      <c r="I277" s="911" t="e">
        <f>I169+I170</f>
        <v>#REF!</v>
      </c>
      <c r="J277" s="910">
        <f>J169+J170</f>
        <v>179.81821058331286</v>
      </c>
    </row>
    <row r="278" spans="2:10" x14ac:dyDescent="0.35">
      <c r="B278" s="768"/>
      <c r="C278" s="1835" t="s">
        <v>1182</v>
      </c>
      <c r="D278" s="1829"/>
      <c r="E278" s="763"/>
      <c r="F278" s="909">
        <f>IF((F17+F18)&gt;0,F277*365/(F17+F18),0)</f>
        <v>11.253088315093104</v>
      </c>
      <c r="G278" s="909">
        <f>IF((G17+G18)&gt;0,G277*365/(G17+G18),0)</f>
        <v>9.5727298144014146</v>
      </c>
      <c r="H278" s="909">
        <f>IF((H17+H18)&gt;0,H277*365/(H17+H18),0)</f>
        <v>12.179223059045102</v>
      </c>
      <c r="I278" s="908" t="e">
        <f>IF((I17+I18)&gt;0,I277*365/(I17+I18),0)</f>
        <v>#REF!</v>
      </c>
      <c r="J278" s="907">
        <f>IF((J17+J18)&gt;0,J277*365/(J17+J18),0)</f>
        <v>10.000000000000002</v>
      </c>
    </row>
    <row r="279" spans="2:10" x14ac:dyDescent="0.35">
      <c r="B279" s="768"/>
      <c r="C279" s="1835"/>
      <c r="D279" s="1829"/>
      <c r="E279" s="763"/>
      <c r="F279" s="772"/>
      <c r="G279" s="772"/>
      <c r="H279" s="772"/>
      <c r="I279" s="772"/>
      <c r="J279" s="771"/>
    </row>
    <row r="280" spans="2:10" x14ac:dyDescent="0.35">
      <c r="B280" s="768"/>
      <c r="C280" s="1835" t="s">
        <v>1181</v>
      </c>
      <c r="D280" s="1829"/>
      <c r="E280" s="763"/>
      <c r="F280" s="909">
        <f>IF((SUM(F25:F28))&gt;0,ROUND(F112*365/(SUM(F25:F28)),0),0)</f>
        <v>268</v>
      </c>
      <c r="G280" s="909">
        <f>IF((SUM(G25:G28))&gt;0,ROUND(G112*365/(SUM(G25:G28)),0),0)</f>
        <v>302</v>
      </c>
      <c r="H280" s="909">
        <f>IF((SUM(H25:H28))&gt;0,ROUND(H112*365/(SUM(H25:H28)),0),0)</f>
        <v>307</v>
      </c>
      <c r="I280" s="908" t="e">
        <f>IF((SUM(I25:I28))&gt;0,ROUND(I112*365/(SUM(I25:I28)),0),0)</f>
        <v>#REF!</v>
      </c>
      <c r="J280" s="907">
        <f>IF((SUM(J25:J28))&gt;0,ROUND(J112*365/(SUM(J25:J28)),0),0)</f>
        <v>196</v>
      </c>
    </row>
    <row r="281" spans="2:10" x14ac:dyDescent="0.35">
      <c r="B281" s="768"/>
      <c r="C281" s="1835"/>
      <c r="D281" s="1829"/>
      <c r="E281" s="763"/>
      <c r="F281" s="772"/>
      <c r="G281" s="772"/>
      <c r="H281" s="772"/>
      <c r="I281" s="905"/>
      <c r="J281" s="771"/>
    </row>
    <row r="282" spans="2:10" x14ac:dyDescent="0.35">
      <c r="B282" s="768"/>
      <c r="C282" s="1835" t="s">
        <v>410</v>
      </c>
      <c r="D282" s="1829"/>
      <c r="E282" s="763"/>
      <c r="F282" s="834">
        <f>F186</f>
        <v>6730.83</v>
      </c>
      <c r="G282" s="834">
        <f>G186</f>
        <v>3789.3296694894093</v>
      </c>
      <c r="H282" s="834">
        <f>H186</f>
        <v>3513.7873543233</v>
      </c>
      <c r="I282" s="906" t="e">
        <f>I186</f>
        <v>#REF!</v>
      </c>
      <c r="J282" s="833">
        <f>J186</f>
        <v>3724.8117868296686</v>
      </c>
    </row>
    <row r="283" spans="2:10" x14ac:dyDescent="0.35">
      <c r="B283" s="768"/>
      <c r="C283" s="1834" t="s">
        <v>1180</v>
      </c>
      <c r="D283" s="1829"/>
      <c r="E283" s="763"/>
      <c r="F283" s="772"/>
      <c r="G283" s="772"/>
      <c r="H283" s="772"/>
      <c r="I283" s="905"/>
      <c r="J283" s="771"/>
    </row>
    <row r="284" spans="2:10" x14ac:dyDescent="0.35">
      <c r="B284" s="768"/>
      <c r="C284" s="1835" t="s">
        <v>1179</v>
      </c>
      <c r="D284" s="1829"/>
      <c r="E284" s="763"/>
      <c r="F284" s="762">
        <f>IF(F282&gt;0,F112/F282,0)</f>
        <v>0.61833681730187806</v>
      </c>
      <c r="G284" s="762">
        <f>IF(G282&gt;0,G112/G282,0)</f>
        <v>1.1715845247632415</v>
      </c>
      <c r="H284" s="762">
        <f>IF(H282&gt;0,H112/H282,0)</f>
        <v>1.2692629206808987</v>
      </c>
      <c r="I284" s="904" t="e">
        <f>IF(I282&gt;0,I112/I282,0)</f>
        <v>#REF!</v>
      </c>
      <c r="J284" s="761">
        <f>IF(J282&gt;0,J112/J282,0)</f>
        <v>0.77936498554218059</v>
      </c>
    </row>
    <row r="285" spans="2:10" x14ac:dyDescent="0.35">
      <c r="B285" s="768"/>
      <c r="C285" s="888" t="s">
        <v>1178</v>
      </c>
      <c r="D285" s="727"/>
      <c r="E285" s="727"/>
      <c r="F285" s="762" t="e">
        <f>IF(F282&gt;0,(F124-F112)/F282,0)</f>
        <v>#REF!</v>
      </c>
      <c r="G285" s="762" t="e">
        <f>IF(G282&gt;0,(G124-G112)/G282,0)</f>
        <v>#REF!</v>
      </c>
      <c r="H285" s="762" t="e">
        <f>IF(H282&gt;0,(H124-H112)/H282,0)</f>
        <v>#REF!</v>
      </c>
      <c r="I285" s="904" t="e">
        <f>IF(I282&gt;0,(I124-I112)/I282,0)</f>
        <v>#REF!</v>
      </c>
      <c r="J285" s="761" t="e">
        <f>IF(J282&gt;0,(J124-J112)/J282,0)</f>
        <v>#REF!</v>
      </c>
    </row>
    <row r="286" spans="2:10" x14ac:dyDescent="0.35">
      <c r="B286" s="768"/>
      <c r="C286" s="1835" t="s">
        <v>1177</v>
      </c>
      <c r="D286" s="1829"/>
      <c r="E286" s="763"/>
      <c r="F286" s="762">
        <f>IF(F282&gt;0,F109/F282,0)</f>
        <v>0</v>
      </c>
      <c r="G286" s="762">
        <f>IF(G282&gt;0,G109/G282,0)</f>
        <v>0</v>
      </c>
      <c r="H286" s="762">
        <f>IF(H282&gt;0,H109/H282,0)</f>
        <v>0</v>
      </c>
      <c r="I286" s="904" t="e">
        <f>IF(I282&gt;0,I109/I282,0)</f>
        <v>#REF!</v>
      </c>
      <c r="J286" s="761">
        <f>IF(J282&gt;0,J109/J282,0)</f>
        <v>0</v>
      </c>
    </row>
    <row r="287" spans="2:10" ht="15" thickBot="1" x14ac:dyDescent="0.4">
      <c r="B287" s="768"/>
      <c r="C287" s="1835" t="s">
        <v>1176</v>
      </c>
      <c r="D287" s="1829"/>
      <c r="E287" s="763"/>
      <c r="F287" s="903" t="e">
        <f>IF(F282&gt;0,F214/F282,0)</f>
        <v>#REF!</v>
      </c>
      <c r="G287" s="903" t="e">
        <f>IF(G282&gt;0,G214/G282,0)</f>
        <v>#REF!</v>
      </c>
      <c r="H287" s="903" t="e">
        <f>IF(H282&gt;0,H214/H282,0)</f>
        <v>#REF!</v>
      </c>
      <c r="I287" s="902" t="e">
        <f>IF(I282&gt;0,I214/I282,0)</f>
        <v>#REF!</v>
      </c>
      <c r="J287" s="901" t="e">
        <f>IF(J282&gt;0,J214/J282,0)</f>
        <v>#REF!</v>
      </c>
    </row>
    <row r="288" spans="2:10" ht="15" thickBot="1" x14ac:dyDescent="0.4">
      <c r="B288" s="840"/>
      <c r="C288" s="884"/>
      <c r="D288" s="900"/>
      <c r="E288" s="900"/>
      <c r="F288" s="897" t="e">
        <f>SUM(F284:F287)*100%</f>
        <v>#REF!</v>
      </c>
      <c r="G288" s="899" t="e">
        <f>SUM(G284:G287)*100%</f>
        <v>#REF!</v>
      </c>
      <c r="H288" s="899" t="e">
        <f>SUM(H284:H287)*100%</f>
        <v>#REF!</v>
      </c>
      <c r="I288" s="898" t="e">
        <f>SUM(I284:I287)*100%</f>
        <v>#REF!</v>
      </c>
      <c r="J288" s="897" t="e">
        <f>SUM(J284:J287)*100%</f>
        <v>#REF!</v>
      </c>
    </row>
    <row r="289" spans="2:10" ht="15" thickBot="1" x14ac:dyDescent="0.4">
      <c r="B289" s="896"/>
      <c r="C289" s="888"/>
      <c r="D289" s="718"/>
      <c r="E289" s="718"/>
      <c r="F289" s="895"/>
      <c r="G289" s="895"/>
      <c r="H289" s="895"/>
      <c r="I289" s="895"/>
      <c r="J289" s="798"/>
    </row>
    <row r="290" spans="2:10" x14ac:dyDescent="0.35">
      <c r="B290" s="882"/>
      <c r="C290" s="894" t="s">
        <v>1175</v>
      </c>
      <c r="D290" s="784"/>
      <c r="E290" s="893"/>
      <c r="F290" s="892"/>
      <c r="G290" s="892"/>
      <c r="H290" s="892"/>
      <c r="I290" s="881"/>
      <c r="J290" s="880"/>
    </row>
    <row r="291" spans="2:10" x14ac:dyDescent="0.35">
      <c r="B291" s="768"/>
      <c r="C291" s="891" t="s">
        <v>1174</v>
      </c>
      <c r="D291" s="718"/>
      <c r="E291" s="718"/>
      <c r="F291" s="890">
        <f>F186</f>
        <v>6730.83</v>
      </c>
      <c r="G291" s="890">
        <f>G186</f>
        <v>3789.3296694894093</v>
      </c>
      <c r="H291" s="890">
        <f>H186</f>
        <v>3513.7873543233</v>
      </c>
      <c r="I291" s="775" t="e">
        <f>I186</f>
        <v>#REF!</v>
      </c>
      <c r="J291" s="774">
        <f>J186</f>
        <v>3724.8117868296686</v>
      </c>
    </row>
    <row r="292" spans="2:10" x14ac:dyDescent="0.35">
      <c r="B292" s="768"/>
      <c r="C292" s="888" t="s">
        <v>1173</v>
      </c>
      <c r="D292" s="718"/>
      <c r="E292" s="718"/>
      <c r="F292" s="890" t="e">
        <f>F124</f>
        <v>#REF!</v>
      </c>
      <c r="G292" s="890" t="e">
        <f>G124</f>
        <v>#REF!</v>
      </c>
      <c r="H292" s="890" t="e">
        <f>H124</f>
        <v>#REF!</v>
      </c>
      <c r="I292" s="775" t="e">
        <f>I124</f>
        <v>#REF!</v>
      </c>
      <c r="J292" s="774" t="e">
        <f>J124</f>
        <v>#REF!</v>
      </c>
    </row>
    <row r="293" spans="2:10" x14ac:dyDescent="0.35">
      <c r="B293" s="768"/>
      <c r="C293" s="888" t="s">
        <v>1172</v>
      </c>
      <c r="D293" s="718"/>
      <c r="E293" s="718"/>
      <c r="F293" s="890" t="e">
        <f>(F291-F292)</f>
        <v>#REF!</v>
      </c>
      <c r="G293" s="890" t="e">
        <f>(G291-G292)</f>
        <v>#REF!</v>
      </c>
      <c r="H293" s="890" t="e">
        <f>(H291-H292)</f>
        <v>#REF!</v>
      </c>
      <c r="I293" s="775" t="e">
        <f>(I291-I292)</f>
        <v>#REF!</v>
      </c>
      <c r="J293" s="774" t="e">
        <f>(J291-J292)</f>
        <v>#REF!</v>
      </c>
    </row>
    <row r="294" spans="2:10" x14ac:dyDescent="0.35">
      <c r="B294" s="768"/>
      <c r="C294" s="888" t="s">
        <v>1171</v>
      </c>
      <c r="D294" s="718"/>
      <c r="E294" s="718"/>
      <c r="F294" s="890" t="e">
        <f>(F293-F295)</f>
        <v>#REF!</v>
      </c>
      <c r="G294" s="890" t="e">
        <f>(G293-G295)</f>
        <v>#REF!</v>
      </c>
      <c r="H294" s="890" t="e">
        <f>(H293-H295)</f>
        <v>#REF!</v>
      </c>
      <c r="I294" s="775" t="e">
        <f>(I293-I295)</f>
        <v>#REF!</v>
      </c>
      <c r="J294" s="774" t="e">
        <f>(J293-J295)</f>
        <v>#REF!</v>
      </c>
    </row>
    <row r="295" spans="2:10" ht="15" thickBot="1" x14ac:dyDescent="0.4">
      <c r="B295" s="840"/>
      <c r="C295" s="884" t="s">
        <v>1170</v>
      </c>
      <c r="D295" s="788"/>
      <c r="E295" s="788"/>
      <c r="F295" s="889">
        <f>F109</f>
        <v>0</v>
      </c>
      <c r="G295" s="889">
        <f>G109</f>
        <v>0</v>
      </c>
      <c r="H295" s="889">
        <f>H109</f>
        <v>0</v>
      </c>
      <c r="I295" s="848" t="e">
        <f>I109</f>
        <v>#REF!</v>
      </c>
      <c r="J295" s="847">
        <f>J109</f>
        <v>0</v>
      </c>
    </row>
    <row r="296" spans="2:10" x14ac:dyDescent="0.35">
      <c r="B296" s="768"/>
      <c r="C296" s="888"/>
      <c r="D296" s="718"/>
      <c r="E296" s="718"/>
      <c r="F296" s="846"/>
      <c r="G296" s="846"/>
      <c r="H296" s="846"/>
      <c r="I296" s="846"/>
      <c r="J296" s="885"/>
    </row>
    <row r="297" spans="2:10" x14ac:dyDescent="0.35">
      <c r="B297" s="887"/>
      <c r="C297" s="886" t="s">
        <v>1169</v>
      </c>
      <c r="D297" s="718"/>
      <c r="E297" s="718"/>
      <c r="F297" s="846"/>
      <c r="G297" s="846"/>
      <c r="H297" s="846"/>
      <c r="I297" s="846"/>
      <c r="J297" s="885"/>
    </row>
    <row r="298" spans="2:10" ht="15" thickBot="1" x14ac:dyDescent="0.4">
      <c r="B298" s="768"/>
      <c r="C298" s="884"/>
      <c r="D298" s="788"/>
      <c r="E298" s="788"/>
      <c r="F298" s="799"/>
      <c r="G298" s="799"/>
      <c r="H298" s="799"/>
      <c r="I298" s="799"/>
      <c r="J298" s="883"/>
    </row>
    <row r="299" spans="2:10" x14ac:dyDescent="0.35">
      <c r="B299" s="882"/>
      <c r="C299" s="750" t="s">
        <v>1168</v>
      </c>
      <c r="D299" s="784"/>
      <c r="E299" s="784"/>
      <c r="F299" s="881"/>
      <c r="G299" s="881"/>
      <c r="H299" s="881"/>
      <c r="I299" s="881"/>
      <c r="J299" s="880"/>
    </row>
    <row r="300" spans="2:10" x14ac:dyDescent="0.35">
      <c r="B300" s="857">
        <v>1</v>
      </c>
      <c r="C300" s="829" t="s">
        <v>410</v>
      </c>
      <c r="D300" s="828"/>
      <c r="E300" s="828"/>
      <c r="F300" s="879">
        <f>F186</f>
        <v>6730.83</v>
      </c>
      <c r="G300" s="879">
        <f>G186</f>
        <v>3789.3296694894093</v>
      </c>
      <c r="H300" s="879">
        <f>H186</f>
        <v>3513.7873543233</v>
      </c>
      <c r="I300" s="879" t="e">
        <f>I186</f>
        <v>#REF!</v>
      </c>
      <c r="J300" s="878">
        <f>J186</f>
        <v>3724.8117868296686</v>
      </c>
    </row>
    <row r="301" spans="2:10" x14ac:dyDescent="0.35">
      <c r="B301" s="857"/>
      <c r="C301" s="829" t="s">
        <v>1167</v>
      </c>
      <c r="D301" s="828"/>
      <c r="E301" s="828"/>
      <c r="F301" s="762"/>
      <c r="G301" s="762"/>
      <c r="H301" s="762"/>
      <c r="I301" s="762"/>
      <c r="J301" s="761"/>
    </row>
    <row r="302" spans="2:10" x14ac:dyDescent="0.35">
      <c r="B302" s="857">
        <v>2</v>
      </c>
      <c r="C302" s="829" t="s">
        <v>1166</v>
      </c>
      <c r="D302" s="828"/>
      <c r="E302" s="828"/>
      <c r="F302" s="879" t="e">
        <f>F124</f>
        <v>#REF!</v>
      </c>
      <c r="G302" s="879" t="e">
        <f>G124</f>
        <v>#REF!</v>
      </c>
      <c r="H302" s="879" t="e">
        <f>H124</f>
        <v>#REF!</v>
      </c>
      <c r="I302" s="879" t="e">
        <f>I124</f>
        <v>#REF!</v>
      </c>
      <c r="J302" s="878" t="e">
        <f>J124</f>
        <v>#REF!</v>
      </c>
    </row>
    <row r="303" spans="2:10" x14ac:dyDescent="0.35">
      <c r="B303" s="857"/>
      <c r="C303" s="829" t="s">
        <v>1165</v>
      </c>
      <c r="D303" s="828"/>
      <c r="E303" s="828"/>
      <c r="F303" s="762"/>
      <c r="G303" s="762"/>
      <c r="H303" s="762"/>
      <c r="I303" s="762"/>
      <c r="J303" s="761"/>
    </row>
    <row r="304" spans="2:10" x14ac:dyDescent="0.35">
      <c r="B304" s="857">
        <v>3</v>
      </c>
      <c r="C304" s="856" t="s">
        <v>1164</v>
      </c>
      <c r="D304" s="861"/>
      <c r="E304" s="861"/>
      <c r="F304" s="868" t="e">
        <f>F300-F302</f>
        <v>#REF!</v>
      </c>
      <c r="G304" s="868" t="e">
        <f>G300-G302</f>
        <v>#REF!</v>
      </c>
      <c r="H304" s="868" t="e">
        <f>H300-H302</f>
        <v>#REF!</v>
      </c>
      <c r="I304" s="868" t="e">
        <f>I300-I302</f>
        <v>#REF!</v>
      </c>
      <c r="J304" s="867" t="e">
        <f>J300-J302</f>
        <v>#REF!</v>
      </c>
    </row>
    <row r="305" spans="2:11" ht="26" x14ac:dyDescent="0.35">
      <c r="B305" s="857">
        <v>4</v>
      </c>
      <c r="C305" s="856" t="s">
        <v>1163</v>
      </c>
      <c r="D305" s="865"/>
      <c r="E305" s="865"/>
      <c r="F305" s="876">
        <f>+F300*0.25</f>
        <v>1682.7075</v>
      </c>
      <c r="G305" s="876">
        <f>+G300*0.25</f>
        <v>947.33241737235232</v>
      </c>
      <c r="H305" s="876">
        <f>+H300*0.25</f>
        <v>878.44683858082499</v>
      </c>
      <c r="I305" s="876" t="e">
        <f>+I300*0.25</f>
        <v>#REF!</v>
      </c>
      <c r="J305" s="875">
        <f>+J300*0.25</f>
        <v>931.20294670741714</v>
      </c>
      <c r="K305" s="877"/>
    </row>
    <row r="306" spans="2:11" ht="26" x14ac:dyDescent="0.35">
      <c r="B306" s="857">
        <v>5</v>
      </c>
      <c r="C306" s="856" t="s">
        <v>1162</v>
      </c>
      <c r="D306" s="861"/>
      <c r="E306" s="861"/>
      <c r="F306" s="868" t="e">
        <f>F294</f>
        <v>#REF!</v>
      </c>
      <c r="G306" s="868" t="e">
        <f>G294</f>
        <v>#REF!</v>
      </c>
      <c r="H306" s="868" t="e">
        <f>H294</f>
        <v>#REF!</v>
      </c>
      <c r="I306" s="868" t="e">
        <f>I294</f>
        <v>#REF!</v>
      </c>
      <c r="J306" s="867" t="e">
        <f>J294</f>
        <v>#REF!</v>
      </c>
    </row>
    <row r="307" spans="2:11" x14ac:dyDescent="0.35">
      <c r="B307" s="857">
        <v>6</v>
      </c>
      <c r="C307" s="856" t="s">
        <v>1161</v>
      </c>
      <c r="D307" s="865"/>
      <c r="E307" s="865"/>
      <c r="F307" s="876" t="e">
        <f>+F304-F305</f>
        <v>#REF!</v>
      </c>
      <c r="G307" s="876" t="e">
        <f>+G304-G305</f>
        <v>#REF!</v>
      </c>
      <c r="H307" s="876" t="e">
        <f>+H304-H305</f>
        <v>#REF!</v>
      </c>
      <c r="I307" s="876" t="e">
        <f>+I304-I305</f>
        <v>#REF!</v>
      </c>
      <c r="J307" s="875" t="e">
        <f>+J304-J305</f>
        <v>#REF!</v>
      </c>
    </row>
    <row r="308" spans="2:11" x14ac:dyDescent="0.35">
      <c r="B308" s="857">
        <v>7</v>
      </c>
      <c r="C308" s="856" t="s">
        <v>1160</v>
      </c>
      <c r="D308" s="861"/>
      <c r="E308" s="861"/>
      <c r="F308" s="868" t="e">
        <f>+F304-F306</f>
        <v>#REF!</v>
      </c>
      <c r="G308" s="868" t="e">
        <f>+G304-G306</f>
        <v>#REF!</v>
      </c>
      <c r="H308" s="868" t="e">
        <f>+H304-H306</f>
        <v>#REF!</v>
      </c>
      <c r="I308" s="868" t="e">
        <f>+I304-I306</f>
        <v>#REF!</v>
      </c>
      <c r="J308" s="867" t="e">
        <f>+J304-J306</f>
        <v>#REF!</v>
      </c>
    </row>
    <row r="309" spans="2:11" ht="26" x14ac:dyDescent="0.35">
      <c r="B309" s="857">
        <v>8</v>
      </c>
      <c r="C309" s="856" t="s">
        <v>1159</v>
      </c>
      <c r="D309" s="874"/>
      <c r="E309" s="874"/>
      <c r="F309" s="873" t="e">
        <f>IF(F307&lt;F308,F307,F308)</f>
        <v>#REF!</v>
      </c>
      <c r="G309" s="873" t="e">
        <f>IF(G307&lt;G308,G307,G308)</f>
        <v>#REF!</v>
      </c>
      <c r="H309" s="873" t="e">
        <f>IF(H307&lt;H308,H307,H308)</f>
        <v>#REF!</v>
      </c>
      <c r="I309" s="873" t="e">
        <f>IF(I307&lt;I308,I307,I308)</f>
        <v>#REF!</v>
      </c>
      <c r="J309" s="872" t="e">
        <f>IF(J307&lt;J308,J307,J308)</f>
        <v>#REF!</v>
      </c>
    </row>
    <row r="310" spans="2:11" x14ac:dyDescent="0.35">
      <c r="B310" s="870"/>
      <c r="C310" s="871" t="s">
        <v>1158</v>
      </c>
      <c r="D310" s="861"/>
      <c r="E310" s="861"/>
      <c r="F310" s="868"/>
      <c r="G310" s="868"/>
      <c r="H310" s="868"/>
      <c r="I310" s="868"/>
      <c r="J310" s="867"/>
    </row>
    <row r="311" spans="2:11" x14ac:dyDescent="0.35">
      <c r="B311" s="870"/>
      <c r="C311" s="856" t="s">
        <v>1157</v>
      </c>
      <c r="D311" s="861"/>
      <c r="E311" s="861"/>
      <c r="F311" s="868"/>
      <c r="G311" s="868"/>
      <c r="H311" s="868"/>
      <c r="I311" s="868"/>
      <c r="J311" s="867"/>
    </row>
    <row r="312" spans="2:11" x14ac:dyDescent="0.35">
      <c r="B312" s="870"/>
      <c r="C312" s="856"/>
      <c r="D312" s="861"/>
      <c r="E312" s="861"/>
      <c r="F312" s="868"/>
      <c r="G312" s="868"/>
      <c r="H312" s="868"/>
      <c r="I312" s="868"/>
      <c r="J312" s="867"/>
      <c r="K312" s="866"/>
    </row>
    <row r="313" spans="2:11" x14ac:dyDescent="0.35">
      <c r="B313" s="870"/>
      <c r="C313" s="869" t="s">
        <v>1156</v>
      </c>
      <c r="D313" s="861"/>
      <c r="E313" s="861"/>
      <c r="F313" s="868"/>
      <c r="G313" s="868"/>
      <c r="H313" s="868"/>
      <c r="I313" s="868"/>
      <c r="J313" s="867"/>
      <c r="K313" s="866"/>
    </row>
    <row r="314" spans="2:11" ht="26" x14ac:dyDescent="0.35">
      <c r="B314" s="857">
        <v>9</v>
      </c>
      <c r="C314" s="856" t="s">
        <v>1155</v>
      </c>
      <c r="D314" s="861"/>
      <c r="E314" s="861"/>
      <c r="F314" s="860" t="e">
        <f>+F304</f>
        <v>#REF!</v>
      </c>
      <c r="G314" s="860" t="e">
        <f>+G304</f>
        <v>#REF!</v>
      </c>
      <c r="H314" s="860" t="e">
        <f>+H304</f>
        <v>#REF!</v>
      </c>
      <c r="I314" s="860" t="e">
        <f>+I304</f>
        <v>#REF!</v>
      </c>
      <c r="J314" s="859" t="e">
        <f>+J304</f>
        <v>#REF!</v>
      </c>
      <c r="K314" s="858"/>
    </row>
    <row r="315" spans="2:11" ht="26" x14ac:dyDescent="0.35">
      <c r="B315" s="857">
        <v>10</v>
      </c>
      <c r="C315" s="856" t="s">
        <v>1154</v>
      </c>
      <c r="D315" s="865"/>
      <c r="E315" s="865"/>
      <c r="F315" s="864" t="e">
        <f>F314*0.25</f>
        <v>#REF!</v>
      </c>
      <c r="G315" s="864" t="e">
        <f>G314*0.25</f>
        <v>#REF!</v>
      </c>
      <c r="H315" s="864" t="e">
        <f>H314*0.25</f>
        <v>#REF!</v>
      </c>
      <c r="I315" s="864" t="e">
        <f>I314*0.25</f>
        <v>#REF!</v>
      </c>
      <c r="J315" s="863" t="e">
        <f>J314*0.25</f>
        <v>#REF!</v>
      </c>
      <c r="K315" s="862"/>
    </row>
    <row r="316" spans="2:11" x14ac:dyDescent="0.35">
      <c r="B316" s="857">
        <v>11</v>
      </c>
      <c r="C316" s="856" t="s">
        <v>1153</v>
      </c>
      <c r="D316" s="861"/>
      <c r="E316" s="861"/>
      <c r="F316" s="860" t="e">
        <f>+F306</f>
        <v>#REF!</v>
      </c>
      <c r="G316" s="860" t="e">
        <f>+G306</f>
        <v>#REF!</v>
      </c>
      <c r="H316" s="860" t="e">
        <f>+H306</f>
        <v>#REF!</v>
      </c>
      <c r="I316" s="860" t="e">
        <f>+I306</f>
        <v>#REF!</v>
      </c>
      <c r="J316" s="859" t="e">
        <f>+J306</f>
        <v>#REF!</v>
      </c>
      <c r="K316" s="858"/>
    </row>
    <row r="317" spans="2:11" x14ac:dyDescent="0.35">
      <c r="B317" s="857">
        <v>12</v>
      </c>
      <c r="C317" s="856" t="s">
        <v>1152</v>
      </c>
      <c r="D317" s="865"/>
      <c r="E317" s="865"/>
      <c r="F317" s="864" t="e">
        <f>+F314-F315</f>
        <v>#REF!</v>
      </c>
      <c r="G317" s="864" t="e">
        <f>+G314-G315</f>
        <v>#REF!</v>
      </c>
      <c r="H317" s="864" t="e">
        <f>+H314-H315</f>
        <v>#REF!</v>
      </c>
      <c r="I317" s="864" t="e">
        <f>+I314-I315</f>
        <v>#REF!</v>
      </c>
      <c r="J317" s="863" t="e">
        <f>+J314-J315</f>
        <v>#REF!</v>
      </c>
      <c r="K317" s="862"/>
    </row>
    <row r="318" spans="2:11" x14ac:dyDescent="0.35">
      <c r="B318" s="857">
        <v>13</v>
      </c>
      <c r="C318" s="856" t="s">
        <v>1151</v>
      </c>
      <c r="D318" s="861"/>
      <c r="E318" s="861"/>
      <c r="F318" s="860" t="e">
        <f>+F314-F316</f>
        <v>#REF!</v>
      </c>
      <c r="G318" s="860" t="e">
        <f>+G314-G316</f>
        <v>#REF!</v>
      </c>
      <c r="H318" s="860" t="e">
        <f>+H314-H316</f>
        <v>#REF!</v>
      </c>
      <c r="I318" s="860" t="e">
        <f>+I314-I316</f>
        <v>#REF!</v>
      </c>
      <c r="J318" s="859" t="e">
        <f>+J314-J316</f>
        <v>#REF!</v>
      </c>
      <c r="K318" s="858"/>
    </row>
    <row r="319" spans="2:11" x14ac:dyDescent="0.35">
      <c r="B319" s="857">
        <v>14</v>
      </c>
      <c r="C319" s="856" t="s">
        <v>1150</v>
      </c>
      <c r="D319" s="855"/>
      <c r="E319" s="855"/>
      <c r="F319" s="854" t="e">
        <f>IF(F317&lt;F318,F317,F318)</f>
        <v>#REF!</v>
      </c>
      <c r="G319" s="854" t="e">
        <f>IF(G317&lt;G318,G317,G318)</f>
        <v>#REF!</v>
      </c>
      <c r="H319" s="854" t="e">
        <f>IF(H317&lt;H318,H317,H318)</f>
        <v>#REF!</v>
      </c>
      <c r="I319" s="854" t="e">
        <f>IF(I317&lt;I318,I317,I318)</f>
        <v>#REF!</v>
      </c>
      <c r="J319" s="853" t="e">
        <f>IF(J317&lt;J318,J317,J318)</f>
        <v>#REF!</v>
      </c>
      <c r="K319" s="852"/>
    </row>
    <row r="320" spans="2:11" ht="15" thickBot="1" x14ac:dyDescent="0.4">
      <c r="B320" s="851"/>
      <c r="C320" s="850" t="s">
        <v>1149</v>
      </c>
      <c r="D320" s="849"/>
      <c r="E320" s="849"/>
      <c r="F320" s="848"/>
      <c r="G320" s="848"/>
      <c r="H320" s="848"/>
      <c r="I320" s="848"/>
      <c r="J320" s="847"/>
      <c r="K320" s="846"/>
    </row>
    <row r="321" spans="2:10" x14ac:dyDescent="0.35">
      <c r="B321" s="768"/>
      <c r="C321" s="845"/>
      <c r="D321" s="718"/>
      <c r="E321" s="718"/>
      <c r="J321" s="798"/>
    </row>
    <row r="322" spans="2:10" hidden="1" x14ac:dyDescent="0.35">
      <c r="B322" s="768"/>
      <c r="C322" s="844"/>
      <c r="D322" s="718"/>
      <c r="E322" s="718"/>
      <c r="J322" s="798"/>
    </row>
    <row r="323" spans="2:10" ht="15" thickBot="1" x14ac:dyDescent="0.4">
      <c r="B323" s="768"/>
      <c r="D323" s="718"/>
      <c r="E323" s="718"/>
      <c r="J323" s="798"/>
    </row>
    <row r="324" spans="2:10" ht="15" hidden="1" thickBot="1" x14ac:dyDescent="0.4">
      <c r="B324" s="768"/>
      <c r="C324" s="801" t="s">
        <v>251</v>
      </c>
      <c r="D324" s="727"/>
      <c r="E324" s="727"/>
      <c r="F324" s="843" t="str">
        <f t="shared" ref="F324:J325" si="41">F3</f>
        <v>Audited</v>
      </c>
      <c r="G324" s="843" t="str">
        <f t="shared" si="41"/>
        <v>Audited</v>
      </c>
      <c r="H324" s="843" t="str">
        <f t="shared" si="41"/>
        <v>Audited</v>
      </c>
      <c r="I324" s="842" t="str">
        <f t="shared" si="41"/>
        <v>Protected</v>
      </c>
      <c r="J324" s="841" t="str">
        <f t="shared" si="41"/>
        <v>Projected</v>
      </c>
    </row>
    <row r="325" spans="2:10" ht="15" hidden="1" thickBot="1" x14ac:dyDescent="0.4">
      <c r="B325" s="840"/>
      <c r="C325" s="788"/>
      <c r="D325" s="722"/>
      <c r="E325" s="722"/>
      <c r="F325" s="745" t="str">
        <f t="shared" si="41"/>
        <v>2018-19</v>
      </c>
      <c r="G325" s="745" t="str">
        <f t="shared" si="41"/>
        <v>2019-20</v>
      </c>
      <c r="H325" s="745" t="str">
        <f t="shared" si="41"/>
        <v>2020-21</v>
      </c>
      <c r="I325" s="787" t="str">
        <f t="shared" si="41"/>
        <v>2021-22</v>
      </c>
      <c r="J325" s="744" t="str">
        <f t="shared" si="41"/>
        <v>2022-23</v>
      </c>
    </row>
    <row r="326" spans="2:10" x14ac:dyDescent="0.35">
      <c r="B326" s="839"/>
      <c r="C326" s="750" t="s">
        <v>1148</v>
      </c>
      <c r="D326" s="784"/>
      <c r="E326" s="784"/>
      <c r="F326" s="783"/>
      <c r="G326" s="783"/>
      <c r="H326" s="783"/>
      <c r="I326" s="783"/>
      <c r="J326" s="782"/>
    </row>
    <row r="327" spans="2:10" x14ac:dyDescent="0.35">
      <c r="B327" s="813">
        <v>1</v>
      </c>
      <c r="C327" s="826" t="s">
        <v>1147</v>
      </c>
      <c r="D327" s="819"/>
      <c r="E327" s="819"/>
      <c r="F327" s="772"/>
      <c r="G327" s="772"/>
      <c r="H327" s="772"/>
      <c r="I327" s="772"/>
      <c r="J327" s="771"/>
    </row>
    <row r="328" spans="2:10" x14ac:dyDescent="0.35">
      <c r="B328" s="813"/>
      <c r="C328" s="812" t="s">
        <v>1146</v>
      </c>
      <c r="D328" s="812"/>
      <c r="E328" s="812"/>
      <c r="F328" s="775">
        <f>IF(F22&gt;0,IF(F76&gt;0,F76,0),0)</f>
        <v>0</v>
      </c>
      <c r="G328" s="775">
        <f>IF(G22&gt;0,IF(G76&gt;0,G76,0),0)</f>
        <v>0</v>
      </c>
      <c r="H328" s="775">
        <f>IF(H22&gt;0,IF(H76&gt;0,H76,0),0)</f>
        <v>0</v>
      </c>
      <c r="I328" s="775" t="e">
        <f>IF(I22&gt;0,IF(I76&gt;0,I76,0),0)</f>
        <v>#REF!</v>
      </c>
      <c r="J328" s="774" t="e">
        <f>IF(J22&gt;0,IF(J76&gt;0,J76,0),0)</f>
        <v>#REF!</v>
      </c>
    </row>
    <row r="329" spans="2:10" x14ac:dyDescent="0.35">
      <c r="B329" s="813"/>
      <c r="C329" s="812" t="s">
        <v>54</v>
      </c>
      <c r="D329" s="812"/>
      <c r="E329" s="812"/>
      <c r="F329" s="772">
        <f>IF(F22&gt;0,F191-E191,0)</f>
        <v>208.76999999999953</v>
      </c>
      <c r="G329" s="772">
        <f>IF(G22&gt;0,G191-F191,0)</f>
        <v>213.82999999999993</v>
      </c>
      <c r="H329" s="772">
        <f>IF(H22&gt;0,H191-G191,0)</f>
        <v>208.11000000000104</v>
      </c>
      <c r="I329" s="772" t="e">
        <f>IF(I22&gt;0,I191-G191,0)</f>
        <v>#REF!</v>
      </c>
      <c r="J329" s="771" t="e">
        <f>IF(J22&gt;0,J191-I191,0)</f>
        <v>#REF!</v>
      </c>
    </row>
    <row r="330" spans="2:10" x14ac:dyDescent="0.35">
      <c r="B330" s="813"/>
      <c r="C330" s="812" t="s">
        <v>1056</v>
      </c>
      <c r="D330" s="812"/>
      <c r="E330" s="812"/>
      <c r="F330" s="772">
        <f>IF(F22&gt;0,IF(F69&gt;0,F69,0),0)</f>
        <v>0</v>
      </c>
      <c r="G330" s="772">
        <f>IF(G22&gt;0,IF(G69&gt;0,G69,0),0)</f>
        <v>60.71</v>
      </c>
      <c r="H330" s="772">
        <f>IF(H22&gt;0,IF(H69&gt;0,H69,0),0)</f>
        <v>0</v>
      </c>
      <c r="I330" s="772" t="e">
        <f>IF(I22&gt;0,IF(I69&gt;0,I69,0),0)</f>
        <v>#REF!</v>
      </c>
      <c r="J330" s="771">
        <f>IF(J22&gt;0,IF(J69&gt;0,J69,0),0)</f>
        <v>0</v>
      </c>
    </row>
    <row r="331" spans="2:10" x14ac:dyDescent="0.35">
      <c r="B331" s="813"/>
      <c r="C331" s="812" t="s">
        <v>1145</v>
      </c>
      <c r="D331" s="812"/>
      <c r="E331" s="812"/>
      <c r="F331" s="772">
        <f>IF((F155-E155-F79)&gt;0,F155-E155-F79,0)</f>
        <v>0</v>
      </c>
      <c r="G331" s="772">
        <f>IF((G155-F155-G79)&gt;0,G155-F155-G79,0)</f>
        <v>0</v>
      </c>
      <c r="H331" s="772">
        <f>IF((H155-G155-H79)&gt;0,H155-G155-H79,0)</f>
        <v>0</v>
      </c>
      <c r="I331" s="772" t="e">
        <f>IF((I155-G155-I79)&gt;0,I155-G155-I79,0)</f>
        <v>#REF!</v>
      </c>
      <c r="J331" s="771" t="e">
        <f>IF((J155-I155-J79)&gt;0,J155-I155-J79,0)</f>
        <v>#REF!</v>
      </c>
    </row>
    <row r="332" spans="2:10" x14ac:dyDescent="0.35">
      <c r="B332" s="813"/>
      <c r="C332" s="812" t="s">
        <v>1144</v>
      </c>
      <c r="D332" s="812"/>
      <c r="E332" s="812"/>
      <c r="F332" s="772" t="e">
        <f>IF((F156-E156-F80)&gt;0,F156-E156-F80,0)</f>
        <v>#REF!</v>
      </c>
      <c r="G332" s="772" t="e">
        <f>IF(G22&gt;0,IF((G140-F140)&gt;0,G140-F140,0),0)</f>
        <v>#REF!</v>
      </c>
      <c r="H332" s="772" t="e">
        <f>IF(H22&gt;0,IF((H140-G140)&gt;0,H140-G140,0),0)</f>
        <v>#REF!</v>
      </c>
      <c r="I332" s="772" t="e">
        <f>IF(I22&gt;0,IF((I140-G140)&gt;0,I140-G140,0),0)</f>
        <v>#REF!</v>
      </c>
      <c r="J332" s="771" t="e">
        <f>IF(J22&gt;0,IF((J140-I140)&gt;0,J140-I140,0),0)</f>
        <v>#REF!</v>
      </c>
    </row>
    <row r="333" spans="2:10" x14ac:dyDescent="0.35">
      <c r="B333" s="813"/>
      <c r="C333" s="812" t="s">
        <v>1143</v>
      </c>
      <c r="D333" s="812"/>
      <c r="E333" s="812"/>
      <c r="F333" s="772">
        <f>IF((F157-E157-F81)&gt;0,F157-E157-F81,0)</f>
        <v>0</v>
      </c>
      <c r="G333" s="824">
        <f>IF(G22&gt;0,IF((-G189-G190+F189+F190)&gt;0,-G189-G190+F189+F190,0),0)</f>
        <v>0</v>
      </c>
      <c r="H333" s="824">
        <f>IF(H22&gt;0,IF((-H189-H190+G189+G190)&gt;0,-H189-H190+G189+G190,0),0)</f>
        <v>5.3399099999990725</v>
      </c>
      <c r="I333" s="824" t="e">
        <f>IF(I22&gt;0,IF((-I189-I190+G189+G190)&gt;0,-I189-I190+G189+G190,0),0)</f>
        <v>#REF!</v>
      </c>
      <c r="J333" s="823" t="e">
        <f>IF(J22&gt;0,IF((-J189-J190+I189+I190)&gt;0,-J189-J190+I189+I190,0),0)</f>
        <v>#REF!</v>
      </c>
    </row>
    <row r="334" spans="2:10" ht="15" thickBot="1" x14ac:dyDescent="0.4">
      <c r="B334" s="813"/>
      <c r="C334" s="1836" t="s">
        <v>1142</v>
      </c>
      <c r="D334" s="1827"/>
      <c r="E334" s="832"/>
      <c r="F334" s="772">
        <f>IF((F158-E158-F82)&gt;0,F158-E158-F82,0)</f>
        <v>0</v>
      </c>
      <c r="G334" s="831">
        <f>IF(G22&gt;0,IF(-G203+F203&gt;0,-G203+F203,0),0)</f>
        <v>0</v>
      </c>
      <c r="H334" s="831">
        <f>IF(H22&gt;0,IF(-H203+G203&gt;0,-H203+G203,0),0)</f>
        <v>0</v>
      </c>
      <c r="I334" s="831" t="e">
        <f>IF(I22&gt;0,IF(-I203+G203&gt;0,-I203+G203,0),0)</f>
        <v>#REF!</v>
      </c>
      <c r="J334" s="830" t="e">
        <f>IF(J22&gt;0,IF(-J203+I203&gt;0,-J203+I203,0),0)</f>
        <v>#REF!</v>
      </c>
    </row>
    <row r="335" spans="2:10" x14ac:dyDescent="0.35">
      <c r="B335" s="813"/>
      <c r="C335" s="812"/>
      <c r="D335" s="812"/>
      <c r="E335" s="819"/>
      <c r="F335" s="836" t="e">
        <f>SUM(F328:F334)</f>
        <v>#REF!</v>
      </c>
      <c r="G335" s="836" t="e">
        <f>SUM(G328:G334)</f>
        <v>#REF!</v>
      </c>
      <c r="H335" s="836" t="e">
        <f>SUM(H328:H334)</f>
        <v>#REF!</v>
      </c>
      <c r="I335" s="836" t="e">
        <f>SUM(I328:I334)</f>
        <v>#REF!</v>
      </c>
      <c r="J335" s="835" t="e">
        <f>SUM(J328:J334)</f>
        <v>#REF!</v>
      </c>
    </row>
    <row r="336" spans="2:10" x14ac:dyDescent="0.35">
      <c r="B336" s="813">
        <v>2</v>
      </c>
      <c r="C336" s="816" t="s">
        <v>1141</v>
      </c>
      <c r="D336" s="812"/>
      <c r="E336" s="812"/>
      <c r="F336" s="772"/>
      <c r="G336" s="772"/>
      <c r="H336" s="772"/>
      <c r="I336" s="772"/>
      <c r="J336" s="771"/>
    </row>
    <row r="337" spans="2:10" x14ac:dyDescent="0.35">
      <c r="B337" s="813"/>
      <c r="C337" s="812" t="s">
        <v>1140</v>
      </c>
      <c r="D337" s="812"/>
      <c r="E337" s="812"/>
      <c r="F337" s="772">
        <f>IF(E22&gt;0,IF(F76&lt;0,-F76,0),0)</f>
        <v>91.595044694199728</v>
      </c>
      <c r="G337" s="772">
        <f>IF(F22&gt;0,IF(G76&lt;0,-G76,0),0)</f>
        <v>149.19454895559252</v>
      </c>
      <c r="H337" s="772">
        <f>IF(G22&gt;0,IF(H76&lt;0,-H76,0),0)</f>
        <v>313.19506465390947</v>
      </c>
      <c r="I337" s="772" t="e">
        <f>IF(G22&gt;0,IF(I76&lt;0,-I76,0),0)</f>
        <v>#REF!</v>
      </c>
      <c r="J337" s="771" t="e">
        <f>IF(I22&gt;0,IF(J76&lt;0,-J76,0),0)</f>
        <v>#REF!</v>
      </c>
    </row>
    <row r="338" spans="2:10" x14ac:dyDescent="0.35">
      <c r="B338" s="813"/>
      <c r="C338" s="812" t="s">
        <v>1139</v>
      </c>
      <c r="D338" s="812"/>
      <c r="E338" s="812"/>
      <c r="F338" s="772">
        <f>IF((F210-E210)&gt;0,F210-E210+F69,0)</f>
        <v>0</v>
      </c>
      <c r="G338" s="772">
        <f>IF((G210-F210)&gt;0,G210-F210+G69,0)</f>
        <v>0</v>
      </c>
      <c r="H338" s="772">
        <f>IF((H210-G210)&gt;0,H210-G210+H69,0)</f>
        <v>0</v>
      </c>
      <c r="I338" s="772">
        <f>IF((I210-G210)&gt;0,I210-G210+I69,0)</f>
        <v>0</v>
      </c>
      <c r="J338" s="771">
        <f>IF((J210-I210)&gt;0,J210-I210+J69,0)</f>
        <v>0</v>
      </c>
    </row>
    <row r="339" spans="2:10" x14ac:dyDescent="0.35">
      <c r="B339" s="813"/>
      <c r="C339" s="1836" t="s">
        <v>1138</v>
      </c>
      <c r="D339" s="1837"/>
      <c r="E339" s="828"/>
      <c r="F339" s="772">
        <f>IF(F22&gt;0,IF((F155-E155-F79)&lt;0,-(F155-E155-F79),0),0)</f>
        <v>1.2149553058006717</v>
      </c>
      <c r="G339" s="772">
        <f>IF(G22&gt;0,IF((G155-F155-G79)&lt;0,-(G155-F155-G79),0),0)</f>
        <v>1.5742451916715652</v>
      </c>
      <c r="H339" s="772">
        <f>IF(H22&gt;0,IF((H155-G155-H79)&lt;0,-(H155-G155-H79),0),0)</f>
        <v>0.16827941700051952</v>
      </c>
      <c r="I339" s="772" t="e">
        <f>IF(I22&gt;0,IF((I155-G155-I79)&lt;0,-(I155-G155-I79),0),0)</f>
        <v>#REF!</v>
      </c>
      <c r="J339" s="771" t="e">
        <f>IF(J22&gt;0,IF((J155-I155-J79)&lt;0,-(J155-I155-J79),0),0)</f>
        <v>#REF!</v>
      </c>
    </row>
    <row r="340" spans="2:10" x14ac:dyDescent="0.35">
      <c r="B340" s="813"/>
      <c r="C340" s="812" t="s">
        <v>1137</v>
      </c>
      <c r="D340" s="812"/>
      <c r="E340" s="812"/>
      <c r="F340" s="772" t="e">
        <f>IF(G332&gt;0,(E140+E118-F140-F118),(E140+E118-F140-F118)+F332)</f>
        <v>#REF!</v>
      </c>
      <c r="G340" s="772" t="e">
        <f>IF(I332&gt;0,(F140+F118-G140-G118),(F140+F118-G140-G118)+G332)</f>
        <v>#REF!</v>
      </c>
      <c r="H340" s="772" t="e">
        <f>IF(J332&gt;0,(G140+G118-H140-H118),(G140+G118-H140-H118)+H332)</f>
        <v>#REF!</v>
      </c>
      <c r="I340" s="772" t="e">
        <f>IF(J332&gt;0,(G140+G118-I140-I118),(G140+G118-I140-I118)+I332)</f>
        <v>#REF!</v>
      </c>
      <c r="J340" s="771" t="e">
        <f>IF(K332&gt;0,(I140+I118-J140-J118),(I140+I118-J140-J118)+J332)</f>
        <v>#REF!</v>
      </c>
    </row>
    <row r="341" spans="2:10" x14ac:dyDescent="0.35">
      <c r="B341" s="813"/>
      <c r="C341" s="812" t="s">
        <v>1136</v>
      </c>
      <c r="D341" s="812"/>
      <c r="E341" s="812"/>
      <c r="F341" s="772">
        <f>IF((-F189-F190+E189+E190)&lt;0,F189+F190-E189-E190,0)</f>
        <v>13.85999999999963</v>
      </c>
      <c r="G341" s="772">
        <f>IF((-G189-G190+F189+F190)&lt;0,G189+G190-F189-F190,0)</f>
        <v>37.849999999999852</v>
      </c>
      <c r="H341" s="772">
        <f>IF((-H189-H190+G189+G190)&lt;0,H189+H190-G189-G190,0)</f>
        <v>0</v>
      </c>
      <c r="I341" s="772" t="e">
        <f>IF((-I189-I190+G189+G190)&lt;0,I189+I190-G189-G190,0)</f>
        <v>#REF!</v>
      </c>
      <c r="J341" s="771" t="e">
        <f>IF((-J189-J190+I189+I190)&lt;0,J189+J190-I189-I190,0)</f>
        <v>#REF!</v>
      </c>
    </row>
    <row r="342" spans="2:10" x14ac:dyDescent="0.35">
      <c r="B342" s="813"/>
      <c r="C342" s="1836" t="s">
        <v>1135</v>
      </c>
      <c r="D342" s="1827"/>
      <c r="E342" s="825"/>
      <c r="F342" s="772">
        <f>IF(F203-E203&gt;0,F203-E203,0)</f>
        <v>0</v>
      </c>
      <c r="G342" s="772">
        <f>IF(G203-F203&gt;0,G203-F203,0)</f>
        <v>2801.0800000000004</v>
      </c>
      <c r="H342" s="772">
        <f>IF(H203-G203&gt;0,H203-G203,0)</f>
        <v>78.769999999999982</v>
      </c>
      <c r="I342" s="772" t="e">
        <f>IF(I203-G203&gt;0,I203-G203,0)</f>
        <v>#REF!</v>
      </c>
      <c r="J342" s="771" t="e">
        <f>IF(J203-I203&gt;0,J203-I203,0)</f>
        <v>#REF!</v>
      </c>
    </row>
    <row r="343" spans="2:10" x14ac:dyDescent="0.35">
      <c r="B343" s="813"/>
      <c r="C343" s="812" t="s">
        <v>1134</v>
      </c>
      <c r="D343" s="812"/>
      <c r="E343" s="812"/>
      <c r="F343" s="772"/>
      <c r="G343" s="772"/>
      <c r="H343" s="772"/>
      <c r="I343" s="772"/>
      <c r="J343" s="771"/>
    </row>
    <row r="344" spans="2:10" ht="15" thickBot="1" x14ac:dyDescent="0.4">
      <c r="B344" s="813"/>
      <c r="C344" s="812" t="s">
        <v>1133</v>
      </c>
      <c r="D344" s="812"/>
      <c r="E344" s="822"/>
      <c r="F344" s="838">
        <f>F78</f>
        <v>0</v>
      </c>
      <c r="G344" s="838">
        <f>G78</f>
        <v>0</v>
      </c>
      <c r="H344" s="838">
        <f>H78</f>
        <v>0</v>
      </c>
      <c r="I344" s="838">
        <f>I78</f>
        <v>0</v>
      </c>
      <c r="J344" s="837">
        <f>J78</f>
        <v>0</v>
      </c>
    </row>
    <row r="345" spans="2:10" x14ac:dyDescent="0.35">
      <c r="B345" s="813"/>
      <c r="C345" s="816"/>
      <c r="D345" s="812"/>
      <c r="E345" s="819"/>
      <c r="F345" s="836" t="e">
        <f>SUM(F337:F344)</f>
        <v>#REF!</v>
      </c>
      <c r="G345" s="836" t="e">
        <f>SUM(G337:G344)</f>
        <v>#REF!</v>
      </c>
      <c r="H345" s="836" t="e">
        <f>SUM(H337:H344)</f>
        <v>#REF!</v>
      </c>
      <c r="I345" s="836" t="e">
        <f>SUM(I337:I344)</f>
        <v>#REF!</v>
      </c>
      <c r="J345" s="835" t="e">
        <f>SUM(J337:J344)</f>
        <v>#REF!</v>
      </c>
    </row>
    <row r="346" spans="2:10" x14ac:dyDescent="0.35">
      <c r="B346" s="813"/>
      <c r="C346" s="816" t="s">
        <v>1132</v>
      </c>
      <c r="D346" s="812"/>
      <c r="E346" s="812"/>
      <c r="F346" s="834" t="e">
        <f>F335-F345</f>
        <v>#REF!</v>
      </c>
      <c r="G346" s="834" t="e">
        <f>G335-G345</f>
        <v>#REF!</v>
      </c>
      <c r="H346" s="834" t="e">
        <f>H335-H345</f>
        <v>#REF!</v>
      </c>
      <c r="I346" s="834" t="e">
        <f>I335-I345</f>
        <v>#REF!</v>
      </c>
      <c r="J346" s="833" t="e">
        <f>J335-J345</f>
        <v>#REF!</v>
      </c>
    </row>
    <row r="347" spans="2:10" x14ac:dyDescent="0.35">
      <c r="B347" s="813"/>
      <c r="C347" s="816" t="s">
        <v>1131</v>
      </c>
      <c r="D347" s="812"/>
      <c r="E347" s="812"/>
      <c r="F347" s="772"/>
      <c r="G347" s="772"/>
      <c r="H347" s="772"/>
      <c r="I347" s="772"/>
      <c r="J347" s="771"/>
    </row>
    <row r="348" spans="2:10" x14ac:dyDescent="0.35">
      <c r="B348" s="813"/>
      <c r="C348" s="812" t="s">
        <v>1130</v>
      </c>
      <c r="D348" s="812"/>
      <c r="E348" s="812"/>
      <c r="F348" s="824">
        <f>-IF((-F109+E109)&lt;0,(-F109+E109),0)</f>
        <v>0</v>
      </c>
      <c r="G348" s="824">
        <f>-IF((-G109+F109)&lt;0,(-G109+F109),0)</f>
        <v>0</v>
      </c>
      <c r="H348" s="824">
        <f>-IF((-H109+G109)&lt;0,(-H109+G109),0)</f>
        <v>0</v>
      </c>
      <c r="I348" s="824" t="e">
        <f>-IF((-I109+G109)&lt;0,(-I109+G109),0)</f>
        <v>#REF!</v>
      </c>
      <c r="J348" s="823" t="e">
        <f>-IF((-J109+I109)&lt;0,(-J109+I109),0)</f>
        <v>#REF!</v>
      </c>
    </row>
    <row r="349" spans="2:10" x14ac:dyDescent="0.35">
      <c r="B349" s="813"/>
      <c r="C349" s="1836" t="s">
        <v>1129</v>
      </c>
      <c r="D349" s="1827"/>
      <c r="E349" s="825"/>
      <c r="F349" s="824" t="e">
        <f>-IF((((E124-E118)-(F124-F118)))&lt;0,((E124-E118)-(F124-F118)),0)</f>
        <v>#REF!</v>
      </c>
      <c r="G349" s="824" t="e">
        <f>-IF((((F124-F118)-(G124-G118)))&lt;0,((F124-F118)-(G124-G118)),0)</f>
        <v>#REF!</v>
      </c>
      <c r="H349" s="824" t="e">
        <f>-IF((((G124-G118)-(H124-H118)))&lt;0,((G124-G118)-(H124-H118)),0)</f>
        <v>#REF!</v>
      </c>
      <c r="I349" s="824" t="e">
        <f>-IF((((G124-G118)-(I124-I118)))&lt;0,((G124-G118)-(I124-I118)),0)</f>
        <v>#REF!</v>
      </c>
      <c r="J349" s="823" t="e">
        <f>-IF((((I124-I118)-(J124-J118)))&lt;0,((I124-I118)-(J124-J118)),0)</f>
        <v>#REF!</v>
      </c>
    </row>
    <row r="350" spans="2:10" x14ac:dyDescent="0.35">
      <c r="B350" s="813"/>
      <c r="C350" s="812" t="s">
        <v>1128</v>
      </c>
      <c r="D350" s="812"/>
      <c r="E350" s="812"/>
      <c r="F350" s="824">
        <f>IF(F22&gt;0,IF(SUM(F172:F177)-SUM(E172:E177)&lt;0,-SUM(F172:F177)+SUM(E172:E177),0),0)</f>
        <v>82.900000000000091</v>
      </c>
      <c r="G350" s="824">
        <f>IF(G22&gt;0,IF(SUM(G172:G177)-SUM(F172:F177)&lt;0,-SUM(G172:G177)+SUM(F172:F177),0),0)</f>
        <v>53.590330510590775</v>
      </c>
      <c r="H350" s="824">
        <f>IF(H22&gt;0,IF(SUM(H172:H177)-SUM(G172:G177)&lt;0,-SUM(H172:H177)+SUM(G172:G177),0),0)</f>
        <v>170.04731516610946</v>
      </c>
      <c r="I350" s="824" t="e">
        <f>IF(I22&gt;0,IF(SUM(I172:I177)-SUM(G172:G177)&lt;0,-SUM(I172:I177)+SUM(G172:G177),0),0)</f>
        <v>#REF!</v>
      </c>
      <c r="J350" s="823" t="e">
        <f>IF(J22&gt;0,IF(SUM(J172:J177)-SUM(I172:I177)&lt;0,-SUM(J172:J177)+SUM(I172:I177),0),0)</f>
        <v>#REF!</v>
      </c>
    </row>
    <row r="351" spans="2:10" x14ac:dyDescent="0.35">
      <c r="B351" s="813"/>
      <c r="C351" s="812" t="s">
        <v>1127</v>
      </c>
      <c r="D351" s="812"/>
      <c r="E351" s="812"/>
      <c r="F351" s="824">
        <f>IF(F22&gt;0,IF((F169+F170)-(E169+E170)&lt;0,-(F169+F170)+(E169+E170),0),0)</f>
        <v>0</v>
      </c>
      <c r="G351" s="824">
        <f>IF(G22&gt;0,IF((G169+G170)-(F169+F170)&lt;0,-(G169+G170)+(F169+F170),0),0)</f>
        <v>32.870000000000005</v>
      </c>
      <c r="H351" s="824">
        <f>IF(H22&gt;0,IF((H169+H170)-(G169+G170)&lt;0,-(H169+H170)+(G169+G170),0),0)</f>
        <v>0</v>
      </c>
      <c r="I351" s="824" t="e">
        <f>IF(I22&gt;0,IF((I169+I170)-(G169+G170)&lt;0,-(I169+I170)+(G169+G170),0),0)</f>
        <v>#REF!</v>
      </c>
      <c r="J351" s="823" t="e">
        <f>IF(J22&gt;0,IF((J169+J170)-(I169+I170)&lt;0,-(J169+J170)+(I169+I170),0),0)</f>
        <v>#REF!</v>
      </c>
    </row>
    <row r="352" spans="2:10" x14ac:dyDescent="0.35">
      <c r="B352" s="813"/>
      <c r="C352" s="1836" t="s">
        <v>1126</v>
      </c>
      <c r="D352" s="1827"/>
      <c r="E352" s="825"/>
      <c r="F352" s="824">
        <f>IF(F22&gt;0,IF((SUM(F166:F168)-SUM(E166:E168))&lt;0,-SUM(F166:F168)+SUM(E166:E168),0),0)</f>
        <v>0</v>
      </c>
      <c r="G352" s="824">
        <f>IF(G22&gt;0,IF((SUM(G166:G168)-SUM(F166:F168))&lt;0,-SUM(G166:G168)+SUM(F166:F168),0),0)</f>
        <v>0</v>
      </c>
      <c r="H352" s="824">
        <f>IF(H22&gt;0,IF((SUM(H166:H168)-SUM(G166:G168))&lt;0,-SUM(H166:H168)+SUM(G166:G168),0),0)</f>
        <v>48.170000000000009</v>
      </c>
      <c r="I352" s="824" t="e">
        <f>IF(I22&gt;0,IF((SUM(I166:I168)-SUM(G166:G168))&lt;0,-SUM(I166:I168)+SUM(G166:G168),0),0)</f>
        <v>#REF!</v>
      </c>
      <c r="J352" s="823" t="e">
        <f>IF(J22&gt;0,IF((SUM(J166:J168)-SUM(I166:I168))&lt;0,-SUM(J166:J168)+SUM(I166:I168),0),0)</f>
        <v>#REF!</v>
      </c>
    </row>
    <row r="353" spans="2:10" ht="15" thickBot="1" x14ac:dyDescent="0.4">
      <c r="B353" s="813"/>
      <c r="C353" s="1824" t="s">
        <v>1125</v>
      </c>
      <c r="D353" s="1825"/>
      <c r="E353" s="832"/>
      <c r="F353" s="831">
        <f>IF(F22&gt;0,IF((E180+E179+E178+E171-F171-F178-F179-F180)&gt;0,E180+E179+E178+E171-F171-F178-F179-F180,0),0)</f>
        <v>0</v>
      </c>
      <c r="G353" s="831">
        <f>IF(G22&gt;0,IF((F180+F179+F178+F171-G171-G178-G179-G180)&gt;0,F180+F179+F178+F171-G171-G178-G179-G180,0),0)</f>
        <v>2906.7000000000003</v>
      </c>
      <c r="H353" s="831">
        <f>IF(H22&gt;0,IF((G180+G179+G178+G171-H171-H178-H179-H180)&gt;0,G180+G179+G178+G171-H171-H178-H179-H180,0),0)</f>
        <v>102.87499999999989</v>
      </c>
      <c r="I353" s="831" t="e">
        <f>IF(I22&gt;0,IF((G180+G179+G178+G171-I171-I178-I179-I180)&gt;0,G180+G179+G178+G171-I171-I178-I179-I180,0),0)</f>
        <v>#REF!</v>
      </c>
      <c r="J353" s="830" t="e">
        <f>IF(J22&gt;0,IF((I180+I179+I178+I171-J171-J178-J179-J180)&gt;0,I180+I179+I178+I171-J171-J178-J179-J180,0),0)</f>
        <v>#REF!</v>
      </c>
    </row>
    <row r="354" spans="2:10" x14ac:dyDescent="0.35">
      <c r="B354" s="813"/>
      <c r="C354" s="829"/>
      <c r="D354" s="828"/>
      <c r="E354" s="827"/>
      <c r="F354" s="818" t="e">
        <f>SUM(F348:F353)</f>
        <v>#REF!</v>
      </c>
      <c r="G354" s="818" t="e">
        <f>SUM(G348:G353)</f>
        <v>#REF!</v>
      </c>
      <c r="H354" s="818" t="e">
        <f>SUM(H348:H353)</f>
        <v>#REF!</v>
      </c>
      <c r="I354" s="818" t="e">
        <f>SUM(I348:I353)</f>
        <v>#REF!</v>
      </c>
      <c r="J354" s="817" t="e">
        <f>SUM(J348:J353)</f>
        <v>#REF!</v>
      </c>
    </row>
    <row r="355" spans="2:10" x14ac:dyDescent="0.35">
      <c r="B355" s="813"/>
      <c r="C355" s="826" t="s">
        <v>1124</v>
      </c>
      <c r="D355" s="819"/>
      <c r="E355" s="819"/>
      <c r="F355" s="772"/>
      <c r="G355" s="772"/>
      <c r="H355" s="772"/>
      <c r="I355" s="772"/>
      <c r="J355" s="771"/>
    </row>
    <row r="356" spans="2:10" x14ac:dyDescent="0.35">
      <c r="B356" s="813"/>
      <c r="C356" s="812" t="s">
        <v>1123</v>
      </c>
      <c r="D356" s="812"/>
      <c r="E356" s="812"/>
      <c r="F356" s="824">
        <f>IF(SUM(F172:F177)-SUM(E172:E177)&gt;0,SUM(F172:F177)-SUM(E172:E177),0)</f>
        <v>0</v>
      </c>
      <c r="G356" s="824">
        <f>IF(SUM(G172:G177)-SUM(F172:F177)&gt;0,SUM(G172:G177)-SUM(F172:F177),0)</f>
        <v>0</v>
      </c>
      <c r="H356" s="824">
        <f>IF(SUM(H172:H177)-SUM(G172:G177)&gt;0,SUM(H172:H177)-SUM(G172:G177),0)</f>
        <v>0</v>
      </c>
      <c r="I356" s="824" t="e">
        <f>IF(SUM(I172:I177)-SUM(G172:G177)&gt;0,SUM(I172:I177)-SUM(G172:G177),0)</f>
        <v>#REF!</v>
      </c>
      <c r="J356" s="823" t="e">
        <f>IF(SUM(J172:J177)-SUM(I172:I177)&gt;0,SUM(J172:J177)-SUM(I172:I177),0)</f>
        <v>#REF!</v>
      </c>
    </row>
    <row r="357" spans="2:10" x14ac:dyDescent="0.35">
      <c r="B357" s="813"/>
      <c r="C357" s="812" t="s">
        <v>1122</v>
      </c>
      <c r="D357" s="812"/>
      <c r="E357" s="812"/>
      <c r="F357" s="824">
        <f>IF((F169+F170)-(E169+E170)&gt;0,(F169+F170)-(E169+E170),0)</f>
        <v>13.620000000000005</v>
      </c>
      <c r="G357" s="824">
        <f>IF((G169+G170)-(F169+F170)&gt;0,(G169+G170)-(F169+F170),0)</f>
        <v>0</v>
      </c>
      <c r="H357" s="824">
        <f>IF((H169+H170)-(G169+G170)&gt;0,(H169+H170)-(G169+G170),0)</f>
        <v>45.549999999999983</v>
      </c>
      <c r="I357" s="824" t="e">
        <f>IF((I169+I170)-(G169+G170)&gt;0,(I169+I170)-(G169+G170),0)</f>
        <v>#REF!</v>
      </c>
      <c r="J357" s="823" t="e">
        <f>IF((J169+J170)-(I169+I170)&gt;0,(J169+J170)-(I169+I170),0)</f>
        <v>#REF!</v>
      </c>
    </row>
    <row r="358" spans="2:10" x14ac:dyDescent="0.35">
      <c r="B358" s="813"/>
      <c r="C358" s="1826" t="s">
        <v>1121</v>
      </c>
      <c r="D358" s="1827"/>
      <c r="E358" s="825"/>
      <c r="F358" s="824">
        <f>IF((SUM(F166:F168)-SUM(E166:E168))&gt;0,SUM(F166:F168)-SUM(E166:E168),0)</f>
        <v>4.8500000000000014</v>
      </c>
      <c r="G358" s="824">
        <f>IF((SUM(G166:G168)-SUM(F166:F168))&gt;0,SUM(G166:G168)-SUM(F166:F168),0)</f>
        <v>51.660000000000004</v>
      </c>
      <c r="H358" s="824">
        <f>IF((SUM(H166:H168)-SUM(G166:G168))&gt;0,SUM(H166:H168)-SUM(G166:G168),0)</f>
        <v>0</v>
      </c>
      <c r="I358" s="824" t="e">
        <f>IF((SUM(I166:I168)-SUM(G166:G168))&gt;0,SUM(I166:I168)-SUM(G166:G168),0)</f>
        <v>#REF!</v>
      </c>
      <c r="J358" s="823" t="e">
        <f>IF((SUM(J166:J168)-SUM(I166:I168))&gt;0,SUM(J166:J168)-SUM(I166:I168),0)</f>
        <v>#REF!</v>
      </c>
    </row>
    <row r="359" spans="2:10" x14ac:dyDescent="0.35">
      <c r="B359" s="813"/>
      <c r="C359" s="812" t="s">
        <v>1120</v>
      </c>
      <c r="D359" s="812"/>
      <c r="E359" s="812"/>
      <c r="F359" s="824">
        <f>IF(F22&gt;0,IF((F180+F179+F178+F171-E171-E178-E179-E180)&gt;0,(F180+F179+F178+F171-E171-E178-E179-E180),0),0)</f>
        <v>876.01000000000067</v>
      </c>
      <c r="G359" s="824">
        <f>IF(G22&gt;0,IF((G180+G179+G178+G171-F171-F178-F179-F180)&gt;0,(G180+G179+G178+G171-F171-F178-F179-F180),0),0)</f>
        <v>0</v>
      </c>
      <c r="H359" s="824">
        <f>IF(H22&gt;0,IF((H180+H179+H178+H171-G171-G178-G179-G180)&gt;0,(H180+H179+H178+H171-G171-G178-G179-G180),0),0)</f>
        <v>0</v>
      </c>
      <c r="I359" s="824" t="e">
        <f>IF(I22&gt;0,IF((I180+I179+I178+I171-G171-G178-G179-G180)&gt;0,(I180+I179+I178+I171-G171-G178-G179-G180),0),0)</f>
        <v>#REF!</v>
      </c>
      <c r="J359" s="823" t="e">
        <f>IF(J22&gt;0,IF((J180+J179+J178+J171-I171-I178-I179-I180)&gt;0,(J180+J179+J178+J171-I171-I178-I179-I180),0),0)</f>
        <v>#REF!</v>
      </c>
    </row>
    <row r="360" spans="2:10" x14ac:dyDescent="0.35">
      <c r="B360" s="813"/>
      <c r="C360" s="1826" t="s">
        <v>1119</v>
      </c>
      <c r="D360" s="1827"/>
      <c r="E360" s="825"/>
      <c r="F360" s="824" t="e">
        <f>IF((((E124-E118)-(F124-F118)))&gt;0,((E124-E118)-(F124-F118)),0)</f>
        <v>#REF!</v>
      </c>
      <c r="G360" s="824" t="e">
        <f>IF((((F124-F118)-(G124-G118)))&gt;0,((F124-F118)-(G124-G118)),0)</f>
        <v>#REF!</v>
      </c>
      <c r="H360" s="824" t="e">
        <f>IF((((G124-G118)-(H124-H118)))&gt;0,((G124-G118)-(H124-H118)),0)</f>
        <v>#REF!</v>
      </c>
      <c r="I360" s="824" t="e">
        <f>IF((((G124-G118)-(I124-I118)))&gt;0,((G124-G118)-(I124-I118)),0)</f>
        <v>#REF!</v>
      </c>
      <c r="J360" s="823" t="e">
        <f>IF((((I124-I118)-(J124-J118)))&gt;0,((I124-I118)-(J124-J118)),0)</f>
        <v>#REF!</v>
      </c>
    </row>
    <row r="361" spans="2:10" ht="15" thickBot="1" x14ac:dyDescent="0.4">
      <c r="B361" s="813"/>
      <c r="C361" s="812" t="s">
        <v>1118</v>
      </c>
      <c r="D361" s="812"/>
      <c r="E361" s="822"/>
      <c r="F361" s="821">
        <f>IF(F22&gt;0,IF((E109-F109)&gt;0,(E109-F109),0),0)</f>
        <v>156.26</v>
      </c>
      <c r="G361" s="821">
        <f>IF(G22&gt;0,IF((F109-G109)&gt;0,(F109-G109),0),0)</f>
        <v>0</v>
      </c>
      <c r="H361" s="821">
        <f>IF(H22&gt;0,IF((G109-H109)&gt;0,(G109-H109),0),0)</f>
        <v>0</v>
      </c>
      <c r="I361" s="821" t="e">
        <f>IF(I22&gt;0,IF((G109-I109)&gt;0,(G109-I109),0),0)</f>
        <v>#REF!</v>
      </c>
      <c r="J361" s="820" t="e">
        <f>IF(J22&gt;0,IF((I109-J109)&gt;0,(I109-J109),0),0)</f>
        <v>#REF!</v>
      </c>
    </row>
    <row r="362" spans="2:10" x14ac:dyDescent="0.35">
      <c r="B362" s="813"/>
      <c r="C362" s="812"/>
      <c r="D362" s="812"/>
      <c r="E362" s="819"/>
      <c r="F362" s="818" t="e">
        <f>SUM(F356:F361)</f>
        <v>#REF!</v>
      </c>
      <c r="G362" s="818" t="e">
        <f>SUM(G356:G361)</f>
        <v>#REF!</v>
      </c>
      <c r="H362" s="818" t="e">
        <f>SUM(H356:H361)</f>
        <v>#REF!</v>
      </c>
      <c r="I362" s="818" t="e">
        <f>SUM(I356:I361)</f>
        <v>#REF!</v>
      </c>
      <c r="J362" s="817" t="e">
        <f>SUM(J356:J361)</f>
        <v>#REF!</v>
      </c>
    </row>
    <row r="363" spans="2:10" x14ac:dyDescent="0.35">
      <c r="B363" s="813"/>
      <c r="C363" s="816" t="s">
        <v>1117</v>
      </c>
      <c r="D363" s="718"/>
      <c r="E363" s="718"/>
      <c r="F363" s="772"/>
      <c r="G363" s="772"/>
      <c r="H363" s="772"/>
      <c r="I363" s="772"/>
      <c r="J363" s="771"/>
    </row>
    <row r="364" spans="2:10" x14ac:dyDescent="0.35">
      <c r="B364" s="813"/>
      <c r="C364" s="812" t="s">
        <v>1116</v>
      </c>
      <c r="D364" s="812"/>
      <c r="E364" s="812"/>
      <c r="F364" s="775" t="e">
        <f>F335</f>
        <v>#REF!</v>
      </c>
      <c r="G364" s="775" t="e">
        <f>G335</f>
        <v>#REF!</v>
      </c>
      <c r="H364" s="775" t="e">
        <f>H335</f>
        <v>#REF!</v>
      </c>
      <c r="I364" s="775" t="e">
        <f>I335</f>
        <v>#REF!</v>
      </c>
      <c r="J364" s="774" t="e">
        <f>J335</f>
        <v>#REF!</v>
      </c>
    </row>
    <row r="365" spans="2:10" x14ac:dyDescent="0.35">
      <c r="B365" s="813"/>
      <c r="C365" s="812" t="s">
        <v>1115</v>
      </c>
      <c r="D365" s="812"/>
      <c r="E365" s="812"/>
      <c r="F365" s="775" t="e">
        <f>F345</f>
        <v>#REF!</v>
      </c>
      <c r="G365" s="775" t="e">
        <f>G345</f>
        <v>#REF!</v>
      </c>
      <c r="H365" s="775" t="e">
        <f>H345</f>
        <v>#REF!</v>
      </c>
      <c r="I365" s="775" t="e">
        <f>I345</f>
        <v>#REF!</v>
      </c>
      <c r="J365" s="774" t="e">
        <f>J345</f>
        <v>#REF!</v>
      </c>
    </row>
    <row r="366" spans="2:10" x14ac:dyDescent="0.35">
      <c r="B366" s="813"/>
      <c r="C366" s="816" t="s">
        <v>1114</v>
      </c>
      <c r="D366" s="812"/>
      <c r="E366" s="812"/>
      <c r="F366" s="815" t="e">
        <f>F364-F365</f>
        <v>#REF!</v>
      </c>
      <c r="G366" s="815" t="e">
        <f>G364-G365</f>
        <v>#REF!</v>
      </c>
      <c r="H366" s="815" t="e">
        <f>H364-H365</f>
        <v>#REF!</v>
      </c>
      <c r="I366" s="815" t="e">
        <f>I364-I365</f>
        <v>#REF!</v>
      </c>
      <c r="J366" s="814" t="e">
        <f>J364-J365</f>
        <v>#REF!</v>
      </c>
    </row>
    <row r="367" spans="2:10" x14ac:dyDescent="0.35">
      <c r="B367" s="813"/>
      <c r="C367" s="812" t="s">
        <v>1113</v>
      </c>
      <c r="D367" s="812"/>
      <c r="E367" s="812"/>
      <c r="F367" s="775" t="e">
        <f>F354</f>
        <v>#REF!</v>
      </c>
      <c r="G367" s="775" t="e">
        <f>G354</f>
        <v>#REF!</v>
      </c>
      <c r="H367" s="775" t="e">
        <f>H354</f>
        <v>#REF!</v>
      </c>
      <c r="I367" s="775" t="e">
        <f>I354</f>
        <v>#REF!</v>
      </c>
      <c r="J367" s="774" t="e">
        <f>J354</f>
        <v>#REF!</v>
      </c>
    </row>
    <row r="368" spans="2:10" x14ac:dyDescent="0.35">
      <c r="B368" s="813"/>
      <c r="C368" s="812" t="s">
        <v>1112</v>
      </c>
      <c r="D368" s="812"/>
      <c r="E368" s="812"/>
      <c r="F368" s="775" t="e">
        <f>F362</f>
        <v>#REF!</v>
      </c>
      <c r="G368" s="775" t="e">
        <f>G362</f>
        <v>#REF!</v>
      </c>
      <c r="H368" s="775" t="e">
        <f>H362</f>
        <v>#REF!</v>
      </c>
      <c r="I368" s="775" t="e">
        <f>I362</f>
        <v>#REF!</v>
      </c>
      <c r="J368" s="774" t="e">
        <f>J362</f>
        <v>#REF!</v>
      </c>
    </row>
    <row r="369" spans="2:10" ht="15" thickBot="1" x14ac:dyDescent="0.4">
      <c r="B369" s="811"/>
      <c r="C369" s="810" t="s">
        <v>1111</v>
      </c>
      <c r="D369" s="809"/>
      <c r="E369" s="809"/>
      <c r="F369" s="808" t="e">
        <f>F367-F368</f>
        <v>#REF!</v>
      </c>
      <c r="G369" s="808" t="e">
        <f>G367-G368</f>
        <v>#REF!</v>
      </c>
      <c r="H369" s="808" t="e">
        <f>H367-H368</f>
        <v>#REF!</v>
      </c>
      <c r="I369" s="808" t="e">
        <f>I367-I368</f>
        <v>#REF!</v>
      </c>
      <c r="J369" s="807" t="e">
        <f>J367-J368</f>
        <v>#REF!</v>
      </c>
    </row>
    <row r="370" spans="2:10" ht="15" thickBot="1" x14ac:dyDescent="0.4">
      <c r="B370" s="768"/>
      <c r="D370" s="718"/>
      <c r="E370" s="718"/>
      <c r="F370" s="806"/>
      <c r="G370" s="806"/>
      <c r="H370" s="806"/>
      <c r="I370" s="806"/>
      <c r="J370" s="805"/>
    </row>
    <row r="371" spans="2:10" ht="15" hidden="1" thickBot="1" x14ac:dyDescent="0.4">
      <c r="B371" s="768"/>
      <c r="D371" s="718"/>
      <c r="E371" s="718"/>
      <c r="F371" s="804" t="e">
        <f>F366+F369</f>
        <v>#REF!</v>
      </c>
      <c r="G371" s="804" t="e">
        <f>G366+G369</f>
        <v>#REF!</v>
      </c>
      <c r="H371" s="804" t="e">
        <f>H366+H369</f>
        <v>#REF!</v>
      </c>
      <c r="I371" s="804" t="e">
        <f>I366+I369</f>
        <v>#REF!</v>
      </c>
      <c r="J371" s="803" t="e">
        <f>J366+J369</f>
        <v>#REF!</v>
      </c>
    </row>
    <row r="372" spans="2:10" ht="15" hidden="1" thickBot="1" x14ac:dyDescent="0.4">
      <c r="B372" s="802"/>
      <c r="C372" s="801"/>
      <c r="D372" s="718"/>
      <c r="E372" s="718"/>
      <c r="J372" s="800"/>
    </row>
    <row r="373" spans="2:10" ht="15" hidden="1" thickBot="1" x14ac:dyDescent="0.4">
      <c r="B373" s="802"/>
      <c r="C373" s="801"/>
      <c r="J373" s="800"/>
    </row>
    <row r="374" spans="2:10" ht="15" hidden="1" thickBot="1" x14ac:dyDescent="0.4">
      <c r="B374" s="790"/>
      <c r="C374" s="788"/>
      <c r="D374" s="788"/>
      <c r="E374" s="788"/>
      <c r="F374" s="799"/>
      <c r="G374" s="799"/>
      <c r="H374" s="799"/>
      <c r="I374" s="799"/>
      <c r="J374" s="798"/>
    </row>
    <row r="375" spans="2:10" ht="15" hidden="1" thickBot="1" x14ac:dyDescent="0.4">
      <c r="B375" s="797"/>
      <c r="C375" s="796"/>
      <c r="D375" s="795"/>
      <c r="E375" s="795"/>
      <c r="F375" s="794" t="str">
        <f t="shared" ref="F375:J376" si="42">F3</f>
        <v>Audited</v>
      </c>
      <c r="G375" s="793" t="str">
        <f t="shared" si="42"/>
        <v>Audited</v>
      </c>
      <c r="H375" s="793" t="str">
        <f t="shared" si="42"/>
        <v>Audited</v>
      </c>
      <c r="I375" s="792" t="str">
        <f t="shared" si="42"/>
        <v>Protected</v>
      </c>
      <c r="J375" s="791" t="str">
        <f t="shared" si="42"/>
        <v>Projected</v>
      </c>
    </row>
    <row r="376" spans="2:10" ht="15" hidden="1" thickBot="1" x14ac:dyDescent="0.4">
      <c r="B376" s="790"/>
      <c r="C376" s="789" t="s">
        <v>251</v>
      </c>
      <c r="D376" s="788"/>
      <c r="E376" s="788"/>
      <c r="F376" s="745" t="str">
        <f t="shared" si="42"/>
        <v>2018-19</v>
      </c>
      <c r="G376" s="787" t="str">
        <f t="shared" si="42"/>
        <v>2019-20</v>
      </c>
      <c r="H376" s="787" t="str">
        <f t="shared" si="42"/>
        <v>2020-21</v>
      </c>
      <c r="I376" s="786" t="str">
        <f t="shared" si="42"/>
        <v>2021-22</v>
      </c>
      <c r="J376" s="744" t="str">
        <f t="shared" si="42"/>
        <v>2022-23</v>
      </c>
    </row>
    <row r="377" spans="2:10" x14ac:dyDescent="0.35">
      <c r="B377" s="785"/>
      <c r="C377" s="750" t="s">
        <v>1110</v>
      </c>
      <c r="D377" s="784"/>
      <c r="E377" s="784"/>
      <c r="F377" s="783"/>
      <c r="G377" s="783"/>
      <c r="H377" s="783"/>
      <c r="I377" s="783"/>
      <c r="J377" s="782"/>
    </row>
    <row r="378" spans="2:10" x14ac:dyDescent="0.35">
      <c r="B378" s="768">
        <v>1</v>
      </c>
      <c r="C378" s="781" t="s">
        <v>1109</v>
      </c>
      <c r="D378" s="780"/>
      <c r="E378" s="780"/>
      <c r="F378" s="779">
        <f>F23</f>
        <v>0</v>
      </c>
      <c r="G378" s="779">
        <f>G23</f>
        <v>-4.174101278864787E-2</v>
      </c>
      <c r="H378" s="779">
        <f>H23</f>
        <v>1.7360259008661289E-3</v>
      </c>
      <c r="I378" s="779" t="e">
        <f>I23</f>
        <v>#REF!</v>
      </c>
      <c r="J378" s="778" t="e">
        <f>J23</f>
        <v>#REF!</v>
      </c>
    </row>
    <row r="379" spans="2:10" x14ac:dyDescent="0.35">
      <c r="B379" s="768">
        <v>2</v>
      </c>
      <c r="C379" s="728" t="s">
        <v>1108</v>
      </c>
      <c r="D379" s="727"/>
      <c r="E379" s="727"/>
      <c r="F379" s="770">
        <f>IF(F22&gt;0,IF(F49&gt;0,F49/F22,0),0)</f>
        <v>5.7712933210347671E-2</v>
      </c>
      <c r="G379" s="770">
        <f>IF(G22&gt;0,IF(G49&gt;0,G49/G22,0),0)</f>
        <v>5.7677032148158114E-2</v>
      </c>
      <c r="H379" s="770">
        <f>IF(H22&gt;0,IF(H49&gt;0,H49/H22,0),0)</f>
        <v>1.4827815848240881E-2</v>
      </c>
      <c r="I379" s="770" t="e">
        <f>IF(I22&gt;0,IF(I49&gt;0,I49/I22,0),0)</f>
        <v>#REF!</v>
      </c>
      <c r="J379" s="769" t="e">
        <f>IF(J22&gt;0,IF(J49&gt;0,J49/J22,0),0)</f>
        <v>#REF!</v>
      </c>
    </row>
    <row r="380" spans="2:10" x14ac:dyDescent="0.35">
      <c r="B380" s="768">
        <v>3</v>
      </c>
      <c r="C380" s="728" t="s">
        <v>1107</v>
      </c>
      <c r="D380" s="727"/>
      <c r="E380" s="727"/>
      <c r="F380" s="777">
        <f t="shared" ref="F380:J385" si="43">F82</f>
        <v>466.77495530580023</v>
      </c>
      <c r="G380" s="777">
        <f t="shared" si="43"/>
        <v>469.6090947284074</v>
      </c>
      <c r="H380" s="777">
        <f t="shared" si="43"/>
        <v>195.56817316109053</v>
      </c>
      <c r="I380" s="777" t="e">
        <f t="shared" si="43"/>
        <v>#REF!</v>
      </c>
      <c r="J380" s="776" t="e">
        <f t="shared" si="43"/>
        <v>#REF!</v>
      </c>
    </row>
    <row r="381" spans="2:10" x14ac:dyDescent="0.35">
      <c r="B381" s="768">
        <v>4</v>
      </c>
      <c r="C381" s="728" t="s">
        <v>1106</v>
      </c>
      <c r="D381" s="727"/>
      <c r="E381" s="727"/>
      <c r="F381" s="770">
        <f t="shared" si="43"/>
        <v>6.3043986495061419E-2</v>
      </c>
      <c r="G381" s="770">
        <f t="shared" si="43"/>
        <v>5.4678824022721811E-2</v>
      </c>
      <c r="H381" s="770">
        <f t="shared" si="43"/>
        <v>2.4217008140109006E-2</v>
      </c>
      <c r="I381" s="770" t="e">
        <f t="shared" si="43"/>
        <v>#REF!</v>
      </c>
      <c r="J381" s="769" t="e">
        <f t="shared" si="43"/>
        <v>#REF!</v>
      </c>
    </row>
    <row r="382" spans="2:10" x14ac:dyDescent="0.35">
      <c r="B382" s="764">
        <v>5</v>
      </c>
      <c r="C382" s="728" t="s">
        <v>1105</v>
      </c>
      <c r="D382" s="727"/>
      <c r="E382" s="727"/>
      <c r="F382" s="770" t="str">
        <f t="shared" si="43"/>
        <v>-ve</v>
      </c>
      <c r="G382" s="770" t="str">
        <f t="shared" si="43"/>
        <v>-ve</v>
      </c>
      <c r="H382" s="770" t="str">
        <f t="shared" si="43"/>
        <v>-ve</v>
      </c>
      <c r="I382" s="770" t="e">
        <f t="shared" si="43"/>
        <v>#REF!</v>
      </c>
      <c r="J382" s="769" t="e">
        <f t="shared" si="43"/>
        <v>#REF!</v>
      </c>
    </row>
    <row r="383" spans="2:10" x14ac:dyDescent="0.35">
      <c r="B383" s="768">
        <v>6</v>
      </c>
      <c r="C383" s="728" t="s">
        <v>1104</v>
      </c>
      <c r="D383" s="727"/>
      <c r="E383" s="727"/>
      <c r="F383" s="770" t="str">
        <f t="shared" si="43"/>
        <v>-ve</v>
      </c>
      <c r="G383" s="770" t="str">
        <f t="shared" si="43"/>
        <v>-ve</v>
      </c>
      <c r="H383" s="770" t="str">
        <f t="shared" si="43"/>
        <v>-ve</v>
      </c>
      <c r="I383" s="770" t="e">
        <f t="shared" si="43"/>
        <v>#REF!</v>
      </c>
      <c r="J383" s="769" t="e">
        <f t="shared" si="43"/>
        <v>#REF!</v>
      </c>
    </row>
    <row r="384" spans="2:10" x14ac:dyDescent="0.35">
      <c r="B384" s="764">
        <v>7</v>
      </c>
      <c r="C384" s="773" t="s">
        <v>1103</v>
      </c>
      <c r="D384" s="727"/>
      <c r="E384" s="727"/>
      <c r="F384" s="770" t="str">
        <f t="shared" si="43"/>
        <v>-ve</v>
      </c>
      <c r="G384" s="770" t="str">
        <f t="shared" si="43"/>
        <v>-ve</v>
      </c>
      <c r="H384" s="770" t="str">
        <f t="shared" si="43"/>
        <v>-ve</v>
      </c>
      <c r="I384" s="770" t="e">
        <f t="shared" si="43"/>
        <v>#REF!</v>
      </c>
      <c r="J384" s="769" t="e">
        <f t="shared" si="43"/>
        <v>#REF!</v>
      </c>
    </row>
    <row r="385" spans="2:10" x14ac:dyDescent="0.35">
      <c r="B385" s="768">
        <v>8</v>
      </c>
      <c r="C385" s="728" t="s">
        <v>1102</v>
      </c>
      <c r="D385" s="727"/>
      <c r="E385" s="727"/>
      <c r="F385" s="770">
        <f t="shared" si="43"/>
        <v>1.7184937390246395E-2</v>
      </c>
      <c r="G385" s="770">
        <f t="shared" si="43"/>
        <v>9.9869710673848658E-3</v>
      </c>
      <c r="H385" s="770" t="str">
        <f t="shared" si="43"/>
        <v>-ve</v>
      </c>
      <c r="I385" s="770" t="e">
        <f t="shared" si="43"/>
        <v>#REF!</v>
      </c>
      <c r="J385" s="769" t="e">
        <f t="shared" si="43"/>
        <v>#REF!</v>
      </c>
    </row>
    <row r="386" spans="2:10" x14ac:dyDescent="0.35">
      <c r="B386" s="764">
        <v>9</v>
      </c>
      <c r="C386" s="728" t="s">
        <v>1101</v>
      </c>
      <c r="D386" s="727"/>
      <c r="E386" s="727"/>
      <c r="F386" s="775">
        <f>IF(F213&gt;0,F22/F213,0)</f>
        <v>2.0462067298579467</v>
      </c>
      <c r="G386" s="775">
        <f>IF(G213&gt;0,G22/G213,0)</f>
        <v>2.0516384290645511</v>
      </c>
      <c r="H386" s="775">
        <f>IF(H213&gt;0,H22/H213,0)</f>
        <v>2.2741876721225371</v>
      </c>
      <c r="I386" s="775" t="e">
        <f>IF(I213&gt;0,I22/I213,0)</f>
        <v>#REF!</v>
      </c>
      <c r="J386" s="774">
        <f>IF(J213&gt;0,J22/J213,0)</f>
        <v>0.7664649219295292</v>
      </c>
    </row>
    <row r="387" spans="2:10" x14ac:dyDescent="0.35">
      <c r="B387" s="768">
        <v>10</v>
      </c>
      <c r="C387" s="728" t="s">
        <v>1100</v>
      </c>
      <c r="D387" s="727"/>
      <c r="E387" s="727"/>
      <c r="F387" s="775">
        <f>IF((F211-F210)&gt;0,F22/(F211-F210),0)</f>
        <v>0.4836582894733486</v>
      </c>
      <c r="G387" s="775">
        <f>IF((G211-G210)&gt;0,G22/(G211-G210),0)</f>
        <v>0.47387794516355669</v>
      </c>
      <c r="H387" s="775">
        <f>IF((H211-H210)&gt;0,H22/(H211-H210),0)</f>
        <v>0.48893641901818313</v>
      </c>
      <c r="I387" s="775" t="e">
        <f>IF((I211-I210)&gt;0,I22/(I211-I210),0)</f>
        <v>#REF!</v>
      </c>
      <c r="J387" s="774">
        <f>IF((J211-J210)&gt;0,J22/(J211-J210),0)</f>
        <v>0.49435531053682935</v>
      </c>
    </row>
    <row r="388" spans="2:10" x14ac:dyDescent="0.35">
      <c r="B388" s="764">
        <v>11</v>
      </c>
      <c r="C388" s="1828" t="s">
        <v>1099</v>
      </c>
      <c r="D388" s="1829"/>
      <c r="E388" s="763"/>
      <c r="F388" s="770">
        <f>IF(F59&gt;0,F58/F54,0)</f>
        <v>0</v>
      </c>
      <c r="G388" s="770">
        <f>IF(G59&gt;0,G58/G54,0)</f>
        <v>0</v>
      </c>
      <c r="H388" s="770">
        <f>IF(H59&gt;0,H58/H54,0)</f>
        <v>0</v>
      </c>
      <c r="I388" s="770" t="e">
        <f>IF(I59&gt;0,I58/I54,0)</f>
        <v>#REF!</v>
      </c>
      <c r="J388" s="769" t="e">
        <f>IF(J59&gt;0,J58/J54,0)</f>
        <v>#REF!</v>
      </c>
    </row>
    <row r="389" spans="2:10" x14ac:dyDescent="0.35">
      <c r="B389" s="768">
        <v>12</v>
      </c>
      <c r="C389" s="773" t="s">
        <v>1098</v>
      </c>
      <c r="D389" s="727"/>
      <c r="E389" s="727"/>
      <c r="F389" s="775">
        <f>IF(F58&gt;0,(F74+F69+F58+F33)/F58,0)</f>
        <v>1.3650784862508556</v>
      </c>
      <c r="G389" s="775">
        <f>IF(G58&gt;0,(G74+G69+G58+G33)/G58,0)</f>
        <v>1.415724338249069</v>
      </c>
      <c r="H389" s="775">
        <f>IF(H58&gt;0,(H74+H69+H58+H33)/H58,0)</f>
        <v>0.6156612937550956</v>
      </c>
      <c r="I389" s="775" t="e">
        <f>IF(I58&gt;0,(I74+I69+I58+I33)/I58,0)</f>
        <v>#REF!</v>
      </c>
      <c r="J389" s="774" t="e">
        <f>IF(J58&gt;0,(J74+J69+J58+J33)/J58,0)</f>
        <v>#REF!</v>
      </c>
    </row>
    <row r="390" spans="2:10" x14ac:dyDescent="0.35">
      <c r="B390" s="764">
        <v>13</v>
      </c>
      <c r="C390" s="728" t="s">
        <v>1097</v>
      </c>
      <c r="D390" s="727"/>
      <c r="E390" s="727"/>
      <c r="F390" s="775" t="e">
        <f>IF(F213&gt;0,F140/F213,0)</f>
        <v>#REF!</v>
      </c>
      <c r="G390" s="775" t="e">
        <f>IF(G213&gt;0,G140/G213,0)</f>
        <v>#REF!</v>
      </c>
      <c r="H390" s="775" t="e">
        <f>IF(H213&gt;0,H140/H213,0)</f>
        <v>#REF!</v>
      </c>
      <c r="I390" s="775" t="e">
        <f>IF(I213&gt;0,I140/I213,0)</f>
        <v>#REF!</v>
      </c>
      <c r="J390" s="774" t="e">
        <f>IF(J213&gt;0,J140/J213,0)</f>
        <v>#REF!</v>
      </c>
    </row>
    <row r="391" spans="2:10" x14ac:dyDescent="0.35">
      <c r="B391" s="768">
        <v>14</v>
      </c>
      <c r="C391" s="773" t="s">
        <v>1096</v>
      </c>
      <c r="D391" s="727"/>
      <c r="E391" s="727"/>
      <c r="F391" s="775" t="e">
        <f>IF(F213&gt;0,F141/F213,0)</f>
        <v>#REF!</v>
      </c>
      <c r="G391" s="775" t="e">
        <f>IF(G213&gt;0,G141/G213,0)</f>
        <v>#REF!</v>
      </c>
      <c r="H391" s="775" t="e">
        <f>IF(H213&gt;0,H141/H213,0)</f>
        <v>#REF!</v>
      </c>
      <c r="I391" s="775" t="e">
        <f>IF(I213&gt;0,I141/I213,0)</f>
        <v>#REF!</v>
      </c>
      <c r="J391" s="774" t="e">
        <f>IF(J213&gt;0,J141/J213,0)</f>
        <v>#REF!</v>
      </c>
    </row>
    <row r="392" spans="2:10" x14ac:dyDescent="0.35">
      <c r="B392" s="764">
        <v>15</v>
      </c>
      <c r="C392" s="773" t="s">
        <v>1095</v>
      </c>
      <c r="D392" s="727"/>
      <c r="E392" s="727"/>
      <c r="F392" s="772" t="e">
        <f>IF(F125&gt;0,F186/F125,0)</f>
        <v>#REF!</v>
      </c>
      <c r="G392" s="772" t="e">
        <f>IF(G125&gt;0,G186/G125,0)</f>
        <v>#REF!</v>
      </c>
      <c r="H392" s="772" t="e">
        <f>IF(H125&gt;0,H186/H125,0)</f>
        <v>#REF!</v>
      </c>
      <c r="I392" s="772" t="e">
        <f>IF(I125&gt;0,I186/I125,0)</f>
        <v>#REF!</v>
      </c>
      <c r="J392" s="771" t="e">
        <f>IF(J125&gt;0,J186/J125,0)</f>
        <v>#REF!</v>
      </c>
    </row>
    <row r="393" spans="2:10" x14ac:dyDescent="0.35">
      <c r="B393" s="768">
        <v>16</v>
      </c>
      <c r="C393" s="1818" t="s">
        <v>1094</v>
      </c>
      <c r="D393" s="1829"/>
      <c r="E393" s="763"/>
      <c r="F393" s="772" t="e">
        <f>IF(F125&gt;0,F186/(F125-F118),0)</f>
        <v>#REF!</v>
      </c>
      <c r="G393" s="772" t="e">
        <f>IF(G125&gt;0,G186/(G125-G118),0)</f>
        <v>#REF!</v>
      </c>
      <c r="H393" s="772" t="e">
        <f>IF(H125&gt;0,H186/(H125-H118),0)</f>
        <v>#REF!</v>
      </c>
      <c r="I393" s="772" t="e">
        <f>IF(I125&gt;0,I186/(I125-I118),0)</f>
        <v>#REF!</v>
      </c>
      <c r="J393" s="771" t="e">
        <f>IF(J125&gt;0,J186/(J125-J118),0)</f>
        <v>#REF!</v>
      </c>
    </row>
    <row r="394" spans="2:10" x14ac:dyDescent="0.35">
      <c r="B394" s="764">
        <v>17</v>
      </c>
      <c r="C394" s="728" t="s">
        <v>1093</v>
      </c>
      <c r="D394" s="727"/>
      <c r="E394" s="727"/>
      <c r="F394" s="770">
        <f>IF((F211-F210)&gt;0,F186/(F211-F210),0)</f>
        <v>0.46723380296185973</v>
      </c>
      <c r="G394" s="770">
        <f>IF((G211-G210)&gt;0,G186/(G211-G210),0)</f>
        <v>0.26895088866664896</v>
      </c>
      <c r="H394" s="770">
        <f>IF((H211-H210)&gt;0,H186/(H211-H210),0)</f>
        <v>0.25687312364860981</v>
      </c>
      <c r="I394" s="770" t="e">
        <f>IF((I211-I210)&gt;0,I186/(I211-I210),0)</f>
        <v>#REF!</v>
      </c>
      <c r="J394" s="769">
        <f>IF((J211-J210)&gt;0,J186/(J211-J210),0)</f>
        <v>0.27756933298354514</v>
      </c>
    </row>
    <row r="395" spans="2:10" x14ac:dyDescent="0.35">
      <c r="B395" s="768">
        <v>18</v>
      </c>
      <c r="C395" s="1830" t="s">
        <v>1092</v>
      </c>
      <c r="D395" s="1831"/>
      <c r="E395" s="767"/>
      <c r="F395" s="766">
        <f>F231</f>
        <v>155.64203458808743</v>
      </c>
      <c r="G395" s="766">
        <f>G231</f>
        <v>157.69502557226997</v>
      </c>
      <c r="H395" s="766">
        <f>H231</f>
        <v>150.62745401834232</v>
      </c>
      <c r="I395" s="766" t="e">
        <f>I231</f>
        <v>#REF!</v>
      </c>
      <c r="J395" s="765">
        <f>J231</f>
        <v>165.28794003054554</v>
      </c>
    </row>
    <row r="396" spans="2:10" x14ac:dyDescent="0.35">
      <c r="B396" s="764">
        <v>19</v>
      </c>
      <c r="C396" s="1818" t="s">
        <v>1091</v>
      </c>
      <c r="D396" s="1829"/>
      <c r="E396" s="763"/>
      <c r="F396" s="762">
        <f>IF(F186&gt;0,F109/F186,0)</f>
        <v>0</v>
      </c>
      <c r="G396" s="762">
        <f>IF(G186&gt;0,G109/G186,0)</f>
        <v>0</v>
      </c>
      <c r="H396" s="762">
        <f>IF(H186&gt;0,H109/H186,0)</f>
        <v>0</v>
      </c>
      <c r="I396" s="762" t="e">
        <f>IF(I186&gt;0,I109/I186,0)</f>
        <v>#REF!</v>
      </c>
      <c r="J396" s="761">
        <f>IF(J186&gt;0,J109/J186,0)</f>
        <v>0</v>
      </c>
    </row>
    <row r="397" spans="2:10" x14ac:dyDescent="0.35">
      <c r="B397" s="764">
        <v>20</v>
      </c>
      <c r="C397" s="1818" t="s">
        <v>1090</v>
      </c>
      <c r="D397" s="1829"/>
      <c r="E397" s="763"/>
      <c r="F397" s="762">
        <f>IF((F22+(F43-F41)+(F47-F45))&gt;0,SUM(F25:F28)/(F22+(F43-F41)+(F47-F45)),0)</f>
        <v>0.82475100102030652</v>
      </c>
      <c r="G397" s="762">
        <f>IF((G22+(G43-G41)+(G47-G45))&gt;0,SUM(G25:G28)/(G22+(G43-G41)+(G47-G45)),0)</f>
        <v>0.8106083604419505</v>
      </c>
      <c r="H397" s="762">
        <f>IF((H22+(H43-H41)+(H47-H45))&gt;0,SUM(H25:H28)/(H22+(H43-H41)+(H47-H45)),0)</f>
        <v>0.81561287955271122</v>
      </c>
      <c r="I397" s="762" t="e">
        <f>IF((I22+(I43-I41)+(I47-I45))&gt;0,SUM(I25:I28)/(I22+(I43-I41)+(I47-I45)),0)</f>
        <v>#REF!</v>
      </c>
      <c r="J397" s="761" t="e">
        <f>IF((J22+(J43-J41)+(J47-J45))&gt;0,SUM(J25:J28)/(J22+(J43-J41)+(J47-J45)),0)</f>
        <v>#REF!</v>
      </c>
    </row>
    <row r="398" spans="2:10" ht="15" thickBot="1" x14ac:dyDescent="0.4">
      <c r="B398" s="760">
        <v>21</v>
      </c>
      <c r="C398" s="1832" t="s">
        <v>1061</v>
      </c>
      <c r="D398" s="1833"/>
      <c r="E398" s="759"/>
      <c r="F398" s="758">
        <f>F230</f>
        <v>3.0491746669782296E-2</v>
      </c>
      <c r="G398" s="758">
        <f>G230</f>
        <v>2.591108877184713E-2</v>
      </c>
      <c r="H398" s="758">
        <f>H230</f>
        <v>1.1840577239359086E-2</v>
      </c>
      <c r="I398" s="758" t="e">
        <f>I230</f>
        <v>#REF!</v>
      </c>
      <c r="J398" s="757" t="e">
        <f>J230</f>
        <v>#REF!</v>
      </c>
    </row>
    <row r="399" spans="2:10" x14ac:dyDescent="0.35">
      <c r="B399" s="756"/>
      <c r="C399" s="755"/>
      <c r="D399" s="755"/>
      <c r="E399" s="755"/>
      <c r="F399" s="716"/>
      <c r="G399" s="716"/>
      <c r="H399" s="716"/>
      <c r="I399" s="716"/>
    </row>
    <row r="400" spans="2:10" hidden="1" x14ac:dyDescent="0.35">
      <c r="B400" s="754"/>
    </row>
    <row r="401" spans="2:10" ht="15" thickBot="1" x14ac:dyDescent="0.4">
      <c r="B401" s="754"/>
    </row>
    <row r="402" spans="2:10" x14ac:dyDescent="0.35">
      <c r="B402" s="753"/>
      <c r="C402" s="752" t="s">
        <v>1089</v>
      </c>
      <c r="D402" s="751"/>
      <c r="E402" s="750"/>
      <c r="F402" s="749"/>
      <c r="G402" s="749"/>
      <c r="H402" s="749"/>
      <c r="I402" s="749"/>
      <c r="J402" s="748"/>
    </row>
    <row r="403" spans="2:10" hidden="1" x14ac:dyDescent="0.35">
      <c r="B403" s="729"/>
      <c r="C403" s="1820"/>
      <c r="D403" s="1821"/>
      <c r="E403" s="727"/>
      <c r="F403" s="747" t="str">
        <f t="shared" ref="F403:J404" si="44">F375</f>
        <v>Audited</v>
      </c>
      <c r="G403" s="747" t="str">
        <f t="shared" si="44"/>
        <v>Audited</v>
      </c>
      <c r="H403" s="747" t="str">
        <f t="shared" si="44"/>
        <v>Audited</v>
      </c>
      <c r="I403" s="747" t="str">
        <f t="shared" si="44"/>
        <v>Protected</v>
      </c>
      <c r="J403" s="746" t="str">
        <f t="shared" si="44"/>
        <v>Projected</v>
      </c>
    </row>
    <row r="404" spans="2:10" ht="15" hidden="1" thickBot="1" x14ac:dyDescent="0.4">
      <c r="B404" s="724"/>
      <c r="C404" s="1822"/>
      <c r="D404" s="1823"/>
      <c r="E404" s="722"/>
      <c r="F404" s="745" t="str">
        <f t="shared" si="44"/>
        <v>2018-19</v>
      </c>
      <c r="G404" s="745" t="str">
        <f t="shared" si="44"/>
        <v>2019-20</v>
      </c>
      <c r="H404" s="745" t="str">
        <f t="shared" si="44"/>
        <v>2020-21</v>
      </c>
      <c r="I404" s="745" t="str">
        <f t="shared" si="44"/>
        <v>2021-22</v>
      </c>
      <c r="J404" s="744" t="str">
        <f t="shared" si="44"/>
        <v>2022-23</v>
      </c>
    </row>
    <row r="405" spans="2:10" x14ac:dyDescent="0.35">
      <c r="B405" s="729"/>
      <c r="C405" s="1818" t="s">
        <v>1088</v>
      </c>
      <c r="D405" s="1819"/>
      <c r="E405" s="727"/>
      <c r="F405" s="743">
        <f>F22</f>
        <v>6967.4362255028</v>
      </c>
      <c r="G405" s="743">
        <f>G22</f>
        <v>6676.6083809099991</v>
      </c>
      <c r="H405" s="743">
        <f>H22</f>
        <v>6688.1991459891988</v>
      </c>
      <c r="I405" s="743" t="e">
        <f>I22</f>
        <v>#REF!</v>
      </c>
      <c r="J405" s="742">
        <f>J22</f>
        <v>6633.9478780913587</v>
      </c>
    </row>
    <row r="406" spans="2:10" x14ac:dyDescent="0.35">
      <c r="B406" s="729"/>
      <c r="C406" s="1818" t="s">
        <v>1087</v>
      </c>
      <c r="D406" s="1819"/>
      <c r="E406" s="727"/>
      <c r="F406" s="741">
        <f>F59</f>
        <v>-66.335044694199723</v>
      </c>
      <c r="G406" s="741">
        <f>G59</f>
        <v>-47.014548955592545</v>
      </c>
      <c r="H406" s="741">
        <f>H59</f>
        <v>-282.67506465390949</v>
      </c>
      <c r="I406" s="741" t="e">
        <f>I59</f>
        <v>#REF!</v>
      </c>
      <c r="J406" s="740" t="e">
        <f>J59</f>
        <v>#REF!</v>
      </c>
    </row>
    <row r="407" spans="2:10" x14ac:dyDescent="0.35">
      <c r="B407" s="729"/>
      <c r="C407" s="1818" t="s">
        <v>1086</v>
      </c>
      <c r="D407" s="1819"/>
      <c r="E407" s="727"/>
      <c r="F407" s="739">
        <f>F73</f>
        <v>-27.520000000000007</v>
      </c>
      <c r="G407" s="739">
        <f>G73</f>
        <v>-104.53999999999999</v>
      </c>
      <c r="H407" s="739">
        <f>H73</f>
        <v>-33.599999999999994</v>
      </c>
      <c r="I407" s="739" t="e">
        <f>I73</f>
        <v>#REF!</v>
      </c>
      <c r="J407" s="738">
        <f>J73</f>
        <v>0</v>
      </c>
    </row>
    <row r="408" spans="2:10" x14ac:dyDescent="0.35">
      <c r="B408" s="729"/>
      <c r="C408" s="1818" t="s">
        <v>1085</v>
      </c>
      <c r="D408" s="1819"/>
      <c r="E408" s="727"/>
      <c r="F408" s="726">
        <f>F381</f>
        <v>6.3043986495061419E-2</v>
      </c>
      <c r="G408" s="726">
        <f>G381</f>
        <v>5.4678824022721811E-2</v>
      </c>
      <c r="H408" s="726">
        <f>H381</f>
        <v>2.4217008140109006E-2</v>
      </c>
      <c r="I408" s="726" t="e">
        <f>I381</f>
        <v>#REF!</v>
      </c>
      <c r="J408" s="725" t="e">
        <f>J381</f>
        <v>#REF!</v>
      </c>
    </row>
    <row r="409" spans="2:10" x14ac:dyDescent="0.35">
      <c r="B409" s="729"/>
      <c r="C409" s="1818" t="s">
        <v>1084</v>
      </c>
      <c r="D409" s="1819"/>
      <c r="E409" s="727"/>
      <c r="F409" s="726" t="str">
        <f>F85</f>
        <v>-ve</v>
      </c>
      <c r="G409" s="726" t="str">
        <f>G85</f>
        <v>-ve</v>
      </c>
      <c r="H409" s="726" t="str">
        <f>H85</f>
        <v>-ve</v>
      </c>
      <c r="I409" s="726" t="e">
        <f>I85</f>
        <v>#REF!</v>
      </c>
      <c r="J409" s="725" t="e">
        <f>J85</f>
        <v>#REF!</v>
      </c>
    </row>
    <row r="410" spans="2:10" x14ac:dyDescent="0.35">
      <c r="B410" s="729"/>
      <c r="C410" s="1818" t="s">
        <v>250</v>
      </c>
      <c r="D410" s="1819"/>
      <c r="E410" s="727"/>
      <c r="F410" s="737">
        <f>F76</f>
        <v>-91.595044694199728</v>
      </c>
      <c r="G410" s="737">
        <f>G76</f>
        <v>-149.19454895559252</v>
      </c>
      <c r="H410" s="737">
        <f>H76</f>
        <v>-313.19506465390947</v>
      </c>
      <c r="I410" s="737" t="e">
        <f>I76</f>
        <v>#REF!</v>
      </c>
      <c r="J410" s="736" t="e">
        <f>J76</f>
        <v>#REF!</v>
      </c>
    </row>
    <row r="411" spans="2:10" x14ac:dyDescent="0.35">
      <c r="B411" s="729"/>
      <c r="C411" s="1818" t="s">
        <v>1083</v>
      </c>
      <c r="D411" s="1819"/>
      <c r="E411" s="727"/>
      <c r="F411" s="726" t="str">
        <f>IF(F405&gt;0,IF(F410&lt;0,"-ve",F410/F405),0)</f>
        <v>-ve</v>
      </c>
      <c r="G411" s="726" t="str">
        <f>IF(G405&gt;0,IF(G410&lt;0,"-ve",G410/G405),0)</f>
        <v>-ve</v>
      </c>
      <c r="H411" s="726" t="str">
        <f>IF(H405&gt;0,IF(H410&lt;0,"-ve",H410/H405),0)</f>
        <v>-ve</v>
      </c>
      <c r="I411" s="726" t="e">
        <f>IF(I405&gt;0,IF(I410&lt;0,"-ve",I410/I405),0)</f>
        <v>#REF!</v>
      </c>
      <c r="J411" s="725" t="e">
        <f>IF(J405&gt;0,IF(J410&lt;0,"-ve",J410/J405),0)</f>
        <v>#REF!</v>
      </c>
    </row>
    <row r="412" spans="2:10" x14ac:dyDescent="0.35">
      <c r="B412" s="729"/>
      <c r="C412" s="1818" t="s">
        <v>1082</v>
      </c>
      <c r="D412" s="1819"/>
      <c r="E412" s="727"/>
      <c r="F412" s="737">
        <f>F77</f>
        <v>119.73495530580027</v>
      </c>
      <c r="G412" s="737">
        <f>G77</f>
        <v>66.679094728407478</v>
      </c>
      <c r="H412" s="737">
        <f>H77</f>
        <v>-98.031826838909467</v>
      </c>
      <c r="I412" s="737" t="e">
        <f>I77</f>
        <v>#REF!</v>
      </c>
      <c r="J412" s="736" t="e">
        <f>J77</f>
        <v>#REF!</v>
      </c>
    </row>
    <row r="413" spans="2:10" x14ac:dyDescent="0.35">
      <c r="B413" s="729"/>
      <c r="C413" s="1818" t="s">
        <v>1081</v>
      </c>
      <c r="D413" s="1819"/>
      <c r="E413" s="727"/>
      <c r="F413" s="726">
        <f>F385</f>
        <v>1.7184937390246395E-2</v>
      </c>
      <c r="G413" s="726">
        <f>G385</f>
        <v>9.9869710673848658E-3</v>
      </c>
      <c r="H413" s="726" t="str">
        <f>H385</f>
        <v>-ve</v>
      </c>
      <c r="I413" s="726" t="e">
        <f>I385</f>
        <v>#REF!</v>
      </c>
      <c r="J413" s="725" t="e">
        <f>J385</f>
        <v>#REF!</v>
      </c>
    </row>
    <row r="414" spans="2:10" x14ac:dyDescent="0.35">
      <c r="B414" s="729"/>
      <c r="C414" s="1818" t="s">
        <v>1080</v>
      </c>
      <c r="D414" s="1819"/>
      <c r="E414" s="727"/>
      <c r="F414" s="737">
        <f>F143</f>
        <v>110.07</v>
      </c>
      <c r="G414" s="737">
        <f>G143</f>
        <v>110.07</v>
      </c>
      <c r="H414" s="737">
        <f>H143</f>
        <v>110.07</v>
      </c>
      <c r="I414" s="737" t="e">
        <f>I143</f>
        <v>#REF!</v>
      </c>
      <c r="J414" s="736">
        <f>J143</f>
        <v>1568.2787370000001</v>
      </c>
    </row>
    <row r="415" spans="2:10" x14ac:dyDescent="0.35">
      <c r="B415" s="729"/>
      <c r="C415" s="1818" t="s">
        <v>1079</v>
      </c>
      <c r="D415" s="1819"/>
      <c r="E415" s="727"/>
      <c r="F415" s="737">
        <f>F213</f>
        <v>3405.0499999999993</v>
      </c>
      <c r="G415" s="737">
        <f>G213</f>
        <v>3254.2812058527352</v>
      </c>
      <c r="H415" s="737">
        <f>H213</f>
        <v>2940.9178617818252</v>
      </c>
      <c r="I415" s="737" t="e">
        <f>I213</f>
        <v>#REF!</v>
      </c>
      <c r="J415" s="736">
        <f>J213</f>
        <v>8655.2530824121677</v>
      </c>
    </row>
    <row r="416" spans="2:10" x14ac:dyDescent="0.35">
      <c r="B416" s="729"/>
      <c r="C416" s="728" t="s">
        <v>1078</v>
      </c>
      <c r="D416" s="727"/>
      <c r="E416" s="727"/>
      <c r="F416" s="737">
        <f>F415-F194</f>
        <v>3307.7099999999991</v>
      </c>
      <c r="G416" s="737">
        <f>G415-G194</f>
        <v>3161.941205852735</v>
      </c>
      <c r="H416" s="737">
        <f>H415-H194</f>
        <v>2848.577861781825</v>
      </c>
      <c r="I416" s="737" t="e">
        <f>I415-I194</f>
        <v>#REF!</v>
      </c>
      <c r="J416" s="736">
        <f>J415-J194</f>
        <v>8562.9130824121676</v>
      </c>
    </row>
    <row r="417" spans="2:10" x14ac:dyDescent="0.35">
      <c r="B417" s="729"/>
      <c r="C417" s="1818" t="s">
        <v>1062</v>
      </c>
      <c r="D417" s="1819"/>
      <c r="E417" s="727"/>
      <c r="F417" s="737" t="e">
        <f>F391</f>
        <v>#REF!</v>
      </c>
      <c r="G417" s="737" t="e">
        <f>G391</f>
        <v>#REF!</v>
      </c>
      <c r="H417" s="737" t="e">
        <f>H391</f>
        <v>#REF!</v>
      </c>
      <c r="I417" s="737" t="e">
        <f>I391</f>
        <v>#REF!</v>
      </c>
      <c r="J417" s="736" t="e">
        <f>J391</f>
        <v>#REF!</v>
      </c>
    </row>
    <row r="418" spans="2:10" x14ac:dyDescent="0.35">
      <c r="B418" s="729"/>
      <c r="C418" s="728" t="s">
        <v>1077</v>
      </c>
      <c r="D418" s="727"/>
      <c r="E418" s="727"/>
      <c r="F418" s="737" t="e">
        <f>IF(F416&gt;0,F141/F416,0)</f>
        <v>#REF!</v>
      </c>
      <c r="G418" s="737" t="e">
        <f>IF(G416&gt;0,G141/G416,0)</f>
        <v>#REF!</v>
      </c>
      <c r="H418" s="737" t="e">
        <f>IF(H416&gt;0,H141/H416,0)</f>
        <v>#REF!</v>
      </c>
      <c r="I418" s="737" t="e">
        <f>IF(I416&gt;0,I141/I416,0)</f>
        <v>#REF!</v>
      </c>
      <c r="J418" s="736" t="e">
        <f>IF(J416&gt;0,J141/J416,0)</f>
        <v>#REF!</v>
      </c>
    </row>
    <row r="419" spans="2:10" x14ac:dyDescent="0.35">
      <c r="B419" s="729"/>
      <c r="C419" s="1818" t="s">
        <v>1076</v>
      </c>
      <c r="D419" s="1819"/>
      <c r="E419" s="727"/>
      <c r="F419" s="737" t="e">
        <f t="shared" ref="F419:J420" si="45">F392</f>
        <v>#REF!</v>
      </c>
      <c r="G419" s="737" t="e">
        <f t="shared" si="45"/>
        <v>#REF!</v>
      </c>
      <c r="H419" s="737" t="e">
        <f t="shared" si="45"/>
        <v>#REF!</v>
      </c>
      <c r="I419" s="737" t="e">
        <f t="shared" si="45"/>
        <v>#REF!</v>
      </c>
      <c r="J419" s="736" t="e">
        <f t="shared" si="45"/>
        <v>#REF!</v>
      </c>
    </row>
    <row r="420" spans="2:10" x14ac:dyDescent="0.35">
      <c r="B420" s="729"/>
      <c r="C420" s="1818" t="s">
        <v>1075</v>
      </c>
      <c r="D420" s="1819"/>
      <c r="E420" s="727"/>
      <c r="F420" s="737" t="e">
        <f t="shared" si="45"/>
        <v>#REF!</v>
      </c>
      <c r="G420" s="737" t="e">
        <f t="shared" si="45"/>
        <v>#REF!</v>
      </c>
      <c r="H420" s="737" t="e">
        <f t="shared" si="45"/>
        <v>#REF!</v>
      </c>
      <c r="I420" s="737" t="e">
        <f t="shared" si="45"/>
        <v>#REF!</v>
      </c>
      <c r="J420" s="736" t="e">
        <f t="shared" si="45"/>
        <v>#REF!</v>
      </c>
    </row>
    <row r="421" spans="2:10" x14ac:dyDescent="0.35">
      <c r="B421" s="729"/>
      <c r="C421" s="728" t="s">
        <v>1074</v>
      </c>
      <c r="D421" s="727"/>
      <c r="E421" s="727"/>
      <c r="F421" s="737" t="e">
        <f>F214</f>
        <v>#REF!</v>
      </c>
      <c r="G421" s="737" t="e">
        <f>G214</f>
        <v>#REF!</v>
      </c>
      <c r="H421" s="737" t="e">
        <f>H214</f>
        <v>#REF!</v>
      </c>
      <c r="I421" s="737" t="e">
        <f>I214</f>
        <v>#REF!</v>
      </c>
      <c r="J421" s="736" t="e">
        <f>J214</f>
        <v>#REF!</v>
      </c>
    </row>
    <row r="422" spans="2:10" x14ac:dyDescent="0.35">
      <c r="B422" s="729"/>
      <c r="C422" s="728" t="s">
        <v>1073</v>
      </c>
      <c r="D422" s="727"/>
      <c r="E422" s="727"/>
      <c r="F422" s="737" t="e">
        <f>(F214+F118)</f>
        <v>#REF!</v>
      </c>
      <c r="G422" s="737" t="e">
        <f>(G214+G118)</f>
        <v>#REF!</v>
      </c>
      <c r="H422" s="737" t="e">
        <f>(H214+H118)</f>
        <v>#REF!</v>
      </c>
      <c r="I422" s="737" t="e">
        <f>(I214+I118)</f>
        <v>#REF!</v>
      </c>
      <c r="J422" s="736" t="e">
        <f>(J214+J118)</f>
        <v>#REF!</v>
      </c>
    </row>
    <row r="423" spans="2:10" x14ac:dyDescent="0.35">
      <c r="B423" s="729"/>
      <c r="C423" s="1818" t="s">
        <v>1072</v>
      </c>
      <c r="D423" s="1819"/>
      <c r="E423" s="727"/>
      <c r="F423" s="737">
        <f>F387</f>
        <v>0.4836582894733486</v>
      </c>
      <c r="G423" s="737">
        <f>G387</f>
        <v>0.47387794516355669</v>
      </c>
      <c r="H423" s="737">
        <f>H387</f>
        <v>0.48893641901818313</v>
      </c>
      <c r="I423" s="737" t="e">
        <f>I387</f>
        <v>#REF!</v>
      </c>
      <c r="J423" s="736">
        <f>J387</f>
        <v>0.49435531053682935</v>
      </c>
    </row>
    <row r="424" spans="2:10" x14ac:dyDescent="0.35">
      <c r="B424" s="729"/>
      <c r="C424" s="1818" t="s">
        <v>1071</v>
      </c>
      <c r="D424" s="1819"/>
      <c r="E424" s="727"/>
      <c r="F424" s="735" t="str">
        <f>IF(F22&gt;0,IF(F74&gt;0,IF((F211-F210)&gt;0,F74/(F211-F210),0),"-ve"),0)</f>
        <v>-ve</v>
      </c>
      <c r="G424" s="735" t="str">
        <f>IF(G22&gt;0,IF(G74&gt;0,IF((G211-G210)&gt;0,G74/(G211-G210),0),"-ve"),0)</f>
        <v>-ve</v>
      </c>
      <c r="H424" s="735" t="str">
        <f>IF(H22&gt;0,IF(H74&gt;0,IF((H211-H210)&gt;0,H74/(H211-H210),0),"-ve"),0)</f>
        <v>-ve</v>
      </c>
      <c r="I424" s="735" t="e">
        <f>IF(I22&gt;0,IF(I74&gt;0,IF((I211-I210)&gt;0,I74/(I211-I210),0),"-ve"),0)</f>
        <v>#REF!</v>
      </c>
      <c r="J424" s="734" t="e">
        <f>IF(J22&gt;0,IF(J74&gt;0,IF((J211-J210)&gt;0,J74/(J211-J210),0),"-ve"),0)</f>
        <v>#REF!</v>
      </c>
    </row>
    <row r="425" spans="2:10" x14ac:dyDescent="0.35">
      <c r="B425" s="729"/>
      <c r="C425" s="1818" t="s">
        <v>1070</v>
      </c>
      <c r="D425" s="1819"/>
      <c r="E425" s="727"/>
      <c r="F425" s="726">
        <f>IF(F22&gt;0,(F53+F58)/F22,0)</f>
        <v>1.0095207250625982</v>
      </c>
      <c r="G425" s="726">
        <f>IF(G22&gt;0,(G53+G58)/G22,0)</f>
        <v>1.0070416813857195</v>
      </c>
      <c r="H425" s="726">
        <f>IF(H22&gt;0,(H53+H58)/H22,0)</f>
        <v>1.0422647499698667</v>
      </c>
      <c r="I425" s="726" t="e">
        <f>IF(I22&gt;0,(I53+I58)/I22,0)</f>
        <v>#REF!</v>
      </c>
      <c r="J425" s="725" t="e">
        <f>IF(J22&gt;0,(J53+J58)/J22,0)</f>
        <v>#REF!</v>
      </c>
    </row>
    <row r="426" spans="2:10" x14ac:dyDescent="0.35">
      <c r="B426" s="729"/>
      <c r="C426" s="1818" t="s">
        <v>1069</v>
      </c>
      <c r="D426" s="1819"/>
      <c r="E426" s="727"/>
      <c r="F426" s="726">
        <f>F396</f>
        <v>0</v>
      </c>
      <c r="G426" s="726">
        <f>G396</f>
        <v>0</v>
      </c>
      <c r="H426" s="726">
        <f>H396</f>
        <v>0</v>
      </c>
      <c r="I426" s="726" t="e">
        <f>I396</f>
        <v>#REF!</v>
      </c>
      <c r="J426" s="725">
        <f>J396</f>
        <v>0</v>
      </c>
    </row>
    <row r="427" spans="2:10" x14ac:dyDescent="0.35">
      <c r="B427" s="729"/>
      <c r="C427" s="1818" t="s">
        <v>1068</v>
      </c>
      <c r="D427" s="1819"/>
      <c r="E427" s="727"/>
      <c r="F427" s="733">
        <f>F395</f>
        <v>155.64203458808743</v>
      </c>
      <c r="G427" s="733">
        <f>G395</f>
        <v>157.69502557226997</v>
      </c>
      <c r="H427" s="733">
        <f>H395</f>
        <v>150.62745401834232</v>
      </c>
      <c r="I427" s="733" t="e">
        <f>I395</f>
        <v>#REF!</v>
      </c>
      <c r="J427" s="732">
        <f>J395</f>
        <v>165.28794003054554</v>
      </c>
    </row>
    <row r="428" spans="2:10" x14ac:dyDescent="0.35">
      <c r="B428" s="729"/>
      <c r="C428" s="1818" t="s">
        <v>1067</v>
      </c>
      <c r="D428" s="1819"/>
      <c r="E428" s="727"/>
      <c r="F428" s="726" t="e">
        <f>IF(F186&gt;0,F214/F186,0)</f>
        <v>#REF!</v>
      </c>
      <c r="G428" s="726" t="e">
        <f>IF(G186&gt;0,G214/G186,0)</f>
        <v>#REF!</v>
      </c>
      <c r="H428" s="726" t="e">
        <f>IF(H186&gt;0,H214/H186,0)</f>
        <v>#REF!</v>
      </c>
      <c r="I428" s="726" t="e">
        <f>IF(I186&gt;0,I214/I186,0)</f>
        <v>#REF!</v>
      </c>
      <c r="J428" s="725" t="e">
        <f>IF(J186&gt;0,J214/J186,0)</f>
        <v>#REF!</v>
      </c>
    </row>
    <row r="429" spans="2:10" x14ac:dyDescent="0.35">
      <c r="B429" s="729"/>
      <c r="C429" s="728" t="s">
        <v>1066</v>
      </c>
      <c r="D429" s="727"/>
      <c r="E429" s="727"/>
      <c r="F429" s="731" t="str">
        <f>IF(F22&gt;0,IF((F76-F65)&lt;0,"-ve",(F76-F65)/F22),0)</f>
        <v>-ve</v>
      </c>
      <c r="G429" s="731" t="str">
        <f>IF(G22&gt;0,IF((G76-G65)&lt;0,"-ve",(G76-G65)/G22),0)</f>
        <v>-ve</v>
      </c>
      <c r="H429" s="731" t="str">
        <f>IF(H22&gt;0,IF((H76-H65)&lt;0,"-ve",(H76-H65)/H22),0)</f>
        <v>-ve</v>
      </c>
      <c r="I429" s="731" t="e">
        <f>IF(I22&gt;0,IF((I76-I65)&lt;0,"-ve",(I76-I65)/I22),0)</f>
        <v>#REF!</v>
      </c>
      <c r="J429" s="730" t="e">
        <f>IF(J22&gt;0,IF((J76-J65)&lt;0,"-ve",(J76-J65)/J22),0)</f>
        <v>#REF!</v>
      </c>
    </row>
    <row r="430" spans="2:10" x14ac:dyDescent="0.35">
      <c r="B430" s="729"/>
      <c r="C430" s="728" t="s">
        <v>1065</v>
      </c>
      <c r="D430" s="727"/>
      <c r="E430" s="727"/>
      <c r="F430" s="726" t="str">
        <f>IF(F211&gt;0,IF(F79&lt;0,"-ve",F79/F211),0)</f>
        <v>-ve</v>
      </c>
      <c r="G430" s="726" t="str">
        <f>IF(G211&gt;0,IF(G79&lt;0,"-ve",G79/G211),0)</f>
        <v>-ve</v>
      </c>
      <c r="H430" s="726" t="str">
        <f>IF(H211&gt;0,IF(H79&lt;0,"-ve",H79/H211),0)</f>
        <v>-ve</v>
      </c>
      <c r="I430" s="726" t="e">
        <f>IF(I211&gt;0,IF(I79&lt;0,"-ve",I79/I211),0)</f>
        <v>#REF!</v>
      </c>
      <c r="J430" s="725" t="e">
        <f>IF(J211&gt;0,IF(J79&lt;0,"-ve",J79/J211),0)</f>
        <v>#REF!</v>
      </c>
    </row>
    <row r="431" spans="2:10" ht="15" thickBot="1" x14ac:dyDescent="0.4">
      <c r="B431" s="724"/>
      <c r="C431" s="723" t="s">
        <v>1064</v>
      </c>
      <c r="D431" s="722"/>
      <c r="E431" s="722"/>
      <c r="F431" s="721" t="e">
        <f>IF(F141&gt;0,IF((F79+F33)&lt;0,"-ve",(F79+F33)/F141),0)</f>
        <v>#REF!</v>
      </c>
      <c r="G431" s="721" t="e">
        <f>IF(G141&gt;0,IF((G79+G33)&lt;0,"-ve",(G79+G33)/G141),0)</f>
        <v>#REF!</v>
      </c>
      <c r="H431" s="721" t="e">
        <f>IF(H141&gt;0,IF((H79+H33)&lt;0,"-ve",(H79+H33)/H141),0)</f>
        <v>#REF!</v>
      </c>
      <c r="I431" s="721" t="e">
        <f>IF(I141&gt;0,IF((I79+I33)&lt;0,"-ve",(I79+I33)/I141),0)</f>
        <v>#REF!</v>
      </c>
      <c r="J431" s="720" t="e">
        <f>IF(J141&gt;0,IF((J79+J33)&lt;0,"-ve",(J79+J33)/J141),0)</f>
        <v>#REF!</v>
      </c>
    </row>
  </sheetData>
  <protectedRanges>
    <protectedRange sqref="C148:C150" name="Range13"/>
    <protectedRange sqref="C133:C138" name="Range4"/>
    <protectedRange sqref="C61:J63" name="Range2"/>
    <protectedRange sqref="C34:J37" name="Range1"/>
    <protectedRange sqref="C70:C71" name="Range3"/>
    <protectedRange sqref="C201:J202" name="Range7"/>
    <protectedRange sqref="C119:C122" name="Range12"/>
    <protectedRange sqref="C181:C185" name="Range14"/>
    <protectedRange sqref="C208:E209" name="Range15"/>
  </protectedRanges>
  <mergeCells count="130">
    <mergeCell ref="C3:D3"/>
    <mergeCell ref="C4:D4"/>
    <mergeCell ref="C5:D5"/>
    <mergeCell ref="C93:D93"/>
    <mergeCell ref="C95:D95"/>
    <mergeCell ref="C118:D118"/>
    <mergeCell ref="C119:D119"/>
    <mergeCell ref="C129:D129"/>
    <mergeCell ref="C130:D130"/>
    <mergeCell ref="C131:D131"/>
    <mergeCell ref="C132:D132"/>
    <mergeCell ref="C164:D164"/>
    <mergeCell ref="C165:D165"/>
    <mergeCell ref="C166:D166"/>
    <mergeCell ref="C167:D167"/>
    <mergeCell ref="C168:D168"/>
    <mergeCell ref="C169:D169"/>
    <mergeCell ref="C170:D170"/>
    <mergeCell ref="C171:D171"/>
    <mergeCell ref="C172:D172"/>
    <mergeCell ref="C173:D173"/>
    <mergeCell ref="C174:D174"/>
    <mergeCell ref="C175:D175"/>
    <mergeCell ref="C176:D176"/>
    <mergeCell ref="C177:D177"/>
    <mergeCell ref="C178:D178"/>
    <mergeCell ref="C179:D179"/>
    <mergeCell ref="C180:D180"/>
    <mergeCell ref="C186:D186"/>
    <mergeCell ref="C187:D187"/>
    <mergeCell ref="C188:D188"/>
    <mergeCell ref="C189:D189"/>
    <mergeCell ref="C190:D190"/>
    <mergeCell ref="C192:D192"/>
    <mergeCell ref="C193:D193"/>
    <mergeCell ref="C194:D194"/>
    <mergeCell ref="C195:D195"/>
    <mergeCell ref="C196:D196"/>
    <mergeCell ref="C198:D198"/>
    <mergeCell ref="C199:D199"/>
    <mergeCell ref="C200:D200"/>
    <mergeCell ref="C204:D204"/>
    <mergeCell ref="C205:D205"/>
    <mergeCell ref="C206:D206"/>
    <mergeCell ref="C207:D207"/>
    <mergeCell ref="C210:D210"/>
    <mergeCell ref="C211:D211"/>
    <mergeCell ref="C212:D212"/>
    <mergeCell ref="C213:D213"/>
    <mergeCell ref="C214:D214"/>
    <mergeCell ref="C226:D226"/>
    <mergeCell ref="C227:D227"/>
    <mergeCell ref="C228:D228"/>
    <mergeCell ref="C229:D229"/>
    <mergeCell ref="C230:D230"/>
    <mergeCell ref="C231:D231"/>
    <mergeCell ref="C233:D233"/>
    <mergeCell ref="C234:D234"/>
    <mergeCell ref="C235:D235"/>
    <mergeCell ref="C236:D236"/>
    <mergeCell ref="C237:D237"/>
    <mergeCell ref="C238:D238"/>
    <mergeCell ref="C239:D239"/>
    <mergeCell ref="C240:D240"/>
    <mergeCell ref="C241:D241"/>
    <mergeCell ref="C242:D242"/>
    <mergeCell ref="C243:D243"/>
    <mergeCell ref="C244:D244"/>
    <mergeCell ref="C245:D245"/>
    <mergeCell ref="C246:D246"/>
    <mergeCell ref="C251:D251"/>
    <mergeCell ref="C264:D264"/>
    <mergeCell ref="C265:D265"/>
    <mergeCell ref="C266:D266"/>
    <mergeCell ref="C267:D267"/>
    <mergeCell ref="C268:D268"/>
    <mergeCell ref="C269:D269"/>
    <mergeCell ref="C270:D270"/>
    <mergeCell ref="C271:D271"/>
    <mergeCell ref="C272:D272"/>
    <mergeCell ref="C273:D273"/>
    <mergeCell ref="C274:D274"/>
    <mergeCell ref="C275:D275"/>
    <mergeCell ref="C276:D276"/>
    <mergeCell ref="C277:D277"/>
    <mergeCell ref="C278:D278"/>
    <mergeCell ref="C279:D279"/>
    <mergeCell ref="C280:D280"/>
    <mergeCell ref="C281:D281"/>
    <mergeCell ref="C282:D282"/>
    <mergeCell ref="C283:D283"/>
    <mergeCell ref="C284:D284"/>
    <mergeCell ref="C286:D286"/>
    <mergeCell ref="C287:D287"/>
    <mergeCell ref="C334:D334"/>
    <mergeCell ref="C339:D339"/>
    <mergeCell ref="C342:D342"/>
    <mergeCell ref="C349:D349"/>
    <mergeCell ref="C352:D352"/>
    <mergeCell ref="C353:D353"/>
    <mergeCell ref="C358:D358"/>
    <mergeCell ref="C360:D360"/>
    <mergeCell ref="C388:D388"/>
    <mergeCell ref="C393:D393"/>
    <mergeCell ref="C395:D395"/>
    <mergeCell ref="C396:D396"/>
    <mergeCell ref="C397:D397"/>
    <mergeCell ref="C398:D398"/>
    <mergeCell ref="C403:D403"/>
    <mergeCell ref="C404:D404"/>
    <mergeCell ref="C405:D405"/>
    <mergeCell ref="C406:D406"/>
    <mergeCell ref="C407:D407"/>
    <mergeCell ref="C408:D408"/>
    <mergeCell ref="C409:D409"/>
    <mergeCell ref="C410:D410"/>
    <mergeCell ref="C411:D411"/>
    <mergeCell ref="C412:D412"/>
    <mergeCell ref="C413:D413"/>
    <mergeCell ref="C414:D414"/>
    <mergeCell ref="C425:D425"/>
    <mergeCell ref="C426:D426"/>
    <mergeCell ref="C427:D427"/>
    <mergeCell ref="C428:D428"/>
    <mergeCell ref="C415:D415"/>
    <mergeCell ref="C417:D417"/>
    <mergeCell ref="C419:D419"/>
    <mergeCell ref="C420:D420"/>
    <mergeCell ref="C423:D423"/>
    <mergeCell ref="C424:D424"/>
  </mergeCells>
  <conditionalFormatting sqref="G243:J245">
    <cfRule type="cellIs" dxfId="3" priority="4" stopIfTrue="1" operator="notEqual">
      <formula>0</formula>
    </cfRule>
  </conditionalFormatting>
  <conditionalFormatting sqref="F243:J245">
    <cfRule type="cellIs" dxfId="2" priority="3" stopIfTrue="1" operator="notEqual">
      <formula>0</formula>
    </cfRule>
  </conditionalFormatting>
  <conditionalFormatting sqref="H243:H245 I244:J244">
    <cfRule type="cellIs" dxfId="1" priority="2" stopIfTrue="1" operator="notEqual">
      <formula>0</formula>
    </cfRule>
  </conditionalFormatting>
  <conditionalFormatting sqref="H243:H245 I244:J244">
    <cfRule type="cellIs" dxfId="0" priority="1" stopIfTrue="1" operator="notEqual">
      <formula>0</formula>
    </cfRule>
  </conditionalFormatting>
  <dataValidations count="2">
    <dataValidation type="decimal" operator="notEqual" allowBlank="1" showInputMessage="1" showErrorMessage="1" sqref="E186 F88:J91 E54:G54 F210:J211 F215:J216 E173:I173 F67:J67 E211 E17 F17:I19 E20:I20 F21:I21 E34 E22:I22 F23:I24 J17:J24 F26:J26 F29:J35 F37:J38 F52:G53 F48:J49 F40:J46 E65:H65 I61:J65 F61:H64 H52:J56 F55:G56 F78:G78 F70:J70 E72:J74 E58:J59 H78:J79 E79:G79 E80:J81 E76:J77 E189:J189 E192:J192 E213:J214 F166:J166 F168:J168 J170:J179 F170:I172 F174:I179 F196:J199 F190:J191 E203:J203 F182:J186" xr:uid="{00000000-0002-0000-1900-000000000000}">
      <formula1>-10000000000</formula1>
    </dataValidation>
    <dataValidation type="decimal" operator="notEqual" allowBlank="1" showInputMessage="1" showErrorMessage="1" sqref="E124:E125 F111:J111 F114:J116 F127:J127 F133:J136 E133 E109:J109 E144:J144 E119 F118:J120 F122:J125 E140:J141 F139:J139 E147:J148 E150:E155 F150:J156" xr:uid="{00000000-0002-0000-1900-000001000000}">
      <formula1>-1000000000</formula1>
    </dataValidation>
  </dataValidations>
  <pageMargins left="0.70866141732283472" right="0.70866141732283472" top="0.74803149606299213" bottom="0.74803149606299213" header="0.31496062992125984" footer="0.31496062992125984"/>
  <pageSetup paperSize="9" scale="75" orientation="portrait" blackAndWhite="1" r:id="rId1"/>
  <headerFooter>
    <oddFooter>&amp;LBHSL - CMA&amp;CPage &amp;P of &amp;N</oddFooter>
  </headerFooter>
  <rowBreaks count="8" manualBreakCount="8">
    <brk id="54" min="1" max="9" man="1"/>
    <brk id="95" min="1" max="9" man="1"/>
    <brk id="156" min="1" max="9" man="1"/>
    <brk id="214" min="1" max="9" man="1"/>
    <brk id="255" min="1" max="9" man="1"/>
    <brk id="296" min="1" max="9" man="1"/>
    <brk id="322" min="1" max="9" man="1"/>
    <brk id="369" min="1" max="9" man="1"/>
  </rowBreaks>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2"/>
  <dimension ref="B2:O115"/>
  <sheetViews>
    <sheetView showGridLines="0" topLeftCell="D1" zoomScale="90" zoomScaleNormal="90" workbookViewId="0">
      <selection activeCell="G17" sqref="G17"/>
    </sheetView>
  </sheetViews>
  <sheetFormatPr defaultColWidth="8.54296875" defaultRowHeight="14.5" x14ac:dyDescent="0.35"/>
  <cols>
    <col min="1" max="1" width="8.54296875" style="261"/>
    <col min="2" max="2" width="25" style="261" bestFit="1" customWidth="1"/>
    <col min="3" max="3" width="29.453125" style="261" bestFit="1" customWidth="1"/>
    <col min="4" max="4" width="18.453125" style="261" bestFit="1" customWidth="1"/>
    <col min="5" max="5" width="29.453125" style="261" bestFit="1" customWidth="1"/>
    <col min="6" max="6" width="9.54296875" style="261" bestFit="1" customWidth="1"/>
    <col min="7" max="7" width="25" style="261" bestFit="1" customWidth="1"/>
    <col min="8" max="8" width="17.453125" style="261" customWidth="1"/>
    <col min="9" max="9" width="18.453125" style="261" bestFit="1" customWidth="1"/>
    <col min="10" max="10" width="15.453125" style="261" bestFit="1" customWidth="1"/>
    <col min="11" max="12" width="8.54296875" style="261"/>
    <col min="13" max="13" width="12.54296875" style="261" bestFit="1" customWidth="1"/>
    <col min="14" max="16384" width="8.54296875" style="261"/>
  </cols>
  <sheetData>
    <row r="2" spans="2:10" x14ac:dyDescent="0.35">
      <c r="B2" s="262" t="s">
        <v>341</v>
      </c>
      <c r="G2" s="262" t="s">
        <v>607</v>
      </c>
    </row>
    <row r="3" spans="2:10" x14ac:dyDescent="0.35">
      <c r="B3" s="268" t="s">
        <v>327</v>
      </c>
      <c r="C3" s="269" t="s">
        <v>609</v>
      </c>
      <c r="D3" s="268" t="s">
        <v>328</v>
      </c>
      <c r="E3" s="268" t="s">
        <v>348</v>
      </c>
      <c r="G3" s="268" t="s">
        <v>327</v>
      </c>
      <c r="H3" s="269" t="s">
        <v>608</v>
      </c>
      <c r="I3" s="268" t="s">
        <v>328</v>
      </c>
      <c r="J3" s="268" t="s">
        <v>348</v>
      </c>
    </row>
    <row r="4" spans="2:10" x14ac:dyDescent="0.35">
      <c r="B4" s="264" t="s">
        <v>329</v>
      </c>
      <c r="C4" s="264">
        <v>129.84</v>
      </c>
      <c r="D4" s="265">
        <v>9.5000000000000001E-2</v>
      </c>
      <c r="E4" s="263"/>
      <c r="G4" s="264" t="s">
        <v>329</v>
      </c>
      <c r="H4" s="264"/>
      <c r="I4" s="265"/>
      <c r="J4" s="263"/>
    </row>
    <row r="5" spans="2:10" x14ac:dyDescent="0.35">
      <c r="B5" s="264" t="s">
        <v>330</v>
      </c>
      <c r="C5" s="264">
        <v>139.12</v>
      </c>
      <c r="D5" s="265">
        <v>9.5000000000000001E-2</v>
      </c>
      <c r="E5" s="266">
        <f>C5/C4-1</f>
        <v>7.1472581638940325E-2</v>
      </c>
      <c r="G5" s="264" t="s">
        <v>330</v>
      </c>
      <c r="H5" s="264"/>
      <c r="I5" s="265"/>
      <c r="J5" s="266"/>
    </row>
    <row r="6" spans="2:10" x14ac:dyDescent="0.35">
      <c r="B6" s="264" t="s">
        <v>331</v>
      </c>
      <c r="C6" s="264">
        <v>145</v>
      </c>
      <c r="D6" s="265">
        <v>9.5000000000000001E-2</v>
      </c>
      <c r="E6" s="266">
        <f t="shared" ref="E6:E15" si="0">C6/C5-1</f>
        <v>4.2265669925244387E-2</v>
      </c>
      <c r="G6" s="264" t="s">
        <v>331</v>
      </c>
      <c r="H6" s="703">
        <v>250</v>
      </c>
      <c r="I6" s="265"/>
      <c r="J6" s="266"/>
    </row>
    <row r="7" spans="2:10" x14ac:dyDescent="0.35">
      <c r="B7" s="264" t="s">
        <v>332</v>
      </c>
      <c r="C7" s="264">
        <v>170</v>
      </c>
      <c r="D7" s="265">
        <v>9.5000000000000001E-2</v>
      </c>
      <c r="E7" s="266">
        <f t="shared" si="0"/>
        <v>0.17241379310344818</v>
      </c>
      <c r="G7" s="264" t="s">
        <v>332</v>
      </c>
      <c r="H7" s="703">
        <v>280</v>
      </c>
      <c r="I7" s="265"/>
      <c r="J7" s="266">
        <f t="shared" ref="J7:J16" si="1">H7/H6-1</f>
        <v>0.12000000000000011</v>
      </c>
    </row>
    <row r="8" spans="2:10" x14ac:dyDescent="0.35">
      <c r="B8" s="264" t="s">
        <v>333</v>
      </c>
      <c r="C8" s="264">
        <v>210</v>
      </c>
      <c r="D8" s="265">
        <v>9.5000000000000001E-2</v>
      </c>
      <c r="E8" s="266">
        <f t="shared" si="0"/>
        <v>0.23529411764705888</v>
      </c>
      <c r="G8" s="264" t="s">
        <v>333</v>
      </c>
      <c r="H8" s="703">
        <v>280</v>
      </c>
      <c r="I8" s="265"/>
      <c r="J8" s="266">
        <f t="shared" si="1"/>
        <v>0</v>
      </c>
    </row>
    <row r="9" spans="2:10" x14ac:dyDescent="0.35">
      <c r="B9" s="264" t="s">
        <v>334</v>
      </c>
      <c r="C9" s="264">
        <v>220</v>
      </c>
      <c r="D9" s="265">
        <v>9.5000000000000001E-2</v>
      </c>
      <c r="E9" s="266">
        <f t="shared" si="0"/>
        <v>4.7619047619047672E-2</v>
      </c>
      <c r="G9" s="264" t="s">
        <v>334</v>
      </c>
      <c r="H9" s="703">
        <v>280</v>
      </c>
      <c r="I9" s="265"/>
      <c r="J9" s="266">
        <f t="shared" si="1"/>
        <v>0</v>
      </c>
    </row>
    <row r="10" spans="2:10" x14ac:dyDescent="0.35">
      <c r="B10" s="264" t="s">
        <v>335</v>
      </c>
      <c r="C10" s="264">
        <v>230</v>
      </c>
      <c r="D10" s="265">
        <v>9.5000000000000001E-2</v>
      </c>
      <c r="E10" s="266">
        <f t="shared" si="0"/>
        <v>4.5454545454545414E-2</v>
      </c>
      <c r="G10" s="264" t="s">
        <v>335</v>
      </c>
      <c r="H10" s="703">
        <v>280</v>
      </c>
      <c r="I10" s="265"/>
      <c r="J10" s="266">
        <f t="shared" si="1"/>
        <v>0</v>
      </c>
    </row>
    <row r="11" spans="2:10" x14ac:dyDescent="0.35">
      <c r="B11" s="264" t="s">
        <v>336</v>
      </c>
      <c r="C11" s="264">
        <v>230</v>
      </c>
      <c r="D11" s="265">
        <v>9.5000000000000001E-2</v>
      </c>
      <c r="E11" s="266">
        <f t="shared" si="0"/>
        <v>0</v>
      </c>
      <c r="G11" s="264" t="s">
        <v>336</v>
      </c>
      <c r="H11" s="703">
        <v>305</v>
      </c>
      <c r="I11" s="265"/>
      <c r="J11" s="266">
        <f t="shared" si="1"/>
        <v>8.9285714285714191E-2</v>
      </c>
    </row>
    <row r="12" spans="2:10" x14ac:dyDescent="0.35">
      <c r="B12" s="264" t="s">
        <v>337</v>
      </c>
      <c r="C12" s="264">
        <v>255</v>
      </c>
      <c r="D12" s="265">
        <v>9.5000000000000001E-2</v>
      </c>
      <c r="E12" s="266">
        <f t="shared" si="0"/>
        <v>0.10869565217391308</v>
      </c>
      <c r="G12" s="264" t="s">
        <v>337</v>
      </c>
      <c r="H12" s="703">
        <v>315</v>
      </c>
      <c r="I12" s="265"/>
      <c r="J12" s="266">
        <f t="shared" si="1"/>
        <v>3.2786885245901676E-2</v>
      </c>
    </row>
    <row r="13" spans="2:10" x14ac:dyDescent="0.35">
      <c r="B13" s="264" t="s">
        <v>338</v>
      </c>
      <c r="C13" s="264">
        <v>275</v>
      </c>
      <c r="D13" s="267">
        <v>0.1</v>
      </c>
      <c r="E13" s="266">
        <f t="shared" si="0"/>
        <v>7.8431372549019551E-2</v>
      </c>
      <c r="G13" s="264" t="s">
        <v>338</v>
      </c>
      <c r="H13" s="703">
        <v>315</v>
      </c>
      <c r="I13" s="267"/>
      <c r="J13" s="266">
        <f t="shared" si="1"/>
        <v>0</v>
      </c>
    </row>
    <row r="14" spans="2:10" x14ac:dyDescent="0.35">
      <c r="B14" s="264" t="s">
        <v>339</v>
      </c>
      <c r="C14" s="264">
        <v>275</v>
      </c>
      <c r="D14" s="267">
        <v>0.1</v>
      </c>
      <c r="E14" s="266">
        <f t="shared" si="0"/>
        <v>0</v>
      </c>
      <c r="G14" s="264" t="s">
        <v>339</v>
      </c>
      <c r="H14" s="703">
        <v>315</v>
      </c>
      <c r="I14" s="267"/>
      <c r="J14" s="266">
        <f t="shared" si="1"/>
        <v>0</v>
      </c>
    </row>
    <row r="15" spans="2:10" x14ac:dyDescent="0.35">
      <c r="B15" s="264" t="s">
        <v>340</v>
      </c>
      <c r="C15" s="264">
        <v>285</v>
      </c>
      <c r="D15" s="267">
        <v>0.1</v>
      </c>
      <c r="E15" s="266">
        <f t="shared" si="0"/>
        <v>3.6363636363636376E-2</v>
      </c>
      <c r="G15" s="264" t="s">
        <v>340</v>
      </c>
      <c r="H15" s="703">
        <v>315</v>
      </c>
      <c r="I15" s="267"/>
      <c r="J15" s="266">
        <f t="shared" si="1"/>
        <v>0</v>
      </c>
    </row>
    <row r="16" spans="2:10" x14ac:dyDescent="0.35">
      <c r="G16" s="264" t="s">
        <v>1387</v>
      </c>
      <c r="H16" s="703">
        <v>350</v>
      </c>
      <c r="I16" s="267"/>
      <c r="J16" s="266">
        <f t="shared" si="1"/>
        <v>0.11111111111111116</v>
      </c>
    </row>
    <row r="17" spans="2:15" x14ac:dyDescent="0.35">
      <c r="B17" s="262" t="s">
        <v>519</v>
      </c>
    </row>
    <row r="18" spans="2:15" x14ac:dyDescent="0.35">
      <c r="B18" s="268" t="s">
        <v>342</v>
      </c>
      <c r="C18" s="268" t="s">
        <v>346</v>
      </c>
      <c r="D18" s="268" t="s">
        <v>348</v>
      </c>
      <c r="E18" s="268" t="s">
        <v>347</v>
      </c>
      <c r="F18" s="268" t="s">
        <v>348</v>
      </c>
    </row>
    <row r="19" spans="2:15" x14ac:dyDescent="0.35">
      <c r="B19" s="263" t="s">
        <v>343</v>
      </c>
      <c r="C19" s="263">
        <v>43.46</v>
      </c>
      <c r="D19" s="263"/>
      <c r="E19" s="263">
        <v>52.43</v>
      </c>
      <c r="F19" s="263"/>
    </row>
    <row r="20" spans="2:15" x14ac:dyDescent="0.35">
      <c r="B20" s="263" t="s">
        <v>344</v>
      </c>
      <c r="C20" s="263">
        <v>43.75</v>
      </c>
      <c r="D20" s="266">
        <f>C20/C19-1</f>
        <v>6.6728025770823596E-3</v>
      </c>
      <c r="E20" s="263">
        <v>54.27</v>
      </c>
      <c r="F20" s="266">
        <f>E20/E19-1</f>
        <v>3.5094411596414243E-2</v>
      </c>
    </row>
    <row r="21" spans="2:15" x14ac:dyDescent="0.35">
      <c r="B21" s="263" t="s">
        <v>345</v>
      </c>
      <c r="C21" s="263">
        <v>45.69</v>
      </c>
      <c r="D21" s="266">
        <f>C21/C20-1</f>
        <v>4.4342857142857017E-2</v>
      </c>
      <c r="E21" s="263">
        <v>57.61</v>
      </c>
      <c r="F21" s="266">
        <f>E21/E20-1</f>
        <v>6.1544131195872431E-2</v>
      </c>
    </row>
    <row r="24" spans="2:15" x14ac:dyDescent="0.35">
      <c r="B24" s="262" t="s">
        <v>1010</v>
      </c>
    </row>
    <row r="25" spans="2:15" x14ac:dyDescent="0.35">
      <c r="B25" s="659" t="s">
        <v>366</v>
      </c>
      <c r="C25" s="660" t="s">
        <v>303</v>
      </c>
      <c r="D25" s="660" t="s">
        <v>5</v>
      </c>
      <c r="E25" s="660" t="s">
        <v>1009</v>
      </c>
      <c r="F25" s="660" t="s">
        <v>84</v>
      </c>
      <c r="H25" s="659" t="s">
        <v>366</v>
      </c>
      <c r="I25" s="660" t="s">
        <v>5</v>
      </c>
      <c r="J25" s="660" t="s">
        <v>1009</v>
      </c>
      <c r="K25" s="660" t="s">
        <v>84</v>
      </c>
      <c r="L25" s="268" t="s">
        <v>348</v>
      </c>
      <c r="M25" s="268" t="s">
        <v>1034</v>
      </c>
      <c r="N25" s="268" t="s">
        <v>348</v>
      </c>
    </row>
    <row r="26" spans="2:15" x14ac:dyDescent="0.35">
      <c r="B26" s="661">
        <f>DATE(IF(MONTH(C26)&gt;3,YEAR(C26)+1,YEAR(C26)),3,31)</f>
        <v>42094</v>
      </c>
      <c r="C26" s="662">
        <v>41730</v>
      </c>
      <c r="D26" s="663">
        <v>5.2743200000000003</v>
      </c>
      <c r="E26" s="664">
        <v>17146.663576000003</v>
      </c>
      <c r="F26" s="665">
        <f>+E26/D26</f>
        <v>3250.9714192540464</v>
      </c>
      <c r="H26" s="661">
        <f>B26</f>
        <v>42094</v>
      </c>
      <c r="I26" s="666">
        <f>SUMIF($B$26:$B$115,H26,$D$26:$D$115)</f>
        <v>123.91858499999999</v>
      </c>
      <c r="J26" s="663">
        <f>SUMIF($B$26:$B$115,H26,$E$26:$E$115)</f>
        <v>360865.75183239998</v>
      </c>
      <c r="K26" s="665">
        <f>+J26/I26</f>
        <v>2912.119694010386</v>
      </c>
      <c r="L26" s="665"/>
      <c r="M26" s="665">
        <v>1210.7</v>
      </c>
      <c r="N26" s="665"/>
    </row>
    <row r="27" spans="2:15" x14ac:dyDescent="0.35">
      <c r="B27" s="661">
        <f t="shared" ref="B27:B90" si="2">DATE(IF(MONTH(C27)&gt;3,YEAR(C27)+1,YEAR(C27)),3,31)</f>
        <v>42094</v>
      </c>
      <c r="C27" s="662">
        <v>41760</v>
      </c>
      <c r="D27" s="663">
        <v>5.6593099999999996</v>
      </c>
      <c r="E27" s="664">
        <v>17885.490461599999</v>
      </c>
      <c r="F27" s="665">
        <f t="shared" ref="F27:F90" si="3">+E27/D27</f>
        <v>3160.3659212165439</v>
      </c>
      <c r="H27" s="661">
        <f>EOMONTH(H26,12)</f>
        <v>42460</v>
      </c>
      <c r="I27" s="666">
        <f t="shared" ref="I27:I33" si="4">SUMIF($B$26:$B$115,H27,$D$26:$D$115)</f>
        <v>129.64658</v>
      </c>
      <c r="J27" s="663">
        <f t="shared" ref="J27:J33" si="5">SUMIF($B$26:$B$115,H27,$E$26:$E$115)</f>
        <v>350438.10530599998</v>
      </c>
      <c r="K27" s="665">
        <f t="shared" ref="K27:K32" si="6">+J27/I27</f>
        <v>2703.0262217946665</v>
      </c>
      <c r="L27" s="667">
        <f>K27/K26-1</f>
        <v>-7.1801125704338498E-2</v>
      </c>
      <c r="M27" s="665">
        <f>'Plant-wise details'!D97/10^5</f>
        <v>1092.2704352000001</v>
      </c>
      <c r="N27" s="667">
        <f>M27/M26-1</f>
        <v>-9.7819083835797405E-2</v>
      </c>
      <c r="O27" s="687"/>
    </row>
    <row r="28" spans="2:15" x14ac:dyDescent="0.35">
      <c r="B28" s="661">
        <f t="shared" si="2"/>
        <v>42094</v>
      </c>
      <c r="C28" s="662">
        <v>41791</v>
      </c>
      <c r="D28" s="663">
        <v>7.0157600000000002</v>
      </c>
      <c r="E28" s="664">
        <v>22113.7236447</v>
      </c>
      <c r="F28" s="665">
        <f t="shared" si="3"/>
        <v>3152.006859513438</v>
      </c>
      <c r="H28" s="661">
        <f t="shared" ref="H28:H33" si="7">EOMONTH(H27,12)</f>
        <v>42825</v>
      </c>
      <c r="I28" s="666">
        <f t="shared" si="4"/>
        <v>104.61217999999998</v>
      </c>
      <c r="J28" s="663">
        <f t="shared" si="5"/>
        <v>371978.86250000005</v>
      </c>
      <c r="K28" s="665">
        <f t="shared" si="6"/>
        <v>3555.7892254993644</v>
      </c>
      <c r="L28" s="667">
        <f t="shared" ref="L28:N33" si="8">K28/K27-1</f>
        <v>0.31548454721926755</v>
      </c>
      <c r="M28" s="665">
        <f>'Plant-wise details'!E97/10^5</f>
        <v>1250.8799137999999</v>
      </c>
      <c r="N28" s="667">
        <f t="shared" si="8"/>
        <v>0.14521081363056187</v>
      </c>
    </row>
    <row r="29" spans="2:15" x14ac:dyDescent="0.35">
      <c r="B29" s="661">
        <f t="shared" si="2"/>
        <v>42094</v>
      </c>
      <c r="C29" s="662">
        <v>41821</v>
      </c>
      <c r="D29" s="663">
        <v>7.77142</v>
      </c>
      <c r="E29" s="664">
        <v>24858.799547200004</v>
      </c>
      <c r="F29" s="665">
        <f t="shared" si="3"/>
        <v>3198.7461168229233</v>
      </c>
      <c r="H29" s="661">
        <f t="shared" si="7"/>
        <v>43190</v>
      </c>
      <c r="I29" s="666">
        <f t="shared" si="4"/>
        <v>146.21983500000002</v>
      </c>
      <c r="J29" s="663">
        <f t="shared" si="5"/>
        <v>511340.5324732</v>
      </c>
      <c r="K29" s="665">
        <f t="shared" si="6"/>
        <v>3497.0668136316795</v>
      </c>
      <c r="L29" s="667">
        <f t="shared" si="8"/>
        <v>-1.651459300415592E-2</v>
      </c>
      <c r="M29" s="665">
        <f>'Plant-wise details'!F97/10^5</f>
        <v>1476.4185062000001</v>
      </c>
      <c r="N29" s="667">
        <f t="shared" si="8"/>
        <v>0.18030395237129127</v>
      </c>
    </row>
    <row r="30" spans="2:15" x14ac:dyDescent="0.35">
      <c r="B30" s="661">
        <f t="shared" si="2"/>
        <v>42094</v>
      </c>
      <c r="C30" s="662">
        <v>41852</v>
      </c>
      <c r="D30" s="663">
        <v>10.26163</v>
      </c>
      <c r="E30" s="664">
        <v>32514.077597</v>
      </c>
      <c r="F30" s="665">
        <f t="shared" si="3"/>
        <v>3168.5100317395968</v>
      </c>
      <c r="H30" s="661">
        <f t="shared" si="7"/>
        <v>43555</v>
      </c>
      <c r="I30" s="666">
        <f t="shared" si="4"/>
        <v>195.31598999999997</v>
      </c>
      <c r="J30" s="663">
        <f t="shared" si="5"/>
        <v>598652.70077929995</v>
      </c>
      <c r="K30" s="665">
        <f t="shared" si="6"/>
        <v>3065.0470592771235</v>
      </c>
      <c r="L30" s="667">
        <f t="shared" si="8"/>
        <v>-0.12353774673979034</v>
      </c>
      <c r="M30" s="665">
        <f>'Plant-wise details'!G97/10^5</f>
        <v>1676.1591172999999</v>
      </c>
      <c r="N30" s="667">
        <f t="shared" si="8"/>
        <v>0.13528725782101669</v>
      </c>
    </row>
    <row r="31" spans="2:15" x14ac:dyDescent="0.35">
      <c r="B31" s="661">
        <f t="shared" si="2"/>
        <v>42094</v>
      </c>
      <c r="C31" s="662">
        <v>41883</v>
      </c>
      <c r="D31" s="663">
        <v>15.85914</v>
      </c>
      <c r="E31" s="664">
        <v>48184.633785399987</v>
      </c>
      <c r="F31" s="665">
        <f t="shared" si="3"/>
        <v>3038.2879390307412</v>
      </c>
      <c r="H31" s="661">
        <f t="shared" si="7"/>
        <v>43921</v>
      </c>
      <c r="I31" s="666">
        <f t="shared" si="4"/>
        <v>187.03617</v>
      </c>
      <c r="J31" s="663">
        <f t="shared" si="5"/>
        <v>610558.18777249998</v>
      </c>
      <c r="K31" s="665">
        <f t="shared" si="6"/>
        <v>3264.3856414109632</v>
      </c>
      <c r="L31" s="667">
        <f t="shared" si="8"/>
        <v>6.503605924434086E-2</v>
      </c>
      <c r="M31" s="665">
        <f>'Plant-wise details'!H97/10^5</f>
        <v>1584.5986722999999</v>
      </c>
      <c r="N31" s="667">
        <f t="shared" si="8"/>
        <v>-5.4625151070077371E-2</v>
      </c>
      <c r="O31" s="686"/>
    </row>
    <row r="32" spans="2:15" x14ac:dyDescent="0.35">
      <c r="B32" s="661">
        <f t="shared" si="2"/>
        <v>42094</v>
      </c>
      <c r="C32" s="662">
        <v>41913</v>
      </c>
      <c r="D32" s="663">
        <v>14.72734</v>
      </c>
      <c r="E32" s="664">
        <v>44052.807043699999</v>
      </c>
      <c r="F32" s="665">
        <f t="shared" si="3"/>
        <v>2991.2263208223617</v>
      </c>
      <c r="H32" s="661">
        <f t="shared" si="7"/>
        <v>44286</v>
      </c>
      <c r="I32" s="666">
        <f t="shared" si="4"/>
        <v>185.26597999999998</v>
      </c>
      <c r="J32" s="663">
        <f t="shared" si="5"/>
        <v>593057.03884789965</v>
      </c>
      <c r="K32" s="665">
        <f t="shared" si="6"/>
        <v>3201.1113904878798</v>
      </c>
      <c r="L32" s="667">
        <f t="shared" si="8"/>
        <v>-1.9383203418250061E-2</v>
      </c>
      <c r="M32" s="665">
        <f>'Plant-wise details'!I97/10^5</f>
        <v>1560.3393888999999</v>
      </c>
      <c r="N32" s="667">
        <f t="shared" si="8"/>
        <v>-1.5309417976974715E-2</v>
      </c>
    </row>
    <row r="33" spans="2:14" x14ac:dyDescent="0.35">
      <c r="B33" s="661">
        <f t="shared" si="2"/>
        <v>42094</v>
      </c>
      <c r="C33" s="662">
        <v>41944</v>
      </c>
      <c r="D33" s="663">
        <v>10.608930000000001</v>
      </c>
      <c r="E33" s="664">
        <v>30400.9091883</v>
      </c>
      <c r="F33" s="665">
        <f t="shared" si="3"/>
        <v>2865.5961711784316</v>
      </c>
      <c r="H33" s="661">
        <f t="shared" si="7"/>
        <v>44651</v>
      </c>
      <c r="I33" s="666">
        <f t="shared" si="4"/>
        <v>64.925480000000007</v>
      </c>
      <c r="J33" s="663">
        <f t="shared" si="5"/>
        <v>216730.75885339969</v>
      </c>
      <c r="K33" s="665">
        <f>+(J33/I33)+112</f>
        <v>3450.1464234596287</v>
      </c>
      <c r="L33" s="667">
        <f t="shared" si="8"/>
        <v>7.7796428362898462E-2</v>
      </c>
      <c r="M33" s="665">
        <v>103.7</v>
      </c>
      <c r="N33" s="667">
        <f t="shared" si="8"/>
        <v>-0.93354009984128783</v>
      </c>
    </row>
    <row r="34" spans="2:14" x14ac:dyDescent="0.35">
      <c r="B34" s="661">
        <f t="shared" si="2"/>
        <v>42094</v>
      </c>
      <c r="C34" s="662">
        <v>41974</v>
      </c>
      <c r="D34" s="663">
        <v>9.28294</v>
      </c>
      <c r="E34" s="664">
        <v>25403.033189999998</v>
      </c>
      <c r="F34" s="665">
        <f t="shared" si="3"/>
        <v>2736.5288572370391</v>
      </c>
      <c r="K34" s="708">
        <f>(K33/K26)^(1/7)-1</f>
        <v>2.4515018935468591E-2</v>
      </c>
    </row>
    <row r="35" spans="2:14" x14ac:dyDescent="0.35">
      <c r="B35" s="661">
        <f t="shared" si="2"/>
        <v>42094</v>
      </c>
      <c r="C35" s="662">
        <v>42005</v>
      </c>
      <c r="D35" s="663">
        <v>11.889559999999999</v>
      </c>
      <c r="E35" s="664">
        <v>32562.540029999996</v>
      </c>
      <c r="F35" s="665">
        <f t="shared" si="3"/>
        <v>2738.7506375341054</v>
      </c>
    </row>
    <row r="36" spans="2:14" x14ac:dyDescent="0.35">
      <c r="B36" s="661">
        <f t="shared" si="2"/>
        <v>42094</v>
      </c>
      <c r="C36" s="662">
        <v>42036</v>
      </c>
      <c r="D36" s="663">
        <v>10.75881</v>
      </c>
      <c r="E36" s="664">
        <v>28544.544078500003</v>
      </c>
      <c r="F36" s="665">
        <f t="shared" si="3"/>
        <v>2653.1320916067857</v>
      </c>
    </row>
    <row r="37" spans="2:14" x14ac:dyDescent="0.35">
      <c r="B37" s="661">
        <f t="shared" si="2"/>
        <v>42094</v>
      </c>
      <c r="C37" s="662">
        <v>42064</v>
      </c>
      <c r="D37" s="663">
        <v>14.809424999999999</v>
      </c>
      <c r="E37" s="664">
        <v>37198.529690000003</v>
      </c>
      <c r="F37" s="665">
        <f t="shared" si="3"/>
        <v>2511.814583618203</v>
      </c>
    </row>
    <row r="38" spans="2:14" x14ac:dyDescent="0.35">
      <c r="B38" s="661">
        <f t="shared" si="2"/>
        <v>42460</v>
      </c>
      <c r="C38" s="662">
        <v>42095</v>
      </c>
      <c r="D38" s="663">
        <v>12.335385</v>
      </c>
      <c r="E38" s="664">
        <v>32284.117989999999</v>
      </c>
      <c r="F38" s="665">
        <f t="shared" si="3"/>
        <v>2617.1958143179154</v>
      </c>
    </row>
    <row r="39" spans="2:14" x14ac:dyDescent="0.35">
      <c r="B39" s="661">
        <f t="shared" si="2"/>
        <v>42460</v>
      </c>
      <c r="C39" s="662">
        <v>42125</v>
      </c>
      <c r="D39" s="663">
        <v>12.973015</v>
      </c>
      <c r="E39" s="664">
        <v>33343.613175999999</v>
      </c>
      <c r="F39" s="665">
        <f t="shared" si="3"/>
        <v>2570.2285225138489</v>
      </c>
    </row>
    <row r="40" spans="2:14" x14ac:dyDescent="0.35">
      <c r="B40" s="661">
        <f t="shared" si="2"/>
        <v>42460</v>
      </c>
      <c r="C40" s="662">
        <v>42156</v>
      </c>
      <c r="D40" s="663">
        <v>13.636695</v>
      </c>
      <c r="E40" s="664">
        <v>32762.234400000001</v>
      </c>
      <c r="F40" s="665">
        <f t="shared" si="3"/>
        <v>2402.505475116955</v>
      </c>
    </row>
    <row r="41" spans="2:14" x14ac:dyDescent="0.35">
      <c r="B41" s="661">
        <f t="shared" si="2"/>
        <v>42460</v>
      </c>
      <c r="C41" s="662">
        <v>42186</v>
      </c>
      <c r="D41" s="663">
        <v>10.407525</v>
      </c>
      <c r="E41" s="664">
        <v>23333.400115</v>
      </c>
      <c r="F41" s="665">
        <f t="shared" si="3"/>
        <v>2241.9739673937847</v>
      </c>
    </row>
    <row r="42" spans="2:14" x14ac:dyDescent="0.35">
      <c r="B42" s="661">
        <f t="shared" si="2"/>
        <v>42460</v>
      </c>
      <c r="C42" s="662">
        <v>42217</v>
      </c>
      <c r="D42" s="663">
        <v>8.8935549999999992</v>
      </c>
      <c r="E42" s="664">
        <v>21066.379095</v>
      </c>
      <c r="F42" s="665">
        <f t="shared" si="3"/>
        <v>2368.7242160193537</v>
      </c>
    </row>
    <row r="43" spans="2:14" x14ac:dyDescent="0.35">
      <c r="B43" s="661">
        <f t="shared" si="2"/>
        <v>42460</v>
      </c>
      <c r="C43" s="662">
        <v>42248</v>
      </c>
      <c r="D43" s="663">
        <v>7.6108750000000001</v>
      </c>
      <c r="E43" s="664">
        <v>18870.423624999999</v>
      </c>
      <c r="F43" s="665">
        <f t="shared" si="3"/>
        <v>2479.4026475273868</v>
      </c>
    </row>
    <row r="44" spans="2:14" x14ac:dyDescent="0.35">
      <c r="B44" s="661">
        <f t="shared" si="2"/>
        <v>42460</v>
      </c>
      <c r="C44" s="662">
        <v>42278</v>
      </c>
      <c r="D44" s="663">
        <v>6.3010549999999999</v>
      </c>
      <c r="E44" s="664">
        <v>16875.594505000001</v>
      </c>
      <c r="F44" s="665">
        <f t="shared" si="3"/>
        <v>2678.2172993252721</v>
      </c>
    </row>
    <row r="45" spans="2:14" x14ac:dyDescent="0.35">
      <c r="B45" s="661">
        <f t="shared" si="2"/>
        <v>42460</v>
      </c>
      <c r="C45" s="662">
        <v>42309</v>
      </c>
      <c r="D45" s="663">
        <v>5.1281499999999998</v>
      </c>
      <c r="E45" s="664">
        <v>13846.40763</v>
      </c>
      <c r="F45" s="665">
        <f t="shared" si="3"/>
        <v>2700.0785136940221</v>
      </c>
    </row>
    <row r="46" spans="2:14" x14ac:dyDescent="0.35">
      <c r="B46" s="661">
        <f t="shared" si="2"/>
        <v>42460</v>
      </c>
      <c r="C46" s="662">
        <v>42339</v>
      </c>
      <c r="D46" s="663">
        <v>7.79779</v>
      </c>
      <c r="E46" s="664">
        <v>22079.448260000001</v>
      </c>
      <c r="F46" s="665">
        <f t="shared" si="3"/>
        <v>2831.500753418597</v>
      </c>
    </row>
    <row r="47" spans="2:14" x14ac:dyDescent="0.35">
      <c r="B47" s="661">
        <f t="shared" si="2"/>
        <v>42460</v>
      </c>
      <c r="C47" s="662">
        <v>42370</v>
      </c>
      <c r="D47" s="663">
        <v>21.553419999999999</v>
      </c>
      <c r="E47" s="664">
        <v>65088.107920000002</v>
      </c>
      <c r="F47" s="665">
        <f t="shared" si="3"/>
        <v>3019.8505814854443</v>
      </c>
    </row>
    <row r="48" spans="2:14" x14ac:dyDescent="0.35">
      <c r="B48" s="661">
        <f t="shared" si="2"/>
        <v>42460</v>
      </c>
      <c r="C48" s="662">
        <v>42401</v>
      </c>
      <c r="D48" s="663">
        <v>11.556100000000001</v>
      </c>
      <c r="E48" s="664">
        <v>34555.924350000001</v>
      </c>
      <c r="F48" s="665">
        <f t="shared" si="3"/>
        <v>2990.2756423014685</v>
      </c>
    </row>
    <row r="49" spans="2:6" x14ac:dyDescent="0.35">
      <c r="B49" s="661">
        <f t="shared" si="2"/>
        <v>42460</v>
      </c>
      <c r="C49" s="662">
        <v>42430</v>
      </c>
      <c r="D49" s="663">
        <v>11.453015000000001</v>
      </c>
      <c r="E49" s="664">
        <v>36332.454239999999</v>
      </c>
      <c r="F49" s="665">
        <f t="shared" si="3"/>
        <v>3172.3047808808419</v>
      </c>
    </row>
    <row r="50" spans="2:6" x14ac:dyDescent="0.35">
      <c r="B50" s="661">
        <f t="shared" si="2"/>
        <v>42825</v>
      </c>
      <c r="C50" s="662">
        <v>42461</v>
      </c>
      <c r="D50" s="663">
        <v>7.7065650000000003</v>
      </c>
      <c r="E50" s="664">
        <v>26357.379835</v>
      </c>
      <c r="F50" s="665">
        <f t="shared" si="3"/>
        <v>3420.1203564752905</v>
      </c>
    </row>
    <row r="51" spans="2:6" x14ac:dyDescent="0.35">
      <c r="B51" s="661">
        <f t="shared" si="2"/>
        <v>42825</v>
      </c>
      <c r="C51" s="662">
        <v>42491</v>
      </c>
      <c r="D51" s="663">
        <v>12.819750000000001</v>
      </c>
      <c r="E51" s="664">
        <v>43263.022259999998</v>
      </c>
      <c r="F51" s="665">
        <f t="shared" si="3"/>
        <v>3374.7165319136484</v>
      </c>
    </row>
    <row r="52" spans="2:6" x14ac:dyDescent="0.35">
      <c r="B52" s="661">
        <f t="shared" si="2"/>
        <v>42825</v>
      </c>
      <c r="C52" s="662">
        <v>42522</v>
      </c>
      <c r="D52" s="663">
        <v>12.617755000000001</v>
      </c>
      <c r="E52" s="664">
        <v>43422.563410000002</v>
      </c>
      <c r="F52" s="665">
        <f t="shared" si="3"/>
        <v>3441.3858416176254</v>
      </c>
    </row>
    <row r="53" spans="2:6" x14ac:dyDescent="0.35">
      <c r="B53" s="661">
        <f t="shared" si="2"/>
        <v>42825</v>
      </c>
      <c r="C53" s="662">
        <v>42552</v>
      </c>
      <c r="D53" s="663">
        <v>10.884085000000001</v>
      </c>
      <c r="E53" s="664">
        <v>38422.824280000001</v>
      </c>
      <c r="F53" s="665">
        <f t="shared" si="3"/>
        <v>3530.1841431778598</v>
      </c>
    </row>
    <row r="54" spans="2:6" x14ac:dyDescent="0.35">
      <c r="B54" s="661">
        <f t="shared" si="2"/>
        <v>42825</v>
      </c>
      <c r="C54" s="662">
        <v>42583</v>
      </c>
      <c r="D54" s="663">
        <v>7.2922399999999996</v>
      </c>
      <c r="E54" s="664">
        <v>26094.073609999999</v>
      </c>
      <c r="F54" s="665">
        <f t="shared" si="3"/>
        <v>3578.3344500455278</v>
      </c>
    </row>
    <row r="55" spans="2:6" x14ac:dyDescent="0.35">
      <c r="B55" s="661">
        <f t="shared" si="2"/>
        <v>42825</v>
      </c>
      <c r="C55" s="662">
        <v>42614</v>
      </c>
      <c r="D55" s="663">
        <v>1.86886</v>
      </c>
      <c r="E55" s="664">
        <v>6575.2888199999998</v>
      </c>
      <c r="F55" s="665">
        <f t="shared" si="3"/>
        <v>3518.3421016020461</v>
      </c>
    </row>
    <row r="56" spans="2:6" x14ac:dyDescent="0.35">
      <c r="B56" s="661">
        <f t="shared" si="2"/>
        <v>42825</v>
      </c>
      <c r="C56" s="662">
        <v>42644</v>
      </c>
      <c r="D56" s="663">
        <v>8.4320000000000006E-2</v>
      </c>
      <c r="E56" s="664">
        <v>278.43412999999998</v>
      </c>
      <c r="F56" s="665">
        <f t="shared" si="3"/>
        <v>3302.1125474383298</v>
      </c>
    </row>
    <row r="57" spans="2:6" x14ac:dyDescent="0.35">
      <c r="B57" s="661">
        <f t="shared" si="2"/>
        <v>42825</v>
      </c>
      <c r="C57" s="662">
        <v>42675</v>
      </c>
      <c r="D57" s="663">
        <v>4.5533099999999997</v>
      </c>
      <c r="E57" s="664">
        <v>16295.693079999999</v>
      </c>
      <c r="F57" s="665">
        <f t="shared" si="3"/>
        <v>3578.8674788230978</v>
      </c>
    </row>
    <row r="58" spans="2:6" x14ac:dyDescent="0.35">
      <c r="B58" s="661">
        <f t="shared" si="2"/>
        <v>42825</v>
      </c>
      <c r="C58" s="662">
        <v>42705</v>
      </c>
      <c r="D58" s="663">
        <v>11.571759999999999</v>
      </c>
      <c r="E58" s="664">
        <v>40411.057780000003</v>
      </c>
      <c r="F58" s="665">
        <f t="shared" si="3"/>
        <v>3492.213611412612</v>
      </c>
    </row>
    <row r="59" spans="2:6" x14ac:dyDescent="0.35">
      <c r="B59" s="661">
        <f t="shared" si="2"/>
        <v>42825</v>
      </c>
      <c r="C59" s="662">
        <v>42736</v>
      </c>
      <c r="D59" s="663">
        <v>10.348940000000001</v>
      </c>
      <c r="E59" s="664">
        <v>38110.4159</v>
      </c>
      <c r="F59" s="665">
        <f t="shared" si="3"/>
        <v>3682.5429367645379</v>
      </c>
    </row>
    <row r="60" spans="2:6" x14ac:dyDescent="0.35">
      <c r="B60" s="661">
        <f t="shared" si="2"/>
        <v>42825</v>
      </c>
      <c r="C60" s="662">
        <v>42767</v>
      </c>
      <c r="D60" s="663">
        <v>12.35493</v>
      </c>
      <c r="E60" s="664">
        <v>46428.108950000002</v>
      </c>
      <c r="F60" s="665">
        <f t="shared" si="3"/>
        <v>3757.8609470065799</v>
      </c>
    </row>
    <row r="61" spans="2:6" x14ac:dyDescent="0.35">
      <c r="B61" s="661">
        <f t="shared" si="2"/>
        <v>42825</v>
      </c>
      <c r="C61" s="662">
        <v>42795</v>
      </c>
      <c r="D61" s="663">
        <v>12.509665</v>
      </c>
      <c r="E61" s="664">
        <v>46320.000444999998</v>
      </c>
      <c r="F61" s="665">
        <f t="shared" si="3"/>
        <v>3702.7370792902925</v>
      </c>
    </row>
    <row r="62" spans="2:6" x14ac:dyDescent="0.35">
      <c r="B62" s="661">
        <f t="shared" si="2"/>
        <v>43190</v>
      </c>
      <c r="C62" s="662">
        <v>42826</v>
      </c>
      <c r="D62" s="663">
        <v>13.713470000000001</v>
      </c>
      <c r="E62" s="664">
        <v>49719.953200000011</v>
      </c>
      <c r="F62" s="665">
        <f t="shared" si="3"/>
        <v>3625.6289035524933</v>
      </c>
    </row>
    <row r="63" spans="2:6" x14ac:dyDescent="0.35">
      <c r="B63" s="661">
        <f t="shared" si="2"/>
        <v>43190</v>
      </c>
      <c r="C63" s="662">
        <v>42856</v>
      </c>
      <c r="D63" s="663">
        <v>13.919404999999998</v>
      </c>
      <c r="E63" s="664">
        <v>51506.017805000018</v>
      </c>
      <c r="F63" s="665">
        <f t="shared" si="3"/>
        <v>3700.3031239481879</v>
      </c>
    </row>
    <row r="64" spans="2:6" x14ac:dyDescent="0.35">
      <c r="B64" s="661">
        <f t="shared" si="2"/>
        <v>43190</v>
      </c>
      <c r="C64" s="662">
        <v>42887</v>
      </c>
      <c r="D64" s="663">
        <v>13.413689999999999</v>
      </c>
      <c r="E64" s="664">
        <v>48676.888660000004</v>
      </c>
      <c r="F64" s="665">
        <f t="shared" si="3"/>
        <v>3628.8961993306843</v>
      </c>
    </row>
    <row r="65" spans="2:6" x14ac:dyDescent="0.35">
      <c r="B65" s="661">
        <f t="shared" si="2"/>
        <v>43190</v>
      </c>
      <c r="C65" s="662">
        <v>42917</v>
      </c>
      <c r="D65" s="663">
        <v>10.822749999999999</v>
      </c>
      <c r="E65" s="664">
        <v>40071.585426999998</v>
      </c>
      <c r="F65" s="665">
        <f t="shared" si="3"/>
        <v>3702.5326674828489</v>
      </c>
    </row>
    <row r="66" spans="2:6" x14ac:dyDescent="0.35">
      <c r="B66" s="661">
        <f t="shared" si="2"/>
        <v>43190</v>
      </c>
      <c r="C66" s="662">
        <v>42948</v>
      </c>
      <c r="D66" s="663">
        <v>14.015640000000001</v>
      </c>
      <c r="E66" s="664">
        <v>52184.167010000005</v>
      </c>
      <c r="F66" s="665">
        <f t="shared" si="3"/>
        <v>3723.2810638686497</v>
      </c>
    </row>
    <row r="67" spans="2:6" x14ac:dyDescent="0.35">
      <c r="B67" s="661">
        <f t="shared" si="2"/>
        <v>43190</v>
      </c>
      <c r="C67" s="662">
        <v>42979</v>
      </c>
      <c r="D67" s="663">
        <v>12.384319999999999</v>
      </c>
      <c r="E67" s="664">
        <v>46026.53269900001</v>
      </c>
      <c r="F67" s="665">
        <f t="shared" si="3"/>
        <v>3716.5167485174811</v>
      </c>
    </row>
    <row r="68" spans="2:6" x14ac:dyDescent="0.35">
      <c r="B68" s="661">
        <f t="shared" si="2"/>
        <v>43190</v>
      </c>
      <c r="C68" s="662">
        <v>43009</v>
      </c>
      <c r="D68" s="663">
        <v>3.06663</v>
      </c>
      <c r="E68" s="664">
        <v>11463.342480000001</v>
      </c>
      <c r="F68" s="665">
        <f t="shared" si="3"/>
        <v>3738.0911554377285</v>
      </c>
    </row>
    <row r="69" spans="2:6" x14ac:dyDescent="0.35">
      <c r="B69" s="661">
        <f t="shared" si="2"/>
        <v>43190</v>
      </c>
      <c r="C69" s="662">
        <v>43040</v>
      </c>
      <c r="D69" s="663">
        <v>9.10107</v>
      </c>
      <c r="E69" s="664">
        <v>32810.175216500007</v>
      </c>
      <c r="F69" s="665">
        <f t="shared" si="3"/>
        <v>3605.0898648730322</v>
      </c>
    </row>
    <row r="70" spans="2:6" x14ac:dyDescent="0.35">
      <c r="B70" s="661">
        <f t="shared" si="2"/>
        <v>43190</v>
      </c>
      <c r="C70" s="662">
        <v>43070</v>
      </c>
      <c r="D70" s="663">
        <v>14.68601</v>
      </c>
      <c r="E70" s="664">
        <v>49556.884112499996</v>
      </c>
      <c r="F70" s="665">
        <f t="shared" si="3"/>
        <v>3374.4280517649108</v>
      </c>
    </row>
    <row r="71" spans="2:6" x14ac:dyDescent="0.35">
      <c r="B71" s="661">
        <f t="shared" si="2"/>
        <v>43190</v>
      </c>
      <c r="C71" s="662">
        <v>43101</v>
      </c>
      <c r="D71" s="663">
        <v>13.77688</v>
      </c>
      <c r="E71" s="664">
        <v>44622.5951747</v>
      </c>
      <c r="F71" s="665">
        <f t="shared" si="3"/>
        <v>3238.9478005687788</v>
      </c>
    </row>
    <row r="72" spans="2:6" x14ac:dyDescent="0.35">
      <c r="B72" s="661">
        <f t="shared" si="2"/>
        <v>43190</v>
      </c>
      <c r="C72" s="662">
        <v>43132</v>
      </c>
      <c r="D72" s="663">
        <v>12.99039</v>
      </c>
      <c r="E72" s="664">
        <v>41108.993767</v>
      </c>
      <c r="F72" s="665">
        <f t="shared" si="3"/>
        <v>3164.5696370162868</v>
      </c>
    </row>
    <row r="73" spans="2:6" x14ac:dyDescent="0.35">
      <c r="B73" s="661">
        <f t="shared" si="2"/>
        <v>43190</v>
      </c>
      <c r="C73" s="662">
        <v>43160</v>
      </c>
      <c r="D73" s="663">
        <v>14.32958</v>
      </c>
      <c r="E73" s="664">
        <v>43593.396921500003</v>
      </c>
      <c r="F73" s="665">
        <f t="shared" si="3"/>
        <v>3042.1964161894489</v>
      </c>
    </row>
    <row r="74" spans="2:6" x14ac:dyDescent="0.35">
      <c r="B74" s="661">
        <f t="shared" si="2"/>
        <v>43555</v>
      </c>
      <c r="C74" s="662">
        <v>43191</v>
      </c>
      <c r="D74" s="663">
        <v>15.884680000000001</v>
      </c>
      <c r="E74" s="664">
        <v>44584.491674800003</v>
      </c>
      <c r="F74" s="665">
        <f t="shared" si="3"/>
        <v>2806.7604556591632</v>
      </c>
    </row>
    <row r="75" spans="2:6" x14ac:dyDescent="0.35">
      <c r="B75" s="661">
        <f t="shared" si="2"/>
        <v>43555</v>
      </c>
      <c r="C75" s="662">
        <v>43221</v>
      </c>
      <c r="D75" s="663">
        <v>18.410580000000003</v>
      </c>
      <c r="E75" s="664">
        <v>48516.718437799995</v>
      </c>
      <c r="F75" s="665">
        <f t="shared" si="3"/>
        <v>2635.2628998000055</v>
      </c>
    </row>
    <row r="76" spans="2:6" x14ac:dyDescent="0.35">
      <c r="B76" s="661">
        <f t="shared" si="2"/>
        <v>43555</v>
      </c>
      <c r="C76" s="662">
        <v>43252</v>
      </c>
      <c r="D76" s="663">
        <v>11.3247</v>
      </c>
      <c r="E76" s="664">
        <v>34532.294462999998</v>
      </c>
      <c r="F76" s="665">
        <f t="shared" si="3"/>
        <v>3049.29</v>
      </c>
    </row>
    <row r="77" spans="2:6" x14ac:dyDescent="0.35">
      <c r="B77" s="661">
        <f t="shared" si="2"/>
        <v>43555</v>
      </c>
      <c r="C77" s="662">
        <v>43282</v>
      </c>
      <c r="D77" s="663">
        <v>14.3658</v>
      </c>
      <c r="E77" s="664">
        <v>46810.384667999999</v>
      </c>
      <c r="F77" s="665">
        <f t="shared" si="3"/>
        <v>3258.46</v>
      </c>
    </row>
    <row r="78" spans="2:6" x14ac:dyDescent="0.35">
      <c r="B78" s="661">
        <f t="shared" si="2"/>
        <v>43555</v>
      </c>
      <c r="C78" s="662">
        <v>43313</v>
      </c>
      <c r="D78" s="663">
        <v>15.566549999999999</v>
      </c>
      <c r="E78" s="664">
        <v>50040.231630000002</v>
      </c>
      <c r="F78" s="665">
        <f t="shared" si="3"/>
        <v>3214.6000000000004</v>
      </c>
    </row>
    <row r="79" spans="2:6" x14ac:dyDescent="0.35">
      <c r="B79" s="661">
        <f t="shared" si="2"/>
        <v>43555</v>
      </c>
      <c r="C79" s="662">
        <v>43344</v>
      </c>
      <c r="D79" s="663">
        <v>13.998149999999999</v>
      </c>
      <c r="E79" s="664">
        <v>43680.527167499997</v>
      </c>
      <c r="F79" s="665">
        <f t="shared" si="3"/>
        <v>3120.45</v>
      </c>
    </row>
    <row r="80" spans="2:6" x14ac:dyDescent="0.35">
      <c r="B80" s="661">
        <f t="shared" si="2"/>
        <v>43555</v>
      </c>
      <c r="C80" s="662">
        <v>43374</v>
      </c>
      <c r="D80" s="663">
        <v>14.407129999999997</v>
      </c>
      <c r="E80" s="664">
        <v>46995.193632200004</v>
      </c>
      <c r="F80" s="665">
        <f t="shared" si="3"/>
        <v>3261.940000000001</v>
      </c>
    </row>
    <row r="81" spans="2:6" x14ac:dyDescent="0.35">
      <c r="B81" s="661">
        <f t="shared" si="2"/>
        <v>43555</v>
      </c>
      <c r="C81" s="662">
        <v>43405</v>
      </c>
      <c r="D81" s="663">
        <v>12.082330000000001</v>
      </c>
      <c r="E81" s="664">
        <v>38002.069255800001</v>
      </c>
      <c r="F81" s="665">
        <f t="shared" si="3"/>
        <v>3145.2599999999998</v>
      </c>
    </row>
    <row r="82" spans="2:6" x14ac:dyDescent="0.35">
      <c r="B82" s="661">
        <f t="shared" si="2"/>
        <v>43555</v>
      </c>
      <c r="C82" s="662">
        <v>43435</v>
      </c>
      <c r="D82" s="663">
        <v>19.787469999999999</v>
      </c>
      <c r="E82" s="664">
        <v>60400.064926800005</v>
      </c>
      <c r="F82" s="665">
        <f t="shared" si="3"/>
        <v>3052.4400000000005</v>
      </c>
    </row>
    <row r="83" spans="2:6" x14ac:dyDescent="0.35">
      <c r="B83" s="661">
        <f t="shared" si="2"/>
        <v>43555</v>
      </c>
      <c r="C83" s="662">
        <v>43466</v>
      </c>
      <c r="D83" s="663">
        <v>22.395479999999999</v>
      </c>
      <c r="E83" s="664">
        <v>70016.332852800013</v>
      </c>
      <c r="F83" s="665">
        <f t="shared" si="3"/>
        <v>3126.3600000000006</v>
      </c>
    </row>
    <row r="84" spans="2:6" x14ac:dyDescent="0.35">
      <c r="B84" s="661">
        <f t="shared" si="2"/>
        <v>43555</v>
      </c>
      <c r="C84" s="662">
        <v>43497</v>
      </c>
      <c r="D84" s="663">
        <v>19.568300000000004</v>
      </c>
      <c r="E84" s="664">
        <v>61078.143424000009</v>
      </c>
      <c r="F84" s="665">
        <f t="shared" si="3"/>
        <v>3121.2799999999997</v>
      </c>
    </row>
    <row r="85" spans="2:6" x14ac:dyDescent="0.35">
      <c r="B85" s="661">
        <f t="shared" si="2"/>
        <v>43555</v>
      </c>
      <c r="C85" s="662">
        <v>43525</v>
      </c>
      <c r="D85" s="663">
        <v>17.524819999999998</v>
      </c>
      <c r="E85" s="664">
        <v>53996.248646599997</v>
      </c>
      <c r="F85" s="665">
        <f t="shared" si="3"/>
        <v>3081.13</v>
      </c>
    </row>
    <row r="86" spans="2:6" x14ac:dyDescent="0.35">
      <c r="B86" s="661">
        <f t="shared" si="2"/>
        <v>43921</v>
      </c>
      <c r="C86" s="662">
        <v>43556</v>
      </c>
      <c r="D86" s="663">
        <v>17.17276</v>
      </c>
      <c r="E86" s="664">
        <v>53763.167735000003</v>
      </c>
      <c r="F86" s="665">
        <f t="shared" si="3"/>
        <v>3130.7237587318523</v>
      </c>
    </row>
    <row r="87" spans="2:6" x14ac:dyDescent="0.35">
      <c r="B87" s="661">
        <f t="shared" si="2"/>
        <v>43921</v>
      </c>
      <c r="C87" s="662">
        <v>43586</v>
      </c>
      <c r="D87" s="663">
        <v>15.073969999999999</v>
      </c>
      <c r="E87" s="664">
        <v>49415.025439999998</v>
      </c>
      <c r="F87" s="665">
        <f t="shared" si="3"/>
        <v>3278.1692838714685</v>
      </c>
    </row>
    <row r="88" spans="2:6" x14ac:dyDescent="0.35">
      <c r="B88" s="661">
        <f t="shared" si="2"/>
        <v>43921</v>
      </c>
      <c r="C88" s="662">
        <v>43617</v>
      </c>
      <c r="D88" s="663">
        <v>13.25348</v>
      </c>
      <c r="E88" s="664">
        <v>43464.646009999997</v>
      </c>
      <c r="F88" s="665">
        <f t="shared" si="3"/>
        <v>3279.4893122410112</v>
      </c>
    </row>
    <row r="89" spans="2:6" x14ac:dyDescent="0.35">
      <c r="B89" s="661">
        <f t="shared" si="2"/>
        <v>43921</v>
      </c>
      <c r="C89" s="662">
        <v>43647</v>
      </c>
      <c r="D89" s="663">
        <v>13.01214</v>
      </c>
      <c r="E89" s="664">
        <v>41529.948800000006</v>
      </c>
      <c r="F89" s="665">
        <f t="shared" si="3"/>
        <v>3191.6309538630849</v>
      </c>
    </row>
    <row r="90" spans="2:6" x14ac:dyDescent="0.35">
      <c r="B90" s="661">
        <f t="shared" si="2"/>
        <v>43921</v>
      </c>
      <c r="C90" s="662">
        <v>43678</v>
      </c>
      <c r="D90" s="663">
        <v>13.926929999999999</v>
      </c>
      <c r="E90" s="664">
        <v>46120.510349999997</v>
      </c>
      <c r="F90" s="665">
        <f t="shared" si="3"/>
        <v>3311.6063877681586</v>
      </c>
    </row>
    <row r="91" spans="2:6" x14ac:dyDescent="0.35">
      <c r="B91" s="661">
        <f t="shared" ref="B91:B115" si="9">DATE(IF(MONTH(C91)&gt;3,YEAR(C91)+1,YEAR(C91)),3,31)</f>
        <v>43921</v>
      </c>
      <c r="C91" s="662">
        <v>43709</v>
      </c>
      <c r="D91" s="663">
        <v>13.114079999999998</v>
      </c>
      <c r="E91" s="664">
        <v>44475.153759999994</v>
      </c>
      <c r="F91" s="665">
        <f t="shared" ref="F91:F115" si="10">+E91/D91</f>
        <v>3391.4047924063298</v>
      </c>
    </row>
    <row r="92" spans="2:6" x14ac:dyDescent="0.35">
      <c r="B92" s="661">
        <f t="shared" si="9"/>
        <v>43921</v>
      </c>
      <c r="C92" s="662">
        <v>43739</v>
      </c>
      <c r="D92" s="663">
        <v>14.156519999999997</v>
      </c>
      <c r="E92" s="664">
        <v>47509.609934999986</v>
      </c>
      <c r="F92" s="665">
        <f t="shared" si="10"/>
        <v>3356.0232271066616</v>
      </c>
    </row>
    <row r="93" spans="2:6" x14ac:dyDescent="0.35">
      <c r="B93" s="661">
        <f t="shared" si="9"/>
        <v>43921</v>
      </c>
      <c r="C93" s="662">
        <v>43770</v>
      </c>
      <c r="D93" s="663">
        <v>14.940339999999999</v>
      </c>
      <c r="E93" s="664">
        <v>49528.848135</v>
      </c>
      <c r="F93" s="665">
        <f t="shared" si="10"/>
        <v>3315.1085005428258</v>
      </c>
    </row>
    <row r="94" spans="2:6" x14ac:dyDescent="0.35">
      <c r="B94" s="661">
        <f t="shared" si="9"/>
        <v>43921</v>
      </c>
      <c r="C94" s="662">
        <v>43800</v>
      </c>
      <c r="D94" s="663">
        <v>19.661859999999997</v>
      </c>
      <c r="E94" s="664">
        <v>63891.575169999989</v>
      </c>
      <c r="F94" s="665">
        <f t="shared" si="10"/>
        <v>3249.518365505603</v>
      </c>
    </row>
    <row r="95" spans="2:6" x14ac:dyDescent="0.35">
      <c r="B95" s="661">
        <f t="shared" si="9"/>
        <v>43921</v>
      </c>
      <c r="C95" s="662">
        <v>43831</v>
      </c>
      <c r="D95" s="663">
        <v>19.751280000000001</v>
      </c>
      <c r="E95" s="664">
        <v>65028.207205000006</v>
      </c>
      <c r="F95" s="665">
        <f t="shared" si="10"/>
        <v>3292.3540755333324</v>
      </c>
    </row>
    <row r="96" spans="2:6" x14ac:dyDescent="0.35">
      <c r="B96" s="661">
        <f t="shared" si="9"/>
        <v>43921</v>
      </c>
      <c r="C96" s="662">
        <v>43862</v>
      </c>
      <c r="D96" s="663">
        <v>18.244840000000003</v>
      </c>
      <c r="E96" s="664">
        <v>59059.484590000007</v>
      </c>
      <c r="F96" s="665">
        <f t="shared" si="10"/>
        <v>3237.0513849395224</v>
      </c>
    </row>
    <row r="97" spans="2:6" x14ac:dyDescent="0.35">
      <c r="B97" s="661">
        <f t="shared" si="9"/>
        <v>43921</v>
      </c>
      <c r="C97" s="662">
        <v>43891</v>
      </c>
      <c r="D97" s="663">
        <v>14.727970000000003</v>
      </c>
      <c r="E97" s="664">
        <v>46772.010642500005</v>
      </c>
      <c r="F97" s="665">
        <f t="shared" si="10"/>
        <v>3175.7269089019055</v>
      </c>
    </row>
    <row r="98" spans="2:6" x14ac:dyDescent="0.35">
      <c r="B98" s="661">
        <f t="shared" si="9"/>
        <v>44286</v>
      </c>
      <c r="C98" s="662">
        <v>43922</v>
      </c>
      <c r="D98" s="663">
        <v>9.8964599999999994</v>
      </c>
      <c r="E98" s="664">
        <v>31196.80293369999</v>
      </c>
      <c r="F98" s="665">
        <f t="shared" si="10"/>
        <v>3152.319408525876</v>
      </c>
    </row>
    <row r="99" spans="2:6" x14ac:dyDescent="0.35">
      <c r="B99" s="661">
        <f t="shared" si="9"/>
        <v>44286</v>
      </c>
      <c r="C99" s="662">
        <v>43952</v>
      </c>
      <c r="D99" s="663">
        <v>14.536300000000001</v>
      </c>
      <c r="E99" s="664">
        <v>45575.638808000011</v>
      </c>
      <c r="F99" s="665">
        <f t="shared" si="10"/>
        <v>3135.2984465097725</v>
      </c>
    </row>
    <row r="100" spans="2:6" x14ac:dyDescent="0.35">
      <c r="B100" s="661">
        <f t="shared" si="9"/>
        <v>44286</v>
      </c>
      <c r="C100" s="662">
        <v>43983</v>
      </c>
      <c r="D100" s="663">
        <v>13.510350000000001</v>
      </c>
      <c r="E100" s="664">
        <v>43661.229772799867</v>
      </c>
      <c r="F100" s="665">
        <f t="shared" si="10"/>
        <v>3231.6875412405943</v>
      </c>
    </row>
    <row r="101" spans="2:6" x14ac:dyDescent="0.35">
      <c r="B101" s="661">
        <f t="shared" si="9"/>
        <v>44286</v>
      </c>
      <c r="C101" s="662">
        <v>44013</v>
      </c>
      <c r="D101" s="663">
        <v>13.8436</v>
      </c>
      <c r="E101" s="664">
        <v>45449.551607199915</v>
      </c>
      <c r="F101" s="665">
        <f t="shared" si="10"/>
        <v>3283.0731606807417</v>
      </c>
    </row>
    <row r="102" spans="2:6" x14ac:dyDescent="0.35">
      <c r="B102" s="661">
        <f t="shared" si="9"/>
        <v>44286</v>
      </c>
      <c r="C102" s="662">
        <v>44044</v>
      </c>
      <c r="D102" s="663">
        <v>14.742760000000001</v>
      </c>
      <c r="E102" s="664">
        <v>48113.178038200007</v>
      </c>
      <c r="F102" s="665">
        <f t="shared" si="10"/>
        <v>3263.5122621680071</v>
      </c>
    </row>
    <row r="103" spans="2:6" x14ac:dyDescent="0.35">
      <c r="B103" s="661">
        <f t="shared" si="9"/>
        <v>44286</v>
      </c>
      <c r="C103" s="662">
        <v>44075</v>
      </c>
      <c r="D103" s="663">
        <v>15.785220000000001</v>
      </c>
      <c r="E103" s="664">
        <v>51364.182345000001</v>
      </c>
      <c r="F103" s="665">
        <f t="shared" si="10"/>
        <v>3253.9414936883995</v>
      </c>
    </row>
    <row r="104" spans="2:6" x14ac:dyDescent="0.35">
      <c r="B104" s="661">
        <f t="shared" si="9"/>
        <v>44286</v>
      </c>
      <c r="C104" s="662">
        <v>44105</v>
      </c>
      <c r="D104" s="663">
        <v>16.762789999999999</v>
      </c>
      <c r="E104" s="664">
        <v>53095.864150000001</v>
      </c>
      <c r="F104" s="665">
        <f t="shared" si="10"/>
        <v>3167.4837034885009</v>
      </c>
    </row>
    <row r="105" spans="2:6" x14ac:dyDescent="0.35">
      <c r="B105" s="661">
        <f t="shared" si="9"/>
        <v>44286</v>
      </c>
      <c r="C105" s="662">
        <v>44136</v>
      </c>
      <c r="D105" s="663">
        <v>15.231629999999999</v>
      </c>
      <c r="E105" s="664">
        <v>49125.818469999998</v>
      </c>
      <c r="F105" s="665">
        <f t="shared" si="10"/>
        <v>3225.2502503015107</v>
      </c>
    </row>
    <row r="106" spans="2:6" x14ac:dyDescent="0.35">
      <c r="B106" s="661">
        <f t="shared" si="9"/>
        <v>44286</v>
      </c>
      <c r="C106" s="662">
        <v>44166</v>
      </c>
      <c r="D106" s="663">
        <v>17.17144</v>
      </c>
      <c r="E106" s="664">
        <v>55443.794755000003</v>
      </c>
      <c r="F106" s="665">
        <f t="shared" si="10"/>
        <v>3228.8378117967977</v>
      </c>
    </row>
    <row r="107" spans="2:6" x14ac:dyDescent="0.35">
      <c r="B107" s="661">
        <f t="shared" si="9"/>
        <v>44286</v>
      </c>
      <c r="C107" s="662">
        <v>44197</v>
      </c>
      <c r="D107" s="663">
        <v>20.293970000000002</v>
      </c>
      <c r="E107" s="664">
        <v>64166.881859799978</v>
      </c>
      <c r="F107" s="665">
        <f t="shared" si="10"/>
        <v>3161.8693562570543</v>
      </c>
    </row>
    <row r="108" spans="2:6" x14ac:dyDescent="0.35">
      <c r="B108" s="661">
        <f t="shared" si="9"/>
        <v>44286</v>
      </c>
      <c r="C108" s="662">
        <v>44228</v>
      </c>
      <c r="D108" s="663">
        <v>18.931819999999998</v>
      </c>
      <c r="E108" s="664">
        <v>59880.014710399992</v>
      </c>
      <c r="F108" s="665">
        <f t="shared" si="10"/>
        <v>3162.9296449258441</v>
      </c>
    </row>
    <row r="109" spans="2:6" x14ac:dyDescent="0.35">
      <c r="B109" s="661">
        <f t="shared" si="9"/>
        <v>44286</v>
      </c>
      <c r="C109" s="662">
        <v>44256</v>
      </c>
      <c r="D109" s="663">
        <v>14.55964</v>
      </c>
      <c r="E109" s="664">
        <v>45984.081397799957</v>
      </c>
      <c r="F109" s="665">
        <f t="shared" si="10"/>
        <v>3158.3254392141534</v>
      </c>
    </row>
    <row r="110" spans="2:6" x14ac:dyDescent="0.35">
      <c r="B110" s="661">
        <f t="shared" si="9"/>
        <v>44651</v>
      </c>
      <c r="C110" s="662">
        <v>44287</v>
      </c>
      <c r="D110" s="663">
        <v>11.035170000000001</v>
      </c>
      <c r="E110" s="664">
        <v>36281.04000399998</v>
      </c>
      <c r="F110" s="665">
        <f t="shared" si="10"/>
        <v>3287.7644842807113</v>
      </c>
    </row>
    <row r="111" spans="2:6" x14ac:dyDescent="0.35">
      <c r="B111" s="661">
        <f t="shared" si="9"/>
        <v>44651</v>
      </c>
      <c r="C111" s="662">
        <v>44317</v>
      </c>
      <c r="D111" s="663">
        <v>9.7087500000000002</v>
      </c>
      <c r="E111" s="664">
        <v>31898.134149599973</v>
      </c>
      <c r="F111" s="665">
        <f t="shared" si="10"/>
        <v>3285.503710529159</v>
      </c>
    </row>
    <row r="112" spans="2:6" x14ac:dyDescent="0.35">
      <c r="B112" s="661">
        <f t="shared" si="9"/>
        <v>44651</v>
      </c>
      <c r="C112" s="662">
        <v>44348</v>
      </c>
      <c r="D112" s="663">
        <v>11.20867</v>
      </c>
      <c r="E112" s="664">
        <v>36221.068294399804</v>
      </c>
      <c r="F112" s="665">
        <f t="shared" si="10"/>
        <v>3231.5224102770271</v>
      </c>
    </row>
    <row r="113" spans="2:6" x14ac:dyDescent="0.35">
      <c r="B113" s="661">
        <f t="shared" si="9"/>
        <v>44651</v>
      </c>
      <c r="C113" s="662">
        <v>44378</v>
      </c>
      <c r="D113" s="663">
        <v>11.042960000000001</v>
      </c>
      <c r="E113" s="664">
        <v>35383.399037799958</v>
      </c>
      <c r="F113" s="665">
        <f t="shared" si="10"/>
        <v>3204.1589426928972</v>
      </c>
    </row>
    <row r="114" spans="2:6" x14ac:dyDescent="0.35">
      <c r="B114" s="661">
        <f t="shared" si="9"/>
        <v>44651</v>
      </c>
      <c r="C114" s="662">
        <v>44409</v>
      </c>
      <c r="D114" s="663">
        <v>11.049250000000001</v>
      </c>
      <c r="E114" s="664">
        <v>37529.523685599997</v>
      </c>
      <c r="F114" s="665">
        <f t="shared" si="10"/>
        <v>3396.5675213792788</v>
      </c>
    </row>
    <row r="115" spans="2:6" x14ac:dyDescent="0.35">
      <c r="B115" s="661">
        <f t="shared" si="9"/>
        <v>44651</v>
      </c>
      <c r="C115" s="662">
        <v>44440</v>
      </c>
      <c r="D115" s="663">
        <v>10.88068</v>
      </c>
      <c r="E115" s="664">
        <v>39417.593681999999</v>
      </c>
      <c r="F115" s="665">
        <f t="shared" si="10"/>
        <v>3622.7141761360504</v>
      </c>
    </row>
  </sheetData>
  <pageMargins left="0.7" right="0.7" top="0.75" bottom="0.75" header="0.3" footer="0.3"/>
  <pageSetup paperSize="9" orientation="portrait" horizontalDpi="3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dimension ref="D1"/>
  <sheetViews>
    <sheetView workbookViewId="0">
      <selection activeCell="E8" sqref="E8"/>
    </sheetView>
  </sheetViews>
  <sheetFormatPr defaultRowHeight="14.5" x14ac:dyDescent="0.35"/>
  <cols>
    <col min="4" max="4" width="9.1796875" style="658"/>
  </cols>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showGridLines="0" zoomScale="90" zoomScaleNormal="90" workbookViewId="0">
      <selection activeCell="D32" sqref="D32"/>
    </sheetView>
  </sheetViews>
  <sheetFormatPr defaultRowHeight="14.5" x14ac:dyDescent="0.35"/>
  <cols>
    <col min="1" max="1" width="10" bestFit="1" customWidth="1"/>
  </cols>
  <sheetData>
    <row r="1" spans="1:1" x14ac:dyDescent="0.35">
      <c r="A1" s="2" t="s">
        <v>624</v>
      </c>
    </row>
  </sheetData>
  <pageMargins left="0.7" right="0.7" top="0.75" bottom="0.75" header="0.3" footer="0.3"/>
  <pageSetup paperSize="9" orientation="portrait" horizontalDpi="30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7"/>
  </sheetPr>
  <dimension ref="A1:AJ200"/>
  <sheetViews>
    <sheetView showGridLines="0" tabSelected="1" zoomScale="80" zoomScaleNormal="80" workbookViewId="0">
      <pane xSplit="4" ySplit="5" topLeftCell="E6" activePane="bottomRight" state="frozen"/>
      <selection pane="topRight" activeCell="E1" sqref="E1"/>
      <selection pane="bottomLeft" activeCell="A6" sqref="A6"/>
      <selection pane="bottomRight" activeCell="I145" sqref="I145"/>
    </sheetView>
  </sheetViews>
  <sheetFormatPr defaultColWidth="8.54296875" defaultRowHeight="14.5" outlineLevelCol="1" x14ac:dyDescent="0.35"/>
  <cols>
    <col min="1" max="1" width="7.54296875" style="58" bestFit="1" customWidth="1"/>
    <col min="2" max="2" width="48.453125" style="58" bestFit="1" customWidth="1"/>
    <col min="3" max="3" width="25.7265625" style="72" customWidth="1"/>
    <col min="4" max="4" width="12.453125" style="58" customWidth="1"/>
    <col min="5" max="9" width="11.453125" style="58" customWidth="1" outlineLevel="1"/>
    <col min="10" max="17" width="10.26953125" style="58" bestFit="1" customWidth="1"/>
    <col min="18" max="19" width="10.26953125" style="58" hidden="1" customWidth="1"/>
    <col min="20" max="20" width="10" style="58" hidden="1" customWidth="1"/>
    <col min="21" max="21" width="11.453125" style="72" hidden="1" customWidth="1"/>
    <col min="22" max="30" width="11.453125" style="72" bestFit="1" customWidth="1"/>
    <col min="31" max="16384" width="8.54296875" style="58"/>
  </cols>
  <sheetData>
    <row r="1" spans="1:30" s="1341" customFormat="1" ht="23.25" customHeight="1" x14ac:dyDescent="0.35">
      <c r="C1" s="1342"/>
      <c r="U1" s="1342"/>
      <c r="V1" s="1342"/>
      <c r="W1" s="1342"/>
      <c r="X1" s="1342"/>
      <c r="Y1" s="1342"/>
      <c r="Z1" s="1342"/>
      <c r="AA1" s="1342"/>
      <c r="AB1" s="1342"/>
      <c r="AC1" s="1342"/>
      <c r="AD1" s="1342"/>
    </row>
    <row r="2" spans="1:30" s="1341" customFormat="1" x14ac:dyDescent="0.35">
      <c r="B2" s="1343" t="s">
        <v>1396</v>
      </c>
      <c r="C2" s="1342"/>
      <c r="U2" s="1342"/>
      <c r="V2" s="1342"/>
      <c r="W2" s="1342"/>
      <c r="X2" s="1342"/>
      <c r="Y2" s="1342"/>
      <c r="Z2" s="1342"/>
      <c r="AA2" s="1342"/>
      <c r="AB2" s="1342"/>
      <c r="AC2" s="1342"/>
      <c r="AD2" s="1342"/>
    </row>
    <row r="3" spans="1:30" x14ac:dyDescent="0.35">
      <c r="J3" s="565"/>
      <c r="K3" s="565"/>
      <c r="L3" s="575"/>
      <c r="M3" s="565"/>
      <c r="N3" s="565"/>
      <c r="O3" s="565"/>
      <c r="P3" s="565"/>
      <c r="Q3" s="565"/>
      <c r="R3" s="565"/>
      <c r="S3" s="565"/>
    </row>
    <row r="4" spans="1:30" s="51" customFormat="1" x14ac:dyDescent="0.35">
      <c r="B4" s="54" t="s">
        <v>366</v>
      </c>
      <c r="C4" s="87"/>
      <c r="D4" s="55"/>
      <c r="E4" s="56">
        <f>EOMONTH(F4,-12)</f>
        <v>43190</v>
      </c>
      <c r="F4" s="56">
        <f>EOMONTH(G4,-12)</f>
        <v>43555</v>
      </c>
      <c r="G4" s="56">
        <v>43921</v>
      </c>
      <c r="H4" s="56">
        <f>EOMONTH(G4,12)</f>
        <v>44286</v>
      </c>
      <c r="I4" s="56">
        <f>EOMONTH(H4,12)</f>
        <v>44651</v>
      </c>
      <c r="J4" s="56">
        <f>EOMONTH(I4,12)</f>
        <v>45016</v>
      </c>
      <c r="K4" s="56">
        <f t="shared" ref="K4:P4" si="0">EOMONTH(J4,12)</f>
        <v>45382</v>
      </c>
      <c r="L4" s="56">
        <f t="shared" si="0"/>
        <v>45747</v>
      </c>
      <c r="M4" s="56">
        <f t="shared" si="0"/>
        <v>46112</v>
      </c>
      <c r="N4" s="56">
        <f t="shared" si="0"/>
        <v>46477</v>
      </c>
      <c r="O4" s="56">
        <f t="shared" si="0"/>
        <v>46843</v>
      </c>
      <c r="P4" s="56">
        <f t="shared" si="0"/>
        <v>47208</v>
      </c>
      <c r="Q4" s="56">
        <f>EOMONTH(P4,12)</f>
        <v>47573</v>
      </c>
      <c r="R4" s="56">
        <f>EOMONTH(Q4,12)</f>
        <v>47938</v>
      </c>
      <c r="S4" s="56">
        <f>EOMONTH(R4,12)</f>
        <v>48304</v>
      </c>
      <c r="U4" s="108"/>
      <c r="V4" s="108"/>
      <c r="W4" s="108"/>
      <c r="X4" s="108"/>
      <c r="Y4" s="108"/>
      <c r="Z4" s="108"/>
      <c r="AA4" s="108"/>
      <c r="AB4" s="108"/>
      <c r="AC4" s="108"/>
      <c r="AD4" s="108"/>
    </row>
    <row r="5" spans="1:30" s="51" customFormat="1" x14ac:dyDescent="0.35">
      <c r="B5" s="54" t="s">
        <v>251</v>
      </c>
      <c r="C5" s="88" t="s">
        <v>369</v>
      </c>
      <c r="D5" s="54" t="s">
        <v>348</v>
      </c>
      <c r="E5" s="56" t="s">
        <v>367</v>
      </c>
      <c r="F5" s="56" t="s">
        <v>367</v>
      </c>
      <c r="G5" s="56" t="s">
        <v>367</v>
      </c>
      <c r="H5" s="56" t="s">
        <v>367</v>
      </c>
      <c r="I5" s="56" t="s">
        <v>367</v>
      </c>
      <c r="J5" s="56" t="s">
        <v>368</v>
      </c>
      <c r="K5" s="56" t="s">
        <v>368</v>
      </c>
      <c r="L5" s="56" t="s">
        <v>368</v>
      </c>
      <c r="M5" s="56" t="s">
        <v>368</v>
      </c>
      <c r="N5" s="56" t="s">
        <v>368</v>
      </c>
      <c r="O5" s="56" t="s">
        <v>368</v>
      </c>
      <c r="P5" s="56" t="s">
        <v>368</v>
      </c>
      <c r="Q5" s="56" t="s">
        <v>368</v>
      </c>
      <c r="R5" s="56" t="s">
        <v>368</v>
      </c>
      <c r="S5" s="56" t="s">
        <v>368</v>
      </c>
      <c r="U5" s="86"/>
      <c r="V5" s="86"/>
      <c r="W5" s="86"/>
      <c r="X5" s="86"/>
      <c r="Y5" s="86"/>
      <c r="Z5" s="86"/>
      <c r="AA5" s="86"/>
      <c r="AB5" s="86"/>
      <c r="AC5" s="86"/>
      <c r="AD5" s="86"/>
    </row>
    <row r="6" spans="1:30" s="430" customFormat="1" x14ac:dyDescent="0.35">
      <c r="A6" s="528" t="s">
        <v>836</v>
      </c>
      <c r="B6" s="504" t="s">
        <v>812</v>
      </c>
      <c r="C6" s="505"/>
      <c r="D6" s="504"/>
      <c r="E6" s="506"/>
      <c r="F6" s="506"/>
      <c r="G6" s="506"/>
      <c r="H6" s="506"/>
      <c r="I6" s="506"/>
      <c r="J6" s="506"/>
      <c r="K6" s="506"/>
      <c r="L6" s="506"/>
      <c r="M6" s="506"/>
      <c r="N6" s="506"/>
      <c r="O6" s="506"/>
      <c r="P6" s="506"/>
      <c r="Q6" s="506"/>
      <c r="R6" s="506"/>
      <c r="S6" s="506"/>
      <c r="U6" s="507"/>
      <c r="V6" s="507"/>
      <c r="W6" s="507"/>
      <c r="X6" s="507"/>
      <c r="Y6" s="507"/>
      <c r="Z6" s="507"/>
      <c r="AA6" s="507"/>
      <c r="AB6" s="507"/>
      <c r="AC6" s="507"/>
      <c r="AD6" s="507"/>
    </row>
    <row r="7" spans="1:30" s="51" customFormat="1" x14ac:dyDescent="0.35">
      <c r="B7" s="79" t="s">
        <v>354</v>
      </c>
      <c r="C7" s="89"/>
      <c r="D7" s="79"/>
      <c r="E7" s="79"/>
      <c r="F7" s="79"/>
      <c r="G7" s="82"/>
      <c r="H7" s="82"/>
      <c r="I7" s="82"/>
      <c r="J7" s="82"/>
      <c r="K7" s="82"/>
      <c r="L7" s="82"/>
      <c r="M7" s="82"/>
      <c r="N7" s="82"/>
      <c r="O7" s="82"/>
      <c r="P7" s="82"/>
      <c r="Q7" s="82"/>
      <c r="R7" s="82"/>
      <c r="S7" s="82"/>
      <c r="U7" s="86"/>
      <c r="V7" s="86"/>
      <c r="W7" s="86"/>
      <c r="X7" s="86"/>
      <c r="Y7" s="86"/>
      <c r="Z7" s="86"/>
      <c r="AA7" s="86"/>
      <c r="AB7" s="86"/>
      <c r="AC7" s="86"/>
      <c r="AD7" s="86"/>
    </row>
    <row r="8" spans="1:30" x14ac:dyDescent="0.35">
      <c r="B8" s="68" t="s">
        <v>360</v>
      </c>
      <c r="C8" s="90"/>
      <c r="D8" s="57"/>
      <c r="E8" s="547">
        <f>'Plant-wise details'!F49</f>
        <v>139.92857142857142</v>
      </c>
      <c r="F8" s="547">
        <f>'Plant-wise details'!G49</f>
        <v>165.21428571428572</v>
      </c>
      <c r="G8" s="547">
        <f>'Plant-wise details'!H49</f>
        <v>157.85714285714286</v>
      </c>
      <c r="H8" s="547">
        <f>'Plant-wise details'!I49</f>
        <v>149.57142857142858</v>
      </c>
      <c r="I8" s="547">
        <f>'Plant-wise details'!J49</f>
        <v>126.64285714285714</v>
      </c>
      <c r="J8" s="59">
        <v>150</v>
      </c>
      <c r="K8" s="60">
        <f>J8</f>
        <v>150</v>
      </c>
      <c r="L8" s="60">
        <f t="shared" ref="L8:P8" si="1">K8</f>
        <v>150</v>
      </c>
      <c r="M8" s="60">
        <f t="shared" si="1"/>
        <v>150</v>
      </c>
      <c r="N8" s="60">
        <f t="shared" si="1"/>
        <v>150</v>
      </c>
      <c r="O8" s="60">
        <f t="shared" si="1"/>
        <v>150</v>
      </c>
      <c r="P8" s="60">
        <f t="shared" si="1"/>
        <v>150</v>
      </c>
      <c r="Q8" s="60">
        <f t="shared" ref="Q8:S9" si="2">P8</f>
        <v>150</v>
      </c>
      <c r="R8" s="60">
        <f t="shared" si="2"/>
        <v>150</v>
      </c>
      <c r="S8" s="60">
        <f t="shared" si="2"/>
        <v>150</v>
      </c>
      <c r="T8" s="565"/>
      <c r="U8" s="361"/>
      <c r="V8" s="109"/>
      <c r="W8" s="109"/>
      <c r="X8" s="109"/>
      <c r="Y8" s="109"/>
      <c r="Z8" s="109"/>
      <c r="AA8" s="109"/>
      <c r="AB8" s="109"/>
      <c r="AC8" s="109"/>
      <c r="AD8" s="109"/>
    </row>
    <row r="9" spans="1:30" x14ac:dyDescent="0.35">
      <c r="B9" s="68" t="s">
        <v>575</v>
      </c>
      <c r="C9" s="70" t="s">
        <v>5</v>
      </c>
      <c r="D9" s="57"/>
      <c r="E9" s="521">
        <f>'Plant-wise details'!D28/10^5</f>
        <v>13.6</v>
      </c>
      <c r="F9" s="521">
        <f>'Plant-wise details'!E28/10^5</f>
        <v>13.6</v>
      </c>
      <c r="G9" s="521">
        <f>'Plant-wise details'!F28/10^5</f>
        <v>13.6</v>
      </c>
      <c r="H9" s="521">
        <f>'Plant-wise details'!G28/10^5</f>
        <v>13.6</v>
      </c>
      <c r="I9" s="521">
        <f>'Plant-wise details'!J28/10^5</f>
        <v>13.6</v>
      </c>
      <c r="J9" s="60">
        <f>I9</f>
        <v>13.6</v>
      </c>
      <c r="K9" s="60">
        <f t="shared" ref="K9:P9" si="3">J9</f>
        <v>13.6</v>
      </c>
      <c r="L9" s="60">
        <f t="shared" si="3"/>
        <v>13.6</v>
      </c>
      <c r="M9" s="60">
        <f t="shared" si="3"/>
        <v>13.6</v>
      </c>
      <c r="N9" s="60">
        <f t="shared" si="3"/>
        <v>13.6</v>
      </c>
      <c r="O9" s="60">
        <f t="shared" si="3"/>
        <v>13.6</v>
      </c>
      <c r="P9" s="60">
        <f t="shared" si="3"/>
        <v>13.6</v>
      </c>
      <c r="Q9" s="60">
        <f t="shared" si="2"/>
        <v>13.6</v>
      </c>
      <c r="R9" s="60">
        <f t="shared" si="2"/>
        <v>13.6</v>
      </c>
      <c r="S9" s="60">
        <f t="shared" si="2"/>
        <v>13.6</v>
      </c>
      <c r="T9" s="565"/>
      <c r="U9" s="361"/>
      <c r="V9" s="109"/>
      <c r="W9" s="109"/>
      <c r="X9" s="109"/>
      <c r="Y9" s="109"/>
      <c r="Z9" s="109"/>
      <c r="AA9" s="109"/>
      <c r="AB9" s="109"/>
      <c r="AC9" s="109"/>
      <c r="AD9" s="109"/>
    </row>
    <row r="10" spans="1:30" x14ac:dyDescent="0.35">
      <c r="B10" s="68" t="s">
        <v>829</v>
      </c>
      <c r="C10" s="70" t="s">
        <v>5</v>
      </c>
      <c r="D10" s="57"/>
      <c r="E10" s="521">
        <f>'Plant-wise details'!F73/10^5</f>
        <v>1919.4</v>
      </c>
      <c r="F10" s="521">
        <f>'Plant-wise details'!G73/10^5</f>
        <v>2257.1</v>
      </c>
      <c r="G10" s="521">
        <f>'Plant-wise details'!H73/10^5</f>
        <v>2155.9</v>
      </c>
      <c r="H10" s="521">
        <f>'Plant-wise details'!I73/10^5</f>
        <v>2049.8000000000002</v>
      </c>
      <c r="I10" s="521">
        <f>'Plant-wise details'!J73/10^5</f>
        <v>1730.8</v>
      </c>
      <c r="J10" s="521">
        <f t="shared" ref="J10:R10" si="4">J9*J8</f>
        <v>2040</v>
      </c>
      <c r="K10" s="521">
        <f t="shared" si="4"/>
        <v>2040</v>
      </c>
      <c r="L10" s="521">
        <f t="shared" si="4"/>
        <v>2040</v>
      </c>
      <c r="M10" s="521">
        <f t="shared" si="4"/>
        <v>2040</v>
      </c>
      <c r="N10" s="521">
        <f t="shared" si="4"/>
        <v>2040</v>
      </c>
      <c r="O10" s="521">
        <f t="shared" si="4"/>
        <v>2040</v>
      </c>
      <c r="P10" s="521">
        <f t="shared" si="4"/>
        <v>2040</v>
      </c>
      <c r="Q10" s="521">
        <f t="shared" si="4"/>
        <v>2040</v>
      </c>
      <c r="R10" s="521">
        <f t="shared" si="4"/>
        <v>2040</v>
      </c>
      <c r="S10" s="521">
        <f>S9*S8</f>
        <v>2040</v>
      </c>
      <c r="T10" s="565"/>
      <c r="U10" s="361"/>
      <c r="V10" s="109"/>
      <c r="W10" s="109"/>
      <c r="X10" s="109"/>
      <c r="Y10" s="109"/>
      <c r="Z10" s="109"/>
      <c r="AA10" s="109"/>
      <c r="AB10" s="109"/>
      <c r="AC10" s="109"/>
      <c r="AD10" s="109"/>
    </row>
    <row r="11" spans="1:30" x14ac:dyDescent="0.35">
      <c r="B11" s="78" t="s">
        <v>354</v>
      </c>
      <c r="C11" s="78"/>
      <c r="D11" s="78"/>
      <c r="E11" s="101">
        <f t="shared" ref="E11:R11" si="5">E17/E10</f>
        <v>0.76920834958841311</v>
      </c>
      <c r="F11" s="101">
        <f t="shared" si="5"/>
        <v>0.74261624088432054</v>
      </c>
      <c r="G11" s="101">
        <f t="shared" si="5"/>
        <v>0.73500564604109642</v>
      </c>
      <c r="H11" s="101">
        <f t="shared" si="5"/>
        <v>0.76121543023709615</v>
      </c>
      <c r="I11" s="101">
        <f t="shared" si="5"/>
        <v>0.72737740530390571</v>
      </c>
      <c r="J11" s="101">
        <f t="shared" si="5"/>
        <v>0.71078431372549022</v>
      </c>
      <c r="K11" s="101">
        <f t="shared" si="5"/>
        <v>0.78431372549019607</v>
      </c>
      <c r="L11" s="101">
        <f t="shared" si="5"/>
        <v>0.80882352941176472</v>
      </c>
      <c r="M11" s="101">
        <f t="shared" si="5"/>
        <v>0.80882352941176472</v>
      </c>
      <c r="N11" s="101">
        <f t="shared" si="5"/>
        <v>0.80882352941176472</v>
      </c>
      <c r="O11" s="101">
        <f t="shared" si="5"/>
        <v>0.80882352941176472</v>
      </c>
      <c r="P11" s="101">
        <f t="shared" si="5"/>
        <v>0.80882352941176472</v>
      </c>
      <c r="Q11" s="101">
        <f t="shared" si="5"/>
        <v>0.80882352941176472</v>
      </c>
      <c r="R11" s="101">
        <f t="shared" si="5"/>
        <v>0.80882352941176472</v>
      </c>
      <c r="S11" s="101">
        <f>S17/S10</f>
        <v>0.80882352941176472</v>
      </c>
      <c r="T11" s="565"/>
      <c r="U11" s="361"/>
      <c r="V11" s="109"/>
      <c r="W11" s="109"/>
      <c r="X11" s="109"/>
      <c r="Y11" s="109"/>
      <c r="Z11" s="109"/>
      <c r="AA11" s="109"/>
      <c r="AB11" s="109"/>
      <c r="AC11" s="109"/>
      <c r="AD11" s="109"/>
    </row>
    <row r="12" spans="1:30" x14ac:dyDescent="0.35">
      <c r="B12" s="68"/>
      <c r="C12" s="90"/>
      <c r="D12" s="57"/>
      <c r="E12" s="521"/>
      <c r="F12" s="521"/>
      <c r="G12" s="521"/>
      <c r="H12" s="521"/>
      <c r="I12" s="521"/>
      <c r="J12" s="521"/>
      <c r="K12" s="564"/>
      <c r="L12" s="521"/>
      <c r="M12" s="521"/>
      <c r="N12" s="521"/>
      <c r="O12" s="521"/>
      <c r="P12" s="521"/>
      <c r="Q12" s="521"/>
      <c r="R12" s="521"/>
      <c r="S12" s="521"/>
      <c r="T12" s="565"/>
      <c r="U12" s="361"/>
      <c r="V12" s="109"/>
      <c r="W12" s="361"/>
      <c r="X12" s="109"/>
      <c r="Y12" s="109"/>
      <c r="Z12" s="109"/>
      <c r="AA12" s="109"/>
      <c r="AB12" s="109"/>
      <c r="AC12" s="109"/>
      <c r="AD12" s="109"/>
    </row>
    <row r="13" spans="1:30" x14ac:dyDescent="0.35">
      <c r="B13" s="57" t="s">
        <v>830</v>
      </c>
      <c r="C13" s="90"/>
      <c r="D13" s="57"/>
      <c r="E13" s="60"/>
      <c r="F13" s="60"/>
      <c r="G13" s="60"/>
      <c r="H13" s="60"/>
      <c r="I13" s="60"/>
      <c r="J13" s="1340"/>
      <c r="K13" s="60"/>
      <c r="L13" s="60"/>
      <c r="M13" s="60"/>
      <c r="N13" s="60"/>
      <c r="O13" s="60"/>
      <c r="P13" s="60"/>
      <c r="Q13" s="60"/>
      <c r="R13" s="60"/>
      <c r="S13" s="60"/>
      <c r="T13" s="565"/>
      <c r="U13" s="361"/>
      <c r="V13" s="109"/>
      <c r="W13" s="361"/>
      <c r="X13" s="109"/>
      <c r="Y13" s="109"/>
      <c r="Z13" s="109"/>
      <c r="AA13" s="109"/>
      <c r="AB13" s="109"/>
      <c r="AC13" s="109"/>
      <c r="AD13" s="109"/>
    </row>
    <row r="14" spans="1:30" x14ac:dyDescent="0.35">
      <c r="B14" s="61" t="s">
        <v>600</v>
      </c>
      <c r="C14" s="70" t="s">
        <v>5</v>
      </c>
      <c r="D14" s="61"/>
      <c r="E14" s="63">
        <f>E17-E15</f>
        <v>1476.4185062000001</v>
      </c>
      <c r="F14" s="63">
        <f>F17-F15</f>
        <v>1676.1591172999999</v>
      </c>
      <c r="G14" s="63">
        <f>G17-G15</f>
        <v>1584.5986722999999</v>
      </c>
      <c r="H14" s="63">
        <f>H17-H15</f>
        <v>1168.8386197</v>
      </c>
      <c r="I14" s="63">
        <f>I17-I15-I16</f>
        <v>483.07936289999992</v>
      </c>
      <c r="J14" s="63">
        <f t="shared" ref="J14:S14" si="6">(+J17*J30*J29)/J31</f>
        <v>280.67627494456764</v>
      </c>
      <c r="K14" s="63">
        <f t="shared" si="6"/>
        <v>309.71175166297121</v>
      </c>
      <c r="L14" s="63">
        <f t="shared" si="6"/>
        <v>319.39024390243901</v>
      </c>
      <c r="M14" s="63">
        <f t="shared" si="6"/>
        <v>319.39024390243901</v>
      </c>
      <c r="N14" s="63">
        <f t="shared" si="6"/>
        <v>319.39024390243901</v>
      </c>
      <c r="O14" s="63">
        <f t="shared" si="6"/>
        <v>319.39024390243901</v>
      </c>
      <c r="P14" s="63">
        <f t="shared" si="6"/>
        <v>319.39024390243901</v>
      </c>
      <c r="Q14" s="63">
        <f t="shared" si="6"/>
        <v>319.39024390243901</v>
      </c>
      <c r="R14" s="63">
        <f t="shared" si="6"/>
        <v>319.39024390243901</v>
      </c>
      <c r="S14" s="63">
        <f t="shared" si="6"/>
        <v>319.39024390243901</v>
      </c>
      <c r="T14" s="565"/>
      <c r="U14" s="361"/>
      <c r="V14" s="109"/>
      <c r="W14" s="361"/>
      <c r="X14" s="109"/>
      <c r="Y14" s="109"/>
      <c r="Z14" s="109"/>
      <c r="AA14" s="109"/>
      <c r="AB14" s="109"/>
      <c r="AC14" s="109"/>
      <c r="AD14" s="109"/>
    </row>
    <row r="15" spans="1:30" x14ac:dyDescent="0.35">
      <c r="B15" s="61" t="s">
        <v>604</v>
      </c>
      <c r="C15" s="70" t="s">
        <v>5</v>
      </c>
      <c r="D15" s="61"/>
      <c r="E15" s="77">
        <v>0</v>
      </c>
      <c r="F15" s="77">
        <v>0</v>
      </c>
      <c r="G15" s="77">
        <v>0</v>
      </c>
      <c r="H15" s="77">
        <v>391.50076920000004</v>
      </c>
      <c r="I15" s="77">
        <f>75778470.02/10^5</f>
        <v>757.78470019999997</v>
      </c>
      <c r="J15" s="63">
        <f t="shared" ref="J15:P15" si="7">+J17-J14</f>
        <v>1169.3237250554323</v>
      </c>
      <c r="K15" s="63">
        <f t="shared" si="7"/>
        <v>1290.2882483370288</v>
      </c>
      <c r="L15" s="63">
        <f t="shared" si="7"/>
        <v>1330.6097560975609</v>
      </c>
      <c r="M15" s="63">
        <f t="shared" si="7"/>
        <v>1330.6097560975609</v>
      </c>
      <c r="N15" s="63">
        <f t="shared" si="7"/>
        <v>1330.6097560975609</v>
      </c>
      <c r="O15" s="63">
        <f t="shared" si="7"/>
        <v>1330.6097560975609</v>
      </c>
      <c r="P15" s="63">
        <f t="shared" si="7"/>
        <v>1330.6097560975609</v>
      </c>
      <c r="Q15" s="63">
        <f>+Q17-Q14</f>
        <v>1330.6097560975609</v>
      </c>
      <c r="R15" s="63">
        <f>+R17-R14</f>
        <v>1330.6097560975609</v>
      </c>
      <c r="S15" s="63">
        <f>+S17-S14</f>
        <v>1330.6097560975609</v>
      </c>
      <c r="T15" s="565"/>
      <c r="U15" s="361"/>
      <c r="V15" s="109"/>
      <c r="W15" s="361"/>
      <c r="X15" s="109"/>
      <c r="Y15" s="109"/>
      <c r="Z15" s="109"/>
      <c r="AA15" s="109"/>
      <c r="AB15" s="109"/>
      <c r="AC15" s="109"/>
      <c r="AD15" s="109"/>
    </row>
    <row r="16" spans="1:30" x14ac:dyDescent="0.35">
      <c r="B16" s="61" t="s">
        <v>1635</v>
      </c>
      <c r="C16" s="578" t="s">
        <v>5</v>
      </c>
      <c r="D16" s="61"/>
      <c r="E16" s="77"/>
      <c r="F16" s="77"/>
      <c r="G16" s="77"/>
      <c r="H16" s="77"/>
      <c r="I16" s="77">
        <f>1808075/10^5</f>
        <v>18.080749999999998</v>
      </c>
      <c r="J16" s="63"/>
      <c r="K16" s="63"/>
      <c r="L16" s="63"/>
      <c r="M16" s="63"/>
      <c r="N16" s="63"/>
      <c r="O16" s="63"/>
      <c r="P16" s="63"/>
      <c r="Q16" s="63"/>
      <c r="R16" s="63"/>
      <c r="S16" s="63"/>
      <c r="T16" s="565"/>
      <c r="U16" s="361"/>
      <c r="V16" s="109"/>
      <c r="W16" s="361"/>
      <c r="X16" s="109"/>
      <c r="Y16" s="109"/>
      <c r="Z16" s="109"/>
      <c r="AA16" s="109"/>
      <c r="AB16" s="109"/>
      <c r="AC16" s="109"/>
      <c r="AD16" s="109"/>
    </row>
    <row r="17" spans="2:30" x14ac:dyDescent="0.35">
      <c r="B17" s="57" t="s">
        <v>601</v>
      </c>
      <c r="C17" s="90" t="s">
        <v>5</v>
      </c>
      <c r="D17" s="57"/>
      <c r="E17" s="74">
        <f>'Plant wise cane details'!F72</f>
        <v>1476.4185062000001</v>
      </c>
      <c r="F17" s="74">
        <f>'Plant wise cane details'!G72</f>
        <v>1676.1591172999999</v>
      </c>
      <c r="G17" s="74">
        <f>'Plant wise cane details'!H72</f>
        <v>1584.5986722999999</v>
      </c>
      <c r="H17" s="74">
        <f>'Plant wise cane details'!I72</f>
        <v>1560.3393888999999</v>
      </c>
      <c r="I17" s="74">
        <f>'Plant wise cane details'!J72</f>
        <v>1258.9448130999999</v>
      </c>
      <c r="J17" s="355">
        <f>1450</f>
        <v>1450</v>
      </c>
      <c r="K17" s="355">
        <v>1600</v>
      </c>
      <c r="L17" s="355">
        <f>1650</f>
        <v>1650</v>
      </c>
      <c r="M17" s="355">
        <f t="shared" ref="M17:S17" si="8">+L17</f>
        <v>1650</v>
      </c>
      <c r="N17" s="355">
        <f t="shared" si="8"/>
        <v>1650</v>
      </c>
      <c r="O17" s="355">
        <f t="shared" si="8"/>
        <v>1650</v>
      </c>
      <c r="P17" s="355">
        <f t="shared" si="8"/>
        <v>1650</v>
      </c>
      <c r="Q17" s="355">
        <f t="shared" si="8"/>
        <v>1650</v>
      </c>
      <c r="R17" s="355">
        <f t="shared" si="8"/>
        <v>1650</v>
      </c>
      <c r="S17" s="355">
        <f t="shared" si="8"/>
        <v>1650</v>
      </c>
      <c r="T17" s="565"/>
      <c r="U17" s="361"/>
      <c r="V17" s="109"/>
      <c r="W17" s="361"/>
      <c r="X17" s="109"/>
      <c r="Y17" s="109"/>
      <c r="Z17" s="109"/>
      <c r="AA17" s="109"/>
      <c r="AB17" s="109"/>
      <c r="AC17" s="109"/>
      <c r="AD17" s="109"/>
    </row>
    <row r="18" spans="2:30" x14ac:dyDescent="0.35">
      <c r="B18" s="57"/>
      <c r="C18" s="90"/>
      <c r="D18" s="57"/>
      <c r="E18" s="74"/>
      <c r="F18" s="74"/>
      <c r="G18" s="74"/>
      <c r="H18" s="74"/>
      <c r="I18" s="1770"/>
      <c r="J18" s="533"/>
      <c r="K18" s="533"/>
      <c r="L18" s="533"/>
      <c r="M18" s="533"/>
      <c r="N18" s="533"/>
      <c r="O18" s="533"/>
      <c r="P18" s="533"/>
      <c r="Q18" s="533"/>
      <c r="R18" s="533"/>
      <c r="S18" s="533"/>
      <c r="T18" s="565"/>
      <c r="U18" s="361"/>
      <c r="V18" s="109"/>
      <c r="W18" s="361"/>
      <c r="X18" s="109"/>
      <c r="Y18" s="109"/>
      <c r="Z18" s="109"/>
      <c r="AA18" s="109"/>
      <c r="AB18" s="109"/>
      <c r="AC18" s="109"/>
      <c r="AD18" s="109"/>
    </row>
    <row r="19" spans="2:30" s="64" customFormat="1" x14ac:dyDescent="0.35">
      <c r="B19" s="85" t="s">
        <v>372</v>
      </c>
      <c r="C19" s="83"/>
      <c r="D19" s="83"/>
      <c r="E19" s="83"/>
      <c r="F19" s="83"/>
      <c r="G19" s="84"/>
      <c r="H19" s="84"/>
      <c r="I19" s="1705"/>
      <c r="J19" s="1540"/>
      <c r="K19" s="1540"/>
      <c r="L19" s="1540"/>
      <c r="M19" s="1540"/>
      <c r="N19" s="1540"/>
      <c r="O19" s="1540"/>
      <c r="P19" s="1540"/>
      <c r="Q19" s="1540"/>
      <c r="R19" s="1540"/>
      <c r="S19" s="1540"/>
      <c r="T19" s="565"/>
      <c r="U19" s="361"/>
      <c r="V19" s="109"/>
      <c r="W19" s="361"/>
      <c r="X19" s="109"/>
      <c r="Y19" s="109"/>
      <c r="Z19" s="109"/>
      <c r="AA19" s="109"/>
      <c r="AB19" s="109"/>
      <c r="AC19" s="109"/>
      <c r="AD19" s="109"/>
    </row>
    <row r="20" spans="2:30" s="64" customFormat="1" x14ac:dyDescent="0.35">
      <c r="B20" s="106" t="s">
        <v>831</v>
      </c>
      <c r="C20" s="78"/>
      <c r="D20" s="78"/>
      <c r="E20" s="78"/>
      <c r="F20" s="78"/>
      <c r="G20" s="523"/>
      <c r="H20" s="523"/>
      <c r="I20" s="523"/>
      <c r="J20" s="101"/>
      <c r="K20" s="101"/>
      <c r="L20" s="101"/>
      <c r="M20" s="101"/>
      <c r="N20" s="101"/>
      <c r="O20" s="101"/>
      <c r="P20" s="101"/>
      <c r="Q20" s="101"/>
      <c r="R20" s="101"/>
      <c r="S20" s="101"/>
      <c r="T20" s="565"/>
      <c r="U20" s="361"/>
      <c r="V20" s="109"/>
      <c r="W20" s="361"/>
      <c r="X20" s="109"/>
      <c r="Y20" s="109"/>
      <c r="Z20" s="109"/>
      <c r="AA20" s="109"/>
      <c r="AB20" s="109"/>
      <c r="AC20" s="109"/>
      <c r="AD20" s="109"/>
    </row>
    <row r="21" spans="2:30" s="64" customFormat="1" x14ac:dyDescent="0.35">
      <c r="B21" s="401" t="s">
        <v>832</v>
      </c>
      <c r="C21" s="78"/>
      <c r="D21" s="78"/>
      <c r="E21" s="78"/>
      <c r="F21" s="78"/>
      <c r="G21" s="523"/>
      <c r="H21" s="523"/>
      <c r="I21" s="523"/>
      <c r="J21" s="523"/>
      <c r="K21" s="523"/>
      <c r="L21" s="523"/>
      <c r="M21" s="523"/>
      <c r="N21" s="523"/>
      <c r="O21" s="523"/>
      <c r="P21" s="523"/>
      <c r="Q21" s="523"/>
      <c r="R21" s="523"/>
      <c r="S21" s="523"/>
      <c r="T21" s="565"/>
      <c r="U21" s="361"/>
      <c r="V21" s="109"/>
      <c r="W21" s="361"/>
      <c r="X21" s="109"/>
      <c r="Y21" s="109"/>
      <c r="Z21" s="109"/>
      <c r="AA21" s="109"/>
      <c r="AB21" s="109"/>
      <c r="AC21" s="109"/>
      <c r="AD21" s="109"/>
    </row>
    <row r="22" spans="2:30" x14ac:dyDescent="0.35">
      <c r="B22" s="524" t="s">
        <v>6</v>
      </c>
      <c r="C22" s="70"/>
      <c r="D22" s="61"/>
      <c r="E22" s="92">
        <v>0.10619999999999999</v>
      </c>
      <c r="F22" s="92">
        <v>0.114</v>
      </c>
      <c r="G22" s="92">
        <v>0.11650000000000001</v>
      </c>
      <c r="H22" s="95">
        <v>0.11481532620904185</v>
      </c>
      <c r="I22" s="95">
        <v>0.1137</v>
      </c>
      <c r="J22" s="95">
        <f>I22+0.18%</f>
        <v>0.11549999999999999</v>
      </c>
      <c r="K22" s="66">
        <f>J22</f>
        <v>0.11549999999999999</v>
      </c>
      <c r="L22" s="66">
        <f>K22</f>
        <v>0.11549999999999999</v>
      </c>
      <c r="M22" s="66">
        <f>L22</f>
        <v>0.11549999999999999</v>
      </c>
      <c r="N22" s="66">
        <f t="shared" ref="N22:S22" si="9">M22</f>
        <v>0.11549999999999999</v>
      </c>
      <c r="O22" s="66">
        <f t="shared" si="9"/>
        <v>0.11549999999999999</v>
      </c>
      <c r="P22" s="66">
        <f t="shared" si="9"/>
        <v>0.11549999999999999</v>
      </c>
      <c r="Q22" s="66">
        <f t="shared" si="9"/>
        <v>0.11549999999999999</v>
      </c>
      <c r="R22" s="66">
        <f t="shared" si="9"/>
        <v>0.11549999999999999</v>
      </c>
      <c r="S22" s="66">
        <f t="shared" si="9"/>
        <v>0.11549999999999999</v>
      </c>
      <c r="T22" s="153"/>
      <c r="U22" s="361"/>
      <c r="V22" s="109"/>
      <c r="W22" s="361"/>
      <c r="X22" s="109"/>
      <c r="Y22" s="109"/>
      <c r="Z22" s="109"/>
      <c r="AA22" s="109"/>
      <c r="AB22" s="109"/>
      <c r="AC22" s="109"/>
      <c r="AD22" s="109"/>
    </row>
    <row r="23" spans="2:30" x14ac:dyDescent="0.35">
      <c r="B23" s="524" t="s">
        <v>603</v>
      </c>
      <c r="C23" s="70"/>
      <c r="D23" s="61"/>
      <c r="E23" s="150">
        <v>0</v>
      </c>
      <c r="F23" s="150">
        <v>0</v>
      </c>
      <c r="G23" s="150">
        <v>0</v>
      </c>
      <c r="H23" s="92">
        <v>9.8015326209041853E-2</v>
      </c>
      <c r="I23" s="95">
        <v>9.7199999999999995E-2</v>
      </c>
      <c r="J23" s="65">
        <f t="shared" ref="J23:R23" si="10">+J22-J24</f>
        <v>9.8999999999999991E-2</v>
      </c>
      <c r="K23" s="65">
        <f t="shared" si="10"/>
        <v>9.8999999999999991E-2</v>
      </c>
      <c r="L23" s="65">
        <f t="shared" si="10"/>
        <v>9.8999999999999991E-2</v>
      </c>
      <c r="M23" s="65">
        <f t="shared" si="10"/>
        <v>9.8999999999999991E-2</v>
      </c>
      <c r="N23" s="65">
        <f t="shared" si="10"/>
        <v>9.8999999999999991E-2</v>
      </c>
      <c r="O23" s="65">
        <f t="shared" si="10"/>
        <v>9.8999999999999991E-2</v>
      </c>
      <c r="P23" s="65">
        <f t="shared" si="10"/>
        <v>9.8999999999999991E-2</v>
      </c>
      <c r="Q23" s="65">
        <f t="shared" si="10"/>
        <v>9.8999999999999991E-2</v>
      </c>
      <c r="R23" s="65">
        <f t="shared" si="10"/>
        <v>9.8999999999999991E-2</v>
      </c>
      <c r="S23" s="65">
        <f>+S22-S24</f>
        <v>9.8999999999999991E-2</v>
      </c>
      <c r="T23" s="565"/>
      <c r="U23" s="361"/>
      <c r="V23" s="109"/>
      <c r="W23" s="361"/>
      <c r="X23" s="109"/>
      <c r="Y23" s="109"/>
      <c r="Z23" s="109"/>
      <c r="AA23" s="109"/>
      <c r="AB23" s="109"/>
      <c r="AC23" s="109"/>
      <c r="AD23" s="109"/>
    </row>
    <row r="24" spans="2:30" x14ac:dyDescent="0.35">
      <c r="B24" s="524" t="s">
        <v>602</v>
      </c>
      <c r="C24" s="70"/>
      <c r="D24" s="61"/>
      <c r="E24" s="66">
        <v>0</v>
      </c>
      <c r="F24" s="66">
        <v>0</v>
      </c>
      <c r="G24" s="66">
        <v>0</v>
      </c>
      <c r="H24" s="66">
        <f>+H22-H23</f>
        <v>1.6799999999999995E-2</v>
      </c>
      <c r="I24" s="712">
        <f>I22-I23</f>
        <v>1.6500000000000001E-2</v>
      </c>
      <c r="J24" s="66">
        <f>I24</f>
        <v>1.6500000000000001E-2</v>
      </c>
      <c r="K24" s="66">
        <f t="shared" ref="K24:P24" si="11">J24</f>
        <v>1.6500000000000001E-2</v>
      </c>
      <c r="L24" s="66">
        <f t="shared" si="11"/>
        <v>1.6500000000000001E-2</v>
      </c>
      <c r="M24" s="66">
        <f t="shared" si="11"/>
        <v>1.6500000000000001E-2</v>
      </c>
      <c r="N24" s="66">
        <f t="shared" si="11"/>
        <v>1.6500000000000001E-2</v>
      </c>
      <c r="O24" s="66">
        <f t="shared" si="11"/>
        <v>1.6500000000000001E-2</v>
      </c>
      <c r="P24" s="66">
        <f t="shared" si="11"/>
        <v>1.6500000000000001E-2</v>
      </c>
      <c r="Q24" s="66">
        <f>P24</f>
        <v>1.6500000000000001E-2</v>
      </c>
      <c r="R24" s="66">
        <f>Q24</f>
        <v>1.6500000000000001E-2</v>
      </c>
      <c r="S24" s="66">
        <f>R24</f>
        <v>1.6500000000000001E-2</v>
      </c>
      <c r="T24" s="565"/>
      <c r="U24" s="361"/>
      <c r="V24" s="109"/>
      <c r="W24" s="361"/>
      <c r="X24" s="109"/>
      <c r="Y24" s="109"/>
      <c r="Z24" s="109"/>
      <c r="AA24" s="109"/>
      <c r="AB24" s="109"/>
      <c r="AC24" s="109"/>
      <c r="AD24" s="109"/>
    </row>
    <row r="25" spans="2:30" x14ac:dyDescent="0.35">
      <c r="B25" s="525" t="s">
        <v>374</v>
      </c>
      <c r="C25" s="98" t="s">
        <v>885</v>
      </c>
      <c r="D25" s="98"/>
      <c r="E25" s="99">
        <f t="shared" ref="E25:H25" si="12">SUMPRODUCT(E22:E23,E14:E15)/E17</f>
        <v>0.10619999999999999</v>
      </c>
      <c r="F25" s="99">
        <f t="shared" si="12"/>
        <v>0.114</v>
      </c>
      <c r="G25" s="99">
        <f t="shared" si="12"/>
        <v>0.11650000000000001</v>
      </c>
      <c r="H25" s="99">
        <f t="shared" si="12"/>
        <v>0.11060008113521419</v>
      </c>
      <c r="I25" s="99">
        <f>SUMPRODUCT(I22:I23,I14:I15)/(I14+I15)</f>
        <v>0.10362359604478902</v>
      </c>
      <c r="J25" s="99">
        <f t="shared" ref="J25:S25" si="13">SUMPRODUCT(J22:J23,J14:J15)/(J14+J15)</f>
        <v>0.10219390243902438</v>
      </c>
      <c r="K25" s="99">
        <f t="shared" si="13"/>
        <v>0.10219390243902439</v>
      </c>
      <c r="L25" s="99">
        <f t="shared" si="13"/>
        <v>0.10219390243902438</v>
      </c>
      <c r="M25" s="99">
        <f t="shared" si="13"/>
        <v>0.10219390243902438</v>
      </c>
      <c r="N25" s="99">
        <f t="shared" si="13"/>
        <v>0.10219390243902438</v>
      </c>
      <c r="O25" s="99">
        <f t="shared" si="13"/>
        <v>0.10219390243902438</v>
      </c>
      <c r="P25" s="99">
        <f t="shared" si="13"/>
        <v>0.10219390243902438</v>
      </c>
      <c r="Q25" s="99">
        <f t="shared" si="13"/>
        <v>0.10219390243902438</v>
      </c>
      <c r="R25" s="99">
        <f t="shared" si="13"/>
        <v>0.10219390243902438</v>
      </c>
      <c r="S25" s="99">
        <f t="shared" si="13"/>
        <v>0.10219390243902438</v>
      </c>
      <c r="T25" s="565"/>
      <c r="U25" s="361"/>
      <c r="V25" s="109"/>
      <c r="W25" s="361"/>
      <c r="X25" s="109"/>
      <c r="Y25" s="109"/>
      <c r="Z25" s="109"/>
      <c r="AA25" s="109"/>
      <c r="AB25" s="109"/>
      <c r="AC25" s="109"/>
      <c r="AD25" s="109"/>
    </row>
    <row r="26" spans="2:30" x14ac:dyDescent="0.35">
      <c r="B26" s="90"/>
      <c r="C26" s="90"/>
      <c r="D26" s="90"/>
      <c r="E26" s="522"/>
      <c r="F26" s="522"/>
      <c r="G26" s="522"/>
      <c r="H26" s="522"/>
      <c r="I26" s="522"/>
      <c r="J26" s="522"/>
      <c r="K26" s="522"/>
      <c r="L26" s="522"/>
      <c r="M26" s="522"/>
      <c r="N26" s="522"/>
      <c r="O26" s="522"/>
      <c r="P26" s="522"/>
      <c r="Q26" s="522"/>
      <c r="R26" s="522"/>
      <c r="S26" s="522"/>
      <c r="T26" s="565"/>
      <c r="U26" s="361"/>
      <c r="V26" s="109"/>
      <c r="W26" s="361"/>
      <c r="X26" s="109"/>
      <c r="Y26" s="109"/>
      <c r="Z26" s="109"/>
      <c r="AA26" s="109"/>
      <c r="AB26" s="109"/>
      <c r="AC26" s="109"/>
      <c r="AD26" s="109"/>
    </row>
    <row r="27" spans="2:30" x14ac:dyDescent="0.35">
      <c r="B27" s="401" t="s">
        <v>833</v>
      </c>
      <c r="C27" s="90"/>
      <c r="D27" s="90"/>
      <c r="E27" s="522"/>
      <c r="F27" s="522"/>
      <c r="G27" s="522"/>
      <c r="H27" s="522"/>
      <c r="I27" s="522"/>
      <c r="J27" s="522"/>
      <c r="K27" s="522"/>
      <c r="L27" s="522"/>
      <c r="M27" s="522"/>
      <c r="N27" s="522"/>
      <c r="O27" s="522"/>
      <c r="P27" s="522"/>
      <c r="Q27" s="522"/>
      <c r="R27" s="522"/>
      <c r="S27" s="522"/>
      <c r="T27" s="565"/>
      <c r="U27" s="361"/>
      <c r="V27" s="109"/>
      <c r="W27" s="109"/>
      <c r="X27" s="109"/>
      <c r="Y27" s="109"/>
      <c r="Z27" s="109"/>
      <c r="AA27" s="109"/>
      <c r="AB27" s="109"/>
      <c r="AC27" s="109"/>
      <c r="AD27" s="109"/>
    </row>
    <row r="28" spans="2:30" x14ac:dyDescent="0.35">
      <c r="B28" s="527" t="s">
        <v>312</v>
      </c>
      <c r="C28" s="90"/>
      <c r="D28" s="90"/>
      <c r="E28" s="522"/>
      <c r="F28" s="522"/>
      <c r="G28" s="522"/>
      <c r="H28" s="522"/>
      <c r="I28" s="522"/>
      <c r="J28" s="522"/>
      <c r="K28" s="522"/>
      <c r="L28" s="522"/>
      <c r="M28" s="522"/>
      <c r="N28" s="522"/>
      <c r="O28" s="522"/>
      <c r="P28" s="522"/>
      <c r="Q28" s="522"/>
      <c r="R28" s="522"/>
      <c r="S28" s="522"/>
      <c r="T28" s="565"/>
      <c r="U28" s="361"/>
      <c r="V28" s="109"/>
      <c r="W28" s="109"/>
      <c r="X28" s="109"/>
      <c r="Y28" s="109"/>
      <c r="Z28" s="109"/>
      <c r="AA28" s="109"/>
      <c r="AB28" s="109"/>
      <c r="AC28" s="109"/>
      <c r="AD28" s="109"/>
    </row>
    <row r="29" spans="2:30" x14ac:dyDescent="0.35">
      <c r="B29" s="531" t="s">
        <v>370</v>
      </c>
      <c r="C29" s="90"/>
      <c r="D29" s="57"/>
      <c r="E29" s="529">
        <v>0.2</v>
      </c>
      <c r="F29" s="529">
        <v>0.2</v>
      </c>
      <c r="G29" s="529">
        <v>0.2</v>
      </c>
      <c r="H29" s="529">
        <v>0.2</v>
      </c>
      <c r="I29" s="529">
        <v>0.18</v>
      </c>
      <c r="J29" s="530">
        <f>I29</f>
        <v>0.18</v>
      </c>
      <c r="K29" s="530">
        <f t="shared" ref="K29:S29" si="14">J29</f>
        <v>0.18</v>
      </c>
      <c r="L29" s="530">
        <f t="shared" si="14"/>
        <v>0.18</v>
      </c>
      <c r="M29" s="530">
        <f t="shared" si="14"/>
        <v>0.18</v>
      </c>
      <c r="N29" s="530">
        <f t="shared" si="14"/>
        <v>0.18</v>
      </c>
      <c r="O29" s="530">
        <f t="shared" si="14"/>
        <v>0.18</v>
      </c>
      <c r="P29" s="530">
        <f t="shared" si="14"/>
        <v>0.18</v>
      </c>
      <c r="Q29" s="530">
        <f t="shared" si="14"/>
        <v>0.18</v>
      </c>
      <c r="R29" s="530">
        <f t="shared" si="14"/>
        <v>0.18</v>
      </c>
      <c r="S29" s="530">
        <f t="shared" si="14"/>
        <v>0.18</v>
      </c>
      <c r="T29" s="565"/>
      <c r="U29" s="361"/>
      <c r="V29" s="109"/>
      <c r="W29" s="109"/>
      <c r="X29" s="109"/>
      <c r="Y29" s="109"/>
      <c r="Z29" s="109"/>
      <c r="AA29" s="109"/>
      <c r="AB29" s="109"/>
      <c r="AC29" s="109"/>
      <c r="AD29" s="109"/>
    </row>
    <row r="30" spans="2:30" x14ac:dyDescent="0.35">
      <c r="B30" s="531" t="s">
        <v>371</v>
      </c>
      <c r="C30" s="90"/>
      <c r="D30" s="57"/>
      <c r="E30" s="529">
        <v>4.8500000000000001E-2</v>
      </c>
      <c r="F30" s="529">
        <v>4.8500000000000001E-2</v>
      </c>
      <c r="G30" s="529">
        <v>4.8500000000000001E-2</v>
      </c>
      <c r="H30" s="529">
        <v>4.8500000000000001E-2</v>
      </c>
      <c r="I30" s="529">
        <v>4.8500000000000001E-2</v>
      </c>
      <c r="J30" s="530">
        <f>I30</f>
        <v>4.8500000000000001E-2</v>
      </c>
      <c r="K30" s="530">
        <f t="shared" ref="K30:P30" si="15">J30</f>
        <v>4.8500000000000001E-2</v>
      </c>
      <c r="L30" s="530">
        <f t="shared" si="15"/>
        <v>4.8500000000000001E-2</v>
      </c>
      <c r="M30" s="530">
        <f t="shared" si="15"/>
        <v>4.8500000000000001E-2</v>
      </c>
      <c r="N30" s="530">
        <f t="shared" si="15"/>
        <v>4.8500000000000001E-2</v>
      </c>
      <c r="O30" s="530">
        <f t="shared" si="15"/>
        <v>4.8500000000000001E-2</v>
      </c>
      <c r="P30" s="530">
        <f t="shared" si="15"/>
        <v>4.8500000000000001E-2</v>
      </c>
      <c r="Q30" s="530">
        <f>P30</f>
        <v>4.8500000000000001E-2</v>
      </c>
      <c r="R30" s="530">
        <f>Q30</f>
        <v>4.8500000000000001E-2</v>
      </c>
      <c r="S30" s="530">
        <f>R30</f>
        <v>4.8500000000000001E-2</v>
      </c>
      <c r="T30" s="565"/>
      <c r="U30" s="361"/>
      <c r="V30" s="109"/>
      <c r="W30" s="109"/>
      <c r="X30" s="109"/>
      <c r="Y30" s="109"/>
      <c r="Z30" s="109"/>
      <c r="AA30" s="109"/>
      <c r="AB30" s="109"/>
      <c r="AC30" s="109"/>
      <c r="AD30" s="109"/>
    </row>
    <row r="31" spans="2:30" x14ac:dyDescent="0.35">
      <c r="B31" s="524" t="s">
        <v>7</v>
      </c>
      <c r="C31" s="70" t="s">
        <v>886</v>
      </c>
      <c r="D31" s="61"/>
      <c r="E31" s="92">
        <v>4.6699999999999998E-2</v>
      </c>
      <c r="F31" s="92">
        <v>4.6300000000000001E-2</v>
      </c>
      <c r="G31" s="92">
        <v>4.4900000000000002E-2</v>
      </c>
      <c r="H31" s="92">
        <v>4.5600000000000002E-2</v>
      </c>
      <c r="I31" s="92">
        <v>4.3499999999999997E-2</v>
      </c>
      <c r="J31" s="92">
        <v>4.5100000000000001E-2</v>
      </c>
      <c r="K31" s="65">
        <f t="shared" ref="K31:P32" si="16">+J31</f>
        <v>4.5100000000000001E-2</v>
      </c>
      <c r="L31" s="65">
        <f t="shared" si="16"/>
        <v>4.5100000000000001E-2</v>
      </c>
      <c r="M31" s="65">
        <f t="shared" si="16"/>
        <v>4.5100000000000001E-2</v>
      </c>
      <c r="N31" s="65">
        <f t="shared" si="16"/>
        <v>4.5100000000000001E-2</v>
      </c>
      <c r="O31" s="65">
        <f t="shared" si="16"/>
        <v>4.5100000000000001E-2</v>
      </c>
      <c r="P31" s="65">
        <f t="shared" si="16"/>
        <v>4.5100000000000001E-2</v>
      </c>
      <c r="Q31" s="65">
        <f t="shared" ref="Q31:S32" si="17">+P31</f>
        <v>4.5100000000000001E-2</v>
      </c>
      <c r="R31" s="65">
        <f t="shared" si="17"/>
        <v>4.5100000000000001E-2</v>
      </c>
      <c r="S31" s="65">
        <f t="shared" si="17"/>
        <v>4.5100000000000001E-2</v>
      </c>
      <c r="T31" s="565"/>
      <c r="U31" s="361"/>
      <c r="V31" s="109"/>
      <c r="W31" s="109"/>
      <c r="X31" s="109"/>
      <c r="Y31" s="109"/>
      <c r="Z31" s="109"/>
      <c r="AA31" s="109"/>
      <c r="AB31" s="109"/>
      <c r="AC31" s="109"/>
      <c r="AD31" s="109"/>
    </row>
    <row r="32" spans="2:30" x14ac:dyDescent="0.35">
      <c r="B32" s="524" t="s">
        <v>8</v>
      </c>
      <c r="C32" s="70" t="s">
        <v>887</v>
      </c>
      <c r="D32" s="61"/>
      <c r="E32" s="399">
        <v>0</v>
      </c>
      <c r="F32" s="399">
        <v>0</v>
      </c>
      <c r="G32" s="399">
        <v>0</v>
      </c>
      <c r="H32" s="92">
        <v>6.4299999999999996E-2</v>
      </c>
      <c r="I32" s="92">
        <v>6.3E-2</v>
      </c>
      <c r="J32" s="92">
        <v>6.5000000000000002E-2</v>
      </c>
      <c r="K32" s="65">
        <f t="shared" si="16"/>
        <v>6.5000000000000002E-2</v>
      </c>
      <c r="L32" s="65">
        <f t="shared" si="16"/>
        <v>6.5000000000000002E-2</v>
      </c>
      <c r="M32" s="65">
        <f t="shared" si="16"/>
        <v>6.5000000000000002E-2</v>
      </c>
      <c r="N32" s="65">
        <f t="shared" si="16"/>
        <v>6.5000000000000002E-2</v>
      </c>
      <c r="O32" s="65">
        <f t="shared" si="16"/>
        <v>6.5000000000000002E-2</v>
      </c>
      <c r="P32" s="65">
        <f t="shared" si="16"/>
        <v>6.5000000000000002E-2</v>
      </c>
      <c r="Q32" s="65">
        <f t="shared" si="17"/>
        <v>6.5000000000000002E-2</v>
      </c>
      <c r="R32" s="65">
        <f t="shared" si="17"/>
        <v>6.5000000000000002E-2</v>
      </c>
      <c r="S32" s="65">
        <f t="shared" si="17"/>
        <v>6.5000000000000002E-2</v>
      </c>
      <c r="T32" s="565"/>
      <c r="U32" s="361"/>
      <c r="V32" s="109"/>
      <c r="W32" s="109"/>
      <c r="X32" s="109"/>
      <c r="Y32" s="109"/>
      <c r="Z32" s="109"/>
      <c r="AA32" s="109"/>
      <c r="AB32" s="109"/>
      <c r="AC32" s="109"/>
      <c r="AD32" s="109"/>
    </row>
    <row r="33" spans="2:36" x14ac:dyDescent="0.35">
      <c r="B33" s="98" t="s">
        <v>9</v>
      </c>
      <c r="C33" s="98" t="s">
        <v>373</v>
      </c>
      <c r="D33" s="98"/>
      <c r="E33" s="99">
        <f t="shared" ref="E33:S33" si="18">SUMPRODUCT(E31:E32,E14:E15)/E17</f>
        <v>4.6699999999999998E-2</v>
      </c>
      <c r="F33" s="99">
        <f t="shared" si="18"/>
        <v>4.6300000000000001E-2</v>
      </c>
      <c r="G33" s="99">
        <f t="shared" si="18"/>
        <v>4.4900000000000002E-2</v>
      </c>
      <c r="H33" s="99">
        <f t="shared" si="18"/>
        <v>5.0291969219081994E-2</v>
      </c>
      <c r="I33" s="99">
        <f t="shared" si="18"/>
        <v>5.4612710329574016E-2</v>
      </c>
      <c r="J33" s="99">
        <f t="shared" si="18"/>
        <v>6.1147960088691798E-2</v>
      </c>
      <c r="K33" s="99">
        <f t="shared" si="18"/>
        <v>6.1147960088691805E-2</v>
      </c>
      <c r="L33" s="99">
        <f t="shared" si="18"/>
        <v>6.1147960088691791E-2</v>
      </c>
      <c r="M33" s="99">
        <f t="shared" si="18"/>
        <v>6.1147960088691791E-2</v>
      </c>
      <c r="N33" s="99">
        <f t="shared" si="18"/>
        <v>6.1147960088691791E-2</v>
      </c>
      <c r="O33" s="99">
        <f t="shared" si="18"/>
        <v>6.1147960088691791E-2</v>
      </c>
      <c r="P33" s="99">
        <f t="shared" si="18"/>
        <v>6.1147960088691791E-2</v>
      </c>
      <c r="Q33" s="99">
        <f t="shared" si="18"/>
        <v>6.1147960088691791E-2</v>
      </c>
      <c r="R33" s="99">
        <f t="shared" si="18"/>
        <v>6.1147960088691791E-2</v>
      </c>
      <c r="S33" s="99">
        <f t="shared" si="18"/>
        <v>6.1147960088691791E-2</v>
      </c>
      <c r="T33" s="565"/>
      <c r="U33" s="361"/>
      <c r="V33" s="109"/>
      <c r="W33" s="109"/>
      <c r="X33" s="109"/>
      <c r="Y33" s="109"/>
      <c r="Z33" s="109"/>
      <c r="AA33" s="109"/>
      <c r="AB33" s="109"/>
      <c r="AC33" s="109"/>
      <c r="AD33" s="109"/>
    </row>
    <row r="34" spans="2:36" s="583" customFormat="1" x14ac:dyDescent="0.35">
      <c r="B34" s="299" t="s">
        <v>1586</v>
      </c>
      <c r="C34" s="299" t="s">
        <v>373</v>
      </c>
      <c r="D34" s="299"/>
      <c r="E34" s="1608"/>
      <c r="F34" s="1608"/>
      <c r="G34" s="1608"/>
      <c r="H34" s="1608"/>
      <c r="I34" s="96">
        <v>0.225212</v>
      </c>
      <c r="J34" s="101">
        <v>0</v>
      </c>
      <c r="K34" s="101">
        <v>0</v>
      </c>
      <c r="L34" s="101">
        <v>0</v>
      </c>
      <c r="M34" s="101">
        <v>0</v>
      </c>
      <c r="N34" s="101">
        <v>0</v>
      </c>
      <c r="O34" s="101">
        <v>0</v>
      </c>
      <c r="P34" s="101">
        <v>0</v>
      </c>
      <c r="Q34" s="101">
        <v>0</v>
      </c>
      <c r="R34" s="101">
        <v>0</v>
      </c>
      <c r="S34" s="101">
        <v>0</v>
      </c>
      <c r="T34" s="153"/>
      <c r="U34" s="1597"/>
      <c r="V34" s="1609"/>
      <c r="W34" s="1609"/>
      <c r="X34" s="1609"/>
      <c r="Y34" s="1609"/>
      <c r="Z34" s="1609"/>
      <c r="AA34" s="1609"/>
      <c r="AB34" s="1609"/>
      <c r="AC34" s="1609"/>
      <c r="AD34" s="1609"/>
    </row>
    <row r="35" spans="2:36" x14ac:dyDescent="0.35">
      <c r="B35" s="57" t="s">
        <v>834</v>
      </c>
      <c r="C35" s="70" t="s">
        <v>885</v>
      </c>
      <c r="D35" s="61"/>
      <c r="E35" s="61"/>
      <c r="F35" s="61"/>
      <c r="G35" s="95">
        <v>4.1599999999999998E-2</v>
      </c>
      <c r="H35" s="95">
        <f>+G35</f>
        <v>4.1599999999999998E-2</v>
      </c>
      <c r="I35" s="95">
        <f>+H35</f>
        <v>4.1599999999999998E-2</v>
      </c>
      <c r="J35" s="67">
        <f>+I35</f>
        <v>4.1599999999999998E-2</v>
      </c>
      <c r="K35" s="67">
        <f t="shared" ref="K35:P36" si="19">+J35</f>
        <v>4.1599999999999998E-2</v>
      </c>
      <c r="L35" s="67">
        <f t="shared" si="19"/>
        <v>4.1599999999999998E-2</v>
      </c>
      <c r="M35" s="67">
        <f t="shared" si="19"/>
        <v>4.1599999999999998E-2</v>
      </c>
      <c r="N35" s="67">
        <f t="shared" si="19"/>
        <v>4.1599999999999998E-2</v>
      </c>
      <c r="O35" s="67">
        <f t="shared" si="19"/>
        <v>4.1599999999999998E-2</v>
      </c>
      <c r="P35" s="67">
        <f t="shared" si="19"/>
        <v>4.1599999999999998E-2</v>
      </c>
      <c r="Q35" s="67">
        <f t="shared" ref="Q35:S36" si="20">+P35</f>
        <v>4.1599999999999998E-2</v>
      </c>
      <c r="R35" s="67">
        <f t="shared" si="20"/>
        <v>4.1599999999999998E-2</v>
      </c>
      <c r="S35" s="67">
        <f t="shared" si="20"/>
        <v>4.1599999999999998E-2</v>
      </c>
      <c r="T35" s="565"/>
      <c r="U35" s="361"/>
      <c r="V35" s="109"/>
      <c r="W35" s="109"/>
      <c r="X35" s="109"/>
      <c r="Y35" s="109"/>
      <c r="Z35" s="109"/>
      <c r="AA35" s="109"/>
      <c r="AB35" s="109"/>
      <c r="AC35" s="109"/>
      <c r="AD35" s="109"/>
    </row>
    <row r="36" spans="2:36" s="151" customFormat="1" x14ac:dyDescent="0.35">
      <c r="B36" s="106" t="s">
        <v>835</v>
      </c>
      <c r="C36" s="579" t="s">
        <v>885</v>
      </c>
      <c r="D36" s="634"/>
      <c r="E36" s="66">
        <f>'Plant-wise details'!F1220/'Plant-wise details'!F97</f>
        <v>0.29138317841006756</v>
      </c>
      <c r="F36" s="66">
        <f>'Plant-wise details'!G1220/'Plant-wise details'!G97</f>
        <v>0.29025329372290376</v>
      </c>
      <c r="G36" s="66">
        <f>'Plant-wise details'!H1220/'Plant-wise details'!H97</f>
        <v>0.28158473738486417</v>
      </c>
      <c r="H36" s="66">
        <f>'Plant-wise details'!I1220/'Plant-wise details'!I97</f>
        <v>0.27715314314078077</v>
      </c>
      <c r="I36" s="66">
        <f>'Plant-wise details'!J1220/'Plant-wise details'!J97</f>
        <v>0.27410638584726377</v>
      </c>
      <c r="J36" s="66">
        <f>+I36</f>
        <v>0.27410638584726377</v>
      </c>
      <c r="K36" s="66">
        <f t="shared" si="19"/>
        <v>0.27410638584726377</v>
      </c>
      <c r="L36" s="66">
        <f t="shared" si="19"/>
        <v>0.27410638584726377</v>
      </c>
      <c r="M36" s="66">
        <f t="shared" si="19"/>
        <v>0.27410638584726377</v>
      </c>
      <c r="N36" s="66">
        <f t="shared" si="19"/>
        <v>0.27410638584726377</v>
      </c>
      <c r="O36" s="66">
        <f t="shared" si="19"/>
        <v>0.27410638584726377</v>
      </c>
      <c r="P36" s="66">
        <f t="shared" si="19"/>
        <v>0.27410638584726377</v>
      </c>
      <c r="Q36" s="66">
        <f t="shared" si="20"/>
        <v>0.27410638584726377</v>
      </c>
      <c r="R36" s="66">
        <f t="shared" si="20"/>
        <v>0.27410638584726377</v>
      </c>
      <c r="S36" s="66">
        <f t="shared" si="20"/>
        <v>0.27410638584726377</v>
      </c>
      <c r="T36" s="565"/>
      <c r="U36" s="361"/>
      <c r="V36" s="635"/>
      <c r="W36" s="635"/>
      <c r="X36" s="635"/>
      <c r="Y36" s="635"/>
      <c r="Z36" s="635"/>
      <c r="AA36" s="635"/>
      <c r="AB36" s="635"/>
      <c r="AC36" s="635"/>
      <c r="AD36" s="635"/>
    </row>
    <row r="37" spans="2:36" x14ac:dyDescent="0.35">
      <c r="B37" s="57"/>
      <c r="C37" s="70"/>
      <c r="D37" s="61"/>
      <c r="E37" s="61"/>
      <c r="F37" s="61"/>
      <c r="G37" s="92"/>
      <c r="H37" s="92"/>
      <c r="I37" s="92"/>
      <c r="J37" s="65"/>
      <c r="K37" s="65"/>
      <c r="L37" s="65"/>
      <c r="M37" s="65"/>
      <c r="N37" s="65"/>
      <c r="O37" s="65"/>
      <c r="P37" s="65"/>
      <c r="Q37" s="65"/>
      <c r="R37" s="65"/>
      <c r="S37" s="65"/>
      <c r="T37" s="565"/>
      <c r="U37" s="361"/>
      <c r="V37" s="109"/>
      <c r="W37" s="109"/>
      <c r="X37" s="109"/>
      <c r="Y37" s="109"/>
      <c r="Z37" s="109"/>
      <c r="AA37" s="109"/>
      <c r="AB37" s="109"/>
      <c r="AC37" s="109"/>
      <c r="AD37" s="109"/>
    </row>
    <row r="38" spans="2:36" x14ac:dyDescent="0.35">
      <c r="B38" s="79" t="s">
        <v>23</v>
      </c>
      <c r="C38" s="91"/>
      <c r="D38" s="80"/>
      <c r="E38" s="80"/>
      <c r="F38" s="80"/>
      <c r="G38" s="81"/>
      <c r="H38" s="80"/>
      <c r="I38" s="80"/>
      <c r="J38" s="80"/>
      <c r="K38" s="80"/>
      <c r="L38" s="80"/>
      <c r="M38" s="80"/>
      <c r="N38" s="80"/>
      <c r="O38" s="80"/>
      <c r="P38" s="80"/>
      <c r="Q38" s="80"/>
      <c r="R38" s="80"/>
      <c r="S38" s="80"/>
      <c r="T38" s="565"/>
      <c r="U38" s="361"/>
      <c r="V38" s="109"/>
      <c r="W38" s="109"/>
      <c r="X38" s="109"/>
      <c r="Y38" s="109"/>
      <c r="Z38" s="109"/>
      <c r="AA38" s="109"/>
      <c r="AB38" s="109"/>
      <c r="AC38" s="109"/>
      <c r="AD38" s="109"/>
    </row>
    <row r="39" spans="2:36" x14ac:dyDescent="0.35">
      <c r="B39" s="103" t="s">
        <v>375</v>
      </c>
      <c r="C39" s="97"/>
      <c r="D39" s="104"/>
      <c r="E39" s="104"/>
      <c r="F39" s="104"/>
      <c r="G39" s="105"/>
      <c r="H39" s="104"/>
      <c r="I39" s="1587">
        <f>I40/H40-1</f>
        <v>7.164227602678741E-2</v>
      </c>
      <c r="J39" s="223"/>
      <c r="K39" s="1541"/>
      <c r="L39" s="1541"/>
      <c r="M39" s="1541"/>
      <c r="N39" s="104"/>
      <c r="O39" s="104"/>
      <c r="P39" s="104"/>
      <c r="Q39" s="104"/>
      <c r="R39" s="104"/>
      <c r="S39" s="104"/>
      <c r="T39" s="565"/>
      <c r="U39" s="361"/>
      <c r="V39" s="109"/>
      <c r="W39" s="109"/>
      <c r="X39" s="109"/>
      <c r="Y39" s="109"/>
      <c r="Z39" s="109"/>
      <c r="AA39" s="109"/>
      <c r="AB39" s="109"/>
      <c r="AC39" s="109"/>
      <c r="AD39" s="109"/>
    </row>
    <row r="40" spans="2:36" x14ac:dyDescent="0.35">
      <c r="B40" s="61" t="s">
        <v>361</v>
      </c>
      <c r="C40" s="70" t="s">
        <v>32</v>
      </c>
      <c r="D40" s="96">
        <v>0.02</v>
      </c>
      <c r="E40" s="63">
        <f>'Plant wise cane details'!F59</f>
        <v>317.43326722095043</v>
      </c>
      <c r="F40" s="63">
        <f>'Plant wise cane details'!G59</f>
        <v>319.74990932636854</v>
      </c>
      <c r="G40" s="63">
        <f>'Plant wise cane details'!H59</f>
        <v>320.68074505270351</v>
      </c>
      <c r="H40" s="63">
        <f>'Plant wise cane details'!I59</f>
        <v>321.20696077833821</v>
      </c>
      <c r="I40" s="63">
        <f>'Plant wise cane details'!J59</f>
        <v>344.21895852414542</v>
      </c>
      <c r="J40" s="77">
        <f>(346*(1+$D40))</f>
        <v>352.92</v>
      </c>
      <c r="K40" s="63">
        <f t="shared" ref="K40:S40" si="21">+J40*(1+$D40)</f>
        <v>359.97840000000002</v>
      </c>
      <c r="L40" s="63">
        <f t="shared" si="21"/>
        <v>367.17796800000002</v>
      </c>
      <c r="M40" s="63">
        <f t="shared" si="21"/>
        <v>374.52152736000005</v>
      </c>
      <c r="N40" s="63">
        <f t="shared" si="21"/>
        <v>382.01195790720004</v>
      </c>
      <c r="O40" s="63">
        <f t="shared" si="21"/>
        <v>389.65219706534407</v>
      </c>
      <c r="P40" s="63">
        <f t="shared" si="21"/>
        <v>397.44524100665097</v>
      </c>
      <c r="Q40" s="63">
        <f t="shared" si="21"/>
        <v>405.39414582678398</v>
      </c>
      <c r="R40" s="63">
        <f t="shared" si="21"/>
        <v>413.50202874331967</v>
      </c>
      <c r="S40" s="63">
        <f t="shared" si="21"/>
        <v>421.77206931818608</v>
      </c>
      <c r="T40" s="565"/>
      <c r="U40" s="361"/>
      <c r="V40" s="109"/>
      <c r="W40" s="109"/>
      <c r="X40" s="109"/>
      <c r="Y40" s="109"/>
      <c r="Z40" s="109"/>
      <c r="AA40" s="109"/>
      <c r="AB40" s="109"/>
      <c r="AC40" s="109"/>
      <c r="AD40" s="109"/>
    </row>
    <row r="41" spans="2:36" x14ac:dyDescent="0.35">
      <c r="B41" s="634" t="s">
        <v>1674</v>
      </c>
      <c r="C41" s="1798"/>
      <c r="D41" s="96">
        <v>0.02</v>
      </c>
      <c r="E41" s="77">
        <v>4.0261345114596443</v>
      </c>
      <c r="F41" s="77">
        <v>5.2988552460631144</v>
      </c>
      <c r="G41" s="77">
        <v>5.4835252292050747</v>
      </c>
      <c r="H41" s="77">
        <v>5.4945421156576444</v>
      </c>
      <c r="I41" s="77">
        <v>5.4912341506087303</v>
      </c>
      <c r="J41" s="63">
        <f>+I41*(1+$D$41)</f>
        <v>5.6010588336209048</v>
      </c>
      <c r="K41" s="63">
        <f t="shared" ref="K41:Q41" si="22">+J41*(1+$D$41)</f>
        <v>5.7130800102933232</v>
      </c>
      <c r="L41" s="63">
        <f t="shared" si="22"/>
        <v>5.8273416104991895</v>
      </c>
      <c r="M41" s="63">
        <f t="shared" si="22"/>
        <v>5.9438884427091736</v>
      </c>
      <c r="N41" s="63">
        <f t="shared" si="22"/>
        <v>6.0627662115633569</v>
      </c>
      <c r="O41" s="63">
        <f t="shared" si="22"/>
        <v>6.1840215357946242</v>
      </c>
      <c r="P41" s="63">
        <f t="shared" si="22"/>
        <v>6.3077019665105167</v>
      </c>
      <c r="Q41" s="63">
        <f t="shared" si="22"/>
        <v>6.4338560058407275</v>
      </c>
      <c r="R41" s="63"/>
      <c r="S41" s="63"/>
      <c r="T41" s="565"/>
      <c r="U41" s="361"/>
      <c r="V41" s="109"/>
      <c r="W41" s="109"/>
      <c r="X41" s="109"/>
      <c r="Y41" s="109"/>
      <c r="Z41" s="109"/>
      <c r="AA41" s="109"/>
      <c r="AB41" s="109"/>
      <c r="AC41" s="109"/>
      <c r="AD41" s="109"/>
    </row>
    <row r="42" spans="2:36" ht="29" x14ac:dyDescent="0.35">
      <c r="B42" s="73" t="s">
        <v>362</v>
      </c>
      <c r="C42" s="70" t="s">
        <v>32</v>
      </c>
      <c r="D42" s="96">
        <v>0.02</v>
      </c>
      <c r="E42" s="62">
        <f>'Working - Sugar + Cogen'!E31/Assumptions!E17*100</f>
        <v>8.4275524964497919</v>
      </c>
      <c r="F42" s="62">
        <f>'Working - Sugar + Cogen'!F31/Assumptions!F17*100</f>
        <v>10.562566851217152</v>
      </c>
      <c r="G42" s="62">
        <f>'Working - Sugar + Cogen'!G31/Assumptions!G17*100</f>
        <v>10.644949110865218</v>
      </c>
      <c r="H42" s="62">
        <f>'Working - Sugar + Cogen'!H31/Assumptions!H17*100</f>
        <v>11.405343633358711</v>
      </c>
      <c r="I42" s="63">
        <f>'Working - Sugar + Cogen'!I31/Assumptions!I17*100</f>
        <v>11.649841710026228</v>
      </c>
      <c r="J42" s="63">
        <f>+I42*(1+$D$42)</f>
        <v>11.882838544226754</v>
      </c>
      <c r="K42" s="63">
        <f t="shared" ref="K42:S42" si="23">+J42*(1+$D$42)</f>
        <v>12.12049531511129</v>
      </c>
      <c r="L42" s="63">
        <f t="shared" si="23"/>
        <v>12.362905221413516</v>
      </c>
      <c r="M42" s="63">
        <f t="shared" si="23"/>
        <v>12.610163325841787</v>
      </c>
      <c r="N42" s="63">
        <f t="shared" si="23"/>
        <v>12.862366592358624</v>
      </c>
      <c r="O42" s="63">
        <f t="shared" si="23"/>
        <v>13.119613924205797</v>
      </c>
      <c r="P42" s="63">
        <f t="shared" si="23"/>
        <v>13.382006202689913</v>
      </c>
      <c r="Q42" s="63">
        <f t="shared" si="23"/>
        <v>13.649646326743712</v>
      </c>
      <c r="R42" s="62">
        <f t="shared" si="23"/>
        <v>13.922639253278586</v>
      </c>
      <c r="S42" s="62">
        <f t="shared" si="23"/>
        <v>14.201092038344157</v>
      </c>
      <c r="T42" s="565"/>
      <c r="U42" s="361"/>
      <c r="V42" s="109"/>
      <c r="W42" s="109"/>
      <c r="X42" s="109"/>
      <c r="Y42" s="109"/>
      <c r="Z42" s="109"/>
      <c r="AA42" s="109"/>
      <c r="AB42" s="109"/>
      <c r="AC42" s="109"/>
      <c r="AD42" s="109"/>
    </row>
    <row r="43" spans="2:36" x14ac:dyDescent="0.35">
      <c r="B43" s="57" t="s">
        <v>107</v>
      </c>
      <c r="C43" s="90" t="s">
        <v>32</v>
      </c>
      <c r="D43" s="57"/>
      <c r="E43" s="74">
        <f t="shared" ref="E43:I43" si="24">SUM(E40:E42)</f>
        <v>329.88695422885985</v>
      </c>
      <c r="F43" s="74">
        <f t="shared" si="24"/>
        <v>335.61133142364878</v>
      </c>
      <c r="G43" s="74">
        <f t="shared" si="24"/>
        <v>336.80921939277385</v>
      </c>
      <c r="H43" s="74">
        <f t="shared" si="24"/>
        <v>338.10684652735455</v>
      </c>
      <c r="I43" s="74">
        <f t="shared" si="24"/>
        <v>361.36003438478036</v>
      </c>
      <c r="J43" s="74">
        <f>SUM(J40:J42)</f>
        <v>370.40389737784767</v>
      </c>
      <c r="K43" s="74">
        <f t="shared" ref="K43:Q43" si="25">SUM(K40:K42)</f>
        <v>377.8119753254046</v>
      </c>
      <c r="L43" s="74">
        <f t="shared" si="25"/>
        <v>385.36821483191278</v>
      </c>
      <c r="M43" s="74">
        <f t="shared" si="25"/>
        <v>393.075579128551</v>
      </c>
      <c r="N43" s="74">
        <f t="shared" si="25"/>
        <v>400.93709071112204</v>
      </c>
      <c r="O43" s="74">
        <f t="shared" si="25"/>
        <v>408.95583252534448</v>
      </c>
      <c r="P43" s="74">
        <f t="shared" si="25"/>
        <v>417.13494917585143</v>
      </c>
      <c r="Q43" s="74">
        <f t="shared" si="25"/>
        <v>425.47764815936841</v>
      </c>
      <c r="R43" s="74">
        <f t="shared" ref="R43" si="26">SUM(R40,R42)</f>
        <v>427.42466799659826</v>
      </c>
      <c r="S43" s="74">
        <f>SUM(S40,S42)</f>
        <v>435.97316135653023</v>
      </c>
      <c r="T43" s="565"/>
      <c r="U43" s="361"/>
      <c r="V43" s="109"/>
      <c r="W43" s="109"/>
      <c r="X43" s="361"/>
      <c r="Y43" s="361"/>
      <c r="Z43" s="361"/>
      <c r="AA43" s="361"/>
      <c r="AB43" s="361"/>
      <c r="AC43" s="361"/>
      <c r="AD43" s="361"/>
      <c r="AE43" s="259"/>
      <c r="AF43" s="259"/>
      <c r="AG43" s="259"/>
      <c r="AH43" s="259"/>
      <c r="AI43" s="259"/>
      <c r="AJ43" s="259"/>
    </row>
    <row r="44" spans="2:36" x14ac:dyDescent="0.35">
      <c r="B44" s="103" t="s">
        <v>376</v>
      </c>
      <c r="C44" s="97"/>
      <c r="D44" s="104"/>
      <c r="E44" s="105"/>
      <c r="F44" s="105"/>
      <c r="G44" s="105"/>
      <c r="H44" s="105"/>
      <c r="I44" s="105"/>
      <c r="J44" s="105"/>
      <c r="K44" s="105"/>
      <c r="L44" s="104"/>
      <c r="M44" s="104"/>
      <c r="N44" s="104"/>
      <c r="O44" s="104"/>
      <c r="P44" s="104"/>
      <c r="Q44" s="104"/>
      <c r="R44" s="104"/>
      <c r="S44" s="104"/>
      <c r="T44" s="565"/>
      <c r="W44" s="109"/>
      <c r="X44" s="361"/>
      <c r="Y44" s="361"/>
      <c r="Z44" s="361"/>
      <c r="AA44" s="361"/>
      <c r="AB44" s="361"/>
      <c r="AC44" s="361"/>
      <c r="AD44" s="361"/>
      <c r="AE44" s="361"/>
      <c r="AF44" s="361"/>
      <c r="AG44" s="361"/>
      <c r="AH44" s="361"/>
      <c r="AI44" s="361"/>
      <c r="AJ44" s="361"/>
    </row>
    <row r="45" spans="2:36" x14ac:dyDescent="0.35">
      <c r="B45" s="578" t="s">
        <v>13</v>
      </c>
      <c r="C45" s="578" t="s">
        <v>893</v>
      </c>
      <c r="D45" s="61" t="s">
        <v>373</v>
      </c>
      <c r="E45" s="62"/>
      <c r="F45" s="62"/>
      <c r="G45" s="62"/>
      <c r="H45" s="62"/>
      <c r="I45" s="712">
        <f>I46/H46-1</f>
        <v>6.590167719217277E-2</v>
      </c>
      <c r="J45" s="712">
        <f>+(J46-I46)/I46</f>
        <v>2.5770280211132781E-2</v>
      </c>
      <c r="K45" s="95">
        <v>2.5000000000000001E-2</v>
      </c>
      <c r="L45" s="712">
        <f t="shared" ref="L45:S45" si="27">K45</f>
        <v>2.5000000000000001E-2</v>
      </c>
      <c r="M45" s="712">
        <f t="shared" si="27"/>
        <v>2.5000000000000001E-2</v>
      </c>
      <c r="N45" s="712">
        <f t="shared" si="27"/>
        <v>2.5000000000000001E-2</v>
      </c>
      <c r="O45" s="712">
        <f t="shared" si="27"/>
        <v>2.5000000000000001E-2</v>
      </c>
      <c r="P45" s="712">
        <f t="shared" si="27"/>
        <v>2.5000000000000001E-2</v>
      </c>
      <c r="Q45" s="712">
        <f t="shared" si="27"/>
        <v>2.5000000000000001E-2</v>
      </c>
      <c r="R45" s="712">
        <f t="shared" si="27"/>
        <v>2.5000000000000001E-2</v>
      </c>
      <c r="S45" s="712">
        <f t="shared" si="27"/>
        <v>2.5000000000000001E-2</v>
      </c>
      <c r="T45" s="565"/>
      <c r="W45" s="109"/>
      <c r="X45" s="109"/>
      <c r="Y45" s="109"/>
      <c r="Z45" s="109"/>
      <c r="AA45" s="109"/>
      <c r="AB45" s="109"/>
      <c r="AC45" s="109"/>
      <c r="AD45" s="109"/>
    </row>
    <row r="46" spans="2:36" x14ac:dyDescent="0.35">
      <c r="B46" s="61" t="s">
        <v>13</v>
      </c>
      <c r="C46" s="70" t="s">
        <v>32</v>
      </c>
      <c r="D46" s="96"/>
      <c r="E46" s="77">
        <v>3495.1955719619027</v>
      </c>
      <c r="F46" s="77">
        <v>3065.0434713512195</v>
      </c>
      <c r="G46" s="77">
        <v>3261.4174997408254</v>
      </c>
      <c r="H46" s="77">
        <v>3201.1113904878807</v>
      </c>
      <c r="I46" s="77">
        <v>3412.07</v>
      </c>
      <c r="J46" s="77">
        <f>3500</f>
        <v>3500</v>
      </c>
      <c r="K46" s="63">
        <f t="shared" ref="K46:S46" si="28">J46*(1+K45)</f>
        <v>3587.4999999999995</v>
      </c>
      <c r="L46" s="63">
        <f t="shared" si="28"/>
        <v>3677.1874999999991</v>
      </c>
      <c r="M46" s="63">
        <f t="shared" si="28"/>
        <v>3769.1171874999986</v>
      </c>
      <c r="N46" s="63">
        <f>M46*(1+N45)</f>
        <v>3863.3451171874981</v>
      </c>
      <c r="O46" s="63">
        <f t="shared" si="28"/>
        <v>3959.9287451171854</v>
      </c>
      <c r="P46" s="63">
        <f t="shared" si="28"/>
        <v>4058.9269637451148</v>
      </c>
      <c r="Q46" s="63">
        <f t="shared" si="28"/>
        <v>4160.400137838742</v>
      </c>
      <c r="R46" s="63">
        <f t="shared" si="28"/>
        <v>4264.4101412847103</v>
      </c>
      <c r="S46" s="63">
        <f t="shared" si="28"/>
        <v>4371.0203948168273</v>
      </c>
      <c r="T46" s="565"/>
      <c r="W46" s="109"/>
      <c r="X46" s="109"/>
      <c r="Y46" s="109"/>
      <c r="Z46" s="109"/>
      <c r="AA46" s="109"/>
      <c r="AB46" s="109"/>
      <c r="AC46" s="109"/>
      <c r="AD46" s="109"/>
    </row>
    <row r="47" spans="2:36" x14ac:dyDescent="0.35">
      <c r="B47" s="61" t="s">
        <v>312</v>
      </c>
      <c r="C47" s="70" t="s">
        <v>32</v>
      </c>
      <c r="D47" s="96">
        <v>0.02</v>
      </c>
      <c r="E47" s="77">
        <v>102.43</v>
      </c>
      <c r="F47" s="77">
        <v>2.48</v>
      </c>
      <c r="G47" s="77">
        <v>71.31</v>
      </c>
      <c r="H47" s="77">
        <v>121.9</v>
      </c>
      <c r="I47" s="77">
        <f>116203806.4/832696.2</f>
        <v>139.55126299363442</v>
      </c>
      <c r="J47" s="63">
        <f>+I47*(1+$D47)</f>
        <v>142.34228825350712</v>
      </c>
      <c r="K47" s="63">
        <f t="shared" ref="K47:S47" si="29">+J47*(1+$D47)</f>
        <v>145.18913401857728</v>
      </c>
      <c r="L47" s="63">
        <f t="shared" si="29"/>
        <v>148.09291669894881</v>
      </c>
      <c r="M47" s="63">
        <f t="shared" si="29"/>
        <v>151.05477503292778</v>
      </c>
      <c r="N47" s="63">
        <f t="shared" si="29"/>
        <v>154.07587053358634</v>
      </c>
      <c r="O47" s="63">
        <f t="shared" si="29"/>
        <v>157.15738794425806</v>
      </c>
      <c r="P47" s="63">
        <f t="shared" si="29"/>
        <v>160.30053570314323</v>
      </c>
      <c r="Q47" s="63">
        <f t="shared" si="29"/>
        <v>163.5065464172061</v>
      </c>
      <c r="R47" s="63">
        <f t="shared" si="29"/>
        <v>166.77667734555021</v>
      </c>
      <c r="S47" s="63">
        <f t="shared" si="29"/>
        <v>170.11221089246121</v>
      </c>
      <c r="T47" s="565"/>
      <c r="W47" s="109"/>
      <c r="X47" s="109"/>
      <c r="Y47" s="109"/>
      <c r="Z47" s="109"/>
      <c r="AA47" s="109"/>
      <c r="AB47" s="109"/>
      <c r="AC47" s="109"/>
      <c r="AD47" s="109"/>
    </row>
    <row r="48" spans="2:36" x14ac:dyDescent="0.35">
      <c r="B48" s="1706" t="s">
        <v>1486</v>
      </c>
      <c r="C48" s="578" t="s">
        <v>32</v>
      </c>
      <c r="D48" s="549"/>
      <c r="E48" s="550"/>
      <c r="F48" s="550"/>
      <c r="G48" s="550"/>
      <c r="H48" s="550"/>
      <c r="I48" s="550">
        <v>711.14</v>
      </c>
      <c r="J48" s="551"/>
      <c r="K48" s="551"/>
      <c r="L48" s="551"/>
      <c r="M48" s="551"/>
      <c r="N48" s="551"/>
      <c r="O48" s="551"/>
      <c r="P48" s="551"/>
      <c r="Q48" s="551"/>
      <c r="R48" s="551"/>
      <c r="S48" s="551"/>
      <c r="T48" s="565"/>
      <c r="W48" s="109"/>
      <c r="X48" s="109"/>
      <c r="Y48" s="109"/>
      <c r="Z48" s="109"/>
      <c r="AA48" s="109"/>
      <c r="AB48" s="109"/>
      <c r="AC48" s="109"/>
      <c r="AD48" s="109"/>
    </row>
    <row r="49" spans="2:30" x14ac:dyDescent="0.35">
      <c r="B49" s="1706" t="s">
        <v>24</v>
      </c>
      <c r="C49" s="1707" t="s">
        <v>32</v>
      </c>
      <c r="D49" s="549">
        <v>0.02</v>
      </c>
      <c r="E49" s="550">
        <v>220.82</v>
      </c>
      <c r="F49" s="550">
        <v>80</v>
      </c>
      <c r="G49" s="550">
        <v>241.17925091226391</v>
      </c>
      <c r="H49" s="550">
        <v>347.79624514872438</v>
      </c>
      <c r="I49" s="550">
        <v>500</v>
      </c>
      <c r="J49" s="550">
        <v>550</v>
      </c>
      <c r="K49" s="551">
        <f t="shared" ref="K49:S49" si="30">+J49*(1+$D49)</f>
        <v>561</v>
      </c>
      <c r="L49" s="551">
        <f t="shared" si="30"/>
        <v>572.22</v>
      </c>
      <c r="M49" s="551">
        <f t="shared" si="30"/>
        <v>583.6644</v>
      </c>
      <c r="N49" s="551">
        <f t="shared" si="30"/>
        <v>595.33768799999996</v>
      </c>
      <c r="O49" s="551">
        <f t="shared" si="30"/>
        <v>607.24444175999997</v>
      </c>
      <c r="P49" s="551">
        <f t="shared" si="30"/>
        <v>619.38933059520002</v>
      </c>
      <c r="Q49" s="551">
        <f t="shared" si="30"/>
        <v>631.77711720710408</v>
      </c>
      <c r="R49" s="551">
        <f t="shared" si="30"/>
        <v>644.41265955124618</v>
      </c>
      <c r="S49" s="551">
        <f t="shared" si="30"/>
        <v>657.30091274227107</v>
      </c>
      <c r="T49" s="565"/>
      <c r="W49" s="109"/>
      <c r="X49" s="109"/>
      <c r="Y49" s="109"/>
      <c r="Z49" s="109"/>
      <c r="AA49" s="109"/>
      <c r="AB49" s="109"/>
      <c r="AC49" s="109"/>
      <c r="AD49" s="109"/>
    </row>
    <row r="50" spans="2:30" x14ac:dyDescent="0.35">
      <c r="B50" s="558" t="s">
        <v>25</v>
      </c>
      <c r="C50" s="478" t="s">
        <v>32</v>
      </c>
      <c r="D50" s="559">
        <v>0.02</v>
      </c>
      <c r="E50" s="469">
        <v>950</v>
      </c>
      <c r="F50" s="469">
        <v>950</v>
      </c>
      <c r="G50" s="469">
        <v>950</v>
      </c>
      <c r="H50" s="469">
        <v>950</v>
      </c>
      <c r="I50" s="469">
        <v>965.26</v>
      </c>
      <c r="J50" s="469">
        <v>1100</v>
      </c>
      <c r="K50" s="473">
        <f t="shared" ref="K50:S50" si="31">+J50*(1+$D50)</f>
        <v>1122</v>
      </c>
      <c r="L50" s="473">
        <f t="shared" si="31"/>
        <v>1144.44</v>
      </c>
      <c r="M50" s="473">
        <f t="shared" si="31"/>
        <v>1167.3288</v>
      </c>
      <c r="N50" s="473">
        <f t="shared" si="31"/>
        <v>1190.6753759999999</v>
      </c>
      <c r="O50" s="473">
        <f t="shared" si="31"/>
        <v>1214.4888835199999</v>
      </c>
      <c r="P50" s="473">
        <f t="shared" si="31"/>
        <v>1238.7786611904</v>
      </c>
      <c r="Q50" s="473">
        <f t="shared" si="31"/>
        <v>1263.5542344142082</v>
      </c>
      <c r="R50" s="473">
        <f t="shared" si="31"/>
        <v>1288.8253191024924</v>
      </c>
      <c r="S50" s="473">
        <f t="shared" si="31"/>
        <v>1314.6018254845421</v>
      </c>
      <c r="T50" s="565"/>
      <c r="W50" s="109"/>
      <c r="X50" s="109"/>
      <c r="Y50" s="109"/>
      <c r="Z50" s="109"/>
      <c r="AA50" s="109"/>
      <c r="AB50" s="109"/>
      <c r="AC50" s="109"/>
      <c r="AD50" s="109"/>
    </row>
    <row r="51" spans="2:30" x14ac:dyDescent="0.35">
      <c r="D51" s="552"/>
      <c r="E51" s="625"/>
      <c r="F51" s="625"/>
      <c r="G51" s="625"/>
      <c r="H51" s="625"/>
      <c r="I51" s="625"/>
      <c r="J51" s="625"/>
      <c r="K51" s="625"/>
      <c r="L51" s="625"/>
      <c r="M51" s="625"/>
      <c r="N51" s="625"/>
      <c r="O51" s="625"/>
      <c r="P51" s="625"/>
      <c r="Q51" s="625"/>
      <c r="R51" s="625"/>
      <c r="S51" s="625"/>
      <c r="T51" s="565"/>
      <c r="W51" s="109"/>
      <c r="X51" s="109"/>
      <c r="Y51" s="109"/>
      <c r="Z51" s="109"/>
      <c r="AA51" s="109"/>
      <c r="AB51" s="109"/>
      <c r="AC51" s="109"/>
      <c r="AD51" s="109"/>
    </row>
    <row r="52" spans="2:30" x14ac:dyDescent="0.35">
      <c r="B52" s="79" t="s">
        <v>911</v>
      </c>
      <c r="C52" s="91"/>
      <c r="D52" s="80"/>
      <c r="E52" s="80"/>
      <c r="F52" s="80"/>
      <c r="G52" s="81"/>
      <c r="H52" s="80"/>
      <c r="I52" s="80"/>
      <c r="J52" s="1539"/>
      <c r="K52" s="81"/>
      <c r="L52" s="707"/>
      <c r="M52" s="707"/>
      <c r="N52" s="707"/>
      <c r="O52" s="707"/>
      <c r="P52" s="707"/>
      <c r="Q52" s="707"/>
      <c r="R52" s="707"/>
      <c r="S52" s="707"/>
      <c r="T52" s="565"/>
      <c r="W52" s="109"/>
      <c r="X52" s="109"/>
      <c r="Y52" s="109"/>
      <c r="Z52" s="109"/>
      <c r="AA52" s="109"/>
      <c r="AB52" s="109"/>
      <c r="AC52" s="109"/>
      <c r="AD52" s="109"/>
    </row>
    <row r="53" spans="2:30" x14ac:dyDescent="0.35">
      <c r="B53" s="103" t="s">
        <v>895</v>
      </c>
      <c r="C53" s="97"/>
      <c r="D53" s="104"/>
      <c r="E53" s="104"/>
      <c r="F53" s="104"/>
      <c r="G53" s="105"/>
      <c r="H53" s="104"/>
      <c r="I53" s="104"/>
      <c r="J53" s="104"/>
      <c r="K53" s="104"/>
      <c r="L53" s="104"/>
      <c r="M53" s="104"/>
      <c r="N53" s="104"/>
      <c r="O53" s="104"/>
      <c r="P53" s="104"/>
      <c r="Q53" s="104"/>
      <c r="R53" s="104"/>
      <c r="S53" s="104"/>
      <c r="T53" s="565"/>
      <c r="W53" s="109"/>
      <c r="X53" s="109"/>
      <c r="Y53" s="109"/>
      <c r="Z53" s="109"/>
      <c r="AA53" s="109"/>
      <c r="AB53" s="109"/>
      <c r="AC53" s="109"/>
      <c r="AD53" s="109"/>
    </row>
    <row r="54" spans="2:30" x14ac:dyDescent="0.35">
      <c r="B54" s="126" t="s">
        <v>34</v>
      </c>
      <c r="C54" s="70" t="s">
        <v>893</v>
      </c>
      <c r="D54" s="61"/>
      <c r="E54" s="645"/>
      <c r="F54" s="645">
        <f>'Working - Sugar + Cogen'!F196/'Working - Sugar + Cogen'!E196-1</f>
        <v>2.103185366623439E-2</v>
      </c>
      <c r="G54" s="645">
        <f>'Working - Sugar + Cogen'!G196/'Working - Sugar + Cogen'!F196-1</f>
        <v>-0.38916080165891842</v>
      </c>
      <c r="H54" s="645">
        <f>'Working - Sugar + Cogen'!H196/'Working - Sugar + Cogen'!G196-1</f>
        <v>-2.3155066608308017E-3</v>
      </c>
      <c r="I54" s="645">
        <f>'Working - Sugar + Cogen'!I196/'Working - Sugar + Cogen'!H196-1</f>
        <v>7.4690287885308404E-3</v>
      </c>
      <c r="J54" s="589">
        <v>0.01</v>
      </c>
      <c r="K54" s="140">
        <f t="shared" ref="K54:S55" si="32">J54</f>
        <v>0.01</v>
      </c>
      <c r="L54" s="140">
        <f t="shared" si="32"/>
        <v>0.01</v>
      </c>
      <c r="M54" s="140">
        <f t="shared" si="32"/>
        <v>0.01</v>
      </c>
      <c r="N54" s="140">
        <f t="shared" si="32"/>
        <v>0.01</v>
      </c>
      <c r="O54" s="140">
        <f t="shared" si="32"/>
        <v>0.01</v>
      </c>
      <c r="P54" s="140">
        <f t="shared" si="32"/>
        <v>0.01</v>
      </c>
      <c r="Q54" s="140">
        <f t="shared" si="32"/>
        <v>0.01</v>
      </c>
      <c r="R54" s="140">
        <f t="shared" si="32"/>
        <v>0.01</v>
      </c>
      <c r="S54" s="140">
        <f t="shared" si="32"/>
        <v>0.01</v>
      </c>
      <c r="T54" s="565"/>
      <c r="U54" s="361"/>
      <c r="V54" s="109"/>
      <c r="W54" s="109"/>
      <c r="X54" s="109"/>
      <c r="Y54" s="109"/>
      <c r="Z54" s="109"/>
      <c r="AA54" s="109"/>
      <c r="AB54" s="109"/>
      <c r="AC54" s="109"/>
      <c r="AD54" s="109"/>
    </row>
    <row r="55" spans="2:30" x14ac:dyDescent="0.35">
      <c r="B55" s="126" t="s">
        <v>969</v>
      </c>
      <c r="C55" s="70" t="s">
        <v>893</v>
      </c>
      <c r="D55" s="61"/>
      <c r="E55" s="61"/>
      <c r="F55" s="600">
        <f>'Working - Sugar + Cogen'!F138/'Working - Sugar + Cogen'!E138-1</f>
        <v>8.6587130033003223E-2</v>
      </c>
      <c r="G55" s="600">
        <f>'Working - Sugar + Cogen'!G138/'Working - Sugar + Cogen'!F138-1</f>
        <v>-2.7064789681726875E-2</v>
      </c>
      <c r="H55" s="600">
        <f>'Working - Sugar + Cogen'!H138/'Working - Sugar + Cogen'!G138-1</f>
        <v>1.9959809593500522E-2</v>
      </c>
      <c r="I55" s="600">
        <f>'Working - Sugar + Cogen'!I138/'Working - Sugar + Cogen'!H138-1</f>
        <v>1.836446586197682E-2</v>
      </c>
      <c r="J55" s="589">
        <v>0</v>
      </c>
      <c r="K55" s="140">
        <f t="shared" si="32"/>
        <v>0</v>
      </c>
      <c r="L55" s="140">
        <f t="shared" si="32"/>
        <v>0</v>
      </c>
      <c r="M55" s="140">
        <f t="shared" si="32"/>
        <v>0</v>
      </c>
      <c r="N55" s="140">
        <f t="shared" si="32"/>
        <v>0</v>
      </c>
      <c r="O55" s="140">
        <f t="shared" si="32"/>
        <v>0</v>
      </c>
      <c r="P55" s="140">
        <f t="shared" si="32"/>
        <v>0</v>
      </c>
      <c r="Q55" s="140">
        <f t="shared" si="32"/>
        <v>0</v>
      </c>
      <c r="R55" s="140">
        <f t="shared" si="32"/>
        <v>0</v>
      </c>
      <c r="S55" s="140">
        <f t="shared" si="32"/>
        <v>0</v>
      </c>
      <c r="T55" s="565"/>
      <c r="U55" s="361"/>
      <c r="V55" s="109"/>
      <c r="W55" s="109"/>
      <c r="X55" s="109"/>
      <c r="Y55" s="109"/>
      <c r="Z55" s="109"/>
      <c r="AA55" s="109"/>
      <c r="AB55" s="109"/>
      <c r="AC55" s="109"/>
      <c r="AD55" s="109"/>
    </row>
    <row r="56" spans="2:30" x14ac:dyDescent="0.35">
      <c r="B56" s="103" t="s">
        <v>896</v>
      </c>
      <c r="C56" s="97"/>
      <c r="D56" s="104"/>
      <c r="E56" s="104"/>
      <c r="F56" s="104"/>
      <c r="G56" s="105"/>
      <c r="H56" s="104"/>
      <c r="I56" s="104"/>
      <c r="J56" s="104"/>
      <c r="K56" s="104"/>
      <c r="L56" s="104"/>
      <c r="M56" s="104"/>
      <c r="N56" s="104"/>
      <c r="O56" s="104"/>
      <c r="P56" s="104"/>
      <c r="Q56" s="104"/>
      <c r="R56" s="104"/>
      <c r="S56" s="104"/>
      <c r="T56" s="565"/>
      <c r="U56" s="361"/>
      <c r="V56" s="109"/>
      <c r="W56" s="109"/>
      <c r="X56" s="109"/>
      <c r="Y56" s="109"/>
      <c r="Z56" s="109"/>
      <c r="AA56" s="109"/>
      <c r="AB56" s="109"/>
      <c r="AC56" s="109"/>
      <c r="AD56" s="109"/>
    </row>
    <row r="57" spans="2:30" x14ac:dyDescent="0.35">
      <c r="B57" s="577" t="s">
        <v>981</v>
      </c>
      <c r="C57" s="578" t="s">
        <v>893</v>
      </c>
      <c r="D57" s="61"/>
      <c r="E57" s="61"/>
      <c r="F57" s="600">
        <f>'Working - Sugar + Cogen'!F32/'Working - Sugar + Cogen'!E32-1</f>
        <v>1.2653064381466446</v>
      </c>
      <c r="G57" s="600">
        <f>'Working - Sugar + Cogen'!G32/'Working - Sugar + Cogen'!F32-1</f>
        <v>-0.2042954014908327</v>
      </c>
      <c r="H57" s="600">
        <f>'Working - Sugar + Cogen'!H32/'Working - Sugar + Cogen'!G32-1</f>
        <v>-0.1001626063719484</v>
      </c>
      <c r="I57" s="600">
        <f>'Working - Sugar + Cogen'!I32/'Working - Sugar + Cogen'!H32-1</f>
        <v>3.1380292215500267</v>
      </c>
      <c r="J57" s="150">
        <v>0.02</v>
      </c>
      <c r="K57" s="566">
        <f t="shared" ref="K57:S57" si="33">J57</f>
        <v>0.02</v>
      </c>
      <c r="L57" s="566">
        <f t="shared" si="33"/>
        <v>0.02</v>
      </c>
      <c r="M57" s="566">
        <f t="shared" si="33"/>
        <v>0.02</v>
      </c>
      <c r="N57" s="566">
        <f t="shared" si="33"/>
        <v>0.02</v>
      </c>
      <c r="O57" s="566">
        <f t="shared" si="33"/>
        <v>0.02</v>
      </c>
      <c r="P57" s="566">
        <f t="shared" si="33"/>
        <v>0.02</v>
      </c>
      <c r="Q57" s="566">
        <f t="shared" si="33"/>
        <v>0.02</v>
      </c>
      <c r="R57" s="566">
        <f t="shared" si="33"/>
        <v>0.02</v>
      </c>
      <c r="S57" s="566">
        <f t="shared" si="33"/>
        <v>0.02</v>
      </c>
      <c r="T57" s="565"/>
      <c r="U57" s="361"/>
      <c r="V57" s="109"/>
      <c r="W57" s="109"/>
      <c r="X57" s="109"/>
      <c r="Y57" s="109"/>
      <c r="Z57" s="109"/>
      <c r="AA57" s="109"/>
      <c r="AB57" s="109"/>
      <c r="AC57" s="109"/>
      <c r="AD57" s="109"/>
    </row>
    <row r="58" spans="2:30" x14ac:dyDescent="0.35">
      <c r="B58" s="61" t="s">
        <v>90</v>
      </c>
      <c r="C58" s="70" t="s">
        <v>893</v>
      </c>
      <c r="D58" s="96"/>
      <c r="E58" s="77"/>
      <c r="F58" s="600">
        <f>'Working - Sugar + Cogen'!F37/'Working - Sugar + Cogen'!E37-1</f>
        <v>0.10938522607912038</v>
      </c>
      <c r="G58" s="600">
        <f>'Working - Sugar + Cogen'!G37/'Working - Sugar + Cogen'!F37-1</f>
        <v>8.7871654076296046E-2</v>
      </c>
      <c r="H58" s="600">
        <f>'Working - Sugar + Cogen'!H37/'Working - Sugar + Cogen'!G37-1</f>
        <v>8.8605763582028985E-2</v>
      </c>
      <c r="I58" s="600">
        <f>'Working - Sugar + Cogen'!I37/'Working - Sugar + Cogen'!H37-1</f>
        <v>6.1078418988891992E-2</v>
      </c>
      <c r="J58" s="589">
        <v>0.1</v>
      </c>
      <c r="K58" s="140">
        <f t="shared" ref="K58:M61" si="34">J58</f>
        <v>0.1</v>
      </c>
      <c r="L58" s="140">
        <f t="shared" si="34"/>
        <v>0.1</v>
      </c>
      <c r="M58" s="140">
        <f t="shared" si="34"/>
        <v>0.1</v>
      </c>
      <c r="N58" s="589">
        <v>0.08</v>
      </c>
      <c r="O58" s="140">
        <f t="shared" ref="O58:S61" si="35">N58</f>
        <v>0.08</v>
      </c>
      <c r="P58" s="140">
        <f t="shared" si="35"/>
        <v>0.08</v>
      </c>
      <c r="Q58" s="140">
        <f t="shared" si="35"/>
        <v>0.08</v>
      </c>
      <c r="R58" s="140">
        <f t="shared" si="35"/>
        <v>0.08</v>
      </c>
      <c r="S58" s="140">
        <f t="shared" si="35"/>
        <v>0.08</v>
      </c>
      <c r="T58" s="565"/>
      <c r="U58" s="361"/>
      <c r="V58" s="109"/>
      <c r="W58" s="109"/>
      <c r="X58" s="109"/>
      <c r="Y58" s="109"/>
      <c r="Z58" s="109"/>
      <c r="AA58" s="109"/>
      <c r="AB58" s="109"/>
      <c r="AC58" s="109"/>
      <c r="AD58" s="109"/>
    </row>
    <row r="59" spans="2:30" x14ac:dyDescent="0.35">
      <c r="B59" s="126" t="s">
        <v>57</v>
      </c>
      <c r="C59" s="70" t="s">
        <v>893</v>
      </c>
      <c r="D59" s="96"/>
      <c r="E59" s="77"/>
      <c r="F59" s="600"/>
      <c r="G59" s="600">
        <f>'Working - Sugar + Cogen'!G43/'Working - Sugar + Cogen'!F43-1</f>
        <v>0.910823300878707</v>
      </c>
      <c r="H59" s="600">
        <f>'Working - Sugar + Cogen'!H43/'Working - Sugar + Cogen'!G43-1</f>
        <v>0.14529204319916866</v>
      </c>
      <c r="I59" s="600">
        <f>'Working - Sugar + Cogen'!I43/'Working - Sugar + Cogen'!H43-1</f>
        <v>0.1187410834552789</v>
      </c>
      <c r="J59" s="589">
        <v>0.02</v>
      </c>
      <c r="K59" s="140">
        <f t="shared" si="34"/>
        <v>0.02</v>
      </c>
      <c r="L59" s="140">
        <f t="shared" si="34"/>
        <v>0.02</v>
      </c>
      <c r="M59" s="140">
        <f t="shared" si="34"/>
        <v>0.02</v>
      </c>
      <c r="N59" s="140">
        <f>M59</f>
        <v>0.02</v>
      </c>
      <c r="O59" s="140">
        <f t="shared" si="35"/>
        <v>0.02</v>
      </c>
      <c r="P59" s="140">
        <f t="shared" si="35"/>
        <v>0.02</v>
      </c>
      <c r="Q59" s="140">
        <f t="shared" si="35"/>
        <v>0.02</v>
      </c>
      <c r="R59" s="140">
        <f t="shared" si="35"/>
        <v>0.02</v>
      </c>
      <c r="S59" s="140">
        <f t="shared" si="35"/>
        <v>0.02</v>
      </c>
      <c r="T59" s="565"/>
      <c r="U59" s="361"/>
      <c r="V59" s="109"/>
      <c r="W59" s="109"/>
      <c r="X59" s="109"/>
      <c r="Y59" s="109"/>
      <c r="Z59" s="109"/>
      <c r="AA59" s="109"/>
      <c r="AB59" s="109"/>
      <c r="AC59" s="109"/>
      <c r="AD59" s="109"/>
    </row>
    <row r="60" spans="2:30" x14ac:dyDescent="0.35">
      <c r="B60" s="126" t="s">
        <v>59</v>
      </c>
      <c r="C60" s="70" t="s">
        <v>893</v>
      </c>
      <c r="D60" s="96"/>
      <c r="E60" s="77"/>
      <c r="F60" s="600">
        <f>'Working - Sugar + Cogen'!F44/'Working - Sugar + Cogen'!E44-1</f>
        <v>0.67233263980582536</v>
      </c>
      <c r="G60" s="600">
        <f>'Working - Sugar + Cogen'!G44/'Working - Sugar + Cogen'!F44-1</f>
        <v>-0.322926238174852</v>
      </c>
      <c r="H60" s="600">
        <f>'Working - Sugar + Cogen'!H44/'Working - Sugar + Cogen'!G44-1</f>
        <v>2.5689289827845521</v>
      </c>
      <c r="I60" s="600">
        <f>'Working - Sugar + Cogen'!I44/'Working - Sugar + Cogen'!H44-1</f>
        <v>-0.58970646822227257</v>
      </c>
      <c r="J60" s="589">
        <v>0.02</v>
      </c>
      <c r="K60" s="140">
        <f t="shared" si="34"/>
        <v>0.02</v>
      </c>
      <c r="L60" s="140">
        <f t="shared" si="34"/>
        <v>0.02</v>
      </c>
      <c r="M60" s="140">
        <f t="shared" si="34"/>
        <v>0.02</v>
      </c>
      <c r="N60" s="140">
        <f>M60</f>
        <v>0.02</v>
      </c>
      <c r="O60" s="140">
        <f t="shared" si="35"/>
        <v>0.02</v>
      </c>
      <c r="P60" s="140">
        <f t="shared" si="35"/>
        <v>0.02</v>
      </c>
      <c r="Q60" s="140">
        <f t="shared" si="35"/>
        <v>0.02</v>
      </c>
      <c r="R60" s="140">
        <f t="shared" si="35"/>
        <v>0.02</v>
      </c>
      <c r="S60" s="140">
        <f t="shared" si="35"/>
        <v>0.02</v>
      </c>
      <c r="T60" s="565"/>
      <c r="U60" s="361"/>
      <c r="V60" s="109"/>
      <c r="W60" s="109"/>
      <c r="X60" s="109"/>
      <c r="Y60" s="109"/>
      <c r="Z60" s="109"/>
      <c r="AA60" s="109"/>
      <c r="AB60" s="109"/>
      <c r="AC60" s="109"/>
      <c r="AD60" s="109"/>
    </row>
    <row r="61" spans="2:30" x14ac:dyDescent="0.35">
      <c r="B61" s="126" t="s">
        <v>61</v>
      </c>
      <c r="C61" s="70" t="s">
        <v>893</v>
      </c>
      <c r="D61" s="96"/>
      <c r="E61" s="77"/>
      <c r="F61" s="600">
        <f>'Working - Sugar + Cogen'!F45/'Working - Sugar + Cogen'!E45-1</f>
        <v>0.50895971800851525</v>
      </c>
      <c r="G61" s="600">
        <f>'Working - Sugar + Cogen'!G45/'Working - Sugar + Cogen'!F45-1</f>
        <v>0.30311071624888708</v>
      </c>
      <c r="H61" s="600">
        <f>'Working - Sugar + Cogen'!H45/'Working - Sugar + Cogen'!G45-1</f>
        <v>0.58228010977072953</v>
      </c>
      <c r="I61" s="600">
        <f>'Working - Sugar + Cogen'!I45/'Working - Sugar + Cogen'!H45-1</f>
        <v>0.14174670622558749</v>
      </c>
      <c r="J61" s="589">
        <v>0.02</v>
      </c>
      <c r="K61" s="140">
        <f t="shared" si="34"/>
        <v>0.02</v>
      </c>
      <c r="L61" s="140">
        <f t="shared" si="34"/>
        <v>0.02</v>
      </c>
      <c r="M61" s="140">
        <f t="shared" si="34"/>
        <v>0.02</v>
      </c>
      <c r="N61" s="140">
        <f>M61</f>
        <v>0.02</v>
      </c>
      <c r="O61" s="140">
        <f t="shared" si="35"/>
        <v>0.02</v>
      </c>
      <c r="P61" s="140">
        <f t="shared" si="35"/>
        <v>0.02</v>
      </c>
      <c r="Q61" s="140">
        <f t="shared" si="35"/>
        <v>0.02</v>
      </c>
      <c r="R61" s="140">
        <f t="shared" si="35"/>
        <v>0.02</v>
      </c>
      <c r="S61" s="140">
        <f t="shared" si="35"/>
        <v>0.02</v>
      </c>
      <c r="T61" s="565"/>
      <c r="U61" s="361"/>
      <c r="V61" s="109"/>
      <c r="W61" s="109"/>
      <c r="X61" s="109"/>
      <c r="Y61" s="109"/>
      <c r="Z61" s="109"/>
      <c r="AA61" s="109"/>
      <c r="AB61" s="109"/>
      <c r="AC61" s="109"/>
      <c r="AD61" s="109"/>
    </row>
    <row r="62" spans="2:30" x14ac:dyDescent="0.35">
      <c r="B62" s="126" t="s">
        <v>912</v>
      </c>
      <c r="C62" s="70"/>
      <c r="D62" s="96"/>
      <c r="E62" s="77"/>
      <c r="F62" s="600"/>
      <c r="G62" s="600"/>
      <c r="H62" s="600"/>
      <c r="I62" s="600"/>
      <c r="J62" s="140"/>
      <c r="K62" s="140"/>
      <c r="L62" s="399"/>
      <c r="M62" s="589"/>
      <c r="N62" s="589"/>
      <c r="O62" s="589"/>
      <c r="P62" s="589"/>
      <c r="Q62" s="589"/>
      <c r="R62" s="589"/>
      <c r="S62" s="589"/>
      <c r="T62" s="565"/>
      <c r="U62" s="361"/>
      <c r="V62" s="109"/>
      <c r="W62" s="109"/>
      <c r="X62" s="109"/>
      <c r="Y62" s="109"/>
      <c r="Z62" s="109"/>
      <c r="AA62" s="109"/>
      <c r="AB62" s="109"/>
      <c r="AC62" s="109"/>
      <c r="AD62" s="109"/>
    </row>
    <row r="63" spans="2:30" x14ac:dyDescent="0.35">
      <c r="B63" s="171" t="s">
        <v>74</v>
      </c>
      <c r="C63" s="70" t="s">
        <v>893</v>
      </c>
      <c r="D63" s="96"/>
      <c r="E63" s="77"/>
      <c r="F63" s="600">
        <f>'Working - Sugar + Cogen'!F47/'Working - Sugar + Cogen'!E47-1</f>
        <v>0.40476287274304323</v>
      </c>
      <c r="G63" s="600">
        <f>'Working - Sugar + Cogen'!G47/'Working - Sugar + Cogen'!F47-1</f>
        <v>-6.560158444276154E-3</v>
      </c>
      <c r="H63" s="600">
        <f>'Working - Sugar + Cogen'!H47/'Working - Sugar + Cogen'!G47-1</f>
        <v>0.79378162034497435</v>
      </c>
      <c r="I63" s="600">
        <f>'Working - Sugar + Cogen'!I47/'Working - Sugar + Cogen'!H47-1</f>
        <v>-0.29939096260532694</v>
      </c>
      <c r="J63" s="589">
        <v>0.02</v>
      </c>
      <c r="K63" s="140">
        <f t="shared" ref="K63:S63" si="36">J63</f>
        <v>0.02</v>
      </c>
      <c r="L63" s="140">
        <f t="shared" si="36"/>
        <v>0.02</v>
      </c>
      <c r="M63" s="140">
        <f t="shared" si="36"/>
        <v>0.02</v>
      </c>
      <c r="N63" s="140">
        <f t="shared" si="36"/>
        <v>0.02</v>
      </c>
      <c r="O63" s="140">
        <f t="shared" si="36"/>
        <v>0.02</v>
      </c>
      <c r="P63" s="140">
        <f t="shared" si="36"/>
        <v>0.02</v>
      </c>
      <c r="Q63" s="140">
        <f t="shared" si="36"/>
        <v>0.02</v>
      </c>
      <c r="R63" s="140">
        <f t="shared" si="36"/>
        <v>0.02</v>
      </c>
      <c r="S63" s="140">
        <f t="shared" si="36"/>
        <v>0.02</v>
      </c>
      <c r="T63" s="565"/>
      <c r="U63" s="361"/>
      <c r="V63" s="109"/>
      <c r="W63" s="109"/>
      <c r="X63" s="109"/>
      <c r="Y63" s="109"/>
      <c r="Z63" s="109"/>
      <c r="AA63" s="109"/>
      <c r="AB63" s="109"/>
      <c r="AC63" s="109"/>
      <c r="AD63" s="109"/>
    </row>
    <row r="64" spans="2:30" x14ac:dyDescent="0.35">
      <c r="B64" s="171" t="s">
        <v>76</v>
      </c>
      <c r="C64" s="70" t="s">
        <v>893</v>
      </c>
      <c r="D64" s="96"/>
      <c r="E64" s="77"/>
      <c r="F64" s="600">
        <f>'Working - Sugar + Cogen'!F48/'Working - Sugar + Cogen'!E48-1</f>
        <v>0.18926621886172246</v>
      </c>
      <c r="G64" s="600">
        <f>'Working - Sugar + Cogen'!G48/'Working - Sugar + Cogen'!F48-1</f>
        <v>8.529019954603001E-2</v>
      </c>
      <c r="H64" s="600">
        <f>'Working - Sugar + Cogen'!H48/'Working - Sugar + Cogen'!G48-1</f>
        <v>0.20290873381337282</v>
      </c>
      <c r="I64" s="600">
        <f>'Working - Sugar + Cogen'!I48/'Working - Sugar + Cogen'!H48-1</f>
        <v>0.23791070003330161</v>
      </c>
      <c r="J64" s="589">
        <v>0.02</v>
      </c>
      <c r="K64" s="140">
        <f t="shared" ref="K64:S64" si="37">J64</f>
        <v>0.02</v>
      </c>
      <c r="L64" s="140">
        <f t="shared" si="37"/>
        <v>0.02</v>
      </c>
      <c r="M64" s="140">
        <f t="shared" si="37"/>
        <v>0.02</v>
      </c>
      <c r="N64" s="140">
        <f t="shared" si="37"/>
        <v>0.02</v>
      </c>
      <c r="O64" s="140">
        <f t="shared" si="37"/>
        <v>0.02</v>
      </c>
      <c r="P64" s="140">
        <f t="shared" si="37"/>
        <v>0.02</v>
      </c>
      <c r="Q64" s="140">
        <f t="shared" si="37"/>
        <v>0.02</v>
      </c>
      <c r="R64" s="140">
        <f t="shared" si="37"/>
        <v>0.02</v>
      </c>
      <c r="S64" s="140">
        <f t="shared" si="37"/>
        <v>0.02</v>
      </c>
      <c r="T64" s="565"/>
      <c r="U64" s="361"/>
      <c r="V64" s="109"/>
      <c r="W64" s="109"/>
      <c r="X64" s="109"/>
      <c r="Y64" s="109"/>
      <c r="Z64" s="109"/>
      <c r="AA64" s="109"/>
      <c r="AB64" s="109"/>
      <c r="AC64" s="109"/>
      <c r="AD64" s="109"/>
    </row>
    <row r="65" spans="1:30" x14ac:dyDescent="0.35">
      <c r="B65" s="145" t="s">
        <v>913</v>
      </c>
      <c r="C65" s="70" t="s">
        <v>893</v>
      </c>
      <c r="D65" s="96"/>
      <c r="E65" s="77"/>
      <c r="F65" s="600">
        <f>'Working - Sugar + Cogen'!F52/'Working - Sugar + Cogen'!E52-1</f>
        <v>0.1768726926835642</v>
      </c>
      <c r="G65" s="600">
        <f>'Working - Sugar + Cogen'!G52/'Working - Sugar + Cogen'!F52-1</f>
        <v>0.83458512732949219</v>
      </c>
      <c r="H65" s="600">
        <f>'Working - Sugar + Cogen'!H52/'Working - Sugar + Cogen'!G52-1</f>
        <v>-4.4492646985724749E-2</v>
      </c>
      <c r="I65" s="600">
        <f>'Working - Sugar + Cogen'!I52/'Working - Sugar + Cogen'!H52-1</f>
        <v>-0.32100456967181268</v>
      </c>
      <c r="J65" s="589">
        <v>0.02</v>
      </c>
      <c r="K65" s="140">
        <f t="shared" ref="K65:S65" si="38">J65</f>
        <v>0.02</v>
      </c>
      <c r="L65" s="140">
        <f t="shared" si="38"/>
        <v>0.02</v>
      </c>
      <c r="M65" s="140">
        <f t="shared" si="38"/>
        <v>0.02</v>
      </c>
      <c r="N65" s="140">
        <f t="shared" si="38"/>
        <v>0.02</v>
      </c>
      <c r="O65" s="140">
        <f t="shared" si="38"/>
        <v>0.02</v>
      </c>
      <c r="P65" s="140">
        <f t="shared" si="38"/>
        <v>0.02</v>
      </c>
      <c r="Q65" s="140">
        <f t="shared" si="38"/>
        <v>0.02</v>
      </c>
      <c r="R65" s="140">
        <f t="shared" si="38"/>
        <v>0.02</v>
      </c>
      <c r="S65" s="140">
        <f t="shared" si="38"/>
        <v>0.02</v>
      </c>
      <c r="T65" s="565"/>
      <c r="U65" s="361"/>
      <c r="V65" s="109"/>
      <c r="W65" s="109"/>
      <c r="X65" s="109"/>
      <c r="Y65" s="109"/>
      <c r="Z65" s="109"/>
      <c r="AA65" s="109"/>
      <c r="AB65" s="109"/>
      <c r="AC65" s="109"/>
      <c r="AD65" s="109"/>
    </row>
    <row r="66" spans="1:30" x14ac:dyDescent="0.35">
      <c r="B66" s="145" t="s">
        <v>69</v>
      </c>
      <c r="C66" s="70" t="s">
        <v>893</v>
      </c>
      <c r="D66" s="96"/>
      <c r="E66" s="77"/>
      <c r="F66" s="600">
        <f>'Working - Sugar + Cogen'!F53/'Working - Sugar + Cogen'!E53-1</f>
        <v>0.13463353255740795</v>
      </c>
      <c r="G66" s="600">
        <f>'Working - Sugar + Cogen'!G53/'Working - Sugar + Cogen'!F53-1</f>
        <v>4.8474254089270863E-2</v>
      </c>
      <c r="H66" s="600">
        <f>'Working - Sugar + Cogen'!H53/'Working - Sugar + Cogen'!G53-1</f>
        <v>1.8352968644159695E-2</v>
      </c>
      <c r="I66" s="600">
        <f>'Working - Sugar + Cogen'!I53/'Working - Sugar + Cogen'!H53-1</f>
        <v>7.3188353303537568E-2</v>
      </c>
      <c r="J66" s="589">
        <v>0.02</v>
      </c>
      <c r="K66" s="140">
        <f t="shared" ref="K66:S66" si="39">J66</f>
        <v>0.02</v>
      </c>
      <c r="L66" s="140">
        <f t="shared" si="39"/>
        <v>0.02</v>
      </c>
      <c r="M66" s="140">
        <f t="shared" si="39"/>
        <v>0.02</v>
      </c>
      <c r="N66" s="140">
        <f t="shared" si="39"/>
        <v>0.02</v>
      </c>
      <c r="O66" s="140">
        <f t="shared" si="39"/>
        <v>0.02</v>
      </c>
      <c r="P66" s="140">
        <f t="shared" si="39"/>
        <v>0.02</v>
      </c>
      <c r="Q66" s="140">
        <f t="shared" si="39"/>
        <v>0.02</v>
      </c>
      <c r="R66" s="140">
        <f t="shared" si="39"/>
        <v>0.02</v>
      </c>
      <c r="S66" s="140">
        <f t="shared" si="39"/>
        <v>0.02</v>
      </c>
      <c r="T66" s="565"/>
      <c r="U66" s="361"/>
      <c r="V66" s="109"/>
      <c r="W66" s="109"/>
      <c r="X66" s="109"/>
      <c r="Y66" s="109"/>
      <c r="Z66" s="109"/>
      <c r="AA66" s="109"/>
      <c r="AB66" s="109"/>
      <c r="AC66" s="109"/>
      <c r="AD66" s="109"/>
    </row>
    <row r="67" spans="1:30" x14ac:dyDescent="0.35">
      <c r="D67" s="552"/>
      <c r="E67" s="553"/>
      <c r="F67" s="553"/>
      <c r="G67" s="553"/>
      <c r="H67" s="553"/>
      <c r="I67" s="553"/>
      <c r="J67" s="553"/>
      <c r="K67" s="554"/>
      <c r="L67" s="555"/>
      <c r="M67" s="554"/>
      <c r="N67" s="554"/>
      <c r="O67" s="554"/>
      <c r="P67" s="554"/>
      <c r="Q67" s="554"/>
      <c r="R67" s="554"/>
      <c r="S67" s="554"/>
      <c r="T67" s="565"/>
      <c r="U67" s="361"/>
      <c r="V67" s="109"/>
      <c r="W67" s="109"/>
      <c r="X67" s="109"/>
      <c r="Y67" s="109"/>
      <c r="Z67" s="109"/>
      <c r="AA67" s="109"/>
      <c r="AB67" s="109"/>
      <c r="AC67" s="109"/>
      <c r="AD67" s="109"/>
    </row>
    <row r="68" spans="1:30" s="261" customFormat="1" x14ac:dyDescent="0.35">
      <c r="A68" s="583"/>
      <c r="B68" s="130" t="s">
        <v>909</v>
      </c>
      <c r="C68" s="1695"/>
      <c r="D68" s="1637"/>
      <c r="E68" s="1637"/>
      <c r="F68" s="1637"/>
      <c r="G68" s="1696"/>
      <c r="H68" s="1696"/>
      <c r="I68" s="1697"/>
      <c r="J68" s="1696"/>
      <c r="K68" s="1696"/>
      <c r="L68" s="1696"/>
      <c r="M68" s="1696"/>
      <c r="N68" s="1696"/>
      <c r="O68" s="1696"/>
      <c r="P68" s="1696"/>
      <c r="Q68" s="1696"/>
      <c r="R68" s="1696"/>
      <c r="S68" s="1696"/>
      <c r="T68" s="153"/>
      <c r="U68" s="1597"/>
    </row>
    <row r="69" spans="1:30" s="135" customFormat="1" x14ac:dyDescent="0.35">
      <c r="B69" s="126" t="s">
        <v>56</v>
      </c>
      <c r="C69" s="579" t="s">
        <v>1657</v>
      </c>
      <c r="D69" s="96">
        <v>0.02</v>
      </c>
      <c r="E69" s="63">
        <f>+'Working - Sugar + Cogen'!E39*100/Assumptions!E17</f>
        <v>3.0910992119342748</v>
      </c>
      <c r="F69" s="63">
        <f>+'Working - Sugar + Cogen'!F39*100/Assumptions!F17</f>
        <v>3.4680871138080471</v>
      </c>
      <c r="G69" s="63">
        <f>+'Working - Sugar + Cogen'!G39*100/Assumptions!G17</f>
        <v>3.2850754701468516</v>
      </c>
      <c r="H69" s="63">
        <f>+'Working - Sugar + Cogen'!H39*100/Assumptions!H17</f>
        <v>3.7146576618732441</v>
      </c>
      <c r="I69" s="63">
        <f>+'Working - Sugar + Cogen'!I39*100/Assumptions!I17</f>
        <v>4.8037633527464436</v>
      </c>
      <c r="J69" s="63">
        <f>+I69*(1+$D69)</f>
        <v>4.8998386198013728</v>
      </c>
      <c r="K69" s="63">
        <f t="shared" ref="K69:K72" si="40">+J69*(1+$D69)</f>
        <v>4.9978353921974001</v>
      </c>
      <c r="L69" s="63">
        <f>+K69*(1+$D69)</f>
        <v>5.0977921000413486</v>
      </c>
      <c r="M69" s="63">
        <f t="shared" ref="M69:S69" si="41">+L69*(1+$D69)</f>
        <v>5.1997479420421753</v>
      </c>
      <c r="N69" s="63">
        <f t="shared" si="41"/>
        <v>5.3037429008830186</v>
      </c>
      <c r="O69" s="63">
        <f t="shared" si="41"/>
        <v>5.4098177589006786</v>
      </c>
      <c r="P69" s="63">
        <f t="shared" si="41"/>
        <v>5.5180141140786922</v>
      </c>
      <c r="Q69" s="63">
        <f t="shared" si="41"/>
        <v>5.6283743963602664</v>
      </c>
      <c r="R69" s="63">
        <f t="shared" si="41"/>
        <v>5.740941884287472</v>
      </c>
      <c r="S69" s="63">
        <f t="shared" si="41"/>
        <v>5.8557607219732217</v>
      </c>
      <c r="T69" s="565"/>
      <c r="U69" s="361"/>
    </row>
    <row r="70" spans="1:30" s="135" customFormat="1" x14ac:dyDescent="0.35">
      <c r="B70" s="126" t="s">
        <v>58</v>
      </c>
      <c r="C70" s="78" t="s">
        <v>1658</v>
      </c>
      <c r="D70" s="549">
        <v>0.02</v>
      </c>
      <c r="E70" s="63">
        <f>+'Working - Sugar + Cogen'!E40*100/'Stock movement'!E9</f>
        <v>35.530199850457485</v>
      </c>
      <c r="F70" s="63">
        <f>+'Working - Sugar + Cogen'!F40*100/'Stock movement'!F9</f>
        <v>37.133414238524082</v>
      </c>
      <c r="G70" s="63">
        <f>+'Working - Sugar + Cogen'!G40*100/'Stock movement'!G9</f>
        <v>35.004192518472941</v>
      </c>
      <c r="H70" s="63">
        <f>+'Working - Sugar + Cogen'!H40*100/'Stock movement'!H9</f>
        <v>38.233746691631254</v>
      </c>
      <c r="I70" s="63">
        <f>+'Working - Sugar + Cogen'!I40*100/'Stock movement'!I9</f>
        <v>48.404647623007172</v>
      </c>
      <c r="J70" s="63">
        <f>+I70*(1+$D70)</f>
        <v>49.372740575467319</v>
      </c>
      <c r="K70" s="63">
        <f t="shared" si="40"/>
        <v>50.360195386976663</v>
      </c>
      <c r="L70" s="63">
        <f>+K70*(1+$D70)</f>
        <v>51.367399294716201</v>
      </c>
      <c r="M70" s="63">
        <f t="shared" ref="M70:S70" si="42">+L70*(1+$D70)</f>
        <v>52.394747280610524</v>
      </c>
      <c r="N70" s="63">
        <f t="shared" si="42"/>
        <v>53.442642226222738</v>
      </c>
      <c r="O70" s="63">
        <f t="shared" si="42"/>
        <v>54.511495070747195</v>
      </c>
      <c r="P70" s="63">
        <f t="shared" si="42"/>
        <v>55.601724972162138</v>
      </c>
      <c r="Q70" s="63">
        <f t="shared" si="42"/>
        <v>56.713759471605385</v>
      </c>
      <c r="R70" s="63">
        <f t="shared" si="42"/>
        <v>57.848034661037495</v>
      </c>
      <c r="S70" s="63">
        <f t="shared" si="42"/>
        <v>59.004995354258249</v>
      </c>
      <c r="T70" s="565"/>
      <c r="U70" s="361"/>
    </row>
    <row r="71" spans="1:30" s="135" customFormat="1" x14ac:dyDescent="0.35">
      <c r="B71" s="126" t="s">
        <v>47</v>
      </c>
      <c r="C71" s="78" t="s">
        <v>1659</v>
      </c>
      <c r="D71" s="559">
        <v>0.02</v>
      </c>
      <c r="E71" s="63">
        <f>+'Working - Sugar + Cogen'!E41*100/'Stock movement'!E10</f>
        <v>25.323238986010352</v>
      </c>
      <c r="F71" s="63">
        <f>+'Working - Sugar + Cogen'!F41*100/'Stock movement'!F10</f>
        <v>18.207022970315951</v>
      </c>
      <c r="G71" s="63">
        <f>+'Working - Sugar + Cogen'!G41*100/'Stock movement'!G10</f>
        <v>14.039588682766547</v>
      </c>
      <c r="H71" s="63">
        <f>+'Working - Sugar + Cogen'!H41*100/'Stock movement'!H10</f>
        <v>12.81050569996715</v>
      </c>
      <c r="I71" s="63">
        <f>+'Working - Sugar + Cogen'!I41*100/'Stock movement'!I10</f>
        <v>11.581942665863144</v>
      </c>
      <c r="J71" s="63">
        <f>+I71*(1+$D71)</f>
        <v>11.813581519180406</v>
      </c>
      <c r="K71" s="63">
        <f t="shared" si="40"/>
        <v>12.049853149564015</v>
      </c>
      <c r="L71" s="63">
        <f>+K71*(1+$D71)</f>
        <v>12.290850212555295</v>
      </c>
      <c r="M71" s="63">
        <f t="shared" ref="M71:S71" si="43">+L71*(1+$D71)</f>
        <v>12.536667216806402</v>
      </c>
      <c r="N71" s="63">
        <f t="shared" si="43"/>
        <v>12.78740056114253</v>
      </c>
      <c r="O71" s="63">
        <f t="shared" si="43"/>
        <v>13.04314857236538</v>
      </c>
      <c r="P71" s="63">
        <f t="shared" si="43"/>
        <v>13.304011543812688</v>
      </c>
      <c r="Q71" s="63">
        <f t="shared" si="43"/>
        <v>13.570091774688942</v>
      </c>
      <c r="R71" s="63">
        <f t="shared" si="43"/>
        <v>13.841493610182722</v>
      </c>
      <c r="S71" s="63">
        <f t="shared" si="43"/>
        <v>14.118323482386376</v>
      </c>
      <c r="T71" s="565"/>
      <c r="U71" s="361"/>
    </row>
    <row r="72" spans="1:30" s="135" customFormat="1" x14ac:dyDescent="0.35">
      <c r="B72" s="126" t="s">
        <v>65</v>
      </c>
      <c r="C72" s="579" t="s">
        <v>1659</v>
      </c>
      <c r="D72" s="96">
        <v>0.02</v>
      </c>
      <c r="E72" s="63">
        <f>+'Working - Sugar + Cogen'!E42*100/'Stock movement'!E10</f>
        <v>8.6509530899142373</v>
      </c>
      <c r="F72" s="63">
        <f>+'Working - Sugar + Cogen'!F42*100/'Stock movement'!F10</f>
        <v>7.9243066520052965</v>
      </c>
      <c r="G72" s="63">
        <f>+'Working - Sugar + Cogen'!G42*100/'Stock movement'!G10</f>
        <v>8.0948733007096987</v>
      </c>
      <c r="H72" s="63">
        <f>+'Working - Sugar + Cogen'!H42*100/'Stock movement'!H10</f>
        <v>8.32276516390111</v>
      </c>
      <c r="I72" s="63">
        <f>+'Working - Sugar + Cogen'!I42*100/'Stock movement'!I10</f>
        <v>9.5444786485203092</v>
      </c>
      <c r="J72" s="63">
        <f>+I72*(1+$D72)</f>
        <v>9.7353682214907149</v>
      </c>
      <c r="K72" s="63">
        <f t="shared" si="40"/>
        <v>9.9300755859205285</v>
      </c>
      <c r="L72" s="63">
        <f>+K72*(1+$D72)</f>
        <v>10.128677097638938</v>
      </c>
      <c r="M72" s="63">
        <f t="shared" ref="M72:S72" si="44">+L72*(1+$D72)</f>
        <v>10.331250639591717</v>
      </c>
      <c r="N72" s="63">
        <f t="shared" si="44"/>
        <v>10.537875652383551</v>
      </c>
      <c r="O72" s="63">
        <f t="shared" si="44"/>
        <v>10.748633165431222</v>
      </c>
      <c r="P72" s="63">
        <f t="shared" si="44"/>
        <v>10.963605828739848</v>
      </c>
      <c r="Q72" s="63">
        <f t="shared" si="44"/>
        <v>11.182877945314646</v>
      </c>
      <c r="R72" s="63">
        <f t="shared" si="44"/>
        <v>11.406535504220939</v>
      </c>
      <c r="S72" s="63">
        <f t="shared" si="44"/>
        <v>11.634666214305357</v>
      </c>
      <c r="T72" s="565"/>
      <c r="U72" s="361"/>
    </row>
    <row r="73" spans="1:30" s="135" customFormat="1" x14ac:dyDescent="0.35">
      <c r="B73" s="126" t="s">
        <v>106</v>
      </c>
      <c r="C73" s="579" t="s">
        <v>1657</v>
      </c>
      <c r="D73" s="96">
        <v>0.02</v>
      </c>
      <c r="E73" s="63">
        <f>+'Working - Sugar + Cogen'!E47*100/Assumptions!E17</f>
        <v>5.4092255224130543</v>
      </c>
      <c r="F73" s="63">
        <f>+'Working - Sugar + Cogen'!F47*100/Assumptions!F17</f>
        <v>6.6931775476492827</v>
      </c>
      <c r="G73" s="63">
        <f>+'Working - Sugar + Cogen'!G47*100/Assumptions!G17</f>
        <v>7.0334738119671707</v>
      </c>
      <c r="H73" s="63">
        <f>+'Working - Sugar + Cogen'!H47*100/Assumptions!H17</f>
        <v>12.812670580401065</v>
      </c>
      <c r="I73" s="63">
        <f>+'Working - Sugar + Cogen'!I47*100/Assumptions!I17</f>
        <v>11.125710998729403</v>
      </c>
      <c r="J73" s="77">
        <v>8.6199999999999992</v>
      </c>
      <c r="K73" s="77">
        <f>7.5</f>
        <v>7.5</v>
      </c>
      <c r="L73" s="63">
        <f>+K73*(1+$D73)</f>
        <v>7.65</v>
      </c>
      <c r="M73" s="63">
        <f t="shared" ref="M73:S73" si="45">+L73*(1+$D73)</f>
        <v>7.8030000000000008</v>
      </c>
      <c r="N73" s="63">
        <f t="shared" si="45"/>
        <v>7.9590600000000009</v>
      </c>
      <c r="O73" s="63">
        <f t="shared" si="45"/>
        <v>8.1182412000000017</v>
      </c>
      <c r="P73" s="63">
        <f t="shared" si="45"/>
        <v>8.2806060240000026</v>
      </c>
      <c r="Q73" s="63">
        <f t="shared" si="45"/>
        <v>8.4462181444800031</v>
      </c>
      <c r="R73" s="63">
        <f t="shared" si="45"/>
        <v>8.6151425073696029</v>
      </c>
      <c r="S73" s="63">
        <f t="shared" si="45"/>
        <v>8.7874453575169955</v>
      </c>
      <c r="T73" s="565"/>
      <c r="U73" s="361"/>
    </row>
    <row r="74" spans="1:30" x14ac:dyDescent="0.35">
      <c r="D74" s="552"/>
      <c r="E74" s="573"/>
      <c r="F74" s="573"/>
      <c r="G74" s="553"/>
      <c r="H74" s="553"/>
      <c r="I74" s="553"/>
      <c r="J74" s="553"/>
      <c r="K74" s="553"/>
      <c r="L74" s="555"/>
      <c r="M74" s="554"/>
      <c r="N74" s="554"/>
      <c r="O74" s="554"/>
      <c r="P74" s="554"/>
      <c r="Q74" s="554"/>
      <c r="R74" s="554"/>
      <c r="S74" s="554"/>
      <c r="T74" s="565"/>
      <c r="U74" s="361"/>
      <c r="V74" s="109"/>
      <c r="W74" s="109"/>
      <c r="X74" s="109"/>
      <c r="Y74" s="109"/>
      <c r="Z74" s="109"/>
      <c r="AA74" s="109"/>
      <c r="AB74" s="109"/>
      <c r="AC74" s="109"/>
      <c r="AD74" s="109"/>
    </row>
    <row r="75" spans="1:30" x14ac:dyDescent="0.35">
      <c r="B75" s="79" t="s">
        <v>993</v>
      </c>
      <c r="C75" s="91"/>
      <c r="D75" s="80"/>
      <c r="E75" s="80"/>
      <c r="F75" s="80"/>
      <c r="G75" s="81"/>
      <c r="H75" s="80"/>
      <c r="I75" s="80"/>
      <c r="J75" s="80"/>
      <c r="K75" s="80"/>
      <c r="L75" s="80"/>
      <c r="M75" s="80"/>
      <c r="N75" s="80"/>
      <c r="O75" s="80"/>
      <c r="P75" s="80"/>
      <c r="Q75" s="80"/>
      <c r="R75" s="80"/>
      <c r="S75" s="80"/>
      <c r="T75" s="565"/>
      <c r="U75" s="361"/>
      <c r="V75" s="109"/>
      <c r="W75" s="109"/>
      <c r="X75" s="109"/>
      <c r="Y75" s="109"/>
      <c r="Z75" s="109"/>
      <c r="AA75" s="109"/>
      <c r="AB75" s="109"/>
      <c r="AC75" s="109"/>
      <c r="AD75" s="109"/>
    </row>
    <row r="76" spans="1:30" x14ac:dyDescent="0.35">
      <c r="B76" s="61" t="s">
        <v>940</v>
      </c>
      <c r="C76" s="578" t="s">
        <v>1014</v>
      </c>
      <c r="D76" s="96"/>
      <c r="E76" s="63">
        <f>'Working - Sugar + Cogen'!E155</f>
        <v>2.1995557077092305</v>
      </c>
      <c r="F76" s="63">
        <f>'Working - Sugar + Cogen'!F155</f>
        <v>2.1401793552119175</v>
      </c>
      <c r="G76" s="63">
        <f>'Working - Sugar + Cogen'!G155</f>
        <v>2.1455244919098888</v>
      </c>
      <c r="H76" s="63">
        <f>'Working - Sugar + Cogen'!H155</f>
        <v>2.1168007519630745</v>
      </c>
      <c r="I76" s="63">
        <f>'Working - Sugar + Cogen'!I155</f>
        <v>2.0964071391667147</v>
      </c>
      <c r="J76" s="77">
        <v>2.1</v>
      </c>
      <c r="K76" s="63">
        <f t="shared" ref="K76:S76" si="46">J76</f>
        <v>2.1</v>
      </c>
      <c r="L76" s="63">
        <f t="shared" si="46"/>
        <v>2.1</v>
      </c>
      <c r="M76" s="63">
        <f t="shared" si="46"/>
        <v>2.1</v>
      </c>
      <c r="N76" s="63">
        <f t="shared" si="46"/>
        <v>2.1</v>
      </c>
      <c r="O76" s="63">
        <f t="shared" si="46"/>
        <v>2.1</v>
      </c>
      <c r="P76" s="63">
        <f t="shared" si="46"/>
        <v>2.1</v>
      </c>
      <c r="Q76" s="63">
        <f t="shared" si="46"/>
        <v>2.1</v>
      </c>
      <c r="R76" s="63">
        <f t="shared" si="46"/>
        <v>2.1</v>
      </c>
      <c r="S76" s="63">
        <f t="shared" si="46"/>
        <v>2.1</v>
      </c>
      <c r="T76" s="565"/>
      <c r="U76" s="361"/>
      <c r="V76" s="109"/>
      <c r="W76" s="109"/>
      <c r="X76" s="109"/>
      <c r="Y76" s="109"/>
      <c r="Z76" s="109"/>
      <c r="AA76" s="109"/>
      <c r="AB76" s="109"/>
      <c r="AC76" s="109"/>
      <c r="AD76" s="109"/>
    </row>
    <row r="77" spans="1:30" x14ac:dyDescent="0.35">
      <c r="B77" s="106" t="s">
        <v>1011</v>
      </c>
      <c r="C77" s="578"/>
      <c r="D77" s="96"/>
      <c r="E77" s="77"/>
      <c r="F77" s="600"/>
      <c r="G77" s="600"/>
      <c r="H77" s="600"/>
      <c r="I77" s="600"/>
      <c r="J77" s="140"/>
      <c r="K77" s="140"/>
      <c r="L77" s="140"/>
      <c r="M77" s="140"/>
      <c r="N77" s="140"/>
      <c r="O77" s="140"/>
      <c r="P77" s="140"/>
      <c r="Q77" s="140"/>
      <c r="R77" s="140"/>
      <c r="S77" s="140"/>
      <c r="T77" s="565"/>
      <c r="U77" s="361"/>
      <c r="V77" s="109"/>
      <c r="W77" s="109"/>
      <c r="X77" s="109"/>
      <c r="Y77" s="109"/>
      <c r="Z77" s="109"/>
      <c r="AA77" s="109"/>
      <c r="AB77" s="109"/>
      <c r="AC77" s="109"/>
      <c r="AD77" s="109"/>
    </row>
    <row r="78" spans="1:30" x14ac:dyDescent="0.35">
      <c r="B78" s="626" t="s">
        <v>937</v>
      </c>
      <c r="C78" s="578" t="s">
        <v>885</v>
      </c>
      <c r="D78" s="96"/>
      <c r="E78" s="646">
        <f>'Working - Sugar + Cogen'!E159</f>
        <v>9.4769436587545802E-2</v>
      </c>
      <c r="F78" s="646">
        <f>'Working - Sugar + Cogen'!F159</f>
        <v>9.89728423082092E-2</v>
      </c>
      <c r="G78" s="646">
        <f>'Working - Sugar + Cogen'!G159</f>
        <v>0.15847478569164014</v>
      </c>
      <c r="H78" s="646">
        <f>'Working - Sugar + Cogen'!H159</f>
        <v>0.16415533301416615</v>
      </c>
      <c r="I78" s="646">
        <f>'Working - Sugar + Cogen'!I159</f>
        <v>0.13508616281696487</v>
      </c>
      <c r="J78" s="647">
        <v>0.15</v>
      </c>
      <c r="K78" s="140">
        <f t="shared" ref="K78:S78" si="47">J78</f>
        <v>0.15</v>
      </c>
      <c r="L78" s="140">
        <f t="shared" si="47"/>
        <v>0.15</v>
      </c>
      <c r="M78" s="140">
        <f t="shared" si="47"/>
        <v>0.15</v>
      </c>
      <c r="N78" s="140">
        <f t="shared" si="47"/>
        <v>0.15</v>
      </c>
      <c r="O78" s="140">
        <f t="shared" si="47"/>
        <v>0.15</v>
      </c>
      <c r="P78" s="140">
        <f t="shared" si="47"/>
        <v>0.15</v>
      </c>
      <c r="Q78" s="140">
        <f t="shared" si="47"/>
        <v>0.15</v>
      </c>
      <c r="R78" s="140">
        <f t="shared" si="47"/>
        <v>0.15</v>
      </c>
      <c r="S78" s="140">
        <f t="shared" si="47"/>
        <v>0.15</v>
      </c>
      <c r="T78" s="565"/>
      <c r="U78" s="361"/>
      <c r="V78" s="109"/>
      <c r="W78" s="109"/>
      <c r="X78" s="109"/>
      <c r="Y78" s="109"/>
      <c r="Z78" s="109"/>
      <c r="AA78" s="109"/>
      <c r="AB78" s="109"/>
      <c r="AC78" s="109"/>
      <c r="AD78" s="109"/>
    </row>
    <row r="79" spans="1:30" x14ac:dyDescent="0.35">
      <c r="B79" s="626" t="s">
        <v>938</v>
      </c>
      <c r="C79" s="578" t="s">
        <v>885</v>
      </c>
      <c r="D79" s="96"/>
      <c r="E79" s="646">
        <f>'Working - Sugar + Cogen'!E160</f>
        <v>0.44239228732040931</v>
      </c>
      <c r="F79" s="646">
        <f>'Working - Sugar + Cogen'!F160</f>
        <v>0.45308279635368004</v>
      </c>
      <c r="G79" s="646">
        <f>'Working - Sugar + Cogen'!G160</f>
        <v>0.38863425532607654</v>
      </c>
      <c r="H79" s="646">
        <f>'Working - Sugar + Cogen'!H160</f>
        <v>0.37302249058156817</v>
      </c>
      <c r="I79" s="646">
        <f>'Working - Sugar + Cogen'!I160</f>
        <v>0.37298192828941884</v>
      </c>
      <c r="J79" s="647">
        <v>0.33</v>
      </c>
      <c r="K79" s="140">
        <f t="shared" ref="K79:S79" si="48">J79</f>
        <v>0.33</v>
      </c>
      <c r="L79" s="140">
        <f t="shared" si="48"/>
        <v>0.33</v>
      </c>
      <c r="M79" s="140">
        <f t="shared" si="48"/>
        <v>0.33</v>
      </c>
      <c r="N79" s="140">
        <f t="shared" si="48"/>
        <v>0.33</v>
      </c>
      <c r="O79" s="140">
        <f t="shared" si="48"/>
        <v>0.33</v>
      </c>
      <c r="P79" s="140">
        <f t="shared" si="48"/>
        <v>0.33</v>
      </c>
      <c r="Q79" s="140">
        <f t="shared" si="48"/>
        <v>0.33</v>
      </c>
      <c r="R79" s="140">
        <f t="shared" si="48"/>
        <v>0.33</v>
      </c>
      <c r="S79" s="140">
        <f t="shared" si="48"/>
        <v>0.33</v>
      </c>
      <c r="T79" s="565"/>
      <c r="U79" s="361"/>
      <c r="V79" s="109"/>
      <c r="W79" s="109"/>
      <c r="X79" s="109"/>
      <c r="Y79" s="109"/>
      <c r="Z79" s="109"/>
      <c r="AA79" s="109"/>
      <c r="AB79" s="109"/>
      <c r="AC79" s="109"/>
      <c r="AD79" s="109"/>
    </row>
    <row r="80" spans="1:30" x14ac:dyDescent="0.35">
      <c r="B80" s="601" t="s">
        <v>34</v>
      </c>
      <c r="C80" s="578" t="s">
        <v>885</v>
      </c>
      <c r="D80" s="96"/>
      <c r="E80" s="646">
        <f>'Working - Sugar + Cogen'!E161</f>
        <v>2.8319076108540853</v>
      </c>
      <c r="F80" s="646">
        <f>'Working - Sugar + Cogen'!F161</f>
        <v>2.757754768937891</v>
      </c>
      <c r="G80" s="646">
        <f>'Working - Sugar + Cogen'!G161</f>
        <v>2.7356530226452791</v>
      </c>
      <c r="H80" s="646">
        <f>'Working - Sugar + Cogen'!H161</f>
        <v>2.6918941087945512</v>
      </c>
      <c r="I80" s="646">
        <f>'Working - Sugar + Cogen'!I161</f>
        <v>2.6828435970463116</v>
      </c>
      <c r="J80" s="647">
        <v>2.72</v>
      </c>
      <c r="K80" s="140">
        <f t="shared" ref="K80:S80" si="49">J80</f>
        <v>2.72</v>
      </c>
      <c r="L80" s="140">
        <f t="shared" si="49"/>
        <v>2.72</v>
      </c>
      <c r="M80" s="140">
        <f t="shared" si="49"/>
        <v>2.72</v>
      </c>
      <c r="N80" s="140">
        <f t="shared" si="49"/>
        <v>2.72</v>
      </c>
      <c r="O80" s="140">
        <f t="shared" si="49"/>
        <v>2.72</v>
      </c>
      <c r="P80" s="140">
        <f t="shared" si="49"/>
        <v>2.72</v>
      </c>
      <c r="Q80" s="140">
        <f t="shared" si="49"/>
        <v>2.72</v>
      </c>
      <c r="R80" s="140">
        <f t="shared" si="49"/>
        <v>2.72</v>
      </c>
      <c r="S80" s="140">
        <f t="shared" si="49"/>
        <v>2.72</v>
      </c>
      <c r="T80" s="565"/>
      <c r="U80" s="361"/>
      <c r="V80" s="109"/>
      <c r="W80" s="109"/>
      <c r="X80" s="109"/>
      <c r="Y80" s="109"/>
      <c r="Z80" s="109"/>
      <c r="AA80" s="109"/>
      <c r="AB80" s="109"/>
      <c r="AC80" s="109"/>
      <c r="AD80" s="109"/>
    </row>
    <row r="81" spans="1:30" x14ac:dyDescent="0.35">
      <c r="B81" s="106" t="s">
        <v>1012</v>
      </c>
      <c r="C81" s="578"/>
      <c r="D81" s="96"/>
      <c r="E81" s="77"/>
      <c r="F81" s="600"/>
      <c r="G81" s="600"/>
      <c r="H81" s="600"/>
      <c r="I81" s="600"/>
      <c r="J81" s="140"/>
      <c r="K81" s="140"/>
      <c r="L81" s="140"/>
      <c r="M81" s="140"/>
      <c r="N81" s="140"/>
      <c r="O81" s="140"/>
      <c r="P81" s="140"/>
      <c r="Q81" s="140"/>
      <c r="R81" s="140"/>
      <c r="S81" s="140"/>
      <c r="T81" s="565"/>
      <c r="U81" s="361"/>
      <c r="V81" s="109"/>
      <c r="W81" s="109"/>
      <c r="X81" s="109"/>
      <c r="Y81" s="109"/>
      <c r="Z81" s="109"/>
      <c r="AA81" s="109"/>
      <c r="AB81" s="109"/>
      <c r="AC81" s="109"/>
      <c r="AD81" s="109"/>
    </row>
    <row r="82" spans="1:30" x14ac:dyDescent="0.35">
      <c r="B82" s="626" t="s">
        <v>937</v>
      </c>
      <c r="C82" s="578" t="s">
        <v>1013</v>
      </c>
      <c r="D82" s="96"/>
      <c r="E82" s="63">
        <f>'Working - Sugar + Cogen'!E171</f>
        <v>1520.9059309156276</v>
      </c>
      <c r="F82" s="63">
        <f>'Working - Sugar + Cogen'!F171</f>
        <v>1681.9778416187439</v>
      </c>
      <c r="G82" s="63">
        <f>'Working - Sugar + Cogen'!G171</f>
        <v>1786.5064905980821</v>
      </c>
      <c r="H82" s="63">
        <f>'Working - Sugar + Cogen'!H171</f>
        <v>1500.0202411691298</v>
      </c>
      <c r="I82" s="63">
        <f>'Working - Sugar + Cogen'!I171</f>
        <v>1589.2772374733868</v>
      </c>
      <c r="J82" s="668">
        <f>I82</f>
        <v>1589.2772374733868</v>
      </c>
      <c r="K82" s="69">
        <f t="shared" ref="K82:S82" si="50">J82</f>
        <v>1589.2772374733868</v>
      </c>
      <c r="L82" s="69">
        <f t="shared" si="50"/>
        <v>1589.2772374733868</v>
      </c>
      <c r="M82" s="69">
        <f t="shared" si="50"/>
        <v>1589.2772374733868</v>
      </c>
      <c r="N82" s="69">
        <f t="shared" si="50"/>
        <v>1589.2772374733868</v>
      </c>
      <c r="O82" s="69">
        <f t="shared" si="50"/>
        <v>1589.2772374733868</v>
      </c>
      <c r="P82" s="69">
        <f t="shared" si="50"/>
        <v>1589.2772374733868</v>
      </c>
      <c r="Q82" s="69">
        <f t="shared" si="50"/>
        <v>1589.2772374733868</v>
      </c>
      <c r="R82" s="69">
        <f t="shared" si="50"/>
        <v>1589.2772374733868</v>
      </c>
      <c r="S82" s="69">
        <f t="shared" si="50"/>
        <v>1589.2772374733868</v>
      </c>
      <c r="T82" s="565"/>
      <c r="U82" s="361"/>
      <c r="V82" s="109"/>
      <c r="W82" s="109"/>
      <c r="X82" s="109"/>
      <c r="Y82" s="109"/>
      <c r="Z82" s="109"/>
      <c r="AA82" s="109"/>
      <c r="AB82" s="109"/>
      <c r="AC82" s="109"/>
      <c r="AD82" s="109"/>
    </row>
    <row r="83" spans="1:30" x14ac:dyDescent="0.35">
      <c r="B83" s="626" t="s">
        <v>938</v>
      </c>
      <c r="C83" s="578" t="s">
        <v>1013</v>
      </c>
      <c r="D83" s="96"/>
      <c r="E83" s="63">
        <f>'Working - Sugar + Cogen'!E172</f>
        <v>3470.7910976039138</v>
      </c>
      <c r="F83" s="63">
        <f>'Working - Sugar + Cogen'!F172</f>
        <v>3620.7555323777915</v>
      </c>
      <c r="G83" s="63">
        <f>'Working - Sugar + Cogen'!G172</f>
        <v>4028.0280740988396</v>
      </c>
      <c r="H83" s="63">
        <f>'Working - Sugar + Cogen'!H172</f>
        <v>3645.9653409580947</v>
      </c>
      <c r="I83" s="63">
        <f>'Working - Sugar + Cogen'!I172</f>
        <v>3463.7145694341129</v>
      </c>
      <c r="J83" s="668">
        <f>I83</f>
        <v>3463.7145694341129</v>
      </c>
      <c r="K83" s="69">
        <f t="shared" ref="K83:S83" si="51">J83</f>
        <v>3463.7145694341129</v>
      </c>
      <c r="L83" s="69">
        <f t="shared" si="51"/>
        <v>3463.7145694341129</v>
      </c>
      <c r="M83" s="69">
        <f t="shared" si="51"/>
        <v>3463.7145694341129</v>
      </c>
      <c r="N83" s="69">
        <f t="shared" si="51"/>
        <v>3463.7145694341129</v>
      </c>
      <c r="O83" s="69">
        <f t="shared" si="51"/>
        <v>3463.7145694341129</v>
      </c>
      <c r="P83" s="69">
        <f t="shared" si="51"/>
        <v>3463.7145694341129</v>
      </c>
      <c r="Q83" s="69">
        <f t="shared" si="51"/>
        <v>3463.7145694341129</v>
      </c>
      <c r="R83" s="69">
        <f t="shared" si="51"/>
        <v>3463.7145694341129</v>
      </c>
      <c r="S83" s="69">
        <f t="shared" si="51"/>
        <v>3463.7145694341129</v>
      </c>
      <c r="T83" s="565"/>
      <c r="U83" s="361"/>
      <c r="V83" s="109"/>
      <c r="W83" s="109"/>
      <c r="X83" s="109"/>
      <c r="Y83" s="109"/>
      <c r="Z83" s="109"/>
      <c r="AA83" s="109"/>
      <c r="AB83" s="109"/>
      <c r="AC83" s="109"/>
      <c r="AD83" s="109"/>
    </row>
    <row r="84" spans="1:30" x14ac:dyDescent="0.35">
      <c r="B84" s="601" t="s">
        <v>34</v>
      </c>
      <c r="C84" s="578" t="s">
        <v>1013</v>
      </c>
      <c r="D84" s="96"/>
      <c r="E84" s="63">
        <f>'Working - Sugar + Cogen'!E173</f>
        <v>35594.235466893981</v>
      </c>
      <c r="F84" s="63">
        <f>'Working - Sugar + Cogen'!F173</f>
        <v>41402.797367203471</v>
      </c>
      <c r="G84" s="63">
        <f>'Working - Sugar + Cogen'!G173</f>
        <v>52921.948143855756</v>
      </c>
      <c r="H84" s="63">
        <f>'Working - Sugar + Cogen'!H173</f>
        <v>50966.707138004298</v>
      </c>
      <c r="I84" s="63">
        <f>'Working - Sugar + Cogen'!I173</f>
        <v>41323.286080564154</v>
      </c>
      <c r="J84" s="627">
        <v>39000</v>
      </c>
      <c r="K84" s="69">
        <f t="shared" ref="K84:S84" si="52">J84</f>
        <v>39000</v>
      </c>
      <c r="L84" s="69">
        <f t="shared" si="52"/>
        <v>39000</v>
      </c>
      <c r="M84" s="69">
        <f t="shared" si="52"/>
        <v>39000</v>
      </c>
      <c r="N84" s="69">
        <f t="shared" si="52"/>
        <v>39000</v>
      </c>
      <c r="O84" s="69">
        <f t="shared" si="52"/>
        <v>39000</v>
      </c>
      <c r="P84" s="69">
        <f t="shared" si="52"/>
        <v>39000</v>
      </c>
      <c r="Q84" s="69">
        <f t="shared" si="52"/>
        <v>39000</v>
      </c>
      <c r="R84" s="69">
        <f t="shared" si="52"/>
        <v>39000</v>
      </c>
      <c r="S84" s="69">
        <f t="shared" si="52"/>
        <v>39000</v>
      </c>
      <c r="T84" s="565"/>
      <c r="U84" s="361"/>
      <c r="V84" s="109"/>
      <c r="W84" s="109"/>
      <c r="X84" s="109"/>
      <c r="Y84" s="109"/>
      <c r="Z84" s="109"/>
      <c r="AA84" s="109"/>
      <c r="AB84" s="109"/>
      <c r="AC84" s="109"/>
      <c r="AD84" s="109"/>
    </row>
    <row r="85" spans="1:30" x14ac:dyDescent="0.35">
      <c r="B85" s="601"/>
      <c r="C85" s="578"/>
      <c r="D85" s="96"/>
      <c r="E85" s="63"/>
      <c r="F85" s="63"/>
      <c r="G85" s="63"/>
      <c r="H85" s="63"/>
      <c r="I85" s="554"/>
      <c r="J85" s="69"/>
      <c r="K85" s="69"/>
      <c r="L85" s="69"/>
      <c r="M85" s="69"/>
      <c r="N85" s="69"/>
      <c r="O85" s="69"/>
      <c r="P85" s="69"/>
      <c r="Q85" s="69"/>
      <c r="R85" s="69"/>
      <c r="S85" s="69"/>
      <c r="T85" s="565"/>
      <c r="U85" s="361"/>
      <c r="V85" s="109"/>
      <c r="W85" s="109"/>
      <c r="X85" s="109"/>
      <c r="Y85" s="109"/>
      <c r="Z85" s="109"/>
      <c r="AA85" s="109"/>
      <c r="AB85" s="109"/>
      <c r="AC85" s="109"/>
      <c r="AD85" s="109"/>
    </row>
    <row r="86" spans="1:30" x14ac:dyDescent="0.35">
      <c r="B86" s="601" t="s">
        <v>1015</v>
      </c>
      <c r="C86" s="578"/>
      <c r="D86" s="96"/>
      <c r="E86" s="63">
        <f>'Working - Sugar + Cogen'!E187</f>
        <v>111.45956895518685</v>
      </c>
      <c r="F86" s="63">
        <f>'Working - Sugar + Cogen'!F187</f>
        <v>109.8881223143384</v>
      </c>
      <c r="G86" s="63">
        <f>'Working - Sugar + Cogen'!G187</f>
        <v>117.42119439221116</v>
      </c>
      <c r="H86" s="63">
        <f>'Working - Sugar + Cogen'!H187</f>
        <v>115.30920173067217</v>
      </c>
      <c r="I86" s="63">
        <f>'Working - Sugar + Cogen'!I187</f>
        <v>113.59067900363141</v>
      </c>
      <c r="J86" s="77">
        <v>117</v>
      </c>
      <c r="K86" s="63">
        <f>J86</f>
        <v>117</v>
      </c>
      <c r="L86" s="63">
        <f t="shared" ref="K86:S87" si="53">K86</f>
        <v>117</v>
      </c>
      <c r="M86" s="63">
        <f t="shared" si="53"/>
        <v>117</v>
      </c>
      <c r="N86" s="63">
        <f t="shared" si="53"/>
        <v>117</v>
      </c>
      <c r="O86" s="63">
        <f t="shared" si="53"/>
        <v>117</v>
      </c>
      <c r="P86" s="63">
        <f t="shared" si="53"/>
        <v>117</v>
      </c>
      <c r="Q86" s="63">
        <f t="shared" si="53"/>
        <v>117</v>
      </c>
      <c r="R86" s="63">
        <f t="shared" si="53"/>
        <v>117</v>
      </c>
      <c r="S86" s="63">
        <f t="shared" si="53"/>
        <v>117</v>
      </c>
      <c r="T86" s="565"/>
      <c r="U86" s="361"/>
      <c r="V86" s="109"/>
      <c r="W86" s="109"/>
      <c r="X86" s="109"/>
      <c r="Y86" s="109"/>
      <c r="Z86" s="109"/>
      <c r="AA86" s="109"/>
      <c r="AB86" s="109"/>
      <c r="AC86" s="109"/>
      <c r="AD86" s="109"/>
    </row>
    <row r="87" spans="1:30" x14ac:dyDescent="0.35">
      <c r="B87" s="601" t="s">
        <v>983</v>
      </c>
      <c r="C87" s="578" t="s">
        <v>1018</v>
      </c>
      <c r="D87" s="96"/>
      <c r="E87" s="670">
        <f>'Working - Sugar + Cogen'!E191/'Working - Sugar + Cogen'!E188</f>
        <v>9.2797338972847684E-2</v>
      </c>
      <c r="F87" s="670">
        <f>'Working - Sugar + Cogen'!F191/'Working - Sugar + Cogen'!F188</f>
        <v>0.10919980090840589</v>
      </c>
      <c r="G87" s="670">
        <f>'Working - Sugar + Cogen'!G191/'Working - Sugar + Cogen'!G188</f>
        <v>0.12659167549098024</v>
      </c>
      <c r="H87" s="670">
        <f>'Working - Sugar + Cogen'!H191/'Working - Sugar + Cogen'!H188</f>
        <v>0.13096295457773371</v>
      </c>
      <c r="I87" s="670">
        <f>'Working - Sugar + Cogen'!I191/'Working - Sugar + Cogen'!I188</f>
        <v>0.13765087137173942</v>
      </c>
      <c r="J87" s="1708">
        <v>0.12</v>
      </c>
      <c r="K87" s="646">
        <f t="shared" si="53"/>
        <v>0.12</v>
      </c>
      <c r="L87" s="646">
        <f t="shared" si="53"/>
        <v>0.12</v>
      </c>
      <c r="M87" s="646">
        <f t="shared" si="53"/>
        <v>0.12</v>
      </c>
      <c r="N87" s="646">
        <f t="shared" si="53"/>
        <v>0.12</v>
      </c>
      <c r="O87" s="646">
        <f t="shared" si="53"/>
        <v>0.12</v>
      </c>
      <c r="P87" s="646">
        <f t="shared" si="53"/>
        <v>0.12</v>
      </c>
      <c r="Q87" s="646">
        <f t="shared" si="53"/>
        <v>0.12</v>
      </c>
      <c r="R87" s="646">
        <f t="shared" si="53"/>
        <v>0.12</v>
      </c>
      <c r="S87" s="646">
        <f t="shared" si="53"/>
        <v>0.12</v>
      </c>
      <c r="T87" s="565"/>
      <c r="U87" s="361"/>
      <c r="V87" s="109"/>
      <c r="W87" s="109"/>
      <c r="X87" s="109"/>
      <c r="Y87" s="109"/>
      <c r="Z87" s="109"/>
      <c r="AA87" s="109"/>
      <c r="AB87" s="109"/>
      <c r="AC87" s="109"/>
      <c r="AD87" s="109"/>
    </row>
    <row r="88" spans="1:30" x14ac:dyDescent="0.35">
      <c r="B88" s="601"/>
      <c r="C88" s="578"/>
      <c r="D88" s="96"/>
      <c r="E88" s="670"/>
      <c r="F88" s="670"/>
      <c r="G88" s="670"/>
      <c r="H88" s="670"/>
      <c r="I88" s="670"/>
      <c r="J88" s="646"/>
      <c r="K88" s="646"/>
      <c r="L88" s="646"/>
      <c r="M88" s="646"/>
      <c r="N88" s="646"/>
      <c r="O88" s="646"/>
      <c r="P88" s="646"/>
      <c r="Q88" s="646"/>
      <c r="R88" s="646"/>
      <c r="S88" s="646"/>
      <c r="T88" s="565"/>
      <c r="U88" s="361"/>
      <c r="V88" s="109"/>
      <c r="W88" s="109"/>
      <c r="X88" s="109"/>
      <c r="Y88" s="109"/>
      <c r="Z88" s="109"/>
      <c r="AA88" s="109"/>
      <c r="AB88" s="109"/>
      <c r="AC88" s="109"/>
      <c r="AD88" s="109"/>
    </row>
    <row r="89" spans="1:30" x14ac:dyDescent="0.35">
      <c r="B89" s="500" t="s">
        <v>81</v>
      </c>
      <c r="C89" s="578"/>
      <c r="D89" s="96"/>
      <c r="E89" s="670"/>
      <c r="F89" s="670"/>
      <c r="G89" s="670"/>
      <c r="H89" s="670"/>
      <c r="I89" s="670"/>
      <c r="J89" s="646"/>
      <c r="K89" s="646"/>
      <c r="L89" s="646"/>
      <c r="M89" s="646"/>
      <c r="N89" s="646"/>
      <c r="O89" s="646"/>
      <c r="P89" s="646"/>
      <c r="Q89" s="646"/>
      <c r="R89" s="646"/>
      <c r="S89" s="646"/>
      <c r="T89" s="565"/>
      <c r="U89" s="361"/>
      <c r="V89" s="109"/>
      <c r="W89" s="109"/>
      <c r="X89" s="109"/>
      <c r="Y89" s="109"/>
      <c r="Z89" s="109"/>
      <c r="AA89" s="109"/>
      <c r="AB89" s="109"/>
      <c r="AC89" s="109"/>
      <c r="AD89" s="109"/>
    </row>
    <row r="90" spans="1:30" x14ac:dyDescent="0.35">
      <c r="B90" s="601" t="s">
        <v>1019</v>
      </c>
      <c r="C90" s="578" t="s">
        <v>1023</v>
      </c>
      <c r="D90" s="96"/>
      <c r="E90" s="1709">
        <f>'Working - Sugar + Cogen'!E206</f>
        <v>4.7663133854794237</v>
      </c>
      <c r="F90" s="1709">
        <f>'Working - Sugar + Cogen'!F206</f>
        <v>4.907992284522229</v>
      </c>
      <c r="G90" s="1709">
        <f>'Working - Sugar + Cogen'!G206</f>
        <v>3.1007824746222625</v>
      </c>
      <c r="H90" s="1709">
        <f>'Working - Sugar + Cogen'!H206</f>
        <v>2.9915373223038348</v>
      </c>
      <c r="I90" s="1709">
        <f>'Working - Sugar + Cogen'!I206</f>
        <v>3.2643577967961259</v>
      </c>
      <c r="J90" s="63">
        <f>J91</f>
        <v>3.2230557289547619</v>
      </c>
      <c r="K90" s="63">
        <f t="shared" ref="K90:S90" si="54">K91</f>
        <v>3.2875168435338571</v>
      </c>
      <c r="L90" s="63">
        <f t="shared" si="54"/>
        <v>3.3532671804045342</v>
      </c>
      <c r="M90" s="63">
        <f t="shared" si="54"/>
        <v>3.420332524012625</v>
      </c>
      <c r="N90" s="63">
        <f t="shared" si="54"/>
        <v>3.4887391744928777</v>
      </c>
      <c r="O90" s="63">
        <f t="shared" si="54"/>
        <v>3.5585139579827354</v>
      </c>
      <c r="P90" s="63">
        <f t="shared" si="54"/>
        <v>3.6296842371423903</v>
      </c>
      <c r="Q90" s="63">
        <f t="shared" si="54"/>
        <v>3.702277921885238</v>
      </c>
      <c r="R90" s="63">
        <f t="shared" si="54"/>
        <v>3.7763234803229428</v>
      </c>
      <c r="S90" s="63">
        <f t="shared" si="54"/>
        <v>3.8518499499294019</v>
      </c>
      <c r="T90" s="565"/>
      <c r="U90" s="361"/>
      <c r="V90" s="109"/>
      <c r="W90" s="109"/>
      <c r="X90" s="109"/>
      <c r="Y90" s="109"/>
      <c r="Z90" s="109"/>
      <c r="AA90" s="109"/>
      <c r="AB90" s="109"/>
      <c r="AC90" s="109"/>
      <c r="AD90" s="109"/>
    </row>
    <row r="91" spans="1:30" x14ac:dyDescent="0.35">
      <c r="B91" s="601" t="s">
        <v>1020</v>
      </c>
      <c r="C91" s="578" t="s">
        <v>1023</v>
      </c>
      <c r="D91" s="96">
        <v>0.02</v>
      </c>
      <c r="E91" s="1709">
        <f>'Working - Sugar + Cogen'!E196</f>
        <v>5.0405337506417558</v>
      </c>
      <c r="F91" s="1709">
        <f>'Working - Sugar + Cogen'!F196</f>
        <v>5.1465455188849685</v>
      </c>
      <c r="G91" s="1709">
        <f>'Working - Sugar + Cogen'!G196</f>
        <v>3.1437117389815796</v>
      </c>
      <c r="H91" s="1709">
        <f>'Working - Sugar + Cogen'!H196</f>
        <v>3.1364324535102357</v>
      </c>
      <c r="I91" s="1709">
        <f>'Working - Sugar + Cogen'!I196</f>
        <v>3.1598585577987861</v>
      </c>
      <c r="J91" s="63">
        <f>I91*(1+$D$91)</f>
        <v>3.2230557289547619</v>
      </c>
      <c r="K91" s="63">
        <f>J91*(1+$D$91)</f>
        <v>3.2875168435338571</v>
      </c>
      <c r="L91" s="63">
        <f t="shared" ref="L91:S91" si="55">K91*(1+$D$91)</f>
        <v>3.3532671804045342</v>
      </c>
      <c r="M91" s="63">
        <f t="shared" si="55"/>
        <v>3.420332524012625</v>
      </c>
      <c r="N91" s="63">
        <f t="shared" si="55"/>
        <v>3.4887391744928777</v>
      </c>
      <c r="O91" s="63">
        <f t="shared" si="55"/>
        <v>3.5585139579827354</v>
      </c>
      <c r="P91" s="63">
        <f t="shared" si="55"/>
        <v>3.6296842371423903</v>
      </c>
      <c r="Q91" s="63">
        <f t="shared" si="55"/>
        <v>3.702277921885238</v>
      </c>
      <c r="R91" s="63">
        <f t="shared" si="55"/>
        <v>3.7763234803229428</v>
      </c>
      <c r="S91" s="63">
        <f t="shared" si="55"/>
        <v>3.8518499499294019</v>
      </c>
      <c r="T91" s="565"/>
      <c r="U91" s="361"/>
      <c r="V91" s="109"/>
      <c r="W91" s="109"/>
      <c r="X91" s="109"/>
      <c r="Y91" s="109"/>
      <c r="Z91" s="109"/>
      <c r="AA91" s="109"/>
      <c r="AB91" s="109"/>
      <c r="AC91" s="109"/>
      <c r="AD91" s="109"/>
    </row>
    <row r="92" spans="1:30" x14ac:dyDescent="0.35">
      <c r="B92" s="601" t="s">
        <v>1021</v>
      </c>
      <c r="C92" s="579" t="s">
        <v>48</v>
      </c>
      <c r="D92" s="96">
        <v>0</v>
      </c>
      <c r="E92" s="63">
        <f>'Working - Sugar + Cogen'!E199</f>
        <v>123.62098094515271</v>
      </c>
      <c r="F92" s="63">
        <f>'Working - Sugar + Cogen'!F199</f>
        <v>116.01948835049669</v>
      </c>
      <c r="G92" s="63">
        <f>'Working - Sugar + Cogen'!G199</f>
        <v>107</v>
      </c>
      <c r="H92" s="63">
        <f>'Working - Sugar + Cogen'!H199</f>
        <v>101.61569285467036</v>
      </c>
      <c r="I92" s="63">
        <f>'Working - Sugar + Cogen'!I199</f>
        <v>97.220936122967672</v>
      </c>
      <c r="J92" s="77">
        <v>140</v>
      </c>
      <c r="K92" s="63">
        <f t="shared" ref="K92:S92" si="56">J92*(1+$D92)</f>
        <v>140</v>
      </c>
      <c r="L92" s="63">
        <f t="shared" si="56"/>
        <v>140</v>
      </c>
      <c r="M92" s="63">
        <f t="shared" si="56"/>
        <v>140</v>
      </c>
      <c r="N92" s="63">
        <f t="shared" si="56"/>
        <v>140</v>
      </c>
      <c r="O92" s="63">
        <f t="shared" si="56"/>
        <v>140</v>
      </c>
      <c r="P92" s="63">
        <f t="shared" si="56"/>
        <v>140</v>
      </c>
      <c r="Q92" s="63">
        <f t="shared" si="56"/>
        <v>140</v>
      </c>
      <c r="R92" s="63">
        <f t="shared" si="56"/>
        <v>140</v>
      </c>
      <c r="S92" s="63">
        <f t="shared" si="56"/>
        <v>140</v>
      </c>
      <c r="T92" s="565"/>
      <c r="U92" s="361"/>
      <c r="V92" s="109"/>
      <c r="W92" s="109"/>
      <c r="X92" s="109"/>
      <c r="Y92" s="109"/>
      <c r="Z92" s="109"/>
      <c r="AA92" s="109"/>
      <c r="AB92" s="109"/>
      <c r="AC92" s="109"/>
      <c r="AD92" s="109"/>
    </row>
    <row r="93" spans="1:30" x14ac:dyDescent="0.35">
      <c r="B93" s="601" t="s">
        <v>1022</v>
      </c>
      <c r="C93" s="579" t="s">
        <v>48</v>
      </c>
      <c r="D93" s="96">
        <v>0</v>
      </c>
      <c r="E93" s="63">
        <f>'Working - Sugar + Cogen'!E200</f>
        <v>80.985767319133572</v>
      </c>
      <c r="F93" s="63">
        <f>'Working - Sugar + Cogen'!F200</f>
        <v>76.618944886529277</v>
      </c>
      <c r="G93" s="63">
        <f>'Working - Sugar + Cogen'!G200</f>
        <v>79.999999999999986</v>
      </c>
      <c r="H93" s="63">
        <f>'Working - Sugar + Cogen'!H200</f>
        <v>83.170964805024227</v>
      </c>
      <c r="I93" s="63">
        <f>'Working - Sugar + Cogen'!I200</f>
        <v>80</v>
      </c>
      <c r="J93" s="77">
        <v>105</v>
      </c>
      <c r="K93" s="63">
        <f t="shared" ref="K93:S93" si="57">J93*(1+$D93)</f>
        <v>105</v>
      </c>
      <c r="L93" s="63">
        <f t="shared" si="57"/>
        <v>105</v>
      </c>
      <c r="M93" s="63">
        <f t="shared" si="57"/>
        <v>105</v>
      </c>
      <c r="N93" s="63">
        <f t="shared" si="57"/>
        <v>105</v>
      </c>
      <c r="O93" s="63">
        <f t="shared" si="57"/>
        <v>105</v>
      </c>
      <c r="P93" s="63">
        <f t="shared" si="57"/>
        <v>105</v>
      </c>
      <c r="Q93" s="63">
        <f t="shared" si="57"/>
        <v>105</v>
      </c>
      <c r="R93" s="63">
        <f t="shared" si="57"/>
        <v>105</v>
      </c>
      <c r="S93" s="63">
        <f t="shared" si="57"/>
        <v>105</v>
      </c>
      <c r="T93" s="565"/>
      <c r="U93" s="361"/>
      <c r="V93" s="109"/>
      <c r="W93" s="109"/>
      <c r="X93" s="109"/>
      <c r="Y93" s="109"/>
      <c r="Z93" s="109"/>
      <c r="AA93" s="109"/>
      <c r="AB93" s="109"/>
      <c r="AC93" s="109"/>
      <c r="AD93" s="109"/>
    </row>
    <row r="94" spans="1:30" x14ac:dyDescent="0.35">
      <c r="B94" s="669"/>
      <c r="D94" s="552"/>
      <c r="E94" s="554"/>
      <c r="F94" s="554"/>
      <c r="G94" s="554"/>
      <c r="H94" s="554"/>
      <c r="I94" s="554"/>
      <c r="J94" s="554"/>
      <c r="K94" s="554"/>
      <c r="L94" s="554"/>
      <c r="M94" s="554"/>
      <c r="N94" s="554"/>
      <c r="O94" s="554"/>
      <c r="P94" s="554"/>
      <c r="Q94" s="554"/>
      <c r="R94" s="554"/>
      <c r="S94" s="554"/>
      <c r="T94" s="565"/>
      <c r="U94" s="361"/>
      <c r="V94" s="109"/>
      <c r="W94" s="109"/>
      <c r="X94" s="109"/>
      <c r="Y94" s="109"/>
      <c r="Z94" s="109"/>
      <c r="AA94" s="109"/>
      <c r="AB94" s="109"/>
      <c r="AC94" s="109"/>
      <c r="AD94" s="109"/>
    </row>
    <row r="95" spans="1:30" s="430" customFormat="1" x14ac:dyDescent="0.35">
      <c r="A95" s="528" t="s">
        <v>837</v>
      </c>
      <c r="B95" s="532" t="s">
        <v>22</v>
      </c>
      <c r="C95" s="507"/>
      <c r="G95" s="556"/>
      <c r="H95" s="556"/>
      <c r="I95" s="556"/>
      <c r="J95" s="557"/>
      <c r="K95" s="557"/>
      <c r="L95" s="557"/>
      <c r="M95" s="557"/>
      <c r="N95" s="557"/>
      <c r="O95" s="557"/>
      <c r="P95" s="557"/>
      <c r="Q95" s="557"/>
      <c r="R95" s="557"/>
      <c r="S95" s="557"/>
      <c r="T95" s="611"/>
      <c r="U95" s="1350"/>
      <c r="V95" s="1351"/>
      <c r="W95" s="1351"/>
      <c r="X95" s="1351"/>
      <c r="Y95" s="1351"/>
      <c r="Z95" s="1351"/>
      <c r="AA95" s="1351"/>
      <c r="AB95" s="1351"/>
      <c r="AC95" s="1351"/>
      <c r="AD95" s="1351"/>
    </row>
    <row r="96" spans="1:30" x14ac:dyDescent="0.35">
      <c r="B96" s="283" t="s">
        <v>682</v>
      </c>
      <c r="C96" s="283"/>
      <c r="D96" s="283"/>
      <c r="E96" s="283"/>
      <c r="F96" s="283"/>
      <c r="G96" s="283"/>
      <c r="H96" s="283"/>
      <c r="I96" s="283"/>
      <c r="J96" s="283"/>
      <c r="K96" s="283"/>
      <c r="L96" s="283"/>
      <c r="M96" s="283"/>
      <c r="N96" s="283"/>
      <c r="O96" s="283"/>
      <c r="P96" s="283"/>
      <c r="Q96" s="283"/>
      <c r="R96" s="283"/>
      <c r="S96" s="283"/>
      <c r="T96" s="565"/>
      <c r="U96" s="361"/>
    </row>
    <row r="97" spans="2:30" x14ac:dyDescent="0.35">
      <c r="B97" s="699" t="s">
        <v>683</v>
      </c>
      <c r="C97" s="700" t="s">
        <v>684</v>
      </c>
      <c r="D97" s="699"/>
      <c r="E97" s="701">
        <v>800</v>
      </c>
      <c r="F97" s="702">
        <f t="shared" ref="F97:H98" si="58">E97</f>
        <v>800</v>
      </c>
      <c r="G97" s="702">
        <f t="shared" si="58"/>
        <v>800</v>
      </c>
      <c r="H97" s="702">
        <f t="shared" si="58"/>
        <v>800</v>
      </c>
      <c r="I97" s="702">
        <f t="shared" ref="I97" si="59">H97</f>
        <v>800</v>
      </c>
      <c r="J97" s="702">
        <f>I97</f>
        <v>800</v>
      </c>
      <c r="K97" s="702">
        <f t="shared" ref="K97:S97" si="60">J97</f>
        <v>800</v>
      </c>
      <c r="L97" s="702">
        <f t="shared" si="60"/>
        <v>800</v>
      </c>
      <c r="M97" s="702">
        <f t="shared" si="60"/>
        <v>800</v>
      </c>
      <c r="N97" s="702">
        <f t="shared" si="60"/>
        <v>800</v>
      </c>
      <c r="O97" s="702">
        <f t="shared" si="60"/>
        <v>800</v>
      </c>
      <c r="P97" s="702">
        <f t="shared" si="60"/>
        <v>800</v>
      </c>
      <c r="Q97" s="702">
        <f t="shared" si="60"/>
        <v>800</v>
      </c>
      <c r="R97" s="702">
        <f t="shared" si="60"/>
        <v>800</v>
      </c>
      <c r="S97" s="702">
        <f t="shared" si="60"/>
        <v>800</v>
      </c>
      <c r="T97" s="565"/>
      <c r="U97" s="361"/>
    </row>
    <row r="98" spans="2:30" x14ac:dyDescent="0.35">
      <c r="B98" s="76" t="s">
        <v>813</v>
      </c>
      <c r="C98" s="493" t="s">
        <v>225</v>
      </c>
      <c r="D98" s="76"/>
      <c r="E98" s="94">
        <v>150</v>
      </c>
      <c r="F98" s="61">
        <f t="shared" si="58"/>
        <v>150</v>
      </c>
      <c r="G98" s="61">
        <f t="shared" si="58"/>
        <v>150</v>
      </c>
      <c r="H98" s="61">
        <f t="shared" si="58"/>
        <v>150</v>
      </c>
      <c r="I98" s="580">
        <v>310</v>
      </c>
      <c r="J98" s="581">
        <f>I98</f>
        <v>310</v>
      </c>
      <c r="K98" s="61">
        <f>J98</f>
        <v>310</v>
      </c>
      <c r="L98" s="61">
        <f t="shared" ref="L98:S98" si="61">K98</f>
        <v>310</v>
      </c>
      <c r="M98" s="61">
        <f t="shared" si="61"/>
        <v>310</v>
      </c>
      <c r="N98" s="61">
        <f t="shared" si="61"/>
        <v>310</v>
      </c>
      <c r="O98" s="61">
        <f t="shared" si="61"/>
        <v>310</v>
      </c>
      <c r="P98" s="61">
        <f t="shared" si="61"/>
        <v>310</v>
      </c>
      <c r="Q98" s="61">
        <f t="shared" si="61"/>
        <v>310</v>
      </c>
      <c r="R98" s="61">
        <f t="shared" si="61"/>
        <v>310</v>
      </c>
      <c r="S98" s="61">
        <f t="shared" si="61"/>
        <v>310</v>
      </c>
      <c r="T98" s="565"/>
      <c r="U98" s="361"/>
    </row>
    <row r="99" spans="2:30" x14ac:dyDescent="0.35">
      <c r="B99" s="76" t="s">
        <v>842</v>
      </c>
      <c r="C99" s="493" t="s">
        <v>843</v>
      </c>
      <c r="D99" s="76"/>
      <c r="E99" s="69">
        <f>E97*E98/100</f>
        <v>1200</v>
      </c>
      <c r="F99" s="69">
        <f t="shared" ref="F99:R99" si="62">F97*F98/100</f>
        <v>1200</v>
      </c>
      <c r="G99" s="69">
        <f t="shared" si="62"/>
        <v>1200</v>
      </c>
      <c r="H99" s="69">
        <f t="shared" si="62"/>
        <v>1200</v>
      </c>
      <c r="I99" s="69">
        <f t="shared" ref="I99" si="63">I97*I98/100</f>
        <v>2480</v>
      </c>
      <c r="J99" s="69">
        <f t="shared" si="62"/>
        <v>2480</v>
      </c>
      <c r="K99" s="69">
        <f t="shared" si="62"/>
        <v>2480</v>
      </c>
      <c r="L99" s="69">
        <f t="shared" si="62"/>
        <v>2480</v>
      </c>
      <c r="M99" s="69">
        <f t="shared" si="62"/>
        <v>2480</v>
      </c>
      <c r="N99" s="69">
        <f t="shared" si="62"/>
        <v>2480</v>
      </c>
      <c r="O99" s="69">
        <f t="shared" si="62"/>
        <v>2480</v>
      </c>
      <c r="P99" s="69">
        <f t="shared" si="62"/>
        <v>2480</v>
      </c>
      <c r="Q99" s="69">
        <f t="shared" si="62"/>
        <v>2480</v>
      </c>
      <c r="R99" s="69">
        <f t="shared" si="62"/>
        <v>2480</v>
      </c>
      <c r="S99" s="69">
        <f>S97*S98/100</f>
        <v>2480</v>
      </c>
      <c r="T99" s="565"/>
      <c r="U99" s="361"/>
    </row>
    <row r="100" spans="2:30" x14ac:dyDescent="0.35">
      <c r="B100" s="76" t="s">
        <v>814</v>
      </c>
      <c r="C100" s="493" t="s">
        <v>225</v>
      </c>
      <c r="D100" s="76"/>
      <c r="E100" s="94">
        <v>150</v>
      </c>
      <c r="F100" s="94">
        <v>152</v>
      </c>
      <c r="G100" s="94">
        <v>91</v>
      </c>
      <c r="H100" s="94">
        <v>143</v>
      </c>
      <c r="I100" s="580">
        <v>223</v>
      </c>
      <c r="J100" s="580">
        <v>310</v>
      </c>
      <c r="K100" s="581">
        <f>K98</f>
        <v>310</v>
      </c>
      <c r="L100" s="581">
        <f>L98</f>
        <v>310</v>
      </c>
      <c r="M100" s="581">
        <f>M98</f>
        <v>310</v>
      </c>
      <c r="N100" s="581">
        <f t="shared" ref="N100:S100" si="64">N98</f>
        <v>310</v>
      </c>
      <c r="O100" s="581">
        <f t="shared" si="64"/>
        <v>310</v>
      </c>
      <c r="P100" s="581">
        <f t="shared" si="64"/>
        <v>310</v>
      </c>
      <c r="Q100" s="581">
        <f t="shared" si="64"/>
        <v>310</v>
      </c>
      <c r="R100" s="581">
        <f t="shared" si="64"/>
        <v>310</v>
      </c>
      <c r="S100" s="581">
        <f t="shared" si="64"/>
        <v>310</v>
      </c>
      <c r="T100" s="565"/>
      <c r="U100" s="361"/>
    </row>
    <row r="101" spans="2:30" x14ac:dyDescent="0.35">
      <c r="B101" s="76" t="s">
        <v>933</v>
      </c>
      <c r="C101" s="493" t="s">
        <v>843</v>
      </c>
      <c r="D101" s="76"/>
      <c r="E101" s="75">
        <f>SUM(E102:E103)</f>
        <v>1079.26</v>
      </c>
      <c r="F101" s="75">
        <f t="shared" ref="F101:H101" si="65">SUM(F102:F103)</f>
        <v>1077.2393399999999</v>
      </c>
      <c r="G101" s="75">
        <f t="shared" si="65"/>
        <v>572.21398599999998</v>
      </c>
      <c r="H101" s="75">
        <f t="shared" si="65"/>
        <v>909.03840000000002</v>
      </c>
      <c r="I101" s="75">
        <f>SUM(I102:I104)</f>
        <v>1732.60463</v>
      </c>
      <c r="J101" s="75">
        <f t="shared" ref="J101:S101" si="66">SUM(J102:J104)</f>
        <v>2000.6299039325943</v>
      </c>
      <c r="K101" s="75">
        <f t="shared" si="66"/>
        <v>2492.2618604534368</v>
      </c>
      <c r="L101" s="75">
        <f t="shared" si="66"/>
        <v>2557.537795177383</v>
      </c>
      <c r="M101" s="75">
        <f t="shared" si="66"/>
        <v>2592.9199182372504</v>
      </c>
      <c r="N101" s="75">
        <f t="shared" si="66"/>
        <v>2594.689024390244</v>
      </c>
      <c r="O101" s="75">
        <f t="shared" si="66"/>
        <v>2594.689024390244</v>
      </c>
      <c r="P101" s="75">
        <f t="shared" si="66"/>
        <v>2594.689024390244</v>
      </c>
      <c r="Q101" s="75">
        <f t="shared" si="66"/>
        <v>2594.689024390244</v>
      </c>
      <c r="R101" s="75">
        <f t="shared" si="66"/>
        <v>2594.689024390244</v>
      </c>
      <c r="S101" s="75">
        <f t="shared" si="66"/>
        <v>2594.689024390244</v>
      </c>
      <c r="T101" s="565"/>
      <c r="U101" s="361"/>
    </row>
    <row r="102" spans="2:30" x14ac:dyDescent="0.35">
      <c r="B102" s="526" t="s">
        <v>82</v>
      </c>
      <c r="C102" s="70" t="s">
        <v>30</v>
      </c>
      <c r="D102" s="61"/>
      <c r="E102" s="602">
        <v>1079.26</v>
      </c>
      <c r="F102" s="602">
        <v>1077.2393399999999</v>
      </c>
      <c r="G102" s="534">
        <f>+'Stock movement'!G98</f>
        <v>572.21398599999998</v>
      </c>
      <c r="H102" s="534">
        <f>+'Stock movement'!H98</f>
        <v>615.68439000000001</v>
      </c>
      <c r="I102" s="534">
        <f>+'Stock movement'!I98</f>
        <v>591.41549799999996</v>
      </c>
      <c r="J102" s="534">
        <f>+'Stock movement'!J98</f>
        <v>124.89480010000014</v>
      </c>
      <c r="K102" s="534">
        <f>+'Stock movement'!K98</f>
        <v>4.0856207306205761E-14</v>
      </c>
      <c r="L102" s="534">
        <f>+'Stock movement'!L98</f>
        <v>0</v>
      </c>
      <c r="M102" s="534">
        <f>+'Stock movement'!M98</f>
        <v>0</v>
      </c>
      <c r="N102" s="534">
        <f>+'Stock movement'!N98</f>
        <v>0</v>
      </c>
      <c r="O102" s="534">
        <f>+'Stock movement'!O98</f>
        <v>0</v>
      </c>
      <c r="P102" s="534">
        <f>+'Stock movement'!P98</f>
        <v>0</v>
      </c>
      <c r="Q102" s="534">
        <f>+'Stock movement'!Q98</f>
        <v>0</v>
      </c>
      <c r="R102" s="534">
        <f>+'Stock movement'!R98</f>
        <v>0</v>
      </c>
      <c r="S102" s="534">
        <f>+'Stock movement'!S98</f>
        <v>0</v>
      </c>
      <c r="T102" s="565"/>
      <c r="U102" s="361"/>
      <c r="V102" s="109"/>
      <c r="W102" s="109"/>
      <c r="X102" s="109"/>
      <c r="Y102" s="109"/>
      <c r="Z102" s="109"/>
      <c r="AA102" s="109"/>
      <c r="AB102" s="109"/>
      <c r="AC102" s="109"/>
      <c r="AD102" s="109"/>
    </row>
    <row r="103" spans="2:30" x14ac:dyDescent="0.35">
      <c r="B103" s="526" t="s">
        <v>83</v>
      </c>
      <c r="C103" s="70" t="s">
        <v>30</v>
      </c>
      <c r="D103" s="61"/>
      <c r="E103" s="534">
        <f>+'Stock movement'!E105</f>
        <v>0</v>
      </c>
      <c r="F103" s="534">
        <f>+'Stock movement'!F105</f>
        <v>0</v>
      </c>
      <c r="G103" s="534">
        <f>+'Stock movement'!G105</f>
        <v>0</v>
      </c>
      <c r="H103" s="534">
        <f>+'Stock movement'!H105</f>
        <v>293.35401000000002</v>
      </c>
      <c r="I103" s="534">
        <f>+'Stock movement'!I105</f>
        <v>1014.3892420000001</v>
      </c>
      <c r="J103" s="534">
        <f>+'Stock movement'!J105</f>
        <v>1875.7351038325942</v>
      </c>
      <c r="K103" s="534">
        <f>+'Stock movement'!K105</f>
        <v>2492.2618604534368</v>
      </c>
      <c r="L103" s="534">
        <f>+'Stock movement'!L105</f>
        <v>2557.537795177383</v>
      </c>
      <c r="M103" s="534">
        <f>+'Stock movement'!M105</f>
        <v>2592.9199182372504</v>
      </c>
      <c r="N103" s="534">
        <f>+'Stock movement'!N105</f>
        <v>2594.689024390244</v>
      </c>
      <c r="O103" s="534">
        <f>+'Stock movement'!O105</f>
        <v>2594.689024390244</v>
      </c>
      <c r="P103" s="534">
        <f>+'Stock movement'!P105</f>
        <v>2594.689024390244</v>
      </c>
      <c r="Q103" s="534">
        <f>+'Stock movement'!Q105</f>
        <v>2594.689024390244</v>
      </c>
      <c r="R103" s="534">
        <f>+'Stock movement'!R105</f>
        <v>2594.689024390244</v>
      </c>
      <c r="S103" s="534">
        <f>+'Stock movement'!S105</f>
        <v>2594.689024390244</v>
      </c>
      <c r="T103" s="565"/>
      <c r="U103" s="361"/>
      <c r="V103" s="109"/>
      <c r="W103" s="109"/>
      <c r="X103" s="109"/>
      <c r="Y103" s="109"/>
      <c r="Z103" s="109"/>
      <c r="AA103" s="109"/>
      <c r="AB103" s="109"/>
      <c r="AC103" s="109"/>
      <c r="AD103" s="109"/>
    </row>
    <row r="104" spans="2:30" s="583" customFormat="1" x14ac:dyDescent="0.35">
      <c r="B104" s="1610" t="s">
        <v>1592</v>
      </c>
      <c r="C104" s="579" t="s">
        <v>30</v>
      </c>
      <c r="D104" s="581"/>
      <c r="E104" s="1605"/>
      <c r="F104" s="1605"/>
      <c r="G104" s="1605"/>
      <c r="H104" s="1605"/>
      <c r="I104" s="534">
        <f>+'Stock movement'!I114</f>
        <v>126.79989</v>
      </c>
      <c r="J104" s="1605">
        <f>+'Stock movement'!J114</f>
        <v>0</v>
      </c>
      <c r="K104" s="1605">
        <f>+'Stock movement'!K114</f>
        <v>0</v>
      </c>
      <c r="L104" s="1605">
        <f>+'Stock movement'!L114</f>
        <v>0</v>
      </c>
      <c r="M104" s="1605">
        <f>+'Stock movement'!M114</f>
        <v>0</v>
      </c>
      <c r="N104" s="1605">
        <f>+'Stock movement'!N114</f>
        <v>0</v>
      </c>
      <c r="O104" s="1605">
        <f>+'Stock movement'!O114</f>
        <v>0</v>
      </c>
      <c r="P104" s="1605">
        <f>+'Stock movement'!P114</f>
        <v>0</v>
      </c>
      <c r="Q104" s="1605">
        <f>+'Stock movement'!Q114</f>
        <v>0</v>
      </c>
      <c r="R104" s="1605">
        <f>+'Stock movement'!R114</f>
        <v>0</v>
      </c>
      <c r="S104" s="1605">
        <f>+'Stock movement'!S114</f>
        <v>0</v>
      </c>
      <c r="T104" s="153"/>
      <c r="U104" s="1597"/>
      <c r="V104" s="1609"/>
      <c r="W104" s="1609"/>
      <c r="X104" s="1609"/>
      <c r="Y104" s="1609"/>
      <c r="Z104" s="1609"/>
      <c r="AA104" s="1609"/>
      <c r="AB104" s="1609"/>
      <c r="AC104" s="1609"/>
      <c r="AD104" s="1609"/>
    </row>
    <row r="105" spans="2:30" x14ac:dyDescent="0.35">
      <c r="B105" s="493" t="s">
        <v>763</v>
      </c>
      <c r="C105" s="493" t="s">
        <v>373</v>
      </c>
      <c r="D105" s="493"/>
      <c r="E105" s="533">
        <f>E101/E99</f>
        <v>0.89938333333333331</v>
      </c>
      <c r="F105" s="533">
        <f t="shared" ref="F105:R105" si="67">F101/F99</f>
        <v>0.89769944999999984</v>
      </c>
      <c r="G105" s="533">
        <f t="shared" si="67"/>
        <v>0.47684498833333333</v>
      </c>
      <c r="H105" s="533">
        <f t="shared" si="67"/>
        <v>0.75753199999999998</v>
      </c>
      <c r="I105" s="533">
        <f t="shared" si="67"/>
        <v>0.69863089919354837</v>
      </c>
      <c r="J105" s="533">
        <f t="shared" si="67"/>
        <v>0.80670560642443323</v>
      </c>
      <c r="K105" s="533">
        <f t="shared" si="67"/>
        <v>1.0049442985699342</v>
      </c>
      <c r="L105" s="533">
        <f t="shared" si="67"/>
        <v>1.0312652399908802</v>
      </c>
      <c r="M105" s="533">
        <f t="shared" si="67"/>
        <v>1.0455322250956656</v>
      </c>
      <c r="N105" s="533">
        <f t="shared" si="67"/>
        <v>1.0462455743509049</v>
      </c>
      <c r="O105" s="533">
        <f t="shared" si="67"/>
        <v>1.0462455743509049</v>
      </c>
      <c r="P105" s="533">
        <f t="shared" si="67"/>
        <v>1.0462455743509049</v>
      </c>
      <c r="Q105" s="533">
        <f t="shared" si="67"/>
        <v>1.0462455743509049</v>
      </c>
      <c r="R105" s="533">
        <f t="shared" si="67"/>
        <v>1.0462455743509049</v>
      </c>
      <c r="S105" s="533">
        <f>S101/S99</f>
        <v>1.0462455743509049</v>
      </c>
      <c r="T105" s="565"/>
      <c r="U105" s="361"/>
    </row>
    <row r="106" spans="2:30" x14ac:dyDescent="0.35">
      <c r="B106" s="68"/>
      <c r="C106" s="70"/>
      <c r="D106" s="61"/>
      <c r="E106" s="95"/>
      <c r="F106" s="95"/>
      <c r="G106" s="95"/>
      <c r="H106" s="95"/>
      <c r="I106" s="95"/>
      <c r="J106" s="95"/>
      <c r="K106" s="95"/>
      <c r="L106" s="95"/>
      <c r="M106" s="95"/>
      <c r="N106" s="95"/>
      <c r="O106" s="95"/>
      <c r="P106" s="95"/>
      <c r="Q106" s="95"/>
      <c r="R106" s="95"/>
      <c r="S106" s="95"/>
      <c r="T106" s="565"/>
      <c r="U106" s="361"/>
      <c r="V106" s="109"/>
      <c r="W106" s="109"/>
      <c r="X106" s="109"/>
      <c r="Y106" s="109"/>
      <c r="Z106" s="109"/>
      <c r="AA106" s="109"/>
      <c r="AB106" s="109"/>
      <c r="AC106" s="109"/>
      <c r="AD106" s="109"/>
    </row>
    <row r="107" spans="2:30" x14ac:dyDescent="0.35">
      <c r="B107" s="79" t="s">
        <v>934</v>
      </c>
      <c r="C107" s="79"/>
      <c r="D107" s="79"/>
      <c r="E107" s="79"/>
      <c r="F107" s="79"/>
      <c r="G107" s="79"/>
      <c r="H107" s="79"/>
      <c r="I107" s="79"/>
      <c r="J107" s="79"/>
      <c r="K107" s="79"/>
      <c r="L107" s="79"/>
      <c r="M107" s="79"/>
      <c r="N107" s="79"/>
      <c r="O107" s="79"/>
      <c r="P107" s="79"/>
      <c r="Q107" s="79"/>
      <c r="R107" s="79"/>
      <c r="S107" s="79"/>
      <c r="T107" s="565"/>
      <c r="U107" s="361"/>
    </row>
    <row r="108" spans="2:30" x14ac:dyDescent="0.35">
      <c r="B108" s="57" t="s">
        <v>838</v>
      </c>
      <c r="C108" s="70"/>
      <c r="D108" s="61"/>
      <c r="E108" s="61"/>
      <c r="F108" s="61"/>
      <c r="G108" s="61"/>
      <c r="H108" s="61"/>
      <c r="I108" s="61"/>
      <c r="J108" s="61"/>
      <c r="K108" s="61"/>
      <c r="L108" s="61"/>
      <c r="M108" s="61"/>
      <c r="N108" s="61"/>
      <c r="O108" s="61"/>
      <c r="P108" s="61"/>
      <c r="Q108" s="61"/>
      <c r="R108" s="61"/>
      <c r="S108" s="61"/>
      <c r="T108" s="565"/>
      <c r="U108" s="361"/>
      <c r="V108" s="109"/>
      <c r="W108" s="109"/>
      <c r="X108" s="109"/>
      <c r="Y108" s="109"/>
      <c r="Z108" s="109"/>
      <c r="AA108" s="109"/>
      <c r="AB108" s="109"/>
      <c r="AC108" s="109"/>
      <c r="AD108" s="109"/>
    </row>
    <row r="109" spans="2:30" x14ac:dyDescent="0.35">
      <c r="B109" s="68" t="s">
        <v>20</v>
      </c>
      <c r="C109" s="70" t="s">
        <v>839</v>
      </c>
      <c r="D109" s="61"/>
      <c r="E109" s="77">
        <v>23.14</v>
      </c>
      <c r="F109" s="77">
        <v>22.5</v>
      </c>
      <c r="G109" s="77">
        <v>23.15</v>
      </c>
      <c r="H109" s="77">
        <v>22.12281777321169</v>
      </c>
      <c r="I109" s="77">
        <v>21.411961203151247</v>
      </c>
      <c r="J109" s="77">
        <v>23</v>
      </c>
      <c r="K109" s="62">
        <f t="shared" ref="K109:P110" si="68">+J109</f>
        <v>23</v>
      </c>
      <c r="L109" s="62">
        <f t="shared" si="68"/>
        <v>23</v>
      </c>
      <c r="M109" s="62">
        <f t="shared" si="68"/>
        <v>23</v>
      </c>
      <c r="N109" s="62">
        <f t="shared" si="68"/>
        <v>23</v>
      </c>
      <c r="O109" s="62">
        <f t="shared" si="68"/>
        <v>23</v>
      </c>
      <c r="P109" s="62">
        <f t="shared" si="68"/>
        <v>23</v>
      </c>
      <c r="Q109" s="62">
        <f t="shared" ref="Q109:S110" si="69">+P109</f>
        <v>23</v>
      </c>
      <c r="R109" s="62">
        <f t="shared" si="69"/>
        <v>23</v>
      </c>
      <c r="S109" s="62">
        <f t="shared" si="69"/>
        <v>23</v>
      </c>
      <c r="T109" s="565"/>
      <c r="U109" s="361"/>
      <c r="V109" s="109"/>
      <c r="W109" s="109"/>
      <c r="X109" s="109"/>
      <c r="Y109" s="109"/>
      <c r="Z109" s="109"/>
      <c r="AA109" s="109"/>
      <c r="AB109" s="109"/>
      <c r="AC109" s="109"/>
      <c r="AD109" s="109"/>
    </row>
    <row r="110" spans="2:30" x14ac:dyDescent="0.35">
      <c r="B110" s="68" t="s">
        <v>21</v>
      </c>
      <c r="C110" s="70" t="s">
        <v>839</v>
      </c>
      <c r="D110" s="61"/>
      <c r="E110" s="77">
        <v>0</v>
      </c>
      <c r="F110" s="77">
        <v>0</v>
      </c>
      <c r="G110" s="77">
        <v>0</v>
      </c>
      <c r="H110" s="77">
        <v>29.101425538669101</v>
      </c>
      <c r="I110" s="77">
        <v>29.790554731620791</v>
      </c>
      <c r="J110" s="77">
        <v>30</v>
      </c>
      <c r="K110" s="62">
        <f t="shared" si="68"/>
        <v>30</v>
      </c>
      <c r="L110" s="62">
        <f t="shared" si="68"/>
        <v>30</v>
      </c>
      <c r="M110" s="62">
        <f t="shared" si="68"/>
        <v>30</v>
      </c>
      <c r="N110" s="62">
        <f t="shared" si="68"/>
        <v>30</v>
      </c>
      <c r="O110" s="62">
        <f t="shared" si="68"/>
        <v>30</v>
      </c>
      <c r="P110" s="62">
        <f t="shared" si="68"/>
        <v>30</v>
      </c>
      <c r="Q110" s="62">
        <f t="shared" si="69"/>
        <v>30</v>
      </c>
      <c r="R110" s="62">
        <f t="shared" si="69"/>
        <v>30</v>
      </c>
      <c r="S110" s="62">
        <f t="shared" si="69"/>
        <v>30</v>
      </c>
      <c r="T110" s="565"/>
      <c r="U110" s="361"/>
      <c r="V110" s="109"/>
      <c r="W110" s="109"/>
      <c r="X110" s="109"/>
      <c r="Y110" s="109"/>
      <c r="Z110" s="109"/>
      <c r="AA110" s="109"/>
      <c r="AB110" s="109"/>
      <c r="AC110" s="109"/>
      <c r="AD110" s="109"/>
    </row>
    <row r="111" spans="2:30" s="583" customFormat="1" x14ac:dyDescent="0.35">
      <c r="B111" s="581" t="s">
        <v>1587</v>
      </c>
      <c r="C111" s="578" t="s">
        <v>839</v>
      </c>
      <c r="D111" s="106"/>
      <c r="E111" s="1611"/>
      <c r="F111" s="1611"/>
      <c r="G111" s="1611"/>
      <c r="H111" s="1611"/>
      <c r="I111" s="77">
        <v>31.139462180746563</v>
      </c>
      <c r="J111" s="107">
        <v>0</v>
      </c>
      <c r="K111" s="107">
        <v>0</v>
      </c>
      <c r="L111" s="107">
        <v>0</v>
      </c>
      <c r="M111" s="107">
        <v>0</v>
      </c>
      <c r="N111" s="107">
        <v>0</v>
      </c>
      <c r="O111" s="107">
        <v>0</v>
      </c>
      <c r="P111" s="107">
        <v>0</v>
      </c>
      <c r="Q111" s="107">
        <v>0</v>
      </c>
      <c r="R111" s="107">
        <v>0</v>
      </c>
      <c r="S111" s="107">
        <v>0</v>
      </c>
      <c r="T111" s="153"/>
      <c r="U111" s="1597"/>
      <c r="V111" s="1609"/>
      <c r="W111" s="1609"/>
      <c r="X111" s="1609"/>
      <c r="Y111" s="1609"/>
      <c r="Z111" s="1609"/>
      <c r="AA111" s="1609"/>
      <c r="AB111" s="1609"/>
      <c r="AC111" s="1609"/>
      <c r="AD111" s="1609"/>
    </row>
    <row r="112" spans="2:30" x14ac:dyDescent="0.35">
      <c r="B112" s="577"/>
      <c r="C112" s="578"/>
      <c r="D112" s="61"/>
      <c r="E112" s="95"/>
      <c r="F112" s="95"/>
      <c r="G112" s="95"/>
      <c r="H112" s="95"/>
      <c r="I112" s="95"/>
      <c r="J112" s="95"/>
      <c r="K112" s="95"/>
      <c r="L112" s="95"/>
      <c r="M112" s="95"/>
      <c r="N112" s="95"/>
      <c r="O112" s="95"/>
      <c r="P112" s="95"/>
      <c r="Q112" s="95"/>
      <c r="R112" s="95"/>
      <c r="S112" s="95"/>
      <c r="T112" s="565"/>
      <c r="U112" s="361"/>
      <c r="V112" s="109"/>
      <c r="W112" s="109"/>
      <c r="X112" s="109"/>
      <c r="Y112" s="109"/>
      <c r="Z112" s="109"/>
      <c r="AA112" s="109"/>
      <c r="AB112" s="109"/>
      <c r="AC112" s="109"/>
      <c r="AD112" s="109"/>
    </row>
    <row r="113" spans="1:30" x14ac:dyDescent="0.35">
      <c r="B113" s="79" t="s">
        <v>23</v>
      </c>
      <c r="C113" s="91"/>
      <c r="D113" s="80"/>
      <c r="E113" s="80"/>
      <c r="F113" s="80"/>
      <c r="G113" s="81"/>
      <c r="H113" s="80"/>
      <c r="I113" s="80"/>
      <c r="J113" s="80"/>
      <c r="K113" s="80"/>
      <c r="L113" s="80"/>
      <c r="M113" s="80"/>
      <c r="N113" s="80"/>
      <c r="O113" s="80"/>
      <c r="P113" s="80"/>
      <c r="Q113" s="80"/>
      <c r="R113" s="80"/>
      <c r="S113" s="80"/>
      <c r="T113" s="565"/>
      <c r="U113" s="361"/>
      <c r="V113" s="109"/>
      <c r="W113" s="109"/>
      <c r="X113" s="109"/>
      <c r="Y113" s="109"/>
      <c r="Z113" s="109"/>
      <c r="AA113" s="109"/>
      <c r="AB113" s="109"/>
      <c r="AC113" s="109"/>
      <c r="AD113" s="109"/>
    </row>
    <row r="114" spans="1:30" x14ac:dyDescent="0.35">
      <c r="B114" s="103" t="s">
        <v>375</v>
      </c>
      <c r="C114" s="97"/>
      <c r="D114" s="104"/>
      <c r="E114" s="104"/>
      <c r="F114" s="104"/>
      <c r="G114" s="105"/>
      <c r="H114" s="104"/>
      <c r="I114" s="104"/>
      <c r="J114" s="104"/>
      <c r="K114" s="104"/>
      <c r="L114" s="104"/>
      <c r="M114" s="104"/>
      <c r="N114" s="104"/>
      <c r="O114" s="104"/>
      <c r="P114" s="104"/>
      <c r="Q114" s="104"/>
      <c r="R114" s="104"/>
      <c r="S114" s="104"/>
      <c r="T114" s="565"/>
      <c r="U114" s="361"/>
      <c r="V114" s="109"/>
      <c r="W114" s="109"/>
      <c r="X114" s="109"/>
      <c r="Y114" s="109"/>
      <c r="Z114" s="109"/>
      <c r="AA114" s="109"/>
      <c r="AB114" s="109"/>
      <c r="AC114" s="109"/>
      <c r="AD114" s="109"/>
    </row>
    <row r="115" spans="1:30" x14ac:dyDescent="0.35">
      <c r="B115" s="61" t="s">
        <v>605</v>
      </c>
      <c r="C115" s="70"/>
      <c r="D115" s="96"/>
      <c r="E115" s="96"/>
      <c r="F115" s="96"/>
      <c r="G115" s="62"/>
      <c r="H115" s="77"/>
      <c r="I115" s="77"/>
      <c r="J115" s="63"/>
      <c r="K115" s="63"/>
      <c r="L115" s="63"/>
      <c r="M115" s="63"/>
      <c r="N115" s="63"/>
      <c r="O115" s="63"/>
      <c r="P115" s="63"/>
      <c r="Q115" s="63"/>
      <c r="R115" s="63"/>
      <c r="S115" s="63"/>
      <c r="T115" s="565"/>
      <c r="U115" s="361"/>
      <c r="V115" s="109"/>
      <c r="W115" s="109"/>
      <c r="X115" s="109"/>
      <c r="Y115" s="109"/>
      <c r="Z115" s="109"/>
      <c r="AA115" s="109"/>
      <c r="AB115" s="109"/>
      <c r="AC115" s="109"/>
      <c r="AD115" s="109"/>
    </row>
    <row r="116" spans="1:30" x14ac:dyDescent="0.35">
      <c r="B116" s="400" t="s">
        <v>24</v>
      </c>
      <c r="C116" s="578" t="s">
        <v>32</v>
      </c>
      <c r="D116" s="96"/>
      <c r="E116" s="63">
        <f>E49</f>
        <v>220.82</v>
      </c>
      <c r="F116" s="63">
        <f t="shared" ref="F116:I116" si="70">F49</f>
        <v>80</v>
      </c>
      <c r="G116" s="63">
        <f t="shared" si="70"/>
        <v>241.17925091226391</v>
      </c>
      <c r="H116" s="63">
        <f t="shared" si="70"/>
        <v>347.79624514872438</v>
      </c>
      <c r="I116" s="63">
        <f t="shared" si="70"/>
        <v>500</v>
      </c>
      <c r="J116" s="63">
        <f t="shared" ref="J116:S116" si="71">J49</f>
        <v>550</v>
      </c>
      <c r="K116" s="63">
        <f t="shared" si="71"/>
        <v>561</v>
      </c>
      <c r="L116" s="63">
        <f t="shared" si="71"/>
        <v>572.22</v>
      </c>
      <c r="M116" s="63">
        <f t="shared" si="71"/>
        <v>583.6644</v>
      </c>
      <c r="N116" s="63">
        <f t="shared" si="71"/>
        <v>595.33768799999996</v>
      </c>
      <c r="O116" s="63">
        <f t="shared" si="71"/>
        <v>607.24444175999997</v>
      </c>
      <c r="P116" s="63">
        <f t="shared" si="71"/>
        <v>619.38933059520002</v>
      </c>
      <c r="Q116" s="63">
        <f t="shared" si="71"/>
        <v>631.77711720710408</v>
      </c>
      <c r="R116" s="63">
        <f t="shared" si="71"/>
        <v>644.41265955124618</v>
      </c>
      <c r="S116" s="63">
        <f t="shared" si="71"/>
        <v>657.30091274227107</v>
      </c>
      <c r="T116" s="565"/>
      <c r="U116" s="361"/>
      <c r="V116" s="109"/>
      <c r="W116" s="109"/>
      <c r="X116" s="109"/>
      <c r="Y116" s="109"/>
      <c r="Z116" s="109"/>
      <c r="AA116" s="109"/>
      <c r="AB116" s="109"/>
      <c r="AC116" s="109"/>
      <c r="AD116" s="109"/>
    </row>
    <row r="117" spans="1:30" x14ac:dyDescent="0.35">
      <c r="B117" s="400" t="s">
        <v>25</v>
      </c>
      <c r="C117" s="70" t="s">
        <v>32</v>
      </c>
      <c r="D117" s="96"/>
      <c r="E117" s="77">
        <v>0</v>
      </c>
      <c r="F117" s="63">
        <f>F50</f>
        <v>950</v>
      </c>
      <c r="G117" s="63">
        <f>G50</f>
        <v>950</v>
      </c>
      <c r="H117" s="63">
        <f>H50</f>
        <v>950</v>
      </c>
      <c r="I117" s="63">
        <f>I50</f>
        <v>965.26</v>
      </c>
      <c r="J117" s="63">
        <f>J50</f>
        <v>1100</v>
      </c>
      <c r="K117" s="63">
        <f t="shared" ref="K117:S117" si="72">K50</f>
        <v>1122</v>
      </c>
      <c r="L117" s="63">
        <f t="shared" si="72"/>
        <v>1144.44</v>
      </c>
      <c r="M117" s="63">
        <f t="shared" si="72"/>
        <v>1167.3288</v>
      </c>
      <c r="N117" s="63">
        <f t="shared" si="72"/>
        <v>1190.6753759999999</v>
      </c>
      <c r="O117" s="63">
        <f t="shared" si="72"/>
        <v>1214.4888835199999</v>
      </c>
      <c r="P117" s="63">
        <f t="shared" si="72"/>
        <v>1238.7786611904</v>
      </c>
      <c r="Q117" s="63">
        <f t="shared" si="72"/>
        <v>1263.5542344142082</v>
      </c>
      <c r="R117" s="63">
        <f t="shared" si="72"/>
        <v>1288.8253191024924</v>
      </c>
      <c r="S117" s="63">
        <f t="shared" si="72"/>
        <v>1314.6018254845421</v>
      </c>
      <c r="T117" s="565"/>
      <c r="U117" s="361"/>
      <c r="V117" s="109"/>
      <c r="W117" s="109"/>
      <c r="X117" s="109"/>
      <c r="Y117" s="109"/>
      <c r="Z117" s="109"/>
      <c r="AA117" s="109"/>
      <c r="AB117" s="109"/>
      <c r="AC117" s="109"/>
      <c r="AD117" s="109"/>
    </row>
    <row r="118" spans="1:30" s="583" customFormat="1" x14ac:dyDescent="0.35">
      <c r="B118" s="171" t="s">
        <v>1586</v>
      </c>
      <c r="C118" s="579" t="s">
        <v>32</v>
      </c>
      <c r="D118" s="101"/>
      <c r="E118" s="63"/>
      <c r="F118" s="63"/>
      <c r="G118" s="63"/>
      <c r="H118" s="63"/>
      <c r="I118" s="77">
        <v>1700</v>
      </c>
      <c r="J118" s="63">
        <v>0</v>
      </c>
      <c r="K118" s="63">
        <v>0</v>
      </c>
      <c r="L118" s="63">
        <v>0</v>
      </c>
      <c r="M118" s="63">
        <v>0</v>
      </c>
      <c r="N118" s="63">
        <v>0</v>
      </c>
      <c r="O118" s="63">
        <v>0</v>
      </c>
      <c r="P118" s="63">
        <v>0</v>
      </c>
      <c r="Q118" s="63">
        <v>0</v>
      </c>
      <c r="R118" s="63">
        <v>0</v>
      </c>
      <c r="S118" s="63">
        <v>0</v>
      </c>
      <c r="T118" s="153"/>
      <c r="U118" s="1597"/>
      <c r="V118" s="1609"/>
      <c r="W118" s="1609"/>
      <c r="X118" s="1609"/>
      <c r="Y118" s="1609"/>
      <c r="Z118" s="1609"/>
      <c r="AA118" s="1609"/>
      <c r="AB118" s="1609"/>
      <c r="AC118" s="1609"/>
      <c r="AD118" s="1609"/>
    </row>
    <row r="119" spans="1:30" x14ac:dyDescent="0.35">
      <c r="B119" s="103" t="s">
        <v>376</v>
      </c>
      <c r="C119" s="97"/>
      <c r="D119" s="104"/>
      <c r="E119" s="104"/>
      <c r="F119" s="1344">
        <f t="shared" ref="F119:G119" si="73">F120/E120-1</f>
        <v>1.788749904853737E-2</v>
      </c>
      <c r="G119" s="1344">
        <f t="shared" si="73"/>
        <v>3.79630091230867E-2</v>
      </c>
      <c r="H119" s="1344">
        <f>H120/G120-1</f>
        <v>2.4807281285271765E-2</v>
      </c>
      <c r="I119" s="1344">
        <f>I120/H120-1</f>
        <v>-8.2954492196652962E-3</v>
      </c>
      <c r="J119" s="1344">
        <f>J120/I120-1</f>
        <v>0.10993908317580336</v>
      </c>
      <c r="K119" s="1344">
        <f t="shared" ref="K119:L119" si="74">K120/J120-1</f>
        <v>1.321148306347486E-2</v>
      </c>
      <c r="L119" s="1344">
        <f t="shared" si="74"/>
        <v>2.0000000000000018E-2</v>
      </c>
      <c r="M119" s="104"/>
      <c r="N119" s="104"/>
      <c r="O119" s="104"/>
      <c r="P119" s="104"/>
      <c r="Q119" s="104"/>
      <c r="R119" s="104"/>
      <c r="S119" s="104"/>
      <c r="T119" s="565"/>
      <c r="U119" s="361"/>
      <c r="V119" s="109"/>
      <c r="W119" s="109"/>
      <c r="X119" s="109"/>
      <c r="Y119" s="109"/>
      <c r="Z119" s="109"/>
      <c r="AA119" s="109"/>
      <c r="AB119" s="109"/>
      <c r="AC119" s="109"/>
      <c r="AD119" s="109"/>
    </row>
    <row r="120" spans="1:30" x14ac:dyDescent="0.35">
      <c r="A120" s="575"/>
      <c r="B120" s="61" t="s">
        <v>26</v>
      </c>
      <c r="C120" s="70" t="s">
        <v>33</v>
      </c>
      <c r="D120" s="96">
        <v>0.02</v>
      </c>
      <c r="E120" s="77">
        <v>39.412999999999997</v>
      </c>
      <c r="F120" s="77">
        <v>40.118000000000002</v>
      </c>
      <c r="G120" s="77">
        <v>41.640999999999998</v>
      </c>
      <c r="H120" s="77">
        <v>42.673999999999999</v>
      </c>
      <c r="I120" s="77">
        <v>42.32</v>
      </c>
      <c r="J120" s="77">
        <f>46.66*100.67%</f>
        <v>46.972621999999994</v>
      </c>
      <c r="K120" s="63">
        <f>46.66*(1+$D120)</f>
        <v>47.593199999999996</v>
      </c>
      <c r="L120" s="63">
        <f t="shared" ref="L120:S120" si="75">+K120*(1+$D120)</f>
        <v>48.545063999999996</v>
      </c>
      <c r="M120" s="63">
        <f t="shared" si="75"/>
        <v>49.515965279999996</v>
      </c>
      <c r="N120" s="63">
        <f t="shared" si="75"/>
        <v>50.5062845856</v>
      </c>
      <c r="O120" s="63">
        <f t="shared" si="75"/>
        <v>51.516410277311998</v>
      </c>
      <c r="P120" s="63">
        <f t="shared" si="75"/>
        <v>52.546738482858238</v>
      </c>
      <c r="Q120" s="63">
        <f t="shared" si="75"/>
        <v>53.597673252515406</v>
      </c>
      <c r="R120" s="63">
        <f t="shared" si="75"/>
        <v>54.669626717565713</v>
      </c>
      <c r="S120" s="63">
        <f t="shared" si="75"/>
        <v>55.763019251917029</v>
      </c>
      <c r="T120" s="361"/>
      <c r="U120" s="109"/>
      <c r="V120" s="109"/>
      <c r="W120" s="109"/>
      <c r="X120" s="109"/>
      <c r="Y120" s="109"/>
      <c r="Z120" s="109"/>
      <c r="AA120" s="109"/>
      <c r="AB120" s="109"/>
      <c r="AC120" s="109"/>
      <c r="AD120" s="58"/>
    </row>
    <row r="121" spans="1:30" x14ac:dyDescent="0.35">
      <c r="A121" s="575"/>
      <c r="B121" s="61" t="s">
        <v>27</v>
      </c>
      <c r="C121" s="70" t="s">
        <v>33</v>
      </c>
      <c r="D121" s="96">
        <v>0.02</v>
      </c>
      <c r="E121" s="77">
        <v>0</v>
      </c>
      <c r="F121" s="77">
        <v>0</v>
      </c>
      <c r="G121" s="315">
        <v>0</v>
      </c>
      <c r="H121" s="77">
        <v>57.59335100320385</v>
      </c>
      <c r="I121" s="77">
        <v>58.23</v>
      </c>
      <c r="J121" s="77">
        <f>59.08*100.67%</f>
        <v>59.475835999999994</v>
      </c>
      <c r="K121" s="63">
        <f>59.08*(1+$D121)</f>
        <v>60.261600000000001</v>
      </c>
      <c r="L121" s="63">
        <f t="shared" ref="L121:S121" si="76">+K121*(1+$D121)</f>
        <v>61.466832000000004</v>
      </c>
      <c r="M121" s="63">
        <f t="shared" si="76"/>
        <v>62.696168640000003</v>
      </c>
      <c r="N121" s="63">
        <f t="shared" si="76"/>
        <v>63.950092012800006</v>
      </c>
      <c r="O121" s="63">
        <f t="shared" si="76"/>
        <v>65.229093853056014</v>
      </c>
      <c r="P121" s="63">
        <f t="shared" si="76"/>
        <v>66.533675730117139</v>
      </c>
      <c r="Q121" s="63">
        <f t="shared" si="76"/>
        <v>67.864349244719477</v>
      </c>
      <c r="R121" s="63">
        <f t="shared" si="76"/>
        <v>69.221636229613864</v>
      </c>
      <c r="S121" s="63">
        <f t="shared" si="76"/>
        <v>70.606068954206137</v>
      </c>
      <c r="T121" s="361"/>
      <c r="U121" s="109"/>
      <c r="V121" s="109"/>
      <c r="W121" s="109"/>
      <c r="X121" s="109"/>
      <c r="Y121" s="109"/>
      <c r="Z121" s="109"/>
      <c r="AA121" s="109"/>
      <c r="AB121" s="109"/>
      <c r="AC121" s="109"/>
      <c r="AD121" s="58"/>
    </row>
    <row r="122" spans="1:30" s="583" customFormat="1" x14ac:dyDescent="0.35">
      <c r="A122" s="1612"/>
      <c r="B122" s="581" t="s">
        <v>1592</v>
      </c>
      <c r="C122" s="579" t="s">
        <v>33</v>
      </c>
      <c r="D122" s="101"/>
      <c r="E122" s="63"/>
      <c r="F122" s="63"/>
      <c r="G122" s="63"/>
      <c r="H122" s="63"/>
      <c r="I122" s="77">
        <v>63.41</v>
      </c>
      <c r="J122" s="63">
        <v>0</v>
      </c>
      <c r="K122" s="63">
        <v>0</v>
      </c>
      <c r="L122" s="63">
        <v>0</v>
      </c>
      <c r="M122" s="63">
        <v>0</v>
      </c>
      <c r="N122" s="63">
        <v>0</v>
      </c>
      <c r="O122" s="63">
        <v>0</v>
      </c>
      <c r="P122" s="63">
        <v>0</v>
      </c>
      <c r="Q122" s="63">
        <v>0</v>
      </c>
      <c r="R122" s="63">
        <v>0</v>
      </c>
      <c r="S122" s="63">
        <v>0</v>
      </c>
      <c r="T122" s="153"/>
      <c r="U122" s="1597"/>
      <c r="V122" s="1609"/>
      <c r="W122" s="1609"/>
      <c r="X122" s="1609"/>
      <c r="Y122" s="1609"/>
      <c r="Z122" s="1609"/>
      <c r="AA122" s="1609"/>
      <c r="AB122" s="1609"/>
      <c r="AC122" s="1609"/>
      <c r="AD122" s="1609"/>
    </row>
    <row r="123" spans="1:30" x14ac:dyDescent="0.35">
      <c r="A123" s="575"/>
      <c r="B123" s="61" t="s">
        <v>11</v>
      </c>
      <c r="C123" s="70" t="s">
        <v>32</v>
      </c>
      <c r="D123" s="96">
        <v>0</v>
      </c>
      <c r="E123" s="96"/>
      <c r="F123" s="77">
        <v>180.00000097824392</v>
      </c>
      <c r="G123" s="77">
        <v>179.99999993586729</v>
      </c>
      <c r="H123" s="77">
        <v>179.99999993586729</v>
      </c>
      <c r="I123" s="77">
        <v>180</v>
      </c>
      <c r="J123" s="77">
        <v>250</v>
      </c>
      <c r="K123" s="63">
        <f t="shared" ref="K123:S126" si="77">+J123*(1+$D123)</f>
        <v>250</v>
      </c>
      <c r="L123" s="63">
        <f t="shared" si="77"/>
        <v>250</v>
      </c>
      <c r="M123" s="63">
        <f t="shared" si="77"/>
        <v>250</v>
      </c>
      <c r="N123" s="63">
        <f t="shared" si="77"/>
        <v>250</v>
      </c>
      <c r="O123" s="63">
        <f t="shared" si="77"/>
        <v>250</v>
      </c>
      <c r="P123" s="63">
        <f t="shared" si="77"/>
        <v>250</v>
      </c>
      <c r="Q123" s="63">
        <f t="shared" si="77"/>
        <v>250</v>
      </c>
      <c r="R123" s="63">
        <f t="shared" si="77"/>
        <v>250</v>
      </c>
      <c r="S123" s="63">
        <f t="shared" si="77"/>
        <v>250</v>
      </c>
      <c r="T123" s="565"/>
      <c r="U123" s="361"/>
      <c r="V123" s="109"/>
      <c r="W123" s="109"/>
      <c r="X123" s="109"/>
      <c r="Y123" s="109"/>
      <c r="Z123" s="109"/>
      <c r="AA123" s="109"/>
      <c r="AB123" s="109"/>
      <c r="AC123" s="109"/>
      <c r="AD123" s="109"/>
    </row>
    <row r="124" spans="1:30" x14ac:dyDescent="0.35">
      <c r="A124" s="575"/>
      <c r="B124" s="61" t="s">
        <v>899</v>
      </c>
      <c r="C124" s="578" t="s">
        <v>32</v>
      </c>
      <c r="D124" s="96">
        <v>0.02</v>
      </c>
      <c r="E124" s="96"/>
      <c r="F124" s="96"/>
      <c r="G124" s="77">
        <v>16.05978520445132</v>
      </c>
      <c r="H124" s="77">
        <v>14.77201725722596</v>
      </c>
      <c r="I124" s="77">
        <v>16.600000000000001</v>
      </c>
      <c r="J124" s="77">
        <v>19.5</v>
      </c>
      <c r="K124" s="63">
        <f t="shared" si="77"/>
        <v>19.89</v>
      </c>
      <c r="L124" s="63">
        <f t="shared" si="77"/>
        <v>20.287800000000001</v>
      </c>
      <c r="M124" s="63">
        <f t="shared" si="77"/>
        <v>20.693556000000001</v>
      </c>
      <c r="N124" s="63">
        <f t="shared" si="77"/>
        <v>21.107427120000001</v>
      </c>
      <c r="O124" s="63">
        <f t="shared" si="77"/>
        <v>21.529575662399999</v>
      </c>
      <c r="P124" s="63">
        <f t="shared" si="77"/>
        <v>21.960167175647999</v>
      </c>
      <c r="Q124" s="63">
        <f t="shared" si="77"/>
        <v>22.399370519160961</v>
      </c>
      <c r="R124" s="63">
        <f t="shared" si="77"/>
        <v>22.847357929544181</v>
      </c>
      <c r="S124" s="63">
        <f t="shared" si="77"/>
        <v>23.304305088135067</v>
      </c>
      <c r="T124" s="565"/>
      <c r="U124" s="361"/>
      <c r="V124" s="109"/>
      <c r="W124" s="109"/>
      <c r="X124" s="109"/>
      <c r="Y124" s="109"/>
      <c r="Z124" s="109"/>
      <c r="AA124" s="109"/>
      <c r="AB124" s="109"/>
      <c r="AC124" s="109"/>
      <c r="AD124" s="109"/>
    </row>
    <row r="125" spans="1:30" x14ac:dyDescent="0.35">
      <c r="A125" s="575"/>
      <c r="B125" s="61" t="s">
        <v>930</v>
      </c>
      <c r="C125" s="578" t="s">
        <v>32</v>
      </c>
      <c r="D125" s="96"/>
      <c r="E125" s="63"/>
      <c r="F125" s="63"/>
      <c r="G125" s="63">
        <f>'Working - Distillery'!G28/'Stock movement'!G125*100</f>
        <v>33.591367619965531</v>
      </c>
      <c r="H125" s="63">
        <f>'Working - Distillery'!H28/'Stock movement'!H125*100</f>
        <v>31.100767713595573</v>
      </c>
      <c r="I125" s="63">
        <f>'Working - Distillery'!I28/'Stock movement'!I125*100</f>
        <v>25.000000786328329</v>
      </c>
      <c r="J125" s="63">
        <f>I125</f>
        <v>25.000000786328329</v>
      </c>
      <c r="K125" s="63">
        <f t="shared" ref="K125:S125" si="78">J125</f>
        <v>25.000000786328329</v>
      </c>
      <c r="L125" s="63">
        <f t="shared" si="78"/>
        <v>25.000000786328329</v>
      </c>
      <c r="M125" s="63">
        <f t="shared" si="78"/>
        <v>25.000000786328329</v>
      </c>
      <c r="N125" s="63">
        <f t="shared" si="78"/>
        <v>25.000000786328329</v>
      </c>
      <c r="O125" s="63">
        <f t="shared" si="78"/>
        <v>25.000000786328329</v>
      </c>
      <c r="P125" s="63">
        <f t="shared" si="78"/>
        <v>25.000000786328329</v>
      </c>
      <c r="Q125" s="63">
        <f t="shared" si="78"/>
        <v>25.000000786328329</v>
      </c>
      <c r="R125" s="63">
        <f t="shared" si="78"/>
        <v>25.000000786328329</v>
      </c>
      <c r="S125" s="63">
        <f t="shared" si="78"/>
        <v>25.000000786328329</v>
      </c>
      <c r="T125" s="565"/>
      <c r="U125" s="361"/>
      <c r="V125" s="109"/>
      <c r="W125" s="109"/>
      <c r="X125" s="109"/>
      <c r="Y125" s="109"/>
      <c r="Z125" s="109"/>
      <c r="AA125" s="109"/>
      <c r="AB125" s="109"/>
      <c r="AC125" s="109"/>
      <c r="AD125" s="109"/>
    </row>
    <row r="126" spans="1:30" x14ac:dyDescent="0.35">
      <c r="B126" s="61" t="s">
        <v>28</v>
      </c>
      <c r="C126" s="70" t="s">
        <v>32</v>
      </c>
      <c r="D126" s="96">
        <v>0.02</v>
      </c>
      <c r="E126" s="96"/>
      <c r="F126" s="96"/>
      <c r="G126" s="77">
        <v>48</v>
      </c>
      <c r="H126" s="77">
        <v>35.60961069794336</v>
      </c>
      <c r="I126" s="77">
        <f>23366059.53/635866.7</f>
        <v>36.746789114762578</v>
      </c>
      <c r="J126" s="63">
        <f>+I126*(1+$D126)</f>
        <v>37.481724897057831</v>
      </c>
      <c r="K126" s="63">
        <f t="shared" si="77"/>
        <v>38.231359394998989</v>
      </c>
      <c r="L126" s="63">
        <f t="shared" si="77"/>
        <v>38.995986582898972</v>
      </c>
      <c r="M126" s="63">
        <f t="shared" si="77"/>
        <v>39.775906314556956</v>
      </c>
      <c r="N126" s="63">
        <f t="shared" si="77"/>
        <v>40.571424440848098</v>
      </c>
      <c r="O126" s="63">
        <f t="shared" si="77"/>
        <v>41.382852929665063</v>
      </c>
      <c r="P126" s="63">
        <f t="shared" si="77"/>
        <v>42.210509988258366</v>
      </c>
      <c r="Q126" s="63">
        <f t="shared" si="77"/>
        <v>43.054720188023531</v>
      </c>
      <c r="R126" s="63">
        <f t="shared" si="77"/>
        <v>43.915814591783999</v>
      </c>
      <c r="S126" s="63">
        <f t="shared" si="77"/>
        <v>44.79413088361968</v>
      </c>
      <c r="T126" s="565"/>
      <c r="U126" s="361"/>
      <c r="V126" s="109"/>
      <c r="W126" s="109"/>
      <c r="X126" s="109"/>
      <c r="Y126" s="109"/>
      <c r="Z126" s="109"/>
      <c r="AA126" s="109"/>
      <c r="AB126" s="109"/>
      <c r="AC126" s="109"/>
      <c r="AD126" s="109"/>
    </row>
    <row r="127" spans="1:30" x14ac:dyDescent="0.35">
      <c r="J127" s="1345"/>
      <c r="K127" s="1345"/>
      <c r="L127" s="1345"/>
      <c r="M127" s="565"/>
      <c r="T127" s="565"/>
      <c r="U127" s="361"/>
    </row>
    <row r="128" spans="1:30" x14ac:dyDescent="0.35">
      <c r="B128" s="79" t="s">
        <v>22</v>
      </c>
      <c r="C128" s="91"/>
      <c r="D128" s="80"/>
      <c r="E128" s="80"/>
      <c r="F128" s="80"/>
      <c r="G128" s="81"/>
      <c r="H128" s="80"/>
      <c r="I128" s="80"/>
      <c r="J128" s="80"/>
      <c r="K128" s="80"/>
      <c r="L128" s="80"/>
      <c r="M128" s="80"/>
      <c r="N128" s="80"/>
      <c r="O128" s="80"/>
      <c r="P128" s="80"/>
      <c r="Q128" s="80"/>
      <c r="R128" s="80"/>
      <c r="S128" s="80"/>
      <c r="T128" s="565"/>
      <c r="U128" s="361"/>
    </row>
    <row r="129" spans="1:21" x14ac:dyDescent="0.35">
      <c r="B129" s="103" t="s">
        <v>895</v>
      </c>
      <c r="C129" s="97"/>
      <c r="D129" s="104"/>
      <c r="E129" s="104"/>
      <c r="F129" s="104"/>
      <c r="G129" s="105"/>
      <c r="H129" s="104"/>
      <c r="I129" s="104"/>
      <c r="J129" s="104"/>
      <c r="K129" s="104"/>
      <c r="L129" s="104"/>
      <c r="M129" s="104"/>
      <c r="N129" s="104"/>
      <c r="O129" s="104"/>
      <c r="P129" s="104"/>
      <c r="Q129" s="104"/>
      <c r="R129" s="104"/>
      <c r="S129" s="104"/>
      <c r="T129" s="565"/>
      <c r="U129" s="361"/>
    </row>
    <row r="130" spans="1:21" x14ac:dyDescent="0.35">
      <c r="B130" s="68" t="s">
        <v>254</v>
      </c>
      <c r="C130" s="70" t="s">
        <v>893</v>
      </c>
      <c r="D130" s="61"/>
      <c r="E130" s="600"/>
      <c r="F130" s="600">
        <f>'Working - Distillery'!F13/'Working - Distillery'!E13-1</f>
        <v>-0.37739450828729282</v>
      </c>
      <c r="G130" s="600">
        <f>'Working - Distillery'!G13/'Working - Distillery'!F13-1</f>
        <v>-0.34280172720146795</v>
      </c>
      <c r="H130" s="600">
        <f>'Working - Distillery'!H13/'Working - Distillery'!G13-1</f>
        <v>-0.84432281256094566</v>
      </c>
      <c r="I130" s="600">
        <f>'Working - Distillery'!I13/'Working - Distillery'!H13-1</f>
        <v>0.98324102875827846</v>
      </c>
      <c r="J130" s="589">
        <v>0.02</v>
      </c>
      <c r="K130" s="140">
        <f t="shared" ref="K130:S132" si="79">J130</f>
        <v>0.02</v>
      </c>
      <c r="L130" s="140">
        <f t="shared" si="79"/>
        <v>0.02</v>
      </c>
      <c r="M130" s="140">
        <f t="shared" si="79"/>
        <v>0.02</v>
      </c>
      <c r="N130" s="140">
        <f t="shared" si="79"/>
        <v>0.02</v>
      </c>
      <c r="O130" s="140">
        <f t="shared" si="79"/>
        <v>0.02</v>
      </c>
      <c r="P130" s="140">
        <f t="shared" si="79"/>
        <v>0.02</v>
      </c>
      <c r="Q130" s="140">
        <f t="shared" si="79"/>
        <v>0.02</v>
      </c>
      <c r="R130" s="140">
        <f t="shared" si="79"/>
        <v>0.02</v>
      </c>
      <c r="S130" s="140">
        <f t="shared" si="79"/>
        <v>0.02</v>
      </c>
      <c r="T130" s="565"/>
      <c r="U130" s="361"/>
    </row>
    <row r="131" spans="1:21" x14ac:dyDescent="0.35">
      <c r="B131" s="68" t="s">
        <v>255</v>
      </c>
      <c r="C131" s="70" t="s">
        <v>893</v>
      </c>
      <c r="D131" s="61"/>
      <c r="E131" s="61"/>
      <c r="F131" s="600">
        <f>'Working - Distillery'!F14/'Working - Distillery'!E14-1</f>
        <v>5.4942700568997305E-2</v>
      </c>
      <c r="G131" s="600">
        <f>'Working - Distillery'!G14/'Working - Distillery'!F14-1</f>
        <v>-0.33463901135506335</v>
      </c>
      <c r="H131" s="600">
        <f>'Working - Distillery'!H14/'Working - Distillery'!G14-1</f>
        <v>-0.91931887435024195</v>
      </c>
      <c r="I131" s="600">
        <f>'Working - Distillery'!I14/'Working - Distillery'!H14-1</f>
        <v>11.660426821191496</v>
      </c>
      <c r="J131" s="589">
        <v>0.02</v>
      </c>
      <c r="K131" s="140">
        <f t="shared" si="79"/>
        <v>0.02</v>
      </c>
      <c r="L131" s="140">
        <f t="shared" si="79"/>
        <v>0.02</v>
      </c>
      <c r="M131" s="140">
        <f t="shared" si="79"/>
        <v>0.02</v>
      </c>
      <c r="N131" s="140">
        <f t="shared" si="79"/>
        <v>0.02</v>
      </c>
      <c r="O131" s="140">
        <f t="shared" si="79"/>
        <v>0.02</v>
      </c>
      <c r="P131" s="140">
        <f t="shared" si="79"/>
        <v>0.02</v>
      </c>
      <c r="Q131" s="140">
        <f t="shared" si="79"/>
        <v>0.02</v>
      </c>
      <c r="R131" s="140">
        <f t="shared" si="79"/>
        <v>0.02</v>
      </c>
      <c r="S131" s="140">
        <f t="shared" si="79"/>
        <v>0.02</v>
      </c>
      <c r="T131" s="565"/>
      <c r="U131" s="361"/>
    </row>
    <row r="132" spans="1:21" x14ac:dyDescent="0.35">
      <c r="B132" s="61" t="s">
        <v>897</v>
      </c>
      <c r="C132" s="70" t="s">
        <v>893</v>
      </c>
      <c r="D132" s="96"/>
      <c r="E132" s="77"/>
      <c r="F132" s="600">
        <f>'Working - Distillery'!F15/'Working - Distillery'!E15-1</f>
        <v>-0.18023837569599599</v>
      </c>
      <c r="G132" s="600">
        <f>'Working - Distillery'!G15/'Working - Distillery'!F15-1</f>
        <v>-0.42302738465111211</v>
      </c>
      <c r="H132" s="600">
        <f>'Working - Distillery'!H15/'Working - Distillery'!G15-1</f>
        <v>0.4445657568204755</v>
      </c>
      <c r="I132" s="600">
        <f>'Working - Distillery'!I15/'Working - Distillery'!H15-1</f>
        <v>0.85247804138236427</v>
      </c>
      <c r="J132" s="589">
        <v>0.02</v>
      </c>
      <c r="K132" s="140">
        <f t="shared" si="79"/>
        <v>0.02</v>
      </c>
      <c r="L132" s="140">
        <f t="shared" si="79"/>
        <v>0.02</v>
      </c>
      <c r="M132" s="140">
        <f t="shared" si="79"/>
        <v>0.02</v>
      </c>
      <c r="N132" s="140">
        <f t="shared" si="79"/>
        <v>0.02</v>
      </c>
      <c r="O132" s="140">
        <f t="shared" si="79"/>
        <v>0.02</v>
      </c>
      <c r="P132" s="140">
        <f t="shared" si="79"/>
        <v>0.02</v>
      </c>
      <c r="Q132" s="140">
        <f t="shared" si="79"/>
        <v>0.02</v>
      </c>
      <c r="R132" s="140">
        <f t="shared" si="79"/>
        <v>0.02</v>
      </c>
      <c r="S132" s="140">
        <f t="shared" si="79"/>
        <v>0.02</v>
      </c>
      <c r="T132" s="565"/>
      <c r="U132" s="361"/>
    </row>
    <row r="133" spans="1:21" x14ac:dyDescent="0.35">
      <c r="B133" s="103" t="s">
        <v>896</v>
      </c>
      <c r="C133" s="97"/>
      <c r="D133" s="104"/>
      <c r="E133" s="104"/>
      <c r="F133" s="104"/>
      <c r="G133" s="105"/>
      <c r="H133" s="104"/>
      <c r="I133" s="104"/>
      <c r="J133" s="104"/>
      <c r="K133" s="104"/>
      <c r="L133" s="104"/>
      <c r="M133" s="104"/>
      <c r="N133" s="104"/>
      <c r="O133" s="104"/>
      <c r="P133" s="104"/>
      <c r="Q133" s="104"/>
      <c r="R133" s="104"/>
      <c r="S133" s="104"/>
      <c r="T133" s="565"/>
      <c r="U133" s="361"/>
    </row>
    <row r="134" spans="1:21" x14ac:dyDescent="0.35">
      <c r="B134" s="577" t="s">
        <v>947</v>
      </c>
      <c r="C134" s="578" t="s">
        <v>893</v>
      </c>
      <c r="D134" s="61"/>
      <c r="E134" s="61"/>
      <c r="F134" s="600">
        <f>'Working - Distillery'!F31/'Working - Distillery'!E31-1</f>
        <v>0.13332641127297129</v>
      </c>
      <c r="G134" s="600">
        <f>'Working - Distillery'!G31/'Working - Distillery'!F31-1</f>
        <v>-0.14720993045444364</v>
      </c>
      <c r="H134" s="600">
        <f>'Working - Distillery'!H31/'Working - Distillery'!G31-1</f>
        <v>-0.16809030259895785</v>
      </c>
      <c r="I134" s="600">
        <f>'Working - Distillery'!I31/'Working - Distillery'!H31-1</f>
        <v>-0.49376488709800859</v>
      </c>
      <c r="J134" s="589">
        <v>0.02</v>
      </c>
      <c r="K134" s="140">
        <f t="shared" ref="K134:L140" si="80">J134</f>
        <v>0.02</v>
      </c>
      <c r="L134" s="140">
        <f t="shared" si="80"/>
        <v>0.02</v>
      </c>
      <c r="M134" s="140">
        <f t="shared" ref="M134:S134" si="81">L134</f>
        <v>0.02</v>
      </c>
      <c r="N134" s="140">
        <f t="shared" si="81"/>
        <v>0.02</v>
      </c>
      <c r="O134" s="140">
        <f t="shared" si="81"/>
        <v>0.02</v>
      </c>
      <c r="P134" s="140">
        <f t="shared" si="81"/>
        <v>0.02</v>
      </c>
      <c r="Q134" s="140">
        <f t="shared" si="81"/>
        <v>0.02</v>
      </c>
      <c r="R134" s="140">
        <f t="shared" si="81"/>
        <v>0.02</v>
      </c>
      <c r="S134" s="140">
        <f t="shared" si="81"/>
        <v>0.02</v>
      </c>
      <c r="T134" s="565"/>
      <c r="U134" s="361"/>
    </row>
    <row r="135" spans="1:21" x14ac:dyDescent="0.35">
      <c r="B135" s="61" t="s">
        <v>90</v>
      </c>
      <c r="C135" s="70" t="s">
        <v>893</v>
      </c>
      <c r="D135" s="96"/>
      <c r="E135" s="77"/>
      <c r="F135" s="140">
        <f>'Working - Distillery'!F32/'Working - Distillery'!E32-1</f>
        <v>8.9661947453953506E-2</v>
      </c>
      <c r="G135" s="140">
        <f>'Working - Distillery'!G32/'Working - Distillery'!F32-1</f>
        <v>9.9011133918321947E-2</v>
      </c>
      <c r="H135" s="140">
        <f>'Working - Distillery'!H32/'Working - Distillery'!G32-1</f>
        <v>0.42440058681098769</v>
      </c>
      <c r="I135" s="140">
        <f>'Working - Distillery'!I32/'Working - Distillery'!H32-1</f>
        <v>0.35296502369446592</v>
      </c>
      <c r="J135" s="589">
        <v>0.1</v>
      </c>
      <c r="K135" s="140">
        <f t="shared" si="80"/>
        <v>0.1</v>
      </c>
      <c r="L135" s="140">
        <f t="shared" si="80"/>
        <v>0.1</v>
      </c>
      <c r="M135" s="140">
        <f t="shared" ref="M135:M140" si="82">L135</f>
        <v>0.1</v>
      </c>
      <c r="N135" s="589">
        <v>0.08</v>
      </c>
      <c r="O135" s="140">
        <f t="shared" ref="O135:O140" si="83">N135</f>
        <v>0.08</v>
      </c>
      <c r="P135" s="140">
        <f t="shared" ref="P135:P140" si="84">O135</f>
        <v>0.08</v>
      </c>
      <c r="Q135" s="140">
        <f t="shared" ref="Q135:Q140" si="85">P135</f>
        <v>0.08</v>
      </c>
      <c r="R135" s="140">
        <f t="shared" ref="R135:R140" si="86">Q135</f>
        <v>0.08</v>
      </c>
      <c r="S135" s="140">
        <f t="shared" ref="S135:S140" si="87">R135</f>
        <v>0.08</v>
      </c>
      <c r="T135" s="565"/>
      <c r="U135" s="361"/>
    </row>
    <row r="136" spans="1:21" x14ac:dyDescent="0.35">
      <c r="B136" s="502" t="s">
        <v>50</v>
      </c>
      <c r="C136" s="70" t="s">
        <v>893</v>
      </c>
      <c r="D136" s="96"/>
      <c r="E136" s="77"/>
      <c r="F136" s="140">
        <f>'Working - Distillery'!F69/'Working - Distillery'!E69-1</f>
        <v>5.4899855964312128E-3</v>
      </c>
      <c r="G136" s="140">
        <f>'Working - Distillery'!G69/'Working - Distillery'!F69-1</f>
        <v>-0.42291042586193095</v>
      </c>
      <c r="H136" s="140">
        <f>'Working - Distillery'!H69/'Working - Distillery'!G69-1</f>
        <v>0.40998334473485043</v>
      </c>
      <c r="I136" s="140">
        <f>'Working - Distillery'!I69/'Working - Distillery'!H69-1</f>
        <v>0.80535306544805674</v>
      </c>
      <c r="J136" s="589">
        <v>0.02</v>
      </c>
      <c r="K136" s="140">
        <f t="shared" si="80"/>
        <v>0.02</v>
      </c>
      <c r="L136" s="140">
        <f t="shared" si="80"/>
        <v>0.02</v>
      </c>
      <c r="M136" s="140">
        <f t="shared" si="82"/>
        <v>0.02</v>
      </c>
      <c r="N136" s="140">
        <f>M136</f>
        <v>0.02</v>
      </c>
      <c r="O136" s="140">
        <f t="shared" si="83"/>
        <v>0.02</v>
      </c>
      <c r="P136" s="140">
        <f t="shared" si="84"/>
        <v>0.02</v>
      </c>
      <c r="Q136" s="140">
        <f t="shared" si="85"/>
        <v>0.02</v>
      </c>
      <c r="R136" s="140">
        <f t="shared" si="86"/>
        <v>0.02</v>
      </c>
      <c r="S136" s="140">
        <f t="shared" si="87"/>
        <v>0.02</v>
      </c>
      <c r="T136" s="565"/>
      <c r="U136" s="361"/>
    </row>
    <row r="137" spans="1:21" x14ac:dyDescent="0.35">
      <c r="B137" s="502" t="s">
        <v>34</v>
      </c>
      <c r="C137" s="70" t="s">
        <v>893</v>
      </c>
      <c r="D137" s="96"/>
      <c r="E137" s="77"/>
      <c r="F137" s="140">
        <f>+('Working - Distillery'!F71+'Working - Distillery'!F72)/('Working - Distillery'!E71+'Working - Distillery'!E72)-1</f>
        <v>0.17684391031312319</v>
      </c>
      <c r="G137" s="140">
        <f>+('Working - Distillery'!G71+'Working - Distillery'!G72)/('Working - Distillery'!F71+'Working - Distillery'!F72)-1</f>
        <v>-0.53627804461558592</v>
      </c>
      <c r="H137" s="140">
        <f>+('Working - Distillery'!H71+'Working - Distillery'!H72)/('Working - Distillery'!G71+'Working - Distillery'!G72)-1</f>
        <v>0.52922662522426034</v>
      </c>
      <c r="I137" s="140">
        <f>+('Working - Distillery'!I71+'Working - Distillery'!I72)/('Working - Distillery'!H71+'Working - Distillery'!H72)-1</f>
        <v>0.64871930607355965</v>
      </c>
      <c r="J137" s="589">
        <v>0.02</v>
      </c>
      <c r="K137" s="140">
        <f t="shared" si="80"/>
        <v>0.02</v>
      </c>
      <c r="L137" s="140">
        <f t="shared" si="80"/>
        <v>0.02</v>
      </c>
      <c r="M137" s="140">
        <f t="shared" si="82"/>
        <v>0.02</v>
      </c>
      <c r="N137" s="140">
        <f>M137</f>
        <v>0.02</v>
      </c>
      <c r="O137" s="140">
        <f t="shared" si="83"/>
        <v>0.02</v>
      </c>
      <c r="P137" s="140">
        <f t="shared" si="84"/>
        <v>0.02</v>
      </c>
      <c r="Q137" s="140">
        <f t="shared" si="85"/>
        <v>0.02</v>
      </c>
      <c r="R137" s="140">
        <f t="shared" si="86"/>
        <v>0.02</v>
      </c>
      <c r="S137" s="140">
        <f t="shared" si="87"/>
        <v>0.02</v>
      </c>
      <c r="T137" s="565"/>
      <c r="U137" s="361"/>
    </row>
    <row r="138" spans="1:21" x14ac:dyDescent="0.35">
      <c r="B138" s="502" t="s">
        <v>79</v>
      </c>
      <c r="C138" s="70" t="s">
        <v>893</v>
      </c>
      <c r="D138" s="96"/>
      <c r="E138" s="77"/>
      <c r="F138" s="140">
        <f>'Working - Distillery'!F73/'Working - Distillery'!E73-1</f>
        <v>0</v>
      </c>
      <c r="G138" s="140">
        <f>'Working - Distillery'!G73/'Working - Distillery'!F73-1</f>
        <v>-6.0377244117647222E-2</v>
      </c>
      <c r="H138" s="140">
        <f>'Working - Distillery'!H73/'Working - Distillery'!G73-1</f>
        <v>5.2282027063945691E-3</v>
      </c>
      <c r="I138" s="140">
        <f>'Working - Distillery'!I73/'Working - Distillery'!H73-1</f>
        <v>-7.4431248481979795E-2</v>
      </c>
      <c r="J138" s="589">
        <v>0.02</v>
      </c>
      <c r="K138" s="140">
        <f t="shared" si="80"/>
        <v>0.02</v>
      </c>
      <c r="L138" s="140">
        <f t="shared" si="80"/>
        <v>0.02</v>
      </c>
      <c r="M138" s="140">
        <f t="shared" si="82"/>
        <v>0.02</v>
      </c>
      <c r="N138" s="140">
        <f>M138</f>
        <v>0.02</v>
      </c>
      <c r="O138" s="140">
        <f t="shared" si="83"/>
        <v>0.02</v>
      </c>
      <c r="P138" s="140">
        <f t="shared" si="84"/>
        <v>0.02</v>
      </c>
      <c r="Q138" s="140">
        <f t="shared" si="85"/>
        <v>0.02</v>
      </c>
      <c r="R138" s="140">
        <f t="shared" si="86"/>
        <v>0.02</v>
      </c>
      <c r="S138" s="140">
        <f t="shared" si="87"/>
        <v>0.02</v>
      </c>
      <c r="T138" s="565"/>
      <c r="U138" s="361"/>
    </row>
    <row r="139" spans="1:21" x14ac:dyDescent="0.35">
      <c r="B139" s="502" t="s">
        <v>61</v>
      </c>
      <c r="C139" s="70" t="s">
        <v>893</v>
      </c>
      <c r="D139" s="96"/>
      <c r="E139" s="77"/>
      <c r="F139" s="140">
        <f>'Working - Distillery'!F74/'Working - Distillery'!E74-1</f>
        <v>0.17842508412817959</v>
      </c>
      <c r="G139" s="140">
        <f>'Working - Distillery'!G74/'Working - Distillery'!F74-1</f>
        <v>0.73210044341289526</v>
      </c>
      <c r="H139" s="140">
        <f>'Working - Distillery'!H74/'Working - Distillery'!G74-1</f>
        <v>0.70498651536918366</v>
      </c>
      <c r="I139" s="140">
        <f>'Working - Distillery'!I74/'Working - Distillery'!H74-1</f>
        <v>0.19734147934192903</v>
      </c>
      <c r="J139" s="589">
        <v>0.02</v>
      </c>
      <c r="K139" s="140">
        <f t="shared" si="80"/>
        <v>0.02</v>
      </c>
      <c r="L139" s="140">
        <f t="shared" si="80"/>
        <v>0.02</v>
      </c>
      <c r="M139" s="140">
        <f t="shared" si="82"/>
        <v>0.02</v>
      </c>
      <c r="N139" s="140">
        <f>M139</f>
        <v>0.02</v>
      </c>
      <c r="O139" s="140">
        <f t="shared" si="83"/>
        <v>0.02</v>
      </c>
      <c r="P139" s="140">
        <f t="shared" si="84"/>
        <v>0.02</v>
      </c>
      <c r="Q139" s="140">
        <f t="shared" si="85"/>
        <v>0.02</v>
      </c>
      <c r="R139" s="140">
        <f t="shared" si="86"/>
        <v>0.02</v>
      </c>
      <c r="S139" s="140">
        <f t="shared" si="87"/>
        <v>0.02</v>
      </c>
      <c r="T139" s="565"/>
      <c r="U139" s="361"/>
    </row>
    <row r="140" spans="1:21" x14ac:dyDescent="0.35">
      <c r="B140" s="502" t="s">
        <v>55</v>
      </c>
      <c r="C140" s="70" t="s">
        <v>893</v>
      </c>
      <c r="D140" s="96"/>
      <c r="E140" s="77"/>
      <c r="F140" s="140">
        <f>'Working - Distillery'!F75/'Working - Distillery'!E75-1</f>
        <v>0.78732106339468322</v>
      </c>
      <c r="G140" s="140">
        <f>'Working - Distillery'!G75/'Working - Distillery'!F75-1</f>
        <v>-0.29000121167048065</v>
      </c>
      <c r="H140" s="140">
        <f>'Working - Distillery'!H75/'Working - Distillery'!G75-1</f>
        <v>0.3412718795032077</v>
      </c>
      <c r="I140" s="140">
        <f>'Working - Distillery'!I75/'Working - Distillery'!H75-1</f>
        <v>-4.72193981761454E-2</v>
      </c>
      <c r="J140" s="589">
        <v>0.02</v>
      </c>
      <c r="K140" s="140">
        <f t="shared" si="80"/>
        <v>0.02</v>
      </c>
      <c r="L140" s="140">
        <f t="shared" si="80"/>
        <v>0.02</v>
      </c>
      <c r="M140" s="140">
        <f t="shared" si="82"/>
        <v>0.02</v>
      </c>
      <c r="N140" s="140">
        <f>M140</f>
        <v>0.02</v>
      </c>
      <c r="O140" s="140">
        <f t="shared" si="83"/>
        <v>0.02</v>
      </c>
      <c r="P140" s="140">
        <f t="shared" si="84"/>
        <v>0.02</v>
      </c>
      <c r="Q140" s="140">
        <f t="shared" si="85"/>
        <v>0.02</v>
      </c>
      <c r="R140" s="140">
        <f t="shared" si="86"/>
        <v>0.02</v>
      </c>
      <c r="S140" s="140">
        <f t="shared" si="87"/>
        <v>0.02</v>
      </c>
      <c r="T140" s="565"/>
      <c r="U140" s="361"/>
    </row>
    <row r="141" spans="1:21" x14ac:dyDescent="0.35">
      <c r="T141" s="565"/>
      <c r="U141" s="361"/>
    </row>
    <row r="142" spans="1:21" s="133" customFormat="1" x14ac:dyDescent="0.35">
      <c r="A142" s="168"/>
      <c r="B142" s="130" t="s">
        <v>105</v>
      </c>
      <c r="C142" s="297"/>
      <c r="D142" s="131"/>
      <c r="E142" s="131"/>
      <c r="F142" s="131"/>
      <c r="G142" s="132"/>
      <c r="H142" s="132"/>
      <c r="I142" s="132"/>
      <c r="J142" s="1735"/>
      <c r="K142" s="132"/>
      <c r="L142" s="132"/>
      <c r="M142" s="132"/>
      <c r="N142" s="132"/>
      <c r="O142" s="132"/>
      <c r="P142" s="132"/>
      <c r="Q142" s="132"/>
      <c r="R142" s="132"/>
      <c r="S142" s="132"/>
      <c r="T142" s="565"/>
      <c r="U142" s="361"/>
    </row>
    <row r="143" spans="1:21" s="133" customFormat="1" x14ac:dyDescent="0.35">
      <c r="A143" s="167"/>
      <c r="B143" s="128" t="s">
        <v>44</v>
      </c>
      <c r="C143" s="164" t="s">
        <v>48</v>
      </c>
      <c r="D143" s="96">
        <v>0.02</v>
      </c>
      <c r="E143" s="63">
        <f>'Working - Distillery'!E56*10^7/'Working - Distillery'!E47</f>
        <v>63.531397862588051</v>
      </c>
      <c r="F143" s="63">
        <f>'Working - Distillery'!F56*10^7/'Working - Distillery'!F47</f>
        <v>61.079292290302625</v>
      </c>
      <c r="G143" s="63">
        <f>'Working - Distillery'!G56*10^7/'Working - Distillery'!G47</f>
        <v>49.816286778945639</v>
      </c>
      <c r="H143" s="63">
        <f>'Working - Distillery'!H56*10^7/'Working - Distillery'!H47</f>
        <v>50.011072053563069</v>
      </c>
      <c r="I143" s="63">
        <f>'Working - Distillery'!I56*10^7/'Working - Distillery'!I47</f>
        <v>58.747802496548644</v>
      </c>
      <c r="J143" s="121">
        <v>60</v>
      </c>
      <c r="K143" s="122">
        <f t="shared" ref="K143:S143" si="88">J143*(1+$D143)</f>
        <v>61.2</v>
      </c>
      <c r="L143" s="122">
        <f t="shared" si="88"/>
        <v>62.424000000000007</v>
      </c>
      <c r="M143" s="122">
        <f t="shared" si="88"/>
        <v>63.672480000000007</v>
      </c>
      <c r="N143" s="122">
        <f t="shared" si="88"/>
        <v>64.945929600000014</v>
      </c>
      <c r="O143" s="122">
        <f t="shared" si="88"/>
        <v>66.244848192000021</v>
      </c>
      <c r="P143" s="122">
        <f t="shared" si="88"/>
        <v>67.569745155840025</v>
      </c>
      <c r="Q143" s="122">
        <f t="shared" si="88"/>
        <v>68.921140058956823</v>
      </c>
      <c r="R143" s="122">
        <f t="shared" si="88"/>
        <v>70.299562860135964</v>
      </c>
      <c r="S143" s="122">
        <f t="shared" si="88"/>
        <v>71.705554117338679</v>
      </c>
      <c r="T143" s="565"/>
      <c r="U143" s="361"/>
    </row>
    <row r="144" spans="1:21" s="133" customFormat="1" x14ac:dyDescent="0.35">
      <c r="A144" s="167"/>
      <c r="B144" s="128" t="s">
        <v>45</v>
      </c>
      <c r="C144" s="164" t="s">
        <v>49</v>
      </c>
      <c r="D144" s="96">
        <v>0.02</v>
      </c>
      <c r="E144" s="311">
        <f>+'Working - Distillery'!E66*100/('Stock movement'!E105+'Stock movement'!E98)</f>
        <v>0.66098844601033124</v>
      </c>
      <c r="F144" s="311">
        <f>+'Working - Distillery'!F66*100/('Stock movement'!F105+'Stock movement'!F98)</f>
        <v>0.71583633169208249</v>
      </c>
      <c r="G144" s="311">
        <f>+'Working - Distillery'!G66*100/('Stock movement'!G105+'Stock movement'!G98)</f>
        <v>0.80521687930221264</v>
      </c>
      <c r="H144" s="311">
        <f>+'Working - Distillery'!H66*100/('Stock movement'!H105+'Stock movement'!H98)</f>
        <v>0.76234403299134557</v>
      </c>
      <c r="I144" s="311">
        <f>+'Working - Distillery'!I66*100/('Stock movement'!I105+'Stock movement'!I98)</f>
        <v>0.98741879078025385</v>
      </c>
      <c r="J144" s="121">
        <v>1</v>
      </c>
      <c r="K144" s="122">
        <f t="shared" ref="K144:S144" si="89">J144*(1+$D144)</f>
        <v>1.02</v>
      </c>
      <c r="L144" s="122">
        <f t="shared" si="89"/>
        <v>1.0404</v>
      </c>
      <c r="M144" s="122">
        <f t="shared" si="89"/>
        <v>1.0612079999999999</v>
      </c>
      <c r="N144" s="122">
        <f t="shared" si="89"/>
        <v>1.08243216</v>
      </c>
      <c r="O144" s="122">
        <f t="shared" si="89"/>
        <v>1.1040808032</v>
      </c>
      <c r="P144" s="122">
        <f t="shared" si="89"/>
        <v>1.1261624192640001</v>
      </c>
      <c r="Q144" s="122">
        <f t="shared" si="89"/>
        <v>1.14868566764928</v>
      </c>
      <c r="R144" s="122">
        <f t="shared" si="89"/>
        <v>1.1716593810022657</v>
      </c>
      <c r="S144" s="122">
        <f t="shared" si="89"/>
        <v>1.1950925686223111</v>
      </c>
      <c r="T144" s="565"/>
      <c r="U144" s="361"/>
    </row>
    <row r="145" spans="1:30" s="133" customFormat="1" x14ac:dyDescent="0.35">
      <c r="A145" s="167"/>
      <c r="B145" s="128" t="s">
        <v>46</v>
      </c>
      <c r="C145" s="164" t="s">
        <v>49</v>
      </c>
      <c r="D145" s="96">
        <v>0.02</v>
      </c>
      <c r="E145" s="311">
        <f>'Working - Distillery'!E67*100/('Stock movement'!E105+'Stock movement'!E98)</f>
        <v>0.59428229300143842</v>
      </c>
      <c r="F145" s="311">
        <f>'Working - Distillery'!F67*100/('Stock movement'!F105+'Stock movement'!F98)</f>
        <v>1.0805398176416394</v>
      </c>
      <c r="G145" s="311">
        <f>'Working - Distillery'!G67*100/('Stock movement'!G105+'Stock movement'!G98)</f>
        <v>7.2472067068629817</v>
      </c>
      <c r="H145" s="311">
        <f>'Working - Distillery'!H67*100/('Stock movement'!H105+'Stock movement'!H98)</f>
        <v>14.363764835016871</v>
      </c>
      <c r="I145" s="311">
        <f>'Working - Distillery'!I67*100/('Stock movement'!I105+'Stock movement'!I98)</f>
        <v>5.4838584437731823</v>
      </c>
      <c r="J145" s="77">
        <v>1.3</v>
      </c>
      <c r="K145" s="122">
        <f t="shared" ref="K145:S145" si="90">J145*(1+$D145)</f>
        <v>1.3260000000000001</v>
      </c>
      <c r="L145" s="122">
        <f t="shared" si="90"/>
        <v>1.3525200000000002</v>
      </c>
      <c r="M145" s="122">
        <f t="shared" si="90"/>
        <v>1.3795704000000002</v>
      </c>
      <c r="N145" s="122">
        <f t="shared" si="90"/>
        <v>1.4071618080000001</v>
      </c>
      <c r="O145" s="122">
        <f t="shared" si="90"/>
        <v>1.4353050441600002</v>
      </c>
      <c r="P145" s="122">
        <f t="shared" si="90"/>
        <v>1.4640111450432003</v>
      </c>
      <c r="Q145" s="122">
        <f t="shared" si="90"/>
        <v>1.4932913679440643</v>
      </c>
      <c r="R145" s="122">
        <f t="shared" si="90"/>
        <v>1.5231571953029455</v>
      </c>
      <c r="S145" s="122">
        <f t="shared" si="90"/>
        <v>1.5536203392090044</v>
      </c>
      <c r="T145" s="565"/>
      <c r="U145" s="361"/>
    </row>
    <row r="146" spans="1:30" s="133" customFormat="1" x14ac:dyDescent="0.35">
      <c r="A146" s="167"/>
      <c r="B146" s="128" t="s">
        <v>47</v>
      </c>
      <c r="C146" s="164" t="s">
        <v>49</v>
      </c>
      <c r="D146" s="96">
        <v>0.02</v>
      </c>
      <c r="E146" s="311">
        <f>+'Working - Distillery'!E68*100/('Stock movement'!E99+'Stock movement'!E106)</f>
        <v>2.6768189671313429</v>
      </c>
      <c r="F146" s="311">
        <f>+'Working - Distillery'!F68*100/('Stock movement'!F99+'Stock movement'!F106)</f>
        <v>2.0275286765499012</v>
      </c>
      <c r="G146" s="311">
        <f>+'Working - Distillery'!G68*100/('Stock movement'!G99+'Stock movement'!G106)</f>
        <v>1.7389528300733619</v>
      </c>
      <c r="H146" s="311">
        <f>+'Working - Distillery'!H68*100/('Stock movement'!H99+'Stock movement'!H106)</f>
        <v>1.535665727315686</v>
      </c>
      <c r="I146" s="311">
        <f>+'Working - Distillery'!I68*100/('Stock movement'!I99+'Stock movement'!I106)</f>
        <v>1.6981320276613125</v>
      </c>
      <c r="J146" s="77">
        <v>1.9</v>
      </c>
      <c r="K146" s="122">
        <f t="shared" ref="K146:S146" si="91">J146*(1+$D146)</f>
        <v>1.9379999999999999</v>
      </c>
      <c r="L146" s="122">
        <f t="shared" si="91"/>
        <v>1.9767600000000001</v>
      </c>
      <c r="M146" s="122">
        <f t="shared" si="91"/>
        <v>2.0162952000000001</v>
      </c>
      <c r="N146" s="122">
        <f t="shared" si="91"/>
        <v>2.056621104</v>
      </c>
      <c r="O146" s="122">
        <f t="shared" si="91"/>
        <v>2.09775352608</v>
      </c>
      <c r="P146" s="122">
        <f t="shared" si="91"/>
        <v>2.1397085966015998</v>
      </c>
      <c r="Q146" s="122">
        <f t="shared" si="91"/>
        <v>2.1825027685336318</v>
      </c>
      <c r="R146" s="122">
        <f t="shared" si="91"/>
        <v>2.2261528239043042</v>
      </c>
      <c r="S146" s="122">
        <f t="shared" si="91"/>
        <v>2.2706758803823903</v>
      </c>
      <c r="T146" s="565"/>
      <c r="U146" s="361"/>
    </row>
    <row r="147" spans="1:30" x14ac:dyDescent="0.35">
      <c r="J147" s="565"/>
      <c r="T147" s="565"/>
      <c r="U147" s="361"/>
    </row>
    <row r="148" spans="1:30" s="430" customFormat="1" x14ac:dyDescent="0.35">
      <c r="A148" s="528" t="s">
        <v>840</v>
      </c>
      <c r="B148" s="532" t="s">
        <v>841</v>
      </c>
      <c r="C148" s="507"/>
      <c r="T148" s="611"/>
      <c r="U148" s="1350"/>
      <c r="V148" s="507"/>
      <c r="W148" s="507"/>
      <c r="X148" s="507"/>
      <c r="Y148" s="507"/>
      <c r="Z148" s="507"/>
      <c r="AA148" s="507"/>
      <c r="AB148" s="507"/>
      <c r="AC148" s="507"/>
      <c r="AD148" s="507"/>
    </row>
    <row r="149" spans="1:30" x14ac:dyDescent="0.35">
      <c r="A149" s="257"/>
      <c r="B149" s="370"/>
      <c r="T149" s="565"/>
      <c r="U149" s="361"/>
    </row>
    <row r="150" spans="1:30" x14ac:dyDescent="0.35">
      <c r="A150" s="257"/>
      <c r="B150" s="79" t="s">
        <v>891</v>
      </c>
      <c r="C150" s="91"/>
      <c r="D150" s="80"/>
      <c r="E150" s="80"/>
      <c r="F150" s="80"/>
      <c r="G150" s="81"/>
      <c r="H150" s="80"/>
      <c r="I150" s="80"/>
      <c r="J150" s="80"/>
      <c r="K150" s="80"/>
      <c r="L150" s="80"/>
      <c r="M150" s="80"/>
      <c r="N150" s="80"/>
      <c r="O150" s="80"/>
      <c r="P150" s="80"/>
      <c r="Q150" s="80"/>
      <c r="R150" s="80"/>
      <c r="S150" s="80"/>
      <c r="T150" s="565"/>
      <c r="U150" s="361"/>
    </row>
    <row r="151" spans="1:30" x14ac:dyDescent="0.35">
      <c r="A151" s="257"/>
      <c r="B151" s="103" t="s">
        <v>895</v>
      </c>
      <c r="C151" s="97"/>
      <c r="D151" s="104"/>
      <c r="E151" s="104"/>
      <c r="F151" s="104"/>
      <c r="G151" s="105"/>
      <c r="H151" s="104"/>
      <c r="I151" s="104"/>
      <c r="J151" s="104"/>
      <c r="K151" s="104"/>
      <c r="L151" s="104"/>
      <c r="M151" s="104"/>
      <c r="N151" s="104"/>
      <c r="O151" s="104"/>
      <c r="P151" s="104"/>
      <c r="Q151" s="104"/>
      <c r="R151" s="104"/>
      <c r="S151" s="104"/>
      <c r="T151" s="565"/>
      <c r="U151" s="361"/>
    </row>
    <row r="152" spans="1:30" x14ac:dyDescent="0.35">
      <c r="A152" s="257"/>
      <c r="B152" s="61" t="s">
        <v>892</v>
      </c>
      <c r="C152" s="70" t="s">
        <v>893</v>
      </c>
      <c r="D152" s="96"/>
      <c r="E152" s="77"/>
      <c r="F152" s="77"/>
      <c r="G152" s="77"/>
      <c r="H152" s="77"/>
      <c r="I152" s="77"/>
      <c r="J152" s="589">
        <v>0</v>
      </c>
      <c r="K152" s="140">
        <f t="shared" ref="K152:S152" si="92">J152</f>
        <v>0</v>
      </c>
      <c r="L152" s="140">
        <f t="shared" si="92"/>
        <v>0</v>
      </c>
      <c r="M152" s="140">
        <f t="shared" si="92"/>
        <v>0</v>
      </c>
      <c r="N152" s="140">
        <f t="shared" si="92"/>
        <v>0</v>
      </c>
      <c r="O152" s="140">
        <f t="shared" si="92"/>
        <v>0</v>
      </c>
      <c r="P152" s="140">
        <f t="shared" si="92"/>
        <v>0</v>
      </c>
      <c r="Q152" s="140">
        <f t="shared" si="92"/>
        <v>0</v>
      </c>
      <c r="R152" s="140">
        <f t="shared" si="92"/>
        <v>0</v>
      </c>
      <c r="S152" s="140">
        <f t="shared" si="92"/>
        <v>0</v>
      </c>
      <c r="T152" s="565"/>
      <c r="U152" s="361"/>
    </row>
    <row r="153" spans="1:30" x14ac:dyDescent="0.35">
      <c r="A153" s="257"/>
      <c r="B153" s="103" t="s">
        <v>896</v>
      </c>
      <c r="C153" s="97"/>
      <c r="D153" s="104"/>
      <c r="E153" s="104"/>
      <c r="F153" s="104"/>
      <c r="G153" s="105"/>
      <c r="H153" s="104"/>
      <c r="I153" s="104"/>
      <c r="J153" s="104"/>
      <c r="K153" s="104"/>
      <c r="L153" s="104"/>
      <c r="M153" s="104"/>
      <c r="N153" s="104"/>
      <c r="O153" s="104"/>
      <c r="P153" s="104"/>
      <c r="Q153" s="104"/>
      <c r="R153" s="104"/>
      <c r="S153" s="104"/>
      <c r="T153" s="565"/>
      <c r="U153" s="361"/>
    </row>
    <row r="154" spans="1:30" x14ac:dyDescent="0.35">
      <c r="A154" s="257"/>
      <c r="B154" s="61" t="s">
        <v>894</v>
      </c>
      <c r="C154" s="70" t="s">
        <v>893</v>
      </c>
      <c r="D154" s="96"/>
      <c r="E154" s="77"/>
      <c r="F154" s="77"/>
      <c r="G154" s="315"/>
      <c r="H154" s="77"/>
      <c r="I154" s="77"/>
      <c r="J154" s="589">
        <v>7.0000000000000007E-2</v>
      </c>
      <c r="K154" s="140">
        <f t="shared" ref="K154:L161" si="93">J154</f>
        <v>7.0000000000000007E-2</v>
      </c>
      <c r="L154" s="140">
        <f t="shared" si="93"/>
        <v>7.0000000000000007E-2</v>
      </c>
      <c r="M154" s="140">
        <f t="shared" ref="M154:M161" si="94">L154</f>
        <v>7.0000000000000007E-2</v>
      </c>
      <c r="N154" s="140">
        <f t="shared" ref="N154:N161" si="95">M154</f>
        <v>7.0000000000000007E-2</v>
      </c>
      <c r="O154" s="140">
        <f t="shared" ref="O154:O161" si="96">N154</f>
        <v>7.0000000000000007E-2</v>
      </c>
      <c r="P154" s="140">
        <f t="shared" ref="P154:P161" si="97">O154</f>
        <v>7.0000000000000007E-2</v>
      </c>
      <c r="Q154" s="140">
        <f t="shared" ref="Q154:Q161" si="98">P154</f>
        <v>7.0000000000000007E-2</v>
      </c>
      <c r="R154" s="140">
        <f t="shared" ref="R154:R161" si="99">Q154</f>
        <v>7.0000000000000007E-2</v>
      </c>
      <c r="S154" s="140">
        <f t="shared" ref="S154:S161" si="100">R154</f>
        <v>7.0000000000000007E-2</v>
      </c>
      <c r="T154" s="565"/>
      <c r="U154" s="361"/>
    </row>
    <row r="155" spans="1:30" x14ac:dyDescent="0.35">
      <c r="A155" s="257"/>
      <c r="B155" s="548" t="s">
        <v>56</v>
      </c>
      <c r="C155" s="70" t="s">
        <v>893</v>
      </c>
      <c r="D155" s="96"/>
      <c r="E155" s="77"/>
      <c r="F155" s="77"/>
      <c r="G155" s="77"/>
      <c r="H155" s="77"/>
      <c r="I155" s="77"/>
      <c r="J155" s="589">
        <v>0.02</v>
      </c>
      <c r="K155" s="140">
        <f t="shared" si="93"/>
        <v>0.02</v>
      </c>
      <c r="L155" s="140">
        <f t="shared" si="93"/>
        <v>0.02</v>
      </c>
      <c r="M155" s="140">
        <f t="shared" si="94"/>
        <v>0.02</v>
      </c>
      <c r="N155" s="140">
        <f t="shared" si="95"/>
        <v>0.02</v>
      </c>
      <c r="O155" s="140">
        <f t="shared" si="96"/>
        <v>0.02</v>
      </c>
      <c r="P155" s="140">
        <f t="shared" si="97"/>
        <v>0.02</v>
      </c>
      <c r="Q155" s="140">
        <f t="shared" si="98"/>
        <v>0.02</v>
      </c>
      <c r="R155" s="140">
        <f t="shared" si="99"/>
        <v>0.02</v>
      </c>
      <c r="S155" s="140">
        <f t="shared" si="100"/>
        <v>0.02</v>
      </c>
      <c r="T155" s="565"/>
      <c r="U155" s="361"/>
    </row>
    <row r="156" spans="1:30" x14ac:dyDescent="0.35">
      <c r="A156" s="257"/>
      <c r="B156" s="548" t="s">
        <v>59</v>
      </c>
      <c r="C156" s="70" t="s">
        <v>893</v>
      </c>
      <c r="D156" s="96"/>
      <c r="E156" s="77"/>
      <c r="F156" s="77"/>
      <c r="G156" s="77"/>
      <c r="H156" s="77"/>
      <c r="I156" s="77"/>
      <c r="J156" s="589">
        <v>0.02</v>
      </c>
      <c r="K156" s="140">
        <f t="shared" si="93"/>
        <v>0.02</v>
      </c>
      <c r="L156" s="140">
        <f t="shared" si="93"/>
        <v>0.02</v>
      </c>
      <c r="M156" s="140">
        <f t="shared" si="94"/>
        <v>0.02</v>
      </c>
      <c r="N156" s="140">
        <f t="shared" si="95"/>
        <v>0.02</v>
      </c>
      <c r="O156" s="140">
        <f t="shared" si="96"/>
        <v>0.02</v>
      </c>
      <c r="P156" s="140">
        <f t="shared" si="97"/>
        <v>0.02</v>
      </c>
      <c r="Q156" s="140">
        <f t="shared" si="98"/>
        <v>0.02</v>
      </c>
      <c r="R156" s="140">
        <f t="shared" si="99"/>
        <v>0.02</v>
      </c>
      <c r="S156" s="140">
        <f t="shared" si="100"/>
        <v>0.02</v>
      </c>
      <c r="T156" s="565"/>
      <c r="U156" s="361"/>
    </row>
    <row r="157" spans="1:30" x14ac:dyDescent="0.35">
      <c r="A157" s="257"/>
      <c r="B157" s="548" t="s">
        <v>60</v>
      </c>
      <c r="C157" s="70" t="s">
        <v>893</v>
      </c>
      <c r="D157" s="96"/>
      <c r="E157" s="77"/>
      <c r="F157" s="77"/>
      <c r="G157" s="77"/>
      <c r="H157" s="77"/>
      <c r="I157" s="77"/>
      <c r="J157" s="589">
        <v>0.02</v>
      </c>
      <c r="K157" s="140">
        <f t="shared" si="93"/>
        <v>0.02</v>
      </c>
      <c r="L157" s="140">
        <f t="shared" si="93"/>
        <v>0.02</v>
      </c>
      <c r="M157" s="140">
        <f t="shared" si="94"/>
        <v>0.02</v>
      </c>
      <c r="N157" s="140">
        <f t="shared" si="95"/>
        <v>0.02</v>
      </c>
      <c r="O157" s="140">
        <f t="shared" si="96"/>
        <v>0.02</v>
      </c>
      <c r="P157" s="140">
        <f t="shared" si="97"/>
        <v>0.02</v>
      </c>
      <c r="Q157" s="140">
        <f t="shared" si="98"/>
        <v>0.02</v>
      </c>
      <c r="R157" s="140">
        <f t="shared" si="99"/>
        <v>0.02</v>
      </c>
      <c r="S157" s="140">
        <f t="shared" si="100"/>
        <v>0.02</v>
      </c>
      <c r="T157" s="565"/>
      <c r="U157" s="361"/>
    </row>
    <row r="158" spans="1:30" x14ac:dyDescent="0.35">
      <c r="A158" s="257"/>
      <c r="B158" s="548" t="s">
        <v>61</v>
      </c>
      <c r="C158" s="70" t="s">
        <v>893</v>
      </c>
      <c r="D158" s="96"/>
      <c r="E158" s="77"/>
      <c r="F158" s="77"/>
      <c r="G158" s="77"/>
      <c r="H158" s="77"/>
      <c r="I158" s="77"/>
      <c r="J158" s="589">
        <v>0.02</v>
      </c>
      <c r="K158" s="140">
        <f t="shared" si="93"/>
        <v>0.02</v>
      </c>
      <c r="L158" s="140">
        <f t="shared" si="93"/>
        <v>0.02</v>
      </c>
      <c r="M158" s="140">
        <f t="shared" si="94"/>
        <v>0.02</v>
      </c>
      <c r="N158" s="140">
        <f t="shared" si="95"/>
        <v>0.02</v>
      </c>
      <c r="O158" s="140">
        <f t="shared" si="96"/>
        <v>0.02</v>
      </c>
      <c r="P158" s="140">
        <f t="shared" si="97"/>
        <v>0.02</v>
      </c>
      <c r="Q158" s="140">
        <f t="shared" si="98"/>
        <v>0.02</v>
      </c>
      <c r="R158" s="140">
        <f t="shared" si="99"/>
        <v>0.02</v>
      </c>
      <c r="S158" s="140">
        <f t="shared" si="100"/>
        <v>0.02</v>
      </c>
      <c r="T158" s="565"/>
      <c r="U158" s="361"/>
    </row>
    <row r="159" spans="1:30" x14ac:dyDescent="0.35">
      <c r="A159" s="257"/>
      <c r="B159" s="548" t="s">
        <v>76</v>
      </c>
      <c r="C159" s="70" t="s">
        <v>893</v>
      </c>
      <c r="D159" s="96"/>
      <c r="E159" s="77"/>
      <c r="F159" s="77"/>
      <c r="G159" s="77"/>
      <c r="H159" s="77"/>
      <c r="I159" s="77"/>
      <c r="J159" s="589">
        <v>0.02</v>
      </c>
      <c r="K159" s="140">
        <f t="shared" si="93"/>
        <v>0.02</v>
      </c>
      <c r="L159" s="140">
        <f t="shared" si="93"/>
        <v>0.02</v>
      </c>
      <c r="M159" s="140">
        <f t="shared" si="94"/>
        <v>0.02</v>
      </c>
      <c r="N159" s="140">
        <f t="shared" si="95"/>
        <v>0.02</v>
      </c>
      <c r="O159" s="140">
        <f t="shared" si="96"/>
        <v>0.02</v>
      </c>
      <c r="P159" s="140">
        <f t="shared" si="97"/>
        <v>0.02</v>
      </c>
      <c r="Q159" s="140">
        <f t="shared" si="98"/>
        <v>0.02</v>
      </c>
      <c r="R159" s="140">
        <f t="shared" si="99"/>
        <v>0.02</v>
      </c>
      <c r="S159" s="140">
        <f t="shared" si="100"/>
        <v>0.02</v>
      </c>
      <c r="T159" s="565"/>
      <c r="U159" s="361"/>
    </row>
    <row r="160" spans="1:30" x14ac:dyDescent="0.35">
      <c r="A160" s="257"/>
      <c r="B160" s="548" t="s">
        <v>393</v>
      </c>
      <c r="C160" s="70" t="s">
        <v>893</v>
      </c>
      <c r="D160" s="96"/>
      <c r="E160" s="77"/>
      <c r="F160" s="77"/>
      <c r="G160" s="77"/>
      <c r="H160" s="77"/>
      <c r="I160" s="77"/>
      <c r="J160" s="589">
        <v>0.02</v>
      </c>
      <c r="K160" s="140">
        <f t="shared" si="93"/>
        <v>0.02</v>
      </c>
      <c r="L160" s="140">
        <f t="shared" si="93"/>
        <v>0.02</v>
      </c>
      <c r="M160" s="140">
        <f t="shared" si="94"/>
        <v>0.02</v>
      </c>
      <c r="N160" s="140">
        <f t="shared" si="95"/>
        <v>0.02</v>
      </c>
      <c r="O160" s="140">
        <f t="shared" si="96"/>
        <v>0.02</v>
      </c>
      <c r="P160" s="140">
        <f t="shared" si="97"/>
        <v>0.02</v>
      </c>
      <c r="Q160" s="140">
        <f t="shared" si="98"/>
        <v>0.02</v>
      </c>
      <c r="R160" s="140">
        <f t="shared" si="99"/>
        <v>0.02</v>
      </c>
      <c r="S160" s="140">
        <f t="shared" si="100"/>
        <v>0.02</v>
      </c>
      <c r="T160" s="565"/>
      <c r="U160" s="361"/>
    </row>
    <row r="161" spans="1:30" x14ac:dyDescent="0.35">
      <c r="A161" s="257"/>
      <c r="B161" s="502" t="s">
        <v>69</v>
      </c>
      <c r="C161" s="70" t="s">
        <v>893</v>
      </c>
      <c r="D161" s="96"/>
      <c r="E161" s="77"/>
      <c r="F161" s="77"/>
      <c r="G161" s="77"/>
      <c r="H161" s="77"/>
      <c r="I161" s="77"/>
      <c r="J161" s="589">
        <v>0.02</v>
      </c>
      <c r="K161" s="140">
        <f t="shared" si="93"/>
        <v>0.02</v>
      </c>
      <c r="L161" s="140">
        <f t="shared" si="93"/>
        <v>0.02</v>
      </c>
      <c r="M161" s="140">
        <f t="shared" si="94"/>
        <v>0.02</v>
      </c>
      <c r="N161" s="140">
        <f t="shared" si="95"/>
        <v>0.02</v>
      </c>
      <c r="O161" s="140">
        <f t="shared" si="96"/>
        <v>0.02</v>
      </c>
      <c r="P161" s="140">
        <f t="shared" si="97"/>
        <v>0.02</v>
      </c>
      <c r="Q161" s="140">
        <f t="shared" si="98"/>
        <v>0.02</v>
      </c>
      <c r="R161" s="140">
        <f t="shared" si="99"/>
        <v>0.02</v>
      </c>
      <c r="S161" s="140">
        <f t="shared" si="100"/>
        <v>0.02</v>
      </c>
      <c r="T161" s="565"/>
      <c r="U161" s="361"/>
    </row>
    <row r="162" spans="1:30" x14ac:dyDescent="0.35">
      <c r="A162" s="257"/>
      <c r="B162" s="370"/>
      <c r="T162" s="565"/>
      <c r="U162" s="361"/>
    </row>
    <row r="163" spans="1:30" x14ac:dyDescent="0.35">
      <c r="B163" s="79" t="s">
        <v>526</v>
      </c>
      <c r="C163" s="91"/>
      <c r="D163" s="80"/>
      <c r="E163" s="80"/>
      <c r="F163" s="80"/>
      <c r="G163" s="81"/>
      <c r="H163" s="80"/>
      <c r="I163" s="80"/>
      <c r="J163" s="80"/>
      <c r="K163" s="80"/>
      <c r="L163" s="80"/>
      <c r="M163" s="80"/>
      <c r="N163" s="80"/>
      <c r="O163" s="80"/>
      <c r="P163" s="80"/>
      <c r="Q163" s="80"/>
      <c r="R163" s="80"/>
      <c r="S163" s="80"/>
      <c r="T163" s="565"/>
      <c r="U163" s="361"/>
    </row>
    <row r="164" spans="1:30" x14ac:dyDescent="0.35">
      <c r="B164" s="76" t="s">
        <v>527</v>
      </c>
      <c r="C164" s="70" t="s">
        <v>530</v>
      </c>
      <c r="D164" s="61"/>
      <c r="E164" s="62">
        <f>'Working - Corporate'!E120</f>
        <v>12.003411777172767</v>
      </c>
      <c r="F164" s="62">
        <f>'Working - Corporate'!F120</f>
        <v>11.253088315093104</v>
      </c>
      <c r="G164" s="62">
        <f>'Working - Corporate'!G120</f>
        <v>9.5727298144014146</v>
      </c>
      <c r="H164" s="62">
        <f>'Working - Corporate'!H120</f>
        <v>12.179223059045102</v>
      </c>
      <c r="I164" s="62">
        <f>'Working - Corporate'!I120</f>
        <v>14.229354738681636</v>
      </c>
      <c r="J164" s="77">
        <v>10</v>
      </c>
      <c r="K164" s="77">
        <v>10</v>
      </c>
      <c r="L164" s="77">
        <v>10</v>
      </c>
      <c r="M164" s="77">
        <v>10</v>
      </c>
      <c r="N164" s="77">
        <v>10</v>
      </c>
      <c r="O164" s="77">
        <v>10</v>
      </c>
      <c r="P164" s="77">
        <v>10</v>
      </c>
      <c r="Q164" s="77">
        <v>10</v>
      </c>
      <c r="R164" s="77">
        <v>10</v>
      </c>
      <c r="S164" s="77">
        <v>10</v>
      </c>
      <c r="T164" s="565"/>
      <c r="U164" s="361"/>
    </row>
    <row r="165" spans="1:30" x14ac:dyDescent="0.35">
      <c r="B165" s="76" t="s">
        <v>314</v>
      </c>
      <c r="C165" s="70"/>
      <c r="D165" s="61"/>
      <c r="E165" s="61"/>
      <c r="F165" s="61"/>
      <c r="G165" s="62"/>
      <c r="H165" s="62"/>
      <c r="I165" s="62"/>
      <c r="J165" s="62"/>
      <c r="K165" s="62"/>
      <c r="L165" s="62"/>
      <c r="M165" s="62"/>
      <c r="N165" s="62"/>
      <c r="O165" s="62"/>
      <c r="P165" s="62"/>
      <c r="Q165" s="62"/>
      <c r="R165" s="62"/>
      <c r="S165" s="62"/>
      <c r="T165" s="565"/>
      <c r="U165" s="361"/>
    </row>
    <row r="166" spans="1:30" x14ac:dyDescent="0.35">
      <c r="A166" s="151"/>
      <c r="B166" s="293" t="s">
        <v>528</v>
      </c>
      <c r="C166" s="70" t="s">
        <v>538</v>
      </c>
      <c r="D166" s="61"/>
      <c r="E166" s="62">
        <f>'Working - Corporate'!E186</f>
        <v>243.15796673353387</v>
      </c>
      <c r="F166" s="62">
        <f>'Working - Corporate'!F186</f>
        <v>265.28810865241638</v>
      </c>
      <c r="G166" s="62">
        <f>'Working - Corporate'!G186</f>
        <v>293.5213938919693</v>
      </c>
      <c r="H166" s="62">
        <f>'Working - Corporate'!H186</f>
        <v>292.40054682167153</v>
      </c>
      <c r="I166" s="62">
        <f>'Working - Corporate'!I186</f>
        <v>310.14974693006326</v>
      </c>
      <c r="J166" s="93">
        <v>187</v>
      </c>
      <c r="K166" s="93">
        <v>175</v>
      </c>
      <c r="L166" s="93">
        <v>111</v>
      </c>
      <c r="M166" s="93">
        <v>96</v>
      </c>
      <c r="N166" s="93">
        <v>87</v>
      </c>
      <c r="O166" s="93">
        <v>80</v>
      </c>
      <c r="P166" s="93">
        <v>71</v>
      </c>
      <c r="Q166" s="93">
        <v>60</v>
      </c>
      <c r="R166" s="93">
        <v>40</v>
      </c>
      <c r="S166" s="93">
        <v>20</v>
      </c>
      <c r="T166" s="565"/>
      <c r="U166" s="361"/>
    </row>
    <row r="167" spans="1:30" x14ac:dyDescent="0.35">
      <c r="B167" s="293" t="s">
        <v>529</v>
      </c>
      <c r="C167" s="70" t="s">
        <v>539</v>
      </c>
      <c r="D167" s="61"/>
      <c r="E167" s="62">
        <f>'Working - Corporate'!E187</f>
        <v>141.83767947360676</v>
      </c>
      <c r="F167" s="62">
        <f>'Working - Corporate'!F187</f>
        <v>113.31368660783316</v>
      </c>
      <c r="G167" s="62">
        <f>'Working - Corporate'!G187</f>
        <v>155.81782587962124</v>
      </c>
      <c r="H167" s="62">
        <f>'Working - Corporate'!H187</f>
        <v>159.41039343689485</v>
      </c>
      <c r="I167" s="62">
        <f>'Working - Corporate'!I187</f>
        <v>162.85661061213079</v>
      </c>
      <c r="J167" s="93">
        <v>120</v>
      </c>
      <c r="K167" s="93">
        <v>120</v>
      </c>
      <c r="L167" s="93">
        <v>115</v>
      </c>
      <c r="M167" s="93">
        <v>100</v>
      </c>
      <c r="N167" s="93">
        <v>90</v>
      </c>
      <c r="O167" s="93">
        <v>90</v>
      </c>
      <c r="P167" s="93">
        <v>90</v>
      </c>
      <c r="Q167" s="93">
        <v>90</v>
      </c>
      <c r="R167" s="93">
        <v>90</v>
      </c>
      <c r="S167" s="93">
        <v>90</v>
      </c>
      <c r="T167" s="565"/>
      <c r="U167" s="361"/>
    </row>
    <row r="168" spans="1:30" x14ac:dyDescent="0.35">
      <c r="B168" s="79" t="s">
        <v>532</v>
      </c>
      <c r="C168" s="91"/>
      <c r="D168" s="80"/>
      <c r="E168" s="80"/>
      <c r="F168" s="80"/>
      <c r="G168" s="81"/>
      <c r="H168" s="81"/>
      <c r="I168" s="81"/>
      <c r="J168" s="81"/>
      <c r="K168" s="81"/>
      <c r="L168" s="81"/>
      <c r="M168" s="81"/>
      <c r="N168" s="81"/>
      <c r="O168" s="81"/>
      <c r="P168" s="81"/>
      <c r="Q168" s="81"/>
      <c r="R168" s="81"/>
      <c r="S168" s="81"/>
      <c r="T168" s="565"/>
      <c r="U168" s="361"/>
    </row>
    <row r="169" spans="1:30" x14ac:dyDescent="0.35">
      <c r="B169" s="293" t="s">
        <v>533</v>
      </c>
      <c r="C169" s="70"/>
      <c r="D169" s="61"/>
      <c r="E169" s="61"/>
      <c r="F169" s="61"/>
      <c r="G169" s="62"/>
      <c r="H169" s="62"/>
      <c r="I169" s="62"/>
      <c r="J169" s="77">
        <v>0</v>
      </c>
      <c r="K169" s="77">
        <v>15</v>
      </c>
      <c r="L169" s="77">
        <f t="shared" ref="L169:S169" si="101">+K169</f>
        <v>15</v>
      </c>
      <c r="M169" s="77">
        <f t="shared" si="101"/>
        <v>15</v>
      </c>
      <c r="N169" s="77">
        <f t="shared" si="101"/>
        <v>15</v>
      </c>
      <c r="O169" s="77">
        <f t="shared" si="101"/>
        <v>15</v>
      </c>
      <c r="P169" s="77">
        <f t="shared" si="101"/>
        <v>15</v>
      </c>
      <c r="Q169" s="77">
        <f t="shared" si="101"/>
        <v>15</v>
      </c>
      <c r="R169" s="77">
        <f t="shared" si="101"/>
        <v>15</v>
      </c>
      <c r="S169" s="77">
        <f t="shared" si="101"/>
        <v>15</v>
      </c>
      <c r="T169" s="565"/>
      <c r="U169" s="361"/>
    </row>
    <row r="170" spans="1:30" x14ac:dyDescent="0.35">
      <c r="B170" s="1389"/>
      <c r="G170" s="259"/>
      <c r="H170" s="259"/>
      <c r="J170" s="1734"/>
      <c r="K170" s="1734"/>
      <c r="L170" s="1734"/>
      <c r="M170" s="1734"/>
      <c r="N170" s="1734"/>
      <c r="O170" s="1734"/>
      <c r="P170" s="1734"/>
      <c r="Q170" s="1734"/>
      <c r="R170" s="1734"/>
      <c r="S170" s="1734"/>
      <c r="T170" s="565"/>
      <c r="U170" s="361"/>
    </row>
    <row r="171" spans="1:30" s="430" customFormat="1" x14ac:dyDescent="0.35">
      <c r="A171" s="528" t="s">
        <v>918</v>
      </c>
      <c r="B171" s="532" t="s">
        <v>919</v>
      </c>
      <c r="C171" s="507"/>
      <c r="J171" s="611"/>
      <c r="K171" s="611"/>
      <c r="L171" s="611"/>
      <c r="M171" s="611"/>
      <c r="N171" s="611"/>
      <c r="O171" s="611"/>
      <c r="P171" s="611"/>
      <c r="Q171" s="611"/>
      <c r="R171" s="611"/>
      <c r="S171" s="611"/>
      <c r="U171" s="507"/>
      <c r="V171" s="507"/>
      <c r="W171" s="507"/>
      <c r="X171" s="507"/>
      <c r="Y171" s="507"/>
      <c r="Z171" s="507"/>
      <c r="AA171" s="507"/>
      <c r="AB171" s="507"/>
      <c r="AC171" s="507"/>
      <c r="AD171" s="507"/>
    </row>
    <row r="172" spans="1:30" x14ac:dyDescent="0.35">
      <c r="D172" s="565"/>
      <c r="J172" s="259"/>
      <c r="K172" s="259"/>
      <c r="L172" s="259"/>
      <c r="M172" s="259"/>
      <c r="N172" s="259"/>
      <c r="O172" s="259"/>
      <c r="P172" s="259"/>
      <c r="Q172" s="259"/>
      <c r="R172" s="259"/>
      <c r="S172" s="259"/>
    </row>
    <row r="173" spans="1:30" s="213" customFormat="1" hidden="1" x14ac:dyDescent="0.35">
      <c r="B173" s="209" t="s">
        <v>511</v>
      </c>
      <c r="C173" s="231">
        <v>44286</v>
      </c>
      <c r="D173" s="231">
        <v>44561</v>
      </c>
      <c r="E173" s="232" t="s">
        <v>512</v>
      </c>
      <c r="F173" s="234"/>
      <c r="G173" s="234"/>
      <c r="H173" s="234"/>
      <c r="I173" s="234">
        <f>'Promoter Loan &amp; Equity workings'!F6</f>
        <v>44651</v>
      </c>
      <c r="J173" s="234">
        <f>'Promoter Loan &amp; Equity workings'!G6</f>
        <v>45016</v>
      </c>
      <c r="K173" s="234">
        <f>'Promoter Loan &amp; Equity workings'!H6</f>
        <v>45382</v>
      </c>
      <c r="L173" s="234">
        <f>'Promoter Loan &amp; Equity workings'!I6</f>
        <v>45747</v>
      </c>
      <c r="M173" s="234">
        <f>'Promoter Loan &amp; Equity workings'!J6</f>
        <v>46112</v>
      </c>
      <c r="N173" s="234">
        <f>'Promoter Loan &amp; Equity workings'!K6</f>
        <v>46477</v>
      </c>
      <c r="O173" s="234">
        <f>'Promoter Loan &amp; Equity workings'!L6</f>
        <v>46843</v>
      </c>
      <c r="P173" s="234">
        <f>'Promoter Loan &amp; Equity workings'!M6</f>
        <v>47208</v>
      </c>
      <c r="Q173" s="234">
        <f>'Promoter Loan &amp; Equity workings'!N6</f>
        <v>47573</v>
      </c>
      <c r="R173" s="234">
        <f>'Promoter Loan &amp; Equity workings'!O6</f>
        <v>47938</v>
      </c>
      <c r="S173" s="234">
        <f>'Promoter Loan &amp; Equity workings'!P6</f>
        <v>48304</v>
      </c>
      <c r="T173" s="234">
        <f>'Promoter Loan &amp; Equity workings'!Q6</f>
        <v>48669</v>
      </c>
      <c r="U173" s="234">
        <f>'Promoter Loan &amp; Equity workings'!R6</f>
        <v>49034</v>
      </c>
      <c r="V173" s="234">
        <f>EOMONTH(U173,12)</f>
        <v>49399</v>
      </c>
      <c r="W173" s="234">
        <f>EOMONTH(V173,12)</f>
        <v>49765</v>
      </c>
      <c r="X173" s="234">
        <f>EOMONTH(W173,12)</f>
        <v>50130</v>
      </c>
      <c r="Y173" s="234" t="s">
        <v>36</v>
      </c>
    </row>
    <row r="174" spans="1:30" s="213" customFormat="1" hidden="1" x14ac:dyDescent="0.35">
      <c r="B174" s="236" t="s">
        <v>505</v>
      </c>
      <c r="C174" s="237">
        <f>'Debt Assumptions &amp; working'!C8</f>
        <v>726.27900448199978</v>
      </c>
      <c r="D174" s="349">
        <v>542.72373709199996</v>
      </c>
      <c r="E174" s="238">
        <v>0.10150000000000001</v>
      </c>
      <c r="F174" s="239"/>
      <c r="G174" s="239"/>
      <c r="H174" s="238"/>
      <c r="I174" s="1357">
        <v>8.457622699419072E-2</v>
      </c>
      <c r="J174" s="1357">
        <v>0.33830490797676288</v>
      </c>
      <c r="K174" s="1357">
        <v>0.33830490797676288</v>
      </c>
      <c r="L174" s="1357">
        <v>0.23881395705228362</v>
      </c>
      <c r="M174" s="1357">
        <v>0</v>
      </c>
      <c r="N174" s="1357">
        <v>0</v>
      </c>
      <c r="O174" s="1357">
        <v>0</v>
      </c>
      <c r="P174" s="1357">
        <v>0</v>
      </c>
      <c r="Q174" s="1357">
        <v>0</v>
      </c>
      <c r="R174" s="1357">
        <v>0</v>
      </c>
      <c r="S174" s="1357">
        <v>0</v>
      </c>
      <c r="T174" s="238">
        <v>0</v>
      </c>
      <c r="U174" s="238">
        <v>0</v>
      </c>
      <c r="V174" s="238">
        <v>0</v>
      </c>
      <c r="W174" s="238">
        <v>0</v>
      </c>
      <c r="X174" s="238">
        <v>0</v>
      </c>
      <c r="Y174" s="206">
        <f>SUM(I174:X174)</f>
        <v>1</v>
      </c>
      <c r="Z174" s="215"/>
      <c r="AA174" s="215"/>
      <c r="AB174" s="215"/>
      <c r="AC174" s="215"/>
      <c r="AD174" s="215"/>
    </row>
    <row r="175" spans="1:30" s="213" customFormat="1" hidden="1" x14ac:dyDescent="0.35">
      <c r="B175" s="236" t="s">
        <v>506</v>
      </c>
      <c r="C175" s="237">
        <f>'Debt Assumptions &amp; working'!C9</f>
        <v>39.907236451999992</v>
      </c>
      <c r="D175" s="349">
        <v>29.646679218999999</v>
      </c>
      <c r="E175" s="238">
        <v>0.10150000000000001</v>
      </c>
      <c r="F175" s="239"/>
      <c r="G175" s="239"/>
      <c r="H175" s="238"/>
      <c r="I175" s="1357">
        <v>8.602484011124692E-2</v>
      </c>
      <c r="J175" s="1357">
        <v>0.34409936044498768</v>
      </c>
      <c r="K175" s="1357">
        <v>0.34359348131719891</v>
      </c>
      <c r="L175" s="1357">
        <v>0.2262823181265666</v>
      </c>
      <c r="M175" s="1357">
        <v>0</v>
      </c>
      <c r="N175" s="1357">
        <v>0</v>
      </c>
      <c r="O175" s="1357">
        <v>0</v>
      </c>
      <c r="P175" s="1357">
        <v>0</v>
      </c>
      <c r="Q175" s="1357">
        <v>0</v>
      </c>
      <c r="R175" s="1357">
        <v>0</v>
      </c>
      <c r="S175" s="1357">
        <v>0</v>
      </c>
      <c r="T175" s="238">
        <v>0</v>
      </c>
      <c r="U175" s="238">
        <v>0</v>
      </c>
      <c r="V175" s="238">
        <v>0</v>
      </c>
      <c r="W175" s="238">
        <v>0</v>
      </c>
      <c r="X175" s="238">
        <v>0</v>
      </c>
      <c r="Y175" s="206">
        <f>SUM(I175:X175)</f>
        <v>1</v>
      </c>
    </row>
    <row r="176" spans="1:30" s="213" customFormat="1" hidden="1" x14ac:dyDescent="0.35">
      <c r="B176" s="236" t="s">
        <v>503</v>
      </c>
      <c r="C176" s="237">
        <f>'Debt Assumptions &amp; working'!C10</f>
        <v>889.06941760599989</v>
      </c>
      <c r="D176" s="349">
        <v>666.757681746</v>
      </c>
      <c r="E176" s="238">
        <v>0.10299999999999999</v>
      </c>
      <c r="F176" s="239"/>
      <c r="G176" s="239"/>
      <c r="H176" s="238"/>
      <c r="I176" s="1357">
        <v>8.3253770083157014E-2</v>
      </c>
      <c r="J176" s="1357">
        <v>0.33301508033262806</v>
      </c>
      <c r="K176" s="1357">
        <v>0.33299258406939669</v>
      </c>
      <c r="L176" s="1357">
        <v>0.25073856551481827</v>
      </c>
      <c r="M176" s="1357">
        <v>0</v>
      </c>
      <c r="N176" s="1357">
        <v>0</v>
      </c>
      <c r="O176" s="1357">
        <v>0</v>
      </c>
      <c r="P176" s="1357">
        <v>0</v>
      </c>
      <c r="Q176" s="1357">
        <v>0</v>
      </c>
      <c r="R176" s="1357">
        <v>0</v>
      </c>
      <c r="S176" s="1357">
        <v>0</v>
      </c>
      <c r="T176" s="238">
        <v>0</v>
      </c>
      <c r="U176" s="238">
        <v>0</v>
      </c>
      <c r="V176" s="238">
        <v>0</v>
      </c>
      <c r="W176" s="238">
        <v>0</v>
      </c>
      <c r="X176" s="238">
        <v>0</v>
      </c>
      <c r="Y176" s="206">
        <f>SUM(I176:X176)</f>
        <v>1</v>
      </c>
    </row>
    <row r="177" spans="1:30" s="213" customFormat="1" hidden="1" x14ac:dyDescent="0.35">
      <c r="B177" s="236" t="s">
        <v>504</v>
      </c>
      <c r="C177" s="237">
        <f>'Debt Assumptions &amp; working'!C11</f>
        <v>74.924089205999806</v>
      </c>
      <c r="D177" s="349">
        <v>56.350552448000002</v>
      </c>
      <c r="E177" s="238">
        <v>0.10299999999999999</v>
      </c>
      <c r="F177" s="239"/>
      <c r="G177" s="239"/>
      <c r="H177" s="238"/>
      <c r="I177" s="1357">
        <v>8.3253770083157E-2</v>
      </c>
      <c r="J177" s="1357">
        <v>0.333015080332628</v>
      </c>
      <c r="K177" s="1357">
        <v>0.33299258406939664</v>
      </c>
      <c r="L177" s="1357">
        <v>0.25073856551481827</v>
      </c>
      <c r="M177" s="1357">
        <v>0</v>
      </c>
      <c r="N177" s="1357">
        <v>0</v>
      </c>
      <c r="O177" s="1357">
        <v>0</v>
      </c>
      <c r="P177" s="1357">
        <v>0</v>
      </c>
      <c r="Q177" s="1357">
        <v>0</v>
      </c>
      <c r="R177" s="1357">
        <v>0</v>
      </c>
      <c r="S177" s="1357">
        <v>0</v>
      </c>
      <c r="T177" s="238">
        <v>0</v>
      </c>
      <c r="U177" s="238">
        <v>0</v>
      </c>
      <c r="V177" s="238">
        <v>0</v>
      </c>
      <c r="W177" s="238">
        <v>0</v>
      </c>
      <c r="X177" s="238">
        <v>0</v>
      </c>
      <c r="Y177" s="206">
        <f>SUM(I177:X177)</f>
        <v>0.99999999999999978</v>
      </c>
    </row>
    <row r="178" spans="1:30" s="213" customFormat="1" hidden="1" x14ac:dyDescent="0.35">
      <c r="B178" s="236" t="s">
        <v>359</v>
      </c>
      <c r="C178" s="237">
        <f>'Debt Assumptions &amp; working'!C12</f>
        <v>36.085128114999996</v>
      </c>
      <c r="D178" s="349">
        <v>0</v>
      </c>
      <c r="E178" s="238">
        <v>0.10299999999999999</v>
      </c>
      <c r="F178" s="239"/>
      <c r="G178" s="239"/>
      <c r="H178" s="240"/>
      <c r="I178" s="240"/>
      <c r="J178" s="240"/>
      <c r="K178" s="240"/>
      <c r="L178" s="240"/>
      <c r="M178" s="240"/>
      <c r="N178" s="240"/>
      <c r="O178" s="240"/>
      <c r="P178" s="240"/>
      <c r="Q178" s="240"/>
      <c r="R178" s="240"/>
      <c r="S178" s="240"/>
      <c r="T178" s="240"/>
      <c r="U178" s="240"/>
      <c r="V178" s="240"/>
      <c r="W178" s="240"/>
      <c r="X178" s="240"/>
      <c r="Y178" s="206"/>
    </row>
    <row r="179" spans="1:30" s="213" customFormat="1" hidden="1" x14ac:dyDescent="0.35">
      <c r="B179" s="243" t="s">
        <v>290</v>
      </c>
      <c r="C179" s="244">
        <f>'Balance Sheet'!E44</f>
        <v>3483.25</v>
      </c>
      <c r="D179" s="244">
        <f>C179</f>
        <v>3483.25</v>
      </c>
      <c r="E179" s="238">
        <v>2.5000000000000001E-2</v>
      </c>
      <c r="F179" s="245"/>
      <c r="G179" s="245"/>
      <c r="H179" s="246"/>
      <c r="I179" s="238">
        <v>0</v>
      </c>
      <c r="J179" s="238">
        <v>0</v>
      </c>
      <c r="K179" s="238">
        <v>0</v>
      </c>
      <c r="L179" s="238">
        <v>7.6923076923076913E-2</v>
      </c>
      <c r="M179" s="238">
        <v>7.6923076923076913E-2</v>
      </c>
      <c r="N179" s="238">
        <v>7.6923076923076913E-2</v>
      </c>
      <c r="O179" s="238">
        <v>7.6923076923076913E-2</v>
      </c>
      <c r="P179" s="238">
        <v>7.6923076923076913E-2</v>
      </c>
      <c r="Q179" s="238">
        <v>7.6923076923076913E-2</v>
      </c>
      <c r="R179" s="238">
        <v>7.6923076923076913E-2</v>
      </c>
      <c r="S179" s="238">
        <v>7.6923076923076913E-2</v>
      </c>
      <c r="T179" s="238">
        <v>7.6923076923076913E-2</v>
      </c>
      <c r="U179" s="238">
        <v>7.6923076923076913E-2</v>
      </c>
      <c r="V179" s="238">
        <v>7.6923076923076913E-2</v>
      </c>
      <c r="W179" s="238">
        <v>7.6923076923076913E-2</v>
      </c>
      <c r="X179" s="238">
        <v>7.6923076923076913E-2</v>
      </c>
      <c r="Y179" s="206">
        <f>SUM(I179:X179)</f>
        <v>0.99999999999999967</v>
      </c>
    </row>
    <row r="180" spans="1:30" s="213" customFormat="1" hidden="1" x14ac:dyDescent="0.35">
      <c r="B180" s="248" t="s">
        <v>36</v>
      </c>
      <c r="C180" s="249">
        <f>SUM(C174:C179)</f>
        <v>5249.5148758609994</v>
      </c>
      <c r="D180" s="249"/>
      <c r="E180" s="250"/>
      <c r="F180" s="252"/>
      <c r="G180" s="252"/>
      <c r="H180" s="253"/>
      <c r="I180" s="253"/>
      <c r="J180" s="253"/>
      <c r="K180" s="253"/>
      <c r="L180" s="253"/>
      <c r="M180" s="253"/>
      <c r="N180" s="253"/>
      <c r="O180" s="253"/>
      <c r="P180" s="253"/>
      <c r="Q180" s="253"/>
      <c r="R180" s="253"/>
      <c r="S180" s="253"/>
      <c r="T180" s="253"/>
      <c r="U180" s="253"/>
      <c r="V180" s="253"/>
      <c r="W180" s="253"/>
      <c r="X180" s="253"/>
      <c r="Y180" s="253"/>
    </row>
    <row r="181" spans="1:30" s="213" customFormat="1" x14ac:dyDescent="0.35">
      <c r="B181" s="133"/>
      <c r="F181" s="216"/>
      <c r="G181" s="216"/>
      <c r="H181" s="215"/>
      <c r="I181" s="215"/>
      <c r="J181" s="215"/>
      <c r="K181" s="215"/>
      <c r="L181" s="215"/>
      <c r="M181" s="215"/>
      <c r="N181" s="215"/>
      <c r="O181" s="215"/>
      <c r="P181" s="215"/>
      <c r="Q181" s="215"/>
      <c r="R181" s="215"/>
      <c r="S181" s="215"/>
      <c r="T181" s="215"/>
      <c r="U181" s="215"/>
      <c r="V181" s="215"/>
      <c r="W181" s="215"/>
    </row>
    <row r="182" spans="1:30" s="213" customFormat="1" x14ac:dyDescent="0.35">
      <c r="B182" s="209" t="s">
        <v>540</v>
      </c>
      <c r="C182" s="231">
        <f>C173</f>
        <v>44286</v>
      </c>
      <c r="D182" s="231">
        <f>D173</f>
        <v>44561</v>
      </c>
      <c r="E182" s="232" t="s">
        <v>512</v>
      </c>
      <c r="F182" s="234"/>
      <c r="G182" s="234"/>
      <c r="H182" s="234"/>
      <c r="I182" s="234">
        <f>I173</f>
        <v>44651</v>
      </c>
      <c r="J182" s="234">
        <f t="shared" ref="J182:S182" si="102">J173</f>
        <v>45016</v>
      </c>
      <c r="K182" s="234">
        <f t="shared" si="102"/>
        <v>45382</v>
      </c>
      <c r="L182" s="234">
        <f t="shared" si="102"/>
        <v>45747</v>
      </c>
      <c r="M182" s="234">
        <f t="shared" si="102"/>
        <v>46112</v>
      </c>
      <c r="N182" s="234">
        <f t="shared" si="102"/>
        <v>46477</v>
      </c>
      <c r="O182" s="234">
        <f t="shared" si="102"/>
        <v>46843</v>
      </c>
      <c r="P182" s="234">
        <f t="shared" si="102"/>
        <v>47208</v>
      </c>
      <c r="Q182" s="234">
        <f t="shared" si="102"/>
        <v>47573</v>
      </c>
      <c r="R182" s="234">
        <f t="shared" si="102"/>
        <v>47938</v>
      </c>
      <c r="S182" s="234">
        <f t="shared" si="102"/>
        <v>48304</v>
      </c>
      <c r="T182" s="234">
        <f>T173</f>
        <v>48669</v>
      </c>
      <c r="U182" s="234">
        <f>U173</f>
        <v>49034</v>
      </c>
      <c r="V182" s="235" t="s">
        <v>36</v>
      </c>
    </row>
    <row r="183" spans="1:30" s="213" customFormat="1" x14ac:dyDescent="0.35">
      <c r="B183" s="236" t="s">
        <v>505</v>
      </c>
      <c r="C183" s="237">
        <f>C174</f>
        <v>726.27900448199978</v>
      </c>
      <c r="D183" s="237">
        <f>D174</f>
        <v>542.72373709199996</v>
      </c>
      <c r="E183" s="238">
        <v>0.10150000000000001</v>
      </c>
      <c r="F183" s="239"/>
      <c r="G183" s="239"/>
      <c r="H183" s="238"/>
      <c r="I183" s="238">
        <v>0</v>
      </c>
      <c r="J183" s="238">
        <v>0.11</v>
      </c>
      <c r="K183" s="238">
        <v>0.1</v>
      </c>
      <c r="L183" s="238">
        <v>0.1</v>
      </c>
      <c r="M183" s="238">
        <v>0.11</v>
      </c>
      <c r="N183" s="238">
        <v>0.11</v>
      </c>
      <c r="O183" s="238">
        <v>0.16</v>
      </c>
      <c r="P183" s="238">
        <v>0.16</v>
      </c>
      <c r="Q183" s="238">
        <f>1-SUM(J183:P183)</f>
        <v>0.14999999999999991</v>
      </c>
      <c r="R183" s="1357">
        <v>0</v>
      </c>
      <c r="S183" s="1357">
        <v>0</v>
      </c>
      <c r="T183" s="1357">
        <v>0</v>
      </c>
      <c r="U183" s="1357">
        <v>0</v>
      </c>
      <c r="V183" s="206">
        <f>SUM(I183:U183)</f>
        <v>1</v>
      </c>
    </row>
    <row r="184" spans="1:30" s="213" customFormat="1" x14ac:dyDescent="0.35">
      <c r="B184" s="236" t="s">
        <v>506</v>
      </c>
      <c r="C184" s="237">
        <f t="shared" ref="C184:D188" si="103">C175</f>
        <v>39.907236451999992</v>
      </c>
      <c r="D184" s="237">
        <f t="shared" si="103"/>
        <v>29.646679218999999</v>
      </c>
      <c r="E184" s="238">
        <v>0.10150000000000001</v>
      </c>
      <c r="F184" s="239"/>
      <c r="G184" s="239"/>
      <c r="H184" s="238"/>
      <c r="I184" s="266">
        <f>I183</f>
        <v>0</v>
      </c>
      <c r="J184" s="266">
        <f t="shared" ref="J184:R187" si="104">J183</f>
        <v>0.11</v>
      </c>
      <c r="K184" s="266">
        <f t="shared" si="104"/>
        <v>0.1</v>
      </c>
      <c r="L184" s="266">
        <f t="shared" si="104"/>
        <v>0.1</v>
      </c>
      <c r="M184" s="266">
        <f t="shared" si="104"/>
        <v>0.11</v>
      </c>
      <c r="N184" s="266">
        <f t="shared" si="104"/>
        <v>0.11</v>
      </c>
      <c r="O184" s="266">
        <f t="shared" si="104"/>
        <v>0.16</v>
      </c>
      <c r="P184" s="266">
        <f t="shared" si="104"/>
        <v>0.16</v>
      </c>
      <c r="Q184" s="266">
        <f t="shared" si="104"/>
        <v>0.14999999999999991</v>
      </c>
      <c r="R184" s="266">
        <f t="shared" si="104"/>
        <v>0</v>
      </c>
      <c r="S184" s="266">
        <f t="shared" ref="S184:U187" si="105">S183</f>
        <v>0</v>
      </c>
      <c r="T184" s="266">
        <f t="shared" si="105"/>
        <v>0</v>
      </c>
      <c r="U184" s="266">
        <f t="shared" si="105"/>
        <v>0</v>
      </c>
      <c r="V184" s="206">
        <f>SUM(I184:U184)</f>
        <v>1</v>
      </c>
    </row>
    <row r="185" spans="1:30" s="213" customFormat="1" x14ac:dyDescent="0.35">
      <c r="B185" s="236" t="s">
        <v>503</v>
      </c>
      <c r="C185" s="237">
        <f t="shared" si="103"/>
        <v>889.06941760599989</v>
      </c>
      <c r="D185" s="237">
        <f t="shared" si="103"/>
        <v>666.757681746</v>
      </c>
      <c r="E185" s="238">
        <v>0.10299999999999999</v>
      </c>
      <c r="F185" s="239"/>
      <c r="G185" s="239"/>
      <c r="H185" s="238"/>
      <c r="I185" s="266">
        <f>I184</f>
        <v>0</v>
      </c>
      <c r="J185" s="266">
        <f t="shared" si="104"/>
        <v>0.11</v>
      </c>
      <c r="K185" s="266">
        <f t="shared" si="104"/>
        <v>0.1</v>
      </c>
      <c r="L185" s="266">
        <f t="shared" si="104"/>
        <v>0.1</v>
      </c>
      <c r="M185" s="266">
        <f t="shared" si="104"/>
        <v>0.11</v>
      </c>
      <c r="N185" s="266">
        <f t="shared" si="104"/>
        <v>0.11</v>
      </c>
      <c r="O185" s="266">
        <f t="shared" si="104"/>
        <v>0.16</v>
      </c>
      <c r="P185" s="266">
        <f t="shared" si="104"/>
        <v>0.16</v>
      </c>
      <c r="Q185" s="266">
        <f t="shared" si="104"/>
        <v>0.14999999999999991</v>
      </c>
      <c r="R185" s="266">
        <f t="shared" si="104"/>
        <v>0</v>
      </c>
      <c r="S185" s="266">
        <f t="shared" si="105"/>
        <v>0</v>
      </c>
      <c r="T185" s="266">
        <f t="shared" si="105"/>
        <v>0</v>
      </c>
      <c r="U185" s="266">
        <f t="shared" si="105"/>
        <v>0</v>
      </c>
      <c r="V185" s="206">
        <f>SUM(I185:U185)</f>
        <v>1</v>
      </c>
    </row>
    <row r="186" spans="1:30" s="213" customFormat="1" x14ac:dyDescent="0.35">
      <c r="B186" s="236" t="s">
        <v>504</v>
      </c>
      <c r="C186" s="237">
        <f t="shared" si="103"/>
        <v>74.924089205999806</v>
      </c>
      <c r="D186" s="237">
        <f t="shared" si="103"/>
        <v>56.350552448000002</v>
      </c>
      <c r="E186" s="238">
        <v>0.10299999999999999</v>
      </c>
      <c r="F186" s="239"/>
      <c r="G186" s="239"/>
      <c r="H186" s="238"/>
      <c r="I186" s="266">
        <f>I185</f>
        <v>0</v>
      </c>
      <c r="J186" s="266">
        <f t="shared" si="104"/>
        <v>0.11</v>
      </c>
      <c r="K186" s="266">
        <f t="shared" si="104"/>
        <v>0.1</v>
      </c>
      <c r="L186" s="266">
        <f t="shared" si="104"/>
        <v>0.1</v>
      </c>
      <c r="M186" s="266">
        <f t="shared" si="104"/>
        <v>0.11</v>
      </c>
      <c r="N186" s="266">
        <f t="shared" si="104"/>
        <v>0.11</v>
      </c>
      <c r="O186" s="266">
        <f t="shared" si="104"/>
        <v>0.16</v>
      </c>
      <c r="P186" s="266">
        <f t="shared" si="104"/>
        <v>0.16</v>
      </c>
      <c r="Q186" s="266">
        <f t="shared" si="104"/>
        <v>0.14999999999999991</v>
      </c>
      <c r="R186" s="266">
        <f t="shared" si="104"/>
        <v>0</v>
      </c>
      <c r="S186" s="266">
        <f t="shared" si="105"/>
        <v>0</v>
      </c>
      <c r="T186" s="266">
        <f t="shared" si="105"/>
        <v>0</v>
      </c>
      <c r="U186" s="266">
        <f t="shared" si="105"/>
        <v>0</v>
      </c>
      <c r="V186" s="206">
        <f>SUM(I186:U186)</f>
        <v>1</v>
      </c>
    </row>
    <row r="187" spans="1:30" s="213" customFormat="1" x14ac:dyDescent="0.35">
      <c r="B187" s="236" t="s">
        <v>359</v>
      </c>
      <c r="C187" s="237">
        <f t="shared" si="103"/>
        <v>36.085128114999996</v>
      </c>
      <c r="D187" s="237">
        <f t="shared" si="103"/>
        <v>0</v>
      </c>
      <c r="E187" s="238">
        <v>0.10299999999999999</v>
      </c>
      <c r="F187" s="239"/>
      <c r="G187" s="239"/>
      <c r="H187" s="240"/>
      <c r="I187" s="266">
        <f>I186</f>
        <v>0</v>
      </c>
      <c r="J187" s="266">
        <f t="shared" si="104"/>
        <v>0.11</v>
      </c>
      <c r="K187" s="266">
        <f t="shared" si="104"/>
        <v>0.1</v>
      </c>
      <c r="L187" s="266">
        <f t="shared" si="104"/>
        <v>0.1</v>
      </c>
      <c r="M187" s="266">
        <f t="shared" si="104"/>
        <v>0.11</v>
      </c>
      <c r="N187" s="266">
        <f t="shared" si="104"/>
        <v>0.11</v>
      </c>
      <c r="O187" s="266">
        <f t="shared" si="104"/>
        <v>0.16</v>
      </c>
      <c r="P187" s="266">
        <f t="shared" si="104"/>
        <v>0.16</v>
      </c>
      <c r="Q187" s="266">
        <f t="shared" si="104"/>
        <v>0.14999999999999991</v>
      </c>
      <c r="R187" s="266">
        <f t="shared" si="104"/>
        <v>0</v>
      </c>
      <c r="S187" s="266">
        <f t="shared" si="105"/>
        <v>0</v>
      </c>
      <c r="T187" s="266">
        <f t="shared" si="105"/>
        <v>0</v>
      </c>
      <c r="U187" s="266">
        <f t="shared" si="105"/>
        <v>0</v>
      </c>
      <c r="V187" s="206">
        <f>SUM(I187:U187)</f>
        <v>1</v>
      </c>
    </row>
    <row r="188" spans="1:30" s="213" customFormat="1" x14ac:dyDescent="0.35">
      <c r="B188" s="243" t="s">
        <v>290</v>
      </c>
      <c r="C188" s="237">
        <f t="shared" si="103"/>
        <v>3483.25</v>
      </c>
      <c r="D188" s="237">
        <f t="shared" si="103"/>
        <v>3483.25</v>
      </c>
      <c r="E188" s="244"/>
      <c r="F188" s="245"/>
      <c r="G188" s="245"/>
      <c r="H188" s="246"/>
      <c r="I188" s="246"/>
      <c r="J188" s="246"/>
      <c r="K188" s="246"/>
      <c r="L188" s="246"/>
      <c r="M188" s="246"/>
      <c r="N188" s="246"/>
      <c r="O188" s="246"/>
      <c r="P188" s="246"/>
      <c r="Q188" s="246"/>
      <c r="R188" s="246"/>
      <c r="S188" s="246"/>
      <c r="T188" s="246"/>
      <c r="U188" s="246"/>
      <c r="V188" s="247">
        <f>SUM(H188:U188)</f>
        <v>0</v>
      </c>
    </row>
    <row r="189" spans="1:30" s="213" customFormat="1" x14ac:dyDescent="0.35">
      <c r="B189" s="248" t="s">
        <v>36</v>
      </c>
      <c r="C189" s="249">
        <f>SUM(C183:C188)</f>
        <v>5249.5148758609994</v>
      </c>
      <c r="D189" s="249">
        <f>SUM(D183:D188)</f>
        <v>4778.7286505049997</v>
      </c>
      <c r="E189" s="250"/>
      <c r="F189" s="252"/>
      <c r="G189" s="252"/>
      <c r="H189" s="253"/>
      <c r="I189" s="253"/>
      <c r="J189" s="253"/>
      <c r="K189" s="253"/>
      <c r="L189" s="253"/>
      <c r="M189" s="253"/>
      <c r="N189" s="253"/>
      <c r="O189" s="253"/>
      <c r="P189" s="253"/>
      <c r="Q189" s="253"/>
      <c r="R189" s="253"/>
      <c r="S189" s="253"/>
      <c r="T189" s="253"/>
      <c r="U189" s="253"/>
      <c r="V189" s="253"/>
    </row>
    <row r="190" spans="1:30" s="213" customFormat="1" x14ac:dyDescent="0.35">
      <c r="B190" s="133"/>
      <c r="C190" s="241">
        <f>'Balance Sheet'!F45-C189+C188</f>
        <v>5.1241390005998255E-3</v>
      </c>
      <c r="E190" s="111"/>
      <c r="F190" s="216"/>
      <c r="G190" s="215"/>
      <c r="H190" s="215"/>
      <c r="I190" s="215"/>
      <c r="J190" s="215"/>
      <c r="K190" s="215"/>
      <c r="L190" s="215"/>
      <c r="M190" s="215"/>
      <c r="N190" s="215"/>
      <c r="O190" s="215"/>
      <c r="P190" s="215"/>
      <c r="Q190" s="215"/>
      <c r="R190" s="215"/>
      <c r="S190" s="215"/>
      <c r="T190" s="215"/>
      <c r="U190" s="215"/>
      <c r="V190" s="215"/>
    </row>
    <row r="191" spans="1:30" s="217" customFormat="1" x14ac:dyDescent="0.35">
      <c r="A191" s="544" t="s">
        <v>1035</v>
      </c>
      <c r="B191" s="218" t="s">
        <v>1036</v>
      </c>
      <c r="C191" s="688"/>
      <c r="U191" s="688"/>
      <c r="V191" s="688"/>
      <c r="W191" s="688"/>
      <c r="X191" s="688"/>
      <c r="Y191" s="688"/>
      <c r="Z191" s="688"/>
      <c r="AA191" s="688"/>
      <c r="AB191" s="688"/>
      <c r="AC191" s="688"/>
      <c r="AD191" s="688"/>
    </row>
    <row r="192" spans="1:30" s="213" customFormat="1" x14ac:dyDescent="0.35">
      <c r="C192" s="295"/>
      <c r="U192" s="295"/>
      <c r="V192" s="295"/>
      <c r="W192" s="295"/>
      <c r="X192" s="295"/>
      <c r="Y192" s="295"/>
      <c r="Z192" s="295"/>
      <c r="AA192" s="295"/>
      <c r="AB192" s="295"/>
      <c r="AC192" s="295"/>
      <c r="AD192" s="295"/>
    </row>
    <row r="193" spans="2:30" s="213" customFormat="1" x14ac:dyDescent="0.35">
      <c r="B193" s="209" t="s">
        <v>251</v>
      </c>
      <c r="C193" s="680" t="s">
        <v>1042</v>
      </c>
      <c r="D193" s="680" t="s">
        <v>1043</v>
      </c>
      <c r="F193" s="696">
        <v>1</v>
      </c>
      <c r="U193" s="295"/>
      <c r="V193" s="295"/>
      <c r="W193" s="295"/>
      <c r="X193" s="295"/>
      <c r="Y193" s="295"/>
      <c r="Z193" s="295"/>
      <c r="AA193" s="295"/>
      <c r="AB193" s="295"/>
      <c r="AC193" s="295"/>
      <c r="AD193" s="295"/>
    </row>
    <row r="194" spans="2:30" s="213" customFormat="1" x14ac:dyDescent="0.35">
      <c r="B194" s="689" t="s">
        <v>1037</v>
      </c>
      <c r="C194" s="690"/>
      <c r="D194" s="690"/>
      <c r="F194" s="690"/>
      <c r="U194" s="295"/>
      <c r="V194" s="295"/>
      <c r="W194" s="295"/>
      <c r="X194" s="295"/>
      <c r="Y194" s="295"/>
      <c r="Z194" s="295"/>
      <c r="AA194" s="295"/>
      <c r="AB194" s="295"/>
      <c r="AC194" s="295"/>
      <c r="AD194" s="295"/>
    </row>
    <row r="195" spans="2:30" s="213" customFormat="1" x14ac:dyDescent="0.35">
      <c r="B195" s="198" t="s">
        <v>1038</v>
      </c>
      <c r="C195" s="691">
        <v>0</v>
      </c>
      <c r="D195" s="697">
        <v>5.0000000000000001E-3</v>
      </c>
      <c r="E195" s="692"/>
      <c r="F195" s="698">
        <f>CHOOSE($F$193,C195,D195)</f>
        <v>0</v>
      </c>
      <c r="G195" s="692"/>
      <c r="U195" s="295"/>
      <c r="V195" s="295"/>
      <c r="W195" s="295"/>
      <c r="X195" s="295"/>
      <c r="Y195" s="295"/>
      <c r="Z195" s="295"/>
      <c r="AA195" s="295"/>
      <c r="AB195" s="295"/>
      <c r="AC195" s="295"/>
      <c r="AD195" s="295"/>
    </row>
    <row r="196" spans="2:30" s="213" customFormat="1" x14ac:dyDescent="0.35">
      <c r="B196" s="198" t="s">
        <v>1039</v>
      </c>
      <c r="C196" s="691">
        <v>0</v>
      </c>
      <c r="D196" s="697">
        <v>5.0000000000000001E-3</v>
      </c>
      <c r="E196" s="692"/>
      <c r="F196" s="698">
        <f>CHOOSE($F$193,C196,D196)</f>
        <v>0</v>
      </c>
      <c r="G196" s="692"/>
      <c r="U196" s="295"/>
      <c r="V196" s="295"/>
      <c r="W196" s="295"/>
      <c r="X196" s="295"/>
      <c r="Y196" s="295"/>
      <c r="Z196" s="295"/>
      <c r="AA196" s="295"/>
      <c r="AB196" s="295"/>
      <c r="AC196" s="295"/>
      <c r="AD196" s="295"/>
    </row>
    <row r="197" spans="2:30" s="51" customFormat="1" ht="17" x14ac:dyDescent="0.4">
      <c r="C197" s="695"/>
      <c r="D197" s="695"/>
      <c r="E197" s="278"/>
      <c r="F197" s="278"/>
      <c r="G197" s="278"/>
      <c r="L197" s="1578"/>
      <c r="U197" s="86"/>
      <c r="V197" s="86"/>
      <c r="W197" s="86"/>
      <c r="X197" s="86"/>
      <c r="Y197" s="86"/>
      <c r="Z197" s="86"/>
      <c r="AA197" s="86"/>
      <c r="AB197" s="86"/>
      <c r="AC197" s="86"/>
      <c r="AD197" s="86"/>
    </row>
    <row r="198" spans="2:30" s="213" customFormat="1" x14ac:dyDescent="0.35">
      <c r="B198" s="693" t="s">
        <v>1040</v>
      </c>
      <c r="C198" s="694"/>
      <c r="U198" s="295"/>
      <c r="V198" s="295"/>
      <c r="W198" s="295"/>
      <c r="X198" s="295"/>
      <c r="Y198" s="295"/>
      <c r="Z198" s="295"/>
      <c r="AA198" s="295"/>
      <c r="AB198" s="295"/>
      <c r="AC198" s="295"/>
      <c r="AD198" s="295"/>
    </row>
    <row r="199" spans="2:30" s="213" customFormat="1" x14ac:dyDescent="0.35">
      <c r="B199" s="198" t="s">
        <v>1031</v>
      </c>
      <c r="C199" s="273">
        <f>Cashflow!C72</f>
        <v>1.325145603926924</v>
      </c>
      <c r="U199" s="295"/>
      <c r="V199" s="295"/>
      <c r="W199" s="295"/>
      <c r="X199" s="295"/>
      <c r="Y199" s="295"/>
      <c r="Z199" s="295"/>
      <c r="AA199" s="295"/>
      <c r="AB199" s="295"/>
      <c r="AC199" s="295"/>
      <c r="AD199" s="295"/>
    </row>
    <row r="200" spans="2:30" s="213" customFormat="1" x14ac:dyDescent="0.35">
      <c r="B200" s="198" t="s">
        <v>1041</v>
      </c>
      <c r="C200" s="273">
        <f>MIN(Cashflow!D71:L71)</f>
        <v>1.2957004763554489</v>
      </c>
      <c r="U200" s="295"/>
      <c r="V200" s="295"/>
      <c r="W200" s="295"/>
      <c r="X200" s="295"/>
      <c r="Y200" s="295"/>
      <c r="Z200" s="295"/>
      <c r="AA200" s="295"/>
      <c r="AB200" s="295"/>
      <c r="AC200" s="295"/>
      <c r="AD200" s="295"/>
    </row>
  </sheetData>
  <pageMargins left="0.7" right="0.7" top="0.75" bottom="0.75" header="0.3" footer="0.3"/>
  <pageSetup paperSize="9" scale="35"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theme="9" tint="0.59999389629810485"/>
  </sheetPr>
  <dimension ref="A1:AV70"/>
  <sheetViews>
    <sheetView showGridLines="0" zoomScale="80" zoomScaleNormal="80" workbookViewId="0">
      <pane xSplit="4" ySplit="5" topLeftCell="E6" activePane="bottomRight" state="frozen"/>
      <selection pane="topRight" activeCell="E1" sqref="E1"/>
      <selection pane="bottomLeft" activeCell="A5" sqref="A5"/>
      <selection pane="bottomRight" activeCell="T42" sqref="T42"/>
    </sheetView>
  </sheetViews>
  <sheetFormatPr defaultColWidth="8.54296875" defaultRowHeight="14.5" outlineLevelCol="1" x14ac:dyDescent="0.35"/>
  <cols>
    <col min="1" max="1" width="8.54296875" style="51"/>
    <col min="2" max="2" width="47.453125" style="51" bestFit="1" customWidth="1"/>
    <col min="3" max="4" width="8.7265625" style="51" hidden="1" customWidth="1"/>
    <col min="5" max="9" width="10.54296875" style="51" customWidth="1" outlineLevel="1"/>
    <col min="10" max="10" width="11.26953125" style="51" bestFit="1" customWidth="1"/>
    <col min="11" max="17" width="10.453125" style="51" customWidth="1"/>
    <col min="18" max="18" width="10.453125" style="51" hidden="1" customWidth="1"/>
    <col min="19" max="19" width="10.453125" style="114" hidden="1" customWidth="1"/>
    <col min="20" max="20" width="8.54296875" style="51" customWidth="1"/>
    <col min="21" max="21" width="13" style="51" customWidth="1"/>
    <col min="22" max="25" width="8.54296875" style="51" customWidth="1"/>
    <col min="26" max="26" width="9.7265625" style="51" bestFit="1" customWidth="1"/>
    <col min="27" max="27" width="8.54296875" style="51" customWidth="1"/>
    <col min="28" max="16384" width="8.54296875" style="51"/>
  </cols>
  <sheetData>
    <row r="1" spans="2:48" s="58" customFormat="1" x14ac:dyDescent="0.35">
      <c r="S1" s="117"/>
    </row>
    <row r="2" spans="2:48" s="58" customFormat="1" x14ac:dyDescent="0.35">
      <c r="B2" s="1613" t="str">
        <f>Assumptions!B2</f>
        <v>All figures in INR Crores</v>
      </c>
      <c r="C2" s="1613"/>
      <c r="D2" s="1613"/>
      <c r="E2" s="1229"/>
      <c r="F2" s="1229"/>
      <c r="G2" s="1229"/>
      <c r="H2" s="1229"/>
      <c r="I2" s="1229"/>
      <c r="J2" s="1229"/>
      <c r="K2" s="1229"/>
      <c r="L2" s="1229"/>
      <c r="M2" s="1229"/>
      <c r="N2" s="1229"/>
      <c r="O2" s="1229"/>
      <c r="P2" s="1229"/>
      <c r="Q2" s="1229"/>
      <c r="R2" s="1229"/>
      <c r="S2" s="117"/>
    </row>
    <row r="3" spans="2:48" s="58" customFormat="1" x14ac:dyDescent="0.35">
      <c r="B3" s="1613"/>
      <c r="C3" s="1613"/>
      <c r="D3" s="1613"/>
      <c r="E3" s="1229"/>
      <c r="F3" s="1229"/>
      <c r="G3" s="1229"/>
      <c r="H3" s="1229"/>
      <c r="I3" s="1229"/>
      <c r="J3" s="1229"/>
      <c r="K3" s="1229"/>
      <c r="L3" s="1229"/>
      <c r="M3" s="1229"/>
      <c r="N3" s="1229"/>
      <c r="O3" s="1229"/>
      <c r="P3" s="1229"/>
      <c r="Q3" s="1229"/>
      <c r="R3" s="1229"/>
      <c r="S3" s="117"/>
    </row>
    <row r="4" spans="2:48" x14ac:dyDescent="0.35">
      <c r="E4" s="197"/>
      <c r="F4" s="197"/>
      <c r="G4" s="197"/>
      <c r="H4" s="197"/>
      <c r="I4" s="197"/>
      <c r="J4" s="197"/>
      <c r="K4" s="197"/>
      <c r="L4" s="197"/>
      <c r="M4" s="197"/>
      <c r="N4" s="197"/>
      <c r="O4" s="197"/>
      <c r="P4" s="197"/>
      <c r="Q4" s="197"/>
      <c r="R4" s="197"/>
    </row>
    <row r="5" spans="2:48" x14ac:dyDescent="0.35">
      <c r="B5" s="54" t="s">
        <v>377</v>
      </c>
      <c r="C5" s="54"/>
      <c r="D5" s="54"/>
      <c r="E5" s="56">
        <f>Assumptions!E4</f>
        <v>43190</v>
      </c>
      <c r="F5" s="56">
        <f>Assumptions!F4</f>
        <v>43555</v>
      </c>
      <c r="G5" s="56">
        <f>Assumptions!G4</f>
        <v>43921</v>
      </c>
      <c r="H5" s="56">
        <f>Assumptions!H4</f>
        <v>44286</v>
      </c>
      <c r="I5" s="56">
        <f>Assumptions!I4</f>
        <v>44651</v>
      </c>
      <c r="J5" s="56">
        <f>Assumptions!J4</f>
        <v>45016</v>
      </c>
      <c r="K5" s="56">
        <f>Assumptions!K4</f>
        <v>45382</v>
      </c>
      <c r="L5" s="56">
        <f>Assumptions!L4</f>
        <v>45747</v>
      </c>
      <c r="M5" s="56">
        <f>Assumptions!M4</f>
        <v>46112</v>
      </c>
      <c r="N5" s="56">
        <f>Assumptions!N4</f>
        <v>46477</v>
      </c>
      <c r="O5" s="56">
        <f>Assumptions!O4</f>
        <v>46843</v>
      </c>
      <c r="P5" s="56">
        <f>Assumptions!P4</f>
        <v>47208</v>
      </c>
      <c r="Q5" s="56">
        <f>Assumptions!Q4</f>
        <v>47573</v>
      </c>
      <c r="R5" s="56">
        <f>Assumptions!R4</f>
        <v>47938</v>
      </c>
      <c r="S5" s="56">
        <f>Assumptions!S4</f>
        <v>48304</v>
      </c>
    </row>
    <row r="6" spans="2:48" x14ac:dyDescent="0.35">
      <c r="B6" s="54"/>
      <c r="C6" s="54"/>
      <c r="D6" s="54"/>
      <c r="E6" s="56" t="s">
        <v>367</v>
      </c>
      <c r="F6" s="56" t="s">
        <v>367</v>
      </c>
      <c r="G6" s="56" t="s">
        <v>367</v>
      </c>
      <c r="H6" s="56" t="s">
        <v>367</v>
      </c>
      <c r="I6" s="56" t="s">
        <v>367</v>
      </c>
      <c r="J6" s="56" t="s">
        <v>368</v>
      </c>
      <c r="K6" s="56" t="s">
        <v>368</v>
      </c>
      <c r="L6" s="56" t="s">
        <v>368</v>
      </c>
      <c r="M6" s="56" t="s">
        <v>368</v>
      </c>
      <c r="N6" s="56" t="s">
        <v>368</v>
      </c>
      <c r="O6" s="56" t="s">
        <v>368</v>
      </c>
      <c r="P6" s="56" t="s">
        <v>368</v>
      </c>
      <c r="Q6" s="56" t="s">
        <v>368</v>
      </c>
      <c r="R6" s="56" t="s">
        <v>368</v>
      </c>
      <c r="S6" s="56" t="s">
        <v>368</v>
      </c>
    </row>
    <row r="7" spans="2:48" x14ac:dyDescent="0.35">
      <c r="B7" s="103" t="s">
        <v>95</v>
      </c>
      <c r="C7" s="103"/>
      <c r="D7" s="103"/>
      <c r="E7" s="104"/>
      <c r="F7" s="104"/>
      <c r="G7" s="104"/>
      <c r="H7" s="104"/>
      <c r="I7" s="104"/>
      <c r="J7" s="104"/>
      <c r="K7" s="104"/>
      <c r="L7" s="104"/>
      <c r="M7" s="104"/>
      <c r="N7" s="104"/>
      <c r="O7" s="104"/>
      <c r="P7" s="104"/>
      <c r="Q7" s="104"/>
      <c r="R7" s="104"/>
      <c r="S7" s="155"/>
      <c r="U7" s="58"/>
      <c r="V7" s="58"/>
    </row>
    <row r="8" spans="2:48" x14ac:dyDescent="0.35">
      <c r="B8" s="120" t="s">
        <v>96</v>
      </c>
      <c r="C8" s="120"/>
      <c r="D8" s="120"/>
      <c r="E8" s="224"/>
      <c r="F8" s="224"/>
      <c r="G8" s="567"/>
      <c r="H8" s="567"/>
      <c r="I8" s="567"/>
      <c r="J8" s="704"/>
      <c r="K8" s="567"/>
      <c r="L8" s="567"/>
      <c r="M8" s="567"/>
      <c r="N8" s="567"/>
      <c r="O8" s="567"/>
      <c r="P8" s="567"/>
      <c r="Q8" s="567"/>
      <c r="R8" s="567"/>
      <c r="S8" s="567"/>
      <c r="U8" s="116"/>
      <c r="V8" s="116"/>
      <c r="W8" s="116"/>
    </row>
    <row r="9" spans="2:48" x14ac:dyDescent="0.35">
      <c r="B9" s="124" t="s">
        <v>13</v>
      </c>
      <c r="C9" s="124"/>
      <c r="D9" s="124"/>
      <c r="E9" s="311">
        <f>+'Working - Sugar + Cogen'!E8</f>
        <v>5190.71</v>
      </c>
      <c r="F9" s="311">
        <f>+'Working - Sugar + Cogen'!F8</f>
        <v>5986.52</v>
      </c>
      <c r="G9" s="311">
        <f>+'Working - Sugar + Cogen'!G8</f>
        <v>6100.0294792249997</v>
      </c>
      <c r="H9" s="122">
        <f>+'Working - Sugar + Cogen'!H8</f>
        <v>5930.5703884789991</v>
      </c>
      <c r="I9" s="122">
        <f>+'Working - Sugar + Cogen'!I8</f>
        <v>4453.62</v>
      </c>
      <c r="J9" s="122">
        <f>+'Working - Sugar + Cogen'!J8</f>
        <v>5360.9778292682931</v>
      </c>
      <c r="K9" s="122">
        <f>+'Working - Sugar + Cogen'!K8</f>
        <v>5645.9576249999982</v>
      </c>
      <c r="L9" s="122">
        <f>+'Working - Sugar + Cogen'!L8</f>
        <v>6125.3140921874974</v>
      </c>
      <c r="M9" s="122">
        <f>+'Working - Sugar + Cogen'!M8</f>
        <v>6355.4831033203091</v>
      </c>
      <c r="N9" s="122">
        <f>+'Working - Sugar + Cogen'!N8</f>
        <v>6514.3701809033146</v>
      </c>
      <c r="O9" s="122">
        <f>+'Working - Sugar + Cogen'!O8</f>
        <v>6677.2294354258975</v>
      </c>
      <c r="P9" s="122">
        <f>+'Working - Sugar + Cogen'!P8</f>
        <v>6844.1601713115442</v>
      </c>
      <c r="Q9" s="122">
        <f>+'Working - Sugar + Cogen'!Q8</f>
        <v>7015.2641755943323</v>
      </c>
      <c r="R9" s="122">
        <f>+'Working - Sugar + Cogen'!R8</f>
        <v>7190.645779984191</v>
      </c>
      <c r="S9" s="122">
        <f>+'Working - Sugar + Cogen'!S8</f>
        <v>7370.4119244837939</v>
      </c>
      <c r="U9" s="116"/>
      <c r="V9" s="116"/>
      <c r="W9" s="116"/>
      <c r="Z9" s="398"/>
      <c r="AA9" s="398"/>
      <c r="AB9" s="398"/>
      <c r="AC9" s="398"/>
      <c r="AD9" s="398"/>
      <c r="AE9" s="398"/>
      <c r="AF9" s="398"/>
      <c r="AG9" s="398"/>
      <c r="AH9" s="398"/>
      <c r="AI9" s="398"/>
      <c r="AJ9" s="398"/>
      <c r="AL9" s="398"/>
      <c r="AM9" s="398"/>
      <c r="AN9" s="398"/>
      <c r="AO9" s="398"/>
      <c r="AP9" s="398"/>
      <c r="AQ9" s="398"/>
      <c r="AR9" s="398"/>
      <c r="AS9" s="398"/>
      <c r="AT9" s="398"/>
      <c r="AU9" s="398"/>
      <c r="AV9" s="398"/>
    </row>
    <row r="10" spans="2:48" x14ac:dyDescent="0.35">
      <c r="B10" s="124" t="s">
        <v>1395</v>
      </c>
      <c r="C10" s="124"/>
      <c r="D10" s="124"/>
      <c r="E10" s="311">
        <f>+'Working - Distillery'!E8+'Working - Distillery'!E9</f>
        <v>462.4036540299</v>
      </c>
      <c r="F10" s="311">
        <f>+'Working - Distillery'!F8+'Working - Distillery'!F9</f>
        <v>500.83514197080001</v>
      </c>
      <c r="G10" s="311">
        <f>+'Working - Distillery'!G8+'Working - Distillery'!G9</f>
        <v>258.90025247599999</v>
      </c>
      <c r="H10" s="311">
        <f>+'Working - Distillery'!H8+'Working - Distillery'!H9</f>
        <v>397.00170399819996</v>
      </c>
      <c r="I10" s="311">
        <f>+'Working - Distillery'!I8+'Working - Distillery'!I9+'Working - Distillery'!I10</f>
        <v>932.05322093072004</v>
      </c>
      <c r="J10" s="311">
        <f>+'Working - Distillery'!J8+'Working - Distillery'!J9+'Working - Distillery'!J10</f>
        <v>1125.6827708288708</v>
      </c>
      <c r="K10" s="311">
        <f>+'Working - Distillery'!K8+'Working - Distillery'!K9+'Working - Distillery'!K10</f>
        <v>1472.1545622615824</v>
      </c>
      <c r="L10" s="311">
        <f>+'Working - Distillery'!L8+'Working - Distillery'!L9+'Working - Distillery'!L10</f>
        <v>1568.8276159675306</v>
      </c>
      <c r="M10" s="311">
        <f>+'Working - Distillery'!M8+'Working - Distillery'!M9+'Working - Distillery'!M10</f>
        <v>1623.8867857948146</v>
      </c>
      <c r="N10" s="311">
        <f>+'Working - Distillery'!N8+'Working - Distillery'!N9+'Working - Distillery'!N10</f>
        <v>1659.2155109425721</v>
      </c>
      <c r="O10" s="311">
        <f>+'Working - Distillery'!O8+'Working - Distillery'!O9+'Working - Distillery'!O10</f>
        <v>1692.4921389144556</v>
      </c>
      <c r="P10" s="311">
        <f>+'Working - Distillery'!P8+'Working - Distillery'!P9+'Working - Distillery'!P10</f>
        <v>1726.3419816927449</v>
      </c>
      <c r="Q10" s="311">
        <f>+'Working - Distillery'!Q8+'Working - Distillery'!Q9+'Working - Distillery'!Q10</f>
        <v>1760.8688213265996</v>
      </c>
      <c r="R10" s="311">
        <f>+'Working - Distillery'!R8+'Working - Distillery'!R9+'Working - Distillery'!R10</f>
        <v>1796.0861977531315</v>
      </c>
      <c r="S10" s="122">
        <f>+'Working - Distillery'!S8+'Working - Distillery'!S9+'Working - Distillery'!S10</f>
        <v>1832.0079217081941</v>
      </c>
      <c r="U10" s="116"/>
      <c r="V10" s="116"/>
      <c r="W10" s="116"/>
      <c r="Z10" s="398"/>
      <c r="AA10" s="398"/>
      <c r="AB10" s="398"/>
      <c r="AC10" s="398"/>
      <c r="AD10" s="398"/>
      <c r="AE10" s="398"/>
      <c r="AF10" s="398"/>
      <c r="AG10" s="398"/>
      <c r="AH10" s="398"/>
      <c r="AI10" s="398"/>
      <c r="AJ10" s="398"/>
      <c r="AL10" s="398"/>
      <c r="AM10" s="398"/>
      <c r="AN10" s="398"/>
      <c r="AO10" s="398"/>
      <c r="AP10" s="398"/>
      <c r="AQ10" s="398"/>
      <c r="AR10" s="398"/>
      <c r="AS10" s="398"/>
      <c r="AT10" s="398"/>
      <c r="AU10" s="398"/>
      <c r="AV10" s="398"/>
    </row>
    <row r="11" spans="2:48" x14ac:dyDescent="0.35">
      <c r="B11" s="124" t="s">
        <v>34</v>
      </c>
      <c r="C11" s="124"/>
      <c r="D11" s="124"/>
      <c r="E11" s="311">
        <f>'Working - Sugar + Cogen'!E15</f>
        <v>159.58417739999996</v>
      </c>
      <c r="F11" s="311">
        <f>'Working - Sugar + Cogen'!F15</f>
        <v>174.4165739</v>
      </c>
      <c r="G11" s="311">
        <f>'Working - Sugar + Cogen'!G15</f>
        <v>68.514091300000004</v>
      </c>
      <c r="H11" s="311">
        <f>'Working - Sugar + Cogen'!H15</f>
        <v>58.545862399999997</v>
      </c>
      <c r="I11" s="311">
        <f>'Working - Sugar + Cogen'!I15</f>
        <v>46.123576701263922</v>
      </c>
      <c r="J11" s="311">
        <f>'Working - Sugar + Cogen'!J15</f>
        <v>42.962451368948607</v>
      </c>
      <c r="K11" s="311">
        <f>'Working - Sugar + Cogen'!K15</f>
        <v>39.939684851441392</v>
      </c>
      <c r="L11" s="311">
        <f>'Working - Sugar + Cogen'!L15</f>
        <v>43.763638136981164</v>
      </c>
      <c r="M11" s="311">
        <f>'Working - Sugar + Cogen'!M15</f>
        <v>44.708443694654903</v>
      </c>
      <c r="N11" s="311">
        <f>'Working - Sugar + Cogen'!N15</f>
        <v>45.568442679622052</v>
      </c>
      <c r="O11" s="311">
        <f>'Working - Sugar + Cogen'!O15</f>
        <v>46.479811533214487</v>
      </c>
      <c r="P11" s="311">
        <f>'Working - Sugar + Cogen'!P15</f>
        <v>47.409407763878782</v>
      </c>
      <c r="Q11" s="311">
        <f>'Working - Sugar + Cogen'!Q15</f>
        <v>48.357595919156353</v>
      </c>
      <c r="R11" s="311">
        <f>'Working - Sugar + Cogen'!R15</f>
        <v>49.324747837539483</v>
      </c>
      <c r="S11" s="122">
        <f>'Working - Sugar + Cogen'!S15</f>
        <v>50.311242794290273</v>
      </c>
      <c r="U11" s="116"/>
      <c r="V11" s="116"/>
      <c r="W11" s="116"/>
      <c r="Z11" s="398"/>
      <c r="AA11" s="398"/>
      <c r="AB11" s="398"/>
      <c r="AC11" s="398"/>
      <c r="AD11" s="398"/>
      <c r="AE11" s="398"/>
      <c r="AF11" s="398"/>
      <c r="AG11" s="398"/>
      <c r="AH11" s="398"/>
      <c r="AI11" s="398"/>
      <c r="AJ11" s="398"/>
      <c r="AL11" s="398"/>
      <c r="AM11" s="398"/>
      <c r="AN11" s="398"/>
      <c r="AO11" s="398"/>
      <c r="AP11" s="398"/>
      <c r="AQ11" s="398"/>
      <c r="AR11" s="398"/>
      <c r="AS11" s="398"/>
      <c r="AT11" s="398"/>
      <c r="AU11" s="398"/>
      <c r="AV11" s="398"/>
    </row>
    <row r="12" spans="2:48" x14ac:dyDescent="0.35">
      <c r="B12" s="124" t="s">
        <v>1630</v>
      </c>
      <c r="C12" s="124"/>
      <c r="D12" s="124"/>
      <c r="E12" s="311">
        <f>+'Working - Distillery'!E12+'Working - Distillery'!E13+'Working - Distillery'!E14+'Working - Sugar + Cogen'!E10+'Working - Sugar + Cogen'!E11+'Working - Sugar + Cogen'!E14+'Working - Sugar + Cogen'!E12</f>
        <v>38.717691411000004</v>
      </c>
      <c r="F12" s="311">
        <f>+'Working - Distillery'!F12+'Working - Distillery'!F13+'Working - Distillery'!F14+'Working - Sugar + Cogen'!F10+'Working - Sugar + Cogen'!F11+'Working - Sugar + Cogen'!F14+'Working - Sugar + Cogen'!F12</f>
        <v>21.571371300000003</v>
      </c>
      <c r="G12" s="311">
        <f>+'Working - Distillery'!G12+'Working - Distillery'!G13+'Working - Distillery'!G14+'Working - Sugar + Cogen'!G10+'Working - Sugar + Cogen'!G11+'Working - Sugar + Cogen'!G14+'Working - Sugar + Cogen'!G12</f>
        <v>175.76145130900002</v>
      </c>
      <c r="H12" s="311">
        <f>+'Working - Distillery'!H12+'Working - Distillery'!H13+'Working - Distillery'!H14+'Working - Sugar + Cogen'!H10+'Working - Sugar + Cogen'!H11+'Working - Sugar + Cogen'!H14+'Working - Sugar + Cogen'!H12</f>
        <v>168.60005420699997</v>
      </c>
      <c r="I12" s="311">
        <f>+'Working - Distillery'!I12+'Working - Distillery'!I13+'Working - Distillery'!I14+'Working - Sugar + Cogen'!I10+'Working - Sugar + Cogen'!I11+'Working - Sugar + Cogen'!I14+'Working - Sugar + Cogen'!I12+'Working - Sugar + Cogen'!I9</f>
        <v>54.129197992000002</v>
      </c>
      <c r="J12" s="311">
        <f>+'Working - Distillery'!J12+'Working - Distillery'!J13+'Working - Distillery'!J14+'Working - Sugar + Cogen'!J10+'Working - Sugar + Cogen'!J11+'Working - Sugar + Cogen'!J14+'Working - Sugar + Cogen'!J12</f>
        <v>33.741634824806525</v>
      </c>
      <c r="K12" s="311">
        <f>+'Working - Distillery'!K12+'Working - Distillery'!K13+'Working - Distillery'!K14+'Working - Sugar + Cogen'!K10+'Working - Sugar + Cogen'!K11+'Working - Sugar + Cogen'!K14+'Working - Sugar + Cogen'!K12</f>
        <v>37.844980437837904</v>
      </c>
      <c r="L12" s="311">
        <f>+'Working - Distillery'!L12+'Working - Distillery'!L13+'Working - Distillery'!L14+'Working - Sugar + Cogen'!L10+'Working - Sugar + Cogen'!L11+'Working - Sugar + Cogen'!L14+'Working - Sugar + Cogen'!L12</f>
        <v>39.767574438216649</v>
      </c>
      <c r="M12" s="311">
        <f>+'Working - Distillery'!M12+'Working - Distillery'!M13+'Working - Distillery'!M14+'Working - Sugar + Cogen'!M10+'Working - Sugar + Cogen'!M11+'Working - Sugar + Cogen'!M14+'Working - Sugar + Cogen'!M12</f>
        <v>40.562925926980981</v>
      </c>
      <c r="N12" s="311">
        <f>+'Working - Distillery'!N12+'Working - Distillery'!N13+'Working - Distillery'!N14+'Working - Sugar + Cogen'!N10+'Working - Sugar + Cogen'!N11+'Working - Sugar + Cogen'!N14+'Working - Sugar + Cogen'!N12</f>
        <v>41.374184445520605</v>
      </c>
      <c r="O12" s="311">
        <f>+'Working - Distillery'!O12+'Working - Distillery'!O13+'Working - Distillery'!O14+'Working - Sugar + Cogen'!O10+'Working - Sugar + Cogen'!O11+'Working - Sugar + Cogen'!O14+'Working - Sugar + Cogen'!O12</f>
        <v>42.201668134431017</v>
      </c>
      <c r="P12" s="311">
        <f>+'Working - Distillery'!P12+'Working - Distillery'!P13+'Working - Distillery'!P14+'Working - Sugar + Cogen'!P10+'Working - Sugar + Cogen'!P11+'Working - Sugar + Cogen'!P14+'Working - Sugar + Cogen'!P12</f>
        <v>43.045701497119637</v>
      </c>
      <c r="Q12" s="311">
        <f>+'Working - Distillery'!Q12+'Working - Distillery'!Q13+'Working - Distillery'!Q14+'Working - Sugar + Cogen'!Q10+'Working - Sugar + Cogen'!Q11+'Working - Sugar + Cogen'!Q14+'Working - Sugar + Cogen'!Q12</f>
        <v>43.90661552706203</v>
      </c>
      <c r="R12" s="311">
        <f>+'Working - Distillery'!R12+'Working - Distillery'!R13+'Working - Distillery'!R14+'Working - Sugar + Cogen'!R10+'Working - Sugar + Cogen'!R11+'Working - Sugar + Cogen'!R14+'Working - Sugar + Cogen'!R12</f>
        <v>44.784747837603277</v>
      </c>
      <c r="S12" s="122">
        <f>+'Working - Distillery'!S12+'Working - Distillery'!S13+'Working - Distillery'!S14+'Working - Sugar + Cogen'!S10+'Working - Sugar + Cogen'!S11+'Working - Sugar + Cogen'!S14+'Working - Sugar + Cogen'!S12</f>
        <v>45.680442794355329</v>
      </c>
      <c r="U12" s="116"/>
      <c r="V12" s="116"/>
      <c r="W12" s="116"/>
      <c r="Z12" s="398"/>
      <c r="AA12" s="398"/>
      <c r="AB12" s="398"/>
      <c r="AC12" s="398"/>
      <c r="AD12" s="398"/>
      <c r="AE12" s="398"/>
      <c r="AF12" s="398"/>
      <c r="AG12" s="398"/>
      <c r="AH12" s="398"/>
      <c r="AI12" s="398"/>
      <c r="AJ12" s="398"/>
      <c r="AL12" s="398"/>
      <c r="AM12" s="398"/>
      <c r="AN12" s="398"/>
      <c r="AO12" s="398"/>
      <c r="AP12" s="398"/>
      <c r="AQ12" s="398"/>
      <c r="AR12" s="398"/>
      <c r="AS12" s="398"/>
      <c r="AT12" s="398"/>
      <c r="AU12" s="398"/>
      <c r="AV12" s="398"/>
    </row>
    <row r="13" spans="2:48" x14ac:dyDescent="0.35">
      <c r="B13" s="124" t="s">
        <v>625</v>
      </c>
      <c r="C13" s="124"/>
      <c r="D13" s="124"/>
      <c r="E13" s="311">
        <f>+'Working - Sugar + Cogen'!E13</f>
        <v>0</v>
      </c>
      <c r="F13" s="311">
        <f>+'Working - Sugar + Cogen'!F13</f>
        <v>0</v>
      </c>
      <c r="G13" s="311">
        <f>+'Working - Sugar + Cogen'!G13</f>
        <v>0</v>
      </c>
      <c r="H13" s="122">
        <f>+'Working - Sugar + Cogen'!H13</f>
        <v>0.41688030500000001</v>
      </c>
      <c r="I13" s="122">
        <f>+'Working - Sugar + Cogen'!I13</f>
        <v>9.5783549999999995E-2</v>
      </c>
      <c r="J13" s="122">
        <f>+'Working - Sugar + Cogen'!J13</f>
        <v>0</v>
      </c>
      <c r="K13" s="122">
        <f>+'Working - Sugar + Cogen'!K13</f>
        <v>0</v>
      </c>
      <c r="L13" s="122">
        <f>+'Working - Sugar + Cogen'!L13</f>
        <v>0</v>
      </c>
      <c r="M13" s="122">
        <f>+'Working - Sugar + Cogen'!M13</f>
        <v>0</v>
      </c>
      <c r="N13" s="122">
        <f>+'Working - Sugar + Cogen'!N13</f>
        <v>0</v>
      </c>
      <c r="O13" s="122">
        <f>+'Working - Sugar + Cogen'!O13</f>
        <v>0</v>
      </c>
      <c r="P13" s="122">
        <f>+'Working - Sugar + Cogen'!P13</f>
        <v>0</v>
      </c>
      <c r="Q13" s="122">
        <f>+'Working - Sugar + Cogen'!Q13</f>
        <v>0</v>
      </c>
      <c r="R13" s="122">
        <f>+'Working - Sugar + Cogen'!R13</f>
        <v>0</v>
      </c>
      <c r="S13" s="122">
        <f>+'Working - Sugar + Cogen'!S13</f>
        <v>0</v>
      </c>
      <c r="U13" s="116"/>
      <c r="V13" s="116"/>
      <c r="W13" s="116"/>
      <c r="Z13" s="398"/>
      <c r="AA13" s="398"/>
      <c r="AB13" s="398"/>
      <c r="AC13" s="398"/>
      <c r="AD13" s="398"/>
      <c r="AE13" s="398"/>
      <c r="AF13" s="398"/>
      <c r="AG13" s="398"/>
      <c r="AH13" s="398"/>
      <c r="AI13" s="398"/>
      <c r="AJ13" s="398"/>
      <c r="AL13" s="398"/>
      <c r="AM13" s="398"/>
      <c r="AN13" s="398"/>
      <c r="AO13" s="398"/>
      <c r="AP13" s="398"/>
      <c r="AQ13" s="398"/>
      <c r="AR13" s="398"/>
      <c r="AS13" s="398"/>
      <c r="AT13" s="398"/>
      <c r="AU13" s="398"/>
      <c r="AV13" s="398"/>
    </row>
    <row r="14" spans="2:48" x14ac:dyDescent="0.35">
      <c r="B14" s="409" t="s">
        <v>1631</v>
      </c>
      <c r="C14" s="409"/>
      <c r="D14" s="409"/>
      <c r="E14" s="177">
        <f t="shared" ref="E14:S14" si="0">SUM(E9:E13)</f>
        <v>5851.4155228408999</v>
      </c>
      <c r="F14" s="177">
        <f t="shared" si="0"/>
        <v>6683.3430871707997</v>
      </c>
      <c r="G14" s="177">
        <f t="shared" si="0"/>
        <v>6603.2052743099994</v>
      </c>
      <c r="H14" s="177">
        <f t="shared" si="0"/>
        <v>6555.1348893891991</v>
      </c>
      <c r="I14" s="177">
        <f t="shared" si="0"/>
        <v>5486.0217791739842</v>
      </c>
      <c r="J14" s="177">
        <f t="shared" si="0"/>
        <v>6563.3646862909191</v>
      </c>
      <c r="K14" s="177">
        <f t="shared" si="0"/>
        <v>7195.8968525508599</v>
      </c>
      <c r="L14" s="123">
        <f t="shared" si="0"/>
        <v>7777.672920730226</v>
      </c>
      <c r="M14" s="123">
        <f t="shared" si="0"/>
        <v>8064.6412587367595</v>
      </c>
      <c r="N14" s="123">
        <f t="shared" si="0"/>
        <v>8260.5283189710281</v>
      </c>
      <c r="O14" s="123">
        <f t="shared" si="0"/>
        <v>8458.4030540079984</v>
      </c>
      <c r="P14" s="123">
        <f t="shared" si="0"/>
        <v>8660.9572622652868</v>
      </c>
      <c r="Q14" s="123">
        <f t="shared" si="0"/>
        <v>8868.3972083671506</v>
      </c>
      <c r="R14" s="123">
        <f t="shared" si="0"/>
        <v>9080.8414734124653</v>
      </c>
      <c r="S14" s="123">
        <f t="shared" si="0"/>
        <v>9298.4115317806336</v>
      </c>
      <c r="U14" s="116"/>
      <c r="V14" s="116"/>
      <c r="W14" s="116"/>
      <c r="Z14" s="398"/>
      <c r="AA14" s="398"/>
      <c r="AB14" s="398"/>
      <c r="AC14" s="398"/>
      <c r="AD14" s="398"/>
      <c r="AE14" s="398"/>
      <c r="AF14" s="398"/>
      <c r="AG14" s="398"/>
      <c r="AH14" s="398"/>
      <c r="AI14" s="398"/>
      <c r="AJ14" s="398"/>
      <c r="AL14" s="398"/>
      <c r="AM14" s="398"/>
      <c r="AN14" s="398"/>
      <c r="AO14" s="398"/>
      <c r="AP14" s="398"/>
      <c r="AQ14" s="398"/>
      <c r="AR14" s="398"/>
      <c r="AS14" s="398"/>
      <c r="AT14" s="398"/>
      <c r="AU14" s="398"/>
      <c r="AV14" s="398"/>
    </row>
    <row r="15" spans="2:48" x14ac:dyDescent="0.35">
      <c r="B15" s="313" t="s">
        <v>381</v>
      </c>
      <c r="C15" s="313"/>
      <c r="D15" s="313"/>
      <c r="E15" s="311">
        <f>+'Working - Corporate'!E9+'Working - Corporate'!E10+'Working - Distillery'!E16+'Working - Distillery'!E17+'Working - Sugar + Cogen'!E16+'Working - Sugar + Cogen'!E25</f>
        <v>253.89296387600001</v>
      </c>
      <c r="F15" s="311">
        <f>+'Working - Corporate'!F9+'Working - Corporate'!F10+'Working - Distillery'!F16+'Working - Distillery'!F17+'Working - Sugar + Cogen'!F16+'Working - Sugar + Cogen'!F25</f>
        <v>284.09313833200002</v>
      </c>
      <c r="G15" s="311">
        <f>+'Working - Corporate'!G9+'Working - Corporate'!G10+'Working - Distillery'!G16+'Working - Distillery'!G17+'Working - Sugar + Cogen'!G16+'Working - Sugar + Cogen'!G25</f>
        <v>73.403106600000001</v>
      </c>
      <c r="H15" s="311">
        <f>+'Working - Corporate'!H9+'Working - Corporate'!H10+'Working - Distillery'!H16+'Working - Distillery'!H17+'Working - Sugar + Cogen'!H16+'Working - Sugar + Cogen'!H25</f>
        <v>133.06425659999999</v>
      </c>
      <c r="I15" s="311">
        <f>+'Working - Corporate'!I9+'Working - Corporate'!I10+'Working - Distillery'!I16+'Working - Distillery'!I17+'Working - Sugar + Cogen'!I16+'Working - Sugar + Cogen'!I25</f>
        <v>104.20017827600002</v>
      </c>
      <c r="J15" s="311">
        <f>+'Working - Corporate'!J9+'Working - Corporate'!J10+'Working - Distillery'!J16+'Working - Distillery'!J17+'Working - Sugar + Cogen'!J16+'Working - Sugar + Cogen'!J25</f>
        <v>70.583191800440005</v>
      </c>
      <c r="K15" s="311">
        <f>+'Working - Corporate'!K9+'Working - Corporate'!K10+'Working - Distillery'!K16+'Working - Distillery'!K17+'Working - Sugar + Cogen'!K16+'Working - Sugar + Cogen'!K25</f>
        <v>71.532626586228815</v>
      </c>
      <c r="L15" s="311">
        <f>+'Working - Corporate'!L9+'Working - Corporate'!L10+'Working - Distillery'!L16+'Working - Distillery'!L17+'Working - Sugar + Cogen'!L16+'Working - Sugar + Cogen'!L25</f>
        <v>72.501050067733388</v>
      </c>
      <c r="M15" s="311">
        <f>+'Working - Corporate'!M9+'Working - Corporate'!M10+'Working - Distillery'!M16+'Working - Distillery'!M17+'Working - Sugar + Cogen'!M16+'Working - Sugar + Cogen'!M25</f>
        <v>73.488842018868056</v>
      </c>
      <c r="N15" s="311">
        <f>+'Working - Corporate'!N9+'Working - Corporate'!N10+'Working - Distillery'!N16+'Working - Distillery'!N17+'Working - Sugar + Cogen'!N16+'Working - Sugar + Cogen'!N25</f>
        <v>74.496389809025416</v>
      </c>
      <c r="O15" s="311">
        <f>+'Working - Corporate'!O9+'Working - Corporate'!O10+'Working - Distillery'!O16+'Working - Distillery'!O17+'Working - Sugar + Cogen'!O16+'Working - Sugar + Cogen'!O25</f>
        <v>75.524088554985923</v>
      </c>
      <c r="P15" s="311">
        <f>+'Working - Corporate'!P9+'Working - Corporate'!P10+'Working - Distillery'!P16+'Working - Distillery'!P17+'Working - Sugar + Cogen'!P16+'Working - Sugar + Cogen'!P25</f>
        <v>76.572341275865639</v>
      </c>
      <c r="Q15" s="311">
        <f>+'Working - Corporate'!Q9+'Working - Corporate'!Q10+'Working - Distillery'!Q16+'Working - Distillery'!Q17+'Working - Sugar + Cogen'!Q16+'Working - Sugar + Cogen'!Q25</f>
        <v>77.641559051162957</v>
      </c>
      <c r="R15" s="311">
        <f>+'Working - Corporate'!R9+'Working - Corporate'!R10+'Working - Distillery'!R16+'Working - Distillery'!R17+'Working - Sugar + Cogen'!R16+'Working - Sugar + Cogen'!R25</f>
        <v>78.732161181966219</v>
      </c>
      <c r="S15" s="122">
        <f>+'Working - Corporate'!S9+'Working - Corporate'!S10+'Working - Distillery'!S16+'Working - Distillery'!S17+'Working - Sugar + Cogen'!S16+'Working - Sugar + Cogen'!S25</f>
        <v>79.844575355385544</v>
      </c>
      <c r="U15" s="116"/>
      <c r="V15" s="116"/>
      <c r="W15" s="116"/>
      <c r="Z15" s="398"/>
      <c r="AA15" s="398"/>
      <c r="AB15" s="398"/>
      <c r="AC15" s="398"/>
      <c r="AD15" s="398"/>
      <c r="AE15" s="398"/>
      <c r="AF15" s="398"/>
      <c r="AG15" s="398"/>
      <c r="AH15" s="398"/>
      <c r="AI15" s="398"/>
      <c r="AJ15" s="398"/>
      <c r="AL15" s="398"/>
      <c r="AM15" s="398"/>
      <c r="AN15" s="398"/>
      <c r="AO15" s="398"/>
      <c r="AP15" s="398"/>
      <c r="AQ15" s="398"/>
      <c r="AR15" s="398"/>
      <c r="AS15" s="398"/>
      <c r="AT15" s="398"/>
      <c r="AU15" s="398"/>
      <c r="AV15" s="398"/>
    </row>
    <row r="16" spans="2:48" hidden="1" x14ac:dyDescent="0.35">
      <c r="B16" s="313" t="s">
        <v>382</v>
      </c>
      <c r="C16" s="313"/>
      <c r="D16" s="313"/>
      <c r="E16" s="122"/>
      <c r="F16" s="122"/>
      <c r="G16" s="62"/>
      <c r="H16" s="62"/>
      <c r="I16" s="62"/>
      <c r="J16" s="62"/>
      <c r="K16" s="62"/>
      <c r="L16" s="62"/>
      <c r="M16" s="62"/>
      <c r="N16" s="62"/>
      <c r="O16" s="62"/>
      <c r="P16" s="62"/>
      <c r="Q16" s="62"/>
      <c r="R16" s="62"/>
      <c r="S16" s="62"/>
      <c r="U16" s="116"/>
      <c r="V16" s="116"/>
      <c r="W16" s="116"/>
      <c r="Z16" s="398"/>
      <c r="AA16" s="398"/>
      <c r="AB16" s="398"/>
      <c r="AC16" s="398"/>
      <c r="AD16" s="398"/>
      <c r="AE16" s="398"/>
      <c r="AF16" s="398"/>
      <c r="AG16" s="398"/>
      <c r="AH16" s="398"/>
      <c r="AI16" s="398"/>
      <c r="AJ16" s="398"/>
      <c r="AL16" s="398"/>
      <c r="AM16" s="398"/>
      <c r="AN16" s="398"/>
      <c r="AO16" s="398"/>
      <c r="AP16" s="398"/>
      <c r="AQ16" s="398"/>
      <c r="AR16" s="398"/>
      <c r="AS16" s="398"/>
      <c r="AT16" s="398"/>
      <c r="AU16" s="398"/>
      <c r="AV16" s="398"/>
    </row>
    <row r="17" spans="1:48" x14ac:dyDescent="0.35">
      <c r="B17" s="103" t="s">
        <v>98</v>
      </c>
      <c r="C17" s="103"/>
      <c r="D17" s="103"/>
      <c r="E17" s="123">
        <f t="shared" ref="E17:R17" si="1">SUM(E14:E16)</f>
        <v>6105.3084867169</v>
      </c>
      <c r="F17" s="123">
        <f t="shared" si="1"/>
        <v>6967.4362255028</v>
      </c>
      <c r="G17" s="123">
        <f t="shared" si="1"/>
        <v>6676.6083809099991</v>
      </c>
      <c r="H17" s="123">
        <f t="shared" si="1"/>
        <v>6688.1991459891988</v>
      </c>
      <c r="I17" s="123">
        <f t="shared" si="1"/>
        <v>5590.2219574499841</v>
      </c>
      <c r="J17" s="123">
        <f t="shared" si="1"/>
        <v>6633.9478780913587</v>
      </c>
      <c r="K17" s="123">
        <f t="shared" si="1"/>
        <v>7267.4294791370885</v>
      </c>
      <c r="L17" s="123">
        <f t="shared" si="1"/>
        <v>7850.1739707979596</v>
      </c>
      <c r="M17" s="123">
        <f t="shared" si="1"/>
        <v>8138.1301007556276</v>
      </c>
      <c r="N17" s="123">
        <f t="shared" si="1"/>
        <v>8335.0247087800526</v>
      </c>
      <c r="O17" s="123">
        <f t="shared" si="1"/>
        <v>8533.927142562985</v>
      </c>
      <c r="P17" s="123">
        <f t="shared" si="1"/>
        <v>8737.529603541152</v>
      </c>
      <c r="Q17" s="123">
        <f t="shared" si="1"/>
        <v>8946.038767418313</v>
      </c>
      <c r="R17" s="123">
        <f t="shared" si="1"/>
        <v>9159.5736345944315</v>
      </c>
      <c r="S17" s="123">
        <f>SUM(S14:S16)</f>
        <v>9378.2561071360196</v>
      </c>
      <c r="U17" s="116"/>
      <c r="V17" s="116"/>
      <c r="W17" s="116"/>
      <c r="Z17" s="398"/>
      <c r="AA17" s="398"/>
      <c r="AB17" s="398"/>
      <c r="AC17" s="398"/>
      <c r="AD17" s="398"/>
      <c r="AE17" s="398"/>
      <c r="AF17" s="398"/>
      <c r="AG17" s="398"/>
      <c r="AH17" s="398"/>
      <c r="AI17" s="398"/>
      <c r="AJ17" s="398"/>
      <c r="AL17" s="398"/>
      <c r="AM17" s="398"/>
      <c r="AN17" s="398"/>
      <c r="AO17" s="398"/>
      <c r="AP17" s="398"/>
      <c r="AQ17" s="398"/>
      <c r="AR17" s="398"/>
      <c r="AS17" s="398"/>
      <c r="AT17" s="398"/>
      <c r="AU17" s="398"/>
      <c r="AV17" s="398"/>
    </row>
    <row r="18" spans="1:48" x14ac:dyDescent="0.35">
      <c r="B18" s="90" t="s">
        <v>378</v>
      </c>
      <c r="C18" s="90"/>
      <c r="D18" s="90"/>
      <c r="E18" s="61"/>
      <c r="F18" s="314">
        <f>F17/E17-1</f>
        <v>0.14120952948759258</v>
      </c>
      <c r="G18" s="314">
        <f>G17/F17-1</f>
        <v>-4.1741012788647835E-2</v>
      </c>
      <c r="H18" s="314">
        <f t="shared" ref="H18:S18" si="2">H17/G17-1</f>
        <v>1.7360259008660783E-3</v>
      </c>
      <c r="I18" s="1714">
        <f t="shared" si="2"/>
        <v>-0.16416634202611224</v>
      </c>
      <c r="J18" s="314">
        <f>J17/I17-1</f>
        <v>0.18670563147325847</v>
      </c>
      <c r="K18" s="314">
        <f t="shared" si="2"/>
        <v>9.5490892103298863E-2</v>
      </c>
      <c r="L18" s="314">
        <f t="shared" si="2"/>
        <v>8.0185778662700491E-2</v>
      </c>
      <c r="M18" s="314">
        <f t="shared" si="2"/>
        <v>3.6681496617634535E-2</v>
      </c>
      <c r="N18" s="314">
        <f t="shared" si="2"/>
        <v>2.4194084585369646E-2</v>
      </c>
      <c r="O18" s="314">
        <f t="shared" si="2"/>
        <v>2.3863448607825966E-2</v>
      </c>
      <c r="P18" s="314">
        <f t="shared" si="2"/>
        <v>2.3858003188555355E-2</v>
      </c>
      <c r="Q18" s="314">
        <f t="shared" si="2"/>
        <v>2.3863628890328004E-2</v>
      </c>
      <c r="R18" s="314">
        <f t="shared" si="2"/>
        <v>2.3869208789237373E-2</v>
      </c>
      <c r="S18" s="314">
        <f t="shared" si="2"/>
        <v>2.3874743657898545E-2</v>
      </c>
      <c r="U18" s="116"/>
      <c r="V18" s="116"/>
      <c r="W18" s="116"/>
      <c r="Z18" s="398"/>
      <c r="AA18" s="398"/>
      <c r="AB18" s="398"/>
      <c r="AC18" s="398"/>
      <c r="AD18" s="398"/>
      <c r="AE18" s="398"/>
      <c r="AF18" s="398"/>
      <c r="AG18" s="398"/>
      <c r="AH18" s="398"/>
      <c r="AI18" s="398"/>
      <c r="AJ18" s="398"/>
      <c r="AL18" s="398"/>
      <c r="AM18" s="398"/>
      <c r="AN18" s="398"/>
      <c r="AO18" s="398"/>
      <c r="AP18" s="398"/>
      <c r="AQ18" s="398"/>
      <c r="AR18" s="398"/>
      <c r="AS18" s="398"/>
      <c r="AT18" s="398"/>
      <c r="AU18" s="398"/>
      <c r="AV18" s="398"/>
    </row>
    <row r="19" spans="1:48" s="86" customFormat="1" x14ac:dyDescent="0.35">
      <c r="B19" s="103" t="s">
        <v>99</v>
      </c>
      <c r="C19" s="103"/>
      <c r="D19" s="103"/>
      <c r="E19" s="97"/>
      <c r="F19" s="614"/>
      <c r="G19" s="613"/>
      <c r="H19" s="97"/>
      <c r="I19" s="614"/>
      <c r="J19" s="1587"/>
      <c r="K19" s="1587"/>
      <c r="L19" s="1587"/>
      <c r="M19" s="97"/>
      <c r="N19" s="97"/>
      <c r="O19" s="97"/>
      <c r="P19" s="97"/>
      <c r="Q19" s="97"/>
      <c r="R19" s="97"/>
      <c r="S19" s="97"/>
      <c r="U19" s="1330"/>
      <c r="V19" s="116"/>
      <c r="W19" s="1330"/>
      <c r="Z19" s="1607"/>
      <c r="AA19" s="1607"/>
      <c r="AB19" s="1607"/>
      <c r="AC19" s="1607"/>
      <c r="AD19" s="1607"/>
      <c r="AE19" s="1607"/>
      <c r="AF19" s="1607"/>
      <c r="AG19" s="1607"/>
      <c r="AH19" s="1607"/>
      <c r="AI19" s="1607"/>
      <c r="AJ19" s="1607"/>
      <c r="AL19" s="398"/>
      <c r="AM19" s="398"/>
      <c r="AN19" s="398"/>
      <c r="AO19" s="398"/>
      <c r="AP19" s="398"/>
      <c r="AQ19" s="398"/>
      <c r="AR19" s="398"/>
      <c r="AS19" s="398"/>
      <c r="AT19" s="398"/>
      <c r="AU19" s="398"/>
      <c r="AV19" s="398"/>
    </row>
    <row r="20" spans="1:48" x14ac:dyDescent="0.35">
      <c r="B20" s="128" t="s">
        <v>40</v>
      </c>
      <c r="C20" s="128"/>
      <c r="D20" s="128"/>
      <c r="E20" s="311">
        <f>+'Working - Sugar + Cogen'!E33+'Working - Distillery'!E26+'Working - Distillery'!E27+'Working - Distillery'!E29+'Working - Distillery'!E30+'Working - Distillery'!E31</f>
        <v>4900.5300000000007</v>
      </c>
      <c r="F20" s="311">
        <f>+'Working - Sugar + Cogen'!F33+'Working - Distillery'!F26+'Working - Distillery'!F27+'Working - Distillery'!F29+'Working - Distillery'!F30+'Working - Distillery'!F31</f>
        <v>5658.63</v>
      </c>
      <c r="G20" s="311">
        <f>+'Working - Sugar + Cogen'!G33+'Working - Distillery'!G26+'Working - Distillery'!G27+'Working - Distillery'!G29+'Working - Distillery'!G30+'Working - Distillery'!G31</f>
        <v>5363.34</v>
      </c>
      <c r="H20" s="311">
        <f>+'Working - Sugar + Cogen'!H33+'Working - Distillery'!H26+'Working - Distillery'!H27+'Working - Distillery'!H29+'Working - Distillery'!H30+'Working - Distillery'!H31</f>
        <v>5297.3174285210007</v>
      </c>
      <c r="I20" s="311">
        <f>+'Working - Sugar + Cogen'!I33+'Working - Distillery'!I26+'Working - Distillery'!I27+'Working - Distillery'!I29+'Working - Distillery'!I30+'Working - Distillery'!I31</f>
        <v>4609.939454721999</v>
      </c>
      <c r="J20" s="311">
        <f>+'Working - Sugar + Cogen'!J33+'Working - Distillery'!J26+'Working - Distillery'!J27+'Working - Distillery'!J29+'Working - Distillery'!J30+'Working - Distillery'!J31</f>
        <v>5400.381213023923</v>
      </c>
      <c r="K20" s="710">
        <f>+'Working - Sugar + Cogen'!K33+'Working - Distillery'!K26+'Working - Distillery'!K27+'Working - Distillery'!K29+'Working - Distillery'!K30+'Working - Distillery'!K31</f>
        <v>6079.0089389258555</v>
      </c>
      <c r="L20" s="710">
        <f>+'Working - Sugar + Cogen'!L33+'Working - Distillery'!L26+'Working - Distillery'!L27+'Working - Distillery'!L29+'Working - Distillery'!L30+'Working - Distillery'!L31</f>
        <v>6393.5677176069812</v>
      </c>
      <c r="M20" s="710">
        <f>+'Working - Sugar + Cogen'!M33+'Working - Distillery'!M26+'Working - Distillery'!M27+'Working - Distillery'!M29+'Working - Distillery'!M30+'Working - Distillery'!M31</f>
        <v>6521.7394542955062</v>
      </c>
      <c r="N20" s="710">
        <f>+'Working - Sugar + Cogen'!N33+'Working - Distillery'!N26+'Working - Distillery'!N27+'Working - Distillery'!N29+'Working - Distillery'!N30+'Working - Distillery'!N31</f>
        <v>6652.1742433814161</v>
      </c>
      <c r="O20" s="710">
        <f>+'Working - Sugar + Cogen'!O33+'Working - Distillery'!O26+'Working - Distillery'!O27+'Working - Distillery'!O29+'Working - Distillery'!O30+'Working - Distillery'!O31</f>
        <v>6785.2177282490447</v>
      </c>
      <c r="P20" s="710">
        <f>+'Working - Sugar + Cogen'!P33+'Working - Distillery'!P26+'Working - Distillery'!P27+'Working - Distillery'!P29+'Working - Distillery'!P30+'Working - Distillery'!P31</f>
        <v>6920.922082814026</v>
      </c>
      <c r="Q20" s="710">
        <f>+'Working - Sugar + Cogen'!Q33+'Working - Distillery'!Q26+'Working - Distillery'!Q27+'Working - Distillery'!Q29+'Working - Distillery'!Q30+'Working - Distillery'!Q31</f>
        <v>7059.1245028519043</v>
      </c>
      <c r="R20" s="710">
        <f>+'Working - Sugar + Cogen'!R33+'Working - Distillery'!R26+'Working - Distillery'!R27+'Working - Distillery'!R29+'Working - Distillery'!R30+'Working - Distillery'!R31</f>
        <v>7091.8091747122426</v>
      </c>
      <c r="S20" s="122">
        <f>+'Working - Sugar + Cogen'!S33+'Working - Distillery'!S26+'Working - Distillery'!S27+'Working - Distillery'!S29+'Working - Distillery'!S30+'Working - Distillery'!S31</f>
        <v>7233.4293365880858</v>
      </c>
      <c r="U20" s="116"/>
      <c r="V20" s="116"/>
      <c r="W20" s="116"/>
      <c r="Z20" s="398"/>
      <c r="AA20" s="398"/>
      <c r="AB20" s="398"/>
      <c r="AC20" s="398"/>
      <c r="AD20" s="398"/>
      <c r="AE20" s="398"/>
      <c r="AF20" s="398"/>
      <c r="AG20" s="398"/>
      <c r="AH20" s="398"/>
      <c r="AI20" s="398"/>
      <c r="AJ20" s="398"/>
      <c r="AL20" s="398"/>
      <c r="AM20" s="398"/>
      <c r="AN20" s="398"/>
      <c r="AO20" s="398"/>
      <c r="AP20" s="398"/>
      <c r="AQ20" s="398"/>
      <c r="AR20" s="398"/>
      <c r="AS20" s="398"/>
      <c r="AT20" s="398"/>
      <c r="AU20" s="398"/>
      <c r="AV20" s="398"/>
    </row>
    <row r="21" spans="1:48" x14ac:dyDescent="0.35">
      <c r="B21" s="128" t="s">
        <v>762</v>
      </c>
      <c r="C21" s="128"/>
      <c r="D21" s="128"/>
      <c r="E21" s="63">
        <f>'Working - Sugar + Cogen'!E34</f>
        <v>95.99</v>
      </c>
      <c r="F21" s="63">
        <v>0</v>
      </c>
      <c r="G21" s="63">
        <v>0</v>
      </c>
      <c r="H21" s="63">
        <v>0</v>
      </c>
      <c r="I21" s="63"/>
      <c r="J21" s="63">
        <v>0</v>
      </c>
      <c r="K21" s="63">
        <v>0</v>
      </c>
      <c r="L21" s="63">
        <v>0</v>
      </c>
      <c r="M21" s="63">
        <v>0</v>
      </c>
      <c r="N21" s="63">
        <v>0</v>
      </c>
      <c r="O21" s="63">
        <v>0</v>
      </c>
      <c r="P21" s="63">
        <v>0</v>
      </c>
      <c r="Q21" s="63">
        <v>0</v>
      </c>
      <c r="R21" s="63">
        <v>0</v>
      </c>
      <c r="S21" s="62">
        <v>0</v>
      </c>
      <c r="U21" s="116"/>
      <c r="V21" s="116"/>
      <c r="W21" s="116"/>
      <c r="Z21" s="398"/>
      <c r="AA21" s="398"/>
      <c r="AB21" s="398"/>
      <c r="AC21" s="398"/>
      <c r="AD21" s="398"/>
      <c r="AE21" s="398"/>
      <c r="AF21" s="398"/>
      <c r="AG21" s="398"/>
      <c r="AH21" s="398"/>
      <c r="AI21" s="398"/>
      <c r="AJ21" s="398"/>
      <c r="AL21" s="398"/>
      <c r="AM21" s="398"/>
      <c r="AN21" s="398"/>
      <c r="AO21" s="398"/>
      <c r="AP21" s="398"/>
      <c r="AQ21" s="398"/>
      <c r="AR21" s="398"/>
      <c r="AS21" s="398"/>
      <c r="AT21" s="398"/>
      <c r="AU21" s="398"/>
      <c r="AV21" s="398"/>
    </row>
    <row r="22" spans="1:48" x14ac:dyDescent="0.35">
      <c r="B22" s="224" t="s">
        <v>247</v>
      </c>
      <c r="C22" s="224"/>
      <c r="D22" s="224"/>
      <c r="E22" s="63">
        <f>+'Working - Distillery'!E135+'Working - Sugar + Cogen'!E126</f>
        <v>-2.5965996999998069</v>
      </c>
      <c r="F22" s="63">
        <f>+'Working - Distillery'!F135+'Working - Sugar + Cogen'!F126</f>
        <v>106.41755772333185</v>
      </c>
      <c r="G22" s="63">
        <f>+'Working - Distillery'!G135+'Working - Sugar + Cogen'!G126</f>
        <v>60.170253217263394</v>
      </c>
      <c r="H22" s="63">
        <f>+'Working - Distillery'!H135+'Working - Sugar + Cogen'!H126</f>
        <v>193.30731516610928</v>
      </c>
      <c r="I22" s="311">
        <f>+'Working - Distillery'!I135+'Working - Sugar + Cogen'!I126</f>
        <v>-209.66668954217226</v>
      </c>
      <c r="J22" s="311">
        <f>+'Working - Distillery'!J135+'Working - Sugar + Cogen'!J126</f>
        <v>-82.349830801613322</v>
      </c>
      <c r="K22" s="311">
        <f>+'Working - Distillery'!K135+'Working - Sugar + Cogen'!K126</f>
        <v>-277.40021716654172</v>
      </c>
      <c r="L22" s="311">
        <f>+'Working - Distillery'!L135+'Working - Sugar + Cogen'!L126</f>
        <v>-155.61123206972738</v>
      </c>
      <c r="M22" s="311">
        <f>+'Working - Distillery'!M135+'Working - Sugar + Cogen'!M126</f>
        <v>-75.461432279797151</v>
      </c>
      <c r="N22" s="311">
        <f>+'Working - Distillery'!N135+'Working - Sugar + Cogen'!N126</f>
        <v>-72.68084395069576</v>
      </c>
      <c r="O22" s="311">
        <f>+'Working - Distillery'!O135+'Working - Sugar + Cogen'!O126</f>
        <v>-74.959593330014627</v>
      </c>
      <c r="P22" s="311">
        <f>+'Working - Distillery'!P135+'Working - Sugar + Cogen'!P126</f>
        <v>-77.506176939136083</v>
      </c>
      <c r="Q22" s="311">
        <f>+'Working - Distillery'!Q135+'Working - Sugar + Cogen'!Q126</f>
        <v>-79.940135243829246</v>
      </c>
      <c r="R22" s="1567">
        <f>+'Working - Distillery'!R135+'Working - Sugar + Cogen'!R126</f>
        <v>-38.72955333054125</v>
      </c>
      <c r="S22" s="1566">
        <f>+'Working - Distillery'!S135+'Working - Sugar + Cogen'!S126</f>
        <v>-82.541342929518436</v>
      </c>
      <c r="U22" s="116"/>
      <c r="V22" s="116"/>
      <c r="W22" s="116"/>
      <c r="Z22" s="398"/>
      <c r="AA22" s="398"/>
      <c r="AB22" s="398"/>
      <c r="AC22" s="398"/>
      <c r="AD22" s="398"/>
      <c r="AE22" s="398"/>
      <c r="AF22" s="398"/>
      <c r="AG22" s="398"/>
      <c r="AH22" s="398"/>
      <c r="AI22" s="398"/>
      <c r="AJ22" s="398"/>
      <c r="AL22" s="398"/>
      <c r="AM22" s="398"/>
      <c r="AN22" s="398"/>
      <c r="AO22" s="398"/>
      <c r="AP22" s="398"/>
      <c r="AQ22" s="398"/>
      <c r="AR22" s="398"/>
      <c r="AS22" s="398"/>
      <c r="AT22" s="398"/>
      <c r="AU22" s="398"/>
      <c r="AV22" s="398"/>
    </row>
    <row r="23" spans="1:48" x14ac:dyDescent="0.35">
      <c r="A23" s="563"/>
      <c r="B23" s="224" t="s">
        <v>100</v>
      </c>
      <c r="C23" s="224"/>
      <c r="D23" s="224"/>
      <c r="E23" s="311">
        <f>+'Working - Distillery'!E32+'Working - Sugar + Cogen'!E37+'Working - Corporate'!E13</f>
        <v>249.1</v>
      </c>
      <c r="F23" s="311">
        <f>+'Working - Distillery'!F32+'Working - Sugar + Cogen'!F37+'Working - Corporate'!F13</f>
        <v>274.76891016500002</v>
      </c>
      <c r="G23" s="311">
        <f>+'Working - Distillery'!G32+'Working - Sugar + Cogen'!G37+'Working - Corporate'!G13</f>
        <v>299.10598741000001</v>
      </c>
      <c r="H23" s="63">
        <f>+'Working - Distillery'!H32+'Working - Sugar + Cogen'!H37+'Working - Corporate'!H13</f>
        <v>327.994332009</v>
      </c>
      <c r="I23" s="63">
        <f>+'Working - Distillery'!I32+'Working - Sugar + Cogen'!I37+'Working - Corporate'!I13</f>
        <v>342.308000537</v>
      </c>
      <c r="J23" s="63">
        <f>+'Working - Distillery'!J32+'Working - Sugar + Cogen'!J37+'Working - Corporate'!J13</f>
        <v>375.75855553537002</v>
      </c>
      <c r="K23" s="63">
        <f>+'Working - Distillery'!K32+'Working - Sugar + Cogen'!K37+'Working - Corporate'!K13</f>
        <v>412.49954887970398</v>
      </c>
      <c r="L23" s="63">
        <f>+'Working - Distillery'!L32+'Working - Sugar + Cogen'!L37+'Working - Corporate'!L13</f>
        <v>452.85620120382714</v>
      </c>
      <c r="M23" s="63">
        <f>+'Working - Distillery'!M32+'Working - Sugar + Cogen'!M37+'Working - Corporate'!M13</f>
        <v>497.1859875808932</v>
      </c>
      <c r="N23" s="63">
        <f>+'Working - Distillery'!N32+'Working - Sugar + Cogen'!N37+'Working - Corporate'!N13</f>
        <v>536.61995255224838</v>
      </c>
      <c r="O23" s="63">
        <f>+'Working - Distillery'!O32+'Working - Sugar + Cogen'!O37+'Working - Corporate'!O13</f>
        <v>579.18477073885401</v>
      </c>
      <c r="P23" s="63">
        <f>+'Working - Distillery'!P32+'Working - Sugar + Cogen'!P37+'Working - Corporate'!P13</f>
        <v>625.12923991915773</v>
      </c>
      <c r="Q23" s="63">
        <f>+'Working - Distillery'!Q32+'Working - Sugar + Cogen'!Q37+'Working - Corporate'!Q13</f>
        <v>674.72194476036941</v>
      </c>
      <c r="R23" s="63">
        <f>+'Working - Distillery'!R32+'Working - Sugar + Cogen'!R37+'Working - Corporate'!R13</f>
        <v>728.25283158421564</v>
      </c>
      <c r="S23" s="62">
        <f>+'Working - Distillery'!S32+'Working - Sugar + Cogen'!S37+'Working - Corporate'!S13</f>
        <v>786.03490854098061</v>
      </c>
      <c r="U23" s="116"/>
      <c r="V23" s="116"/>
      <c r="W23" s="116"/>
      <c r="Z23" s="398"/>
      <c r="AA23" s="398"/>
      <c r="AB23" s="398"/>
      <c r="AC23" s="398"/>
      <c r="AD23" s="398"/>
      <c r="AE23" s="398"/>
      <c r="AF23" s="398"/>
      <c r="AG23" s="398"/>
      <c r="AH23" s="398"/>
      <c r="AI23" s="398"/>
      <c r="AJ23" s="398"/>
      <c r="AL23" s="398"/>
      <c r="AM23" s="398"/>
      <c r="AN23" s="398"/>
      <c r="AO23" s="398"/>
      <c r="AP23" s="398"/>
      <c r="AQ23" s="398"/>
      <c r="AR23" s="398"/>
      <c r="AS23" s="398"/>
      <c r="AT23" s="398"/>
      <c r="AU23" s="398"/>
      <c r="AV23" s="398"/>
    </row>
    <row r="24" spans="1:48" x14ac:dyDescent="0.35">
      <c r="B24" s="128" t="s">
        <v>43</v>
      </c>
      <c r="C24" s="128"/>
      <c r="D24" s="128"/>
      <c r="E24" s="311">
        <f>SUM(E25:E34)</f>
        <v>412.51665955400011</v>
      </c>
      <c r="F24" s="311">
        <f>SUM(F25:F34)</f>
        <v>460.84486265099997</v>
      </c>
      <c r="G24" s="311">
        <f>SUM(G25:G34)</f>
        <v>484.38729074599996</v>
      </c>
      <c r="H24" s="311">
        <f t="shared" ref="H24:R24" si="3">SUM(H25:H34)</f>
        <v>674.01017654899999</v>
      </c>
      <c r="I24" s="311">
        <f t="shared" si="3"/>
        <v>601.82990780700004</v>
      </c>
      <c r="J24" s="311">
        <f t="shared" si="3"/>
        <v>546.94718014610908</v>
      </c>
      <c r="K24" s="122">
        <f t="shared" si="3"/>
        <v>588.02580290945252</v>
      </c>
      <c r="L24" s="122">
        <f t="shared" si="3"/>
        <v>614.57105952589745</v>
      </c>
      <c r="M24" s="122">
        <f t="shared" si="3"/>
        <v>628.95510013489081</v>
      </c>
      <c r="N24" s="122">
        <f t="shared" si="3"/>
        <v>641.66993290010748</v>
      </c>
      <c r="O24" s="122">
        <f t="shared" si="3"/>
        <v>654.50630047704601</v>
      </c>
      <c r="P24" s="122">
        <f t="shared" si="3"/>
        <v>667.59642648658701</v>
      </c>
      <c r="Q24" s="122">
        <f t="shared" si="3"/>
        <v>680.94835501631883</v>
      </c>
      <c r="R24" s="122">
        <f t="shared" si="3"/>
        <v>694.56732211664519</v>
      </c>
      <c r="S24" s="122">
        <f>SUM(S25:S34)</f>
        <v>708.45866855897805</v>
      </c>
      <c r="U24" s="116"/>
      <c r="V24" s="116"/>
      <c r="W24" s="116"/>
      <c r="Z24" s="398"/>
      <c r="AA24" s="398"/>
      <c r="AB24" s="398"/>
      <c r="AC24" s="398"/>
      <c r="AD24" s="398"/>
      <c r="AE24" s="398"/>
      <c r="AF24" s="398"/>
      <c r="AG24" s="398"/>
      <c r="AH24" s="398"/>
      <c r="AI24" s="398"/>
      <c r="AJ24" s="398"/>
      <c r="AL24" s="398"/>
      <c r="AM24" s="398"/>
      <c r="AN24" s="398"/>
      <c r="AO24" s="398"/>
      <c r="AP24" s="398"/>
      <c r="AQ24" s="398"/>
      <c r="AR24" s="398"/>
      <c r="AS24" s="398"/>
      <c r="AT24" s="398"/>
      <c r="AU24" s="398"/>
      <c r="AV24" s="398"/>
    </row>
    <row r="25" spans="1:48" x14ac:dyDescent="0.35">
      <c r="B25" s="396" t="s">
        <v>56</v>
      </c>
      <c r="C25" s="396"/>
      <c r="D25" s="396"/>
      <c r="E25" s="1106">
        <f>+'Working - Sugar + Cogen'!E39+'Working - Distillery'!E66+'Working - Corporate'!E15</f>
        <v>53.157211879999984</v>
      </c>
      <c r="F25" s="1106">
        <f>+'Working - Sugar + Cogen'!F39+'Working - Distillery'!F66+'Working - Corporate'!F15</f>
        <v>67.341599799000093</v>
      </c>
      <c r="G25" s="1106">
        <f>+'Working - Sugar + Cogen'!G39+'Working - Distillery'!G66+'Working - Corporate'!G15</f>
        <v>57.028439984999999</v>
      </c>
      <c r="H25" s="1106">
        <f>+'Working - Sugar + Cogen'!H39+'Working - Distillery'!H66+'Working - Corporate'!H15</f>
        <v>66.555340236999953</v>
      </c>
      <c r="I25" s="1106">
        <f>+'Working - Sugar + Cogen'!I39+'Working - Distillery'!I66+'Working - Corporate'!I15</f>
        <v>78.252483608999995</v>
      </c>
      <c r="J25" s="1106">
        <f>+'Working - Sugar + Cogen'!J39+'Working - Distillery'!J66+'Working - Corporate'!J15</f>
        <v>93.012090052445842</v>
      </c>
      <c r="K25" s="312">
        <f>+'Working - Sugar + Cogen'!K39+'Working - Distillery'!K66+'Working - Corporate'!K15</f>
        <v>107.38373089830347</v>
      </c>
      <c r="L25" s="312">
        <f>+'Working - Sugar + Cogen'!L39+'Working - Distillery'!L66+'Working - Corporate'!L15</f>
        <v>112.75943239115814</v>
      </c>
      <c r="M25" s="312">
        <f>+'Working - Sugar + Cogen'!M39+'Working - Distillery'!M66+'Working - Corporate'!M15</f>
        <v>115.39009895946245</v>
      </c>
      <c r="N25" s="312">
        <f>+'Working - Sugar + Cogen'!N39+'Working - Distillery'!N66+'Working - Corporate'!N15</f>
        <v>117.71705031259624</v>
      </c>
      <c r="O25" s="312">
        <f>+'Working - Sugar + Cogen'!O39+'Working - Distillery'!O66+'Working - Corporate'!O15</f>
        <v>120.07139131884817</v>
      </c>
      <c r="P25" s="312">
        <f>+'Working - Sugar + Cogen'!P39+'Working - Distillery'!P66+'Working - Corporate'!P15</f>
        <v>122.47281914522515</v>
      </c>
      <c r="Q25" s="312">
        <f>+'Working - Sugar + Cogen'!Q39+'Working - Distillery'!Q66+'Working - Corporate'!Q15</f>
        <v>124.92227552812963</v>
      </c>
      <c r="R25" s="312">
        <f>+'Working - Sugar + Cogen'!R39+'Working - Distillery'!R66+'Working - Corporate'!R15</f>
        <v>127.42072103869224</v>
      </c>
      <c r="S25" s="312">
        <f>+'Working - Sugar + Cogen'!S39+'Working - Distillery'!S66+'Working - Corporate'!S15</f>
        <v>129.96913545946609</v>
      </c>
      <c r="U25" s="116"/>
      <c r="V25" s="116"/>
      <c r="W25" s="116"/>
      <c r="Z25" s="398"/>
      <c r="AA25" s="398"/>
      <c r="AB25" s="398"/>
      <c r="AC25" s="398"/>
      <c r="AD25" s="398"/>
      <c r="AE25" s="398"/>
      <c r="AF25" s="398"/>
      <c r="AG25" s="398"/>
      <c r="AH25" s="398"/>
      <c r="AI25" s="398"/>
      <c r="AJ25" s="398"/>
      <c r="AL25" s="398"/>
      <c r="AM25" s="398"/>
      <c r="AN25" s="398"/>
      <c r="AO25" s="398"/>
      <c r="AP25" s="398"/>
      <c r="AQ25" s="398"/>
      <c r="AR25" s="398"/>
      <c r="AS25" s="398"/>
      <c r="AT25" s="398"/>
      <c r="AU25" s="398"/>
      <c r="AV25" s="398"/>
    </row>
    <row r="26" spans="1:48" x14ac:dyDescent="0.35">
      <c r="B26" s="396" t="s">
        <v>57</v>
      </c>
      <c r="C26" s="396"/>
      <c r="D26" s="396"/>
      <c r="E26" s="1106">
        <f>+'Working - Sugar + Cogen'!E43</f>
        <v>0</v>
      </c>
      <c r="F26" s="1106">
        <f>+'Working - Sugar + Cogen'!F43</f>
        <v>19.009408922999999</v>
      </c>
      <c r="G26" s="1106">
        <f>+'Working - Sugar + Cogen'!G43</f>
        <v>36.323621506000002</v>
      </c>
      <c r="H26" s="1106">
        <f>+'Working - Sugar + Cogen'!H43</f>
        <v>41.601154691000005</v>
      </c>
      <c r="I26" s="1106">
        <f>+'Working - Sugar + Cogen'!I43</f>
        <v>46.540920872000001</v>
      </c>
      <c r="J26" s="1106">
        <f>+'Working - Sugar + Cogen'!J43</f>
        <v>47.471739289440002</v>
      </c>
      <c r="K26" s="312">
        <f>+'Working - Sugar + Cogen'!K43</f>
        <v>48.421174075228805</v>
      </c>
      <c r="L26" s="312">
        <f>+'Working - Sugar + Cogen'!L43</f>
        <v>49.389597556733385</v>
      </c>
      <c r="M26" s="312">
        <f>+'Working - Sugar + Cogen'!M43</f>
        <v>50.377389507868052</v>
      </c>
      <c r="N26" s="312">
        <f>+'Working - Sugar + Cogen'!N43</f>
        <v>51.384937298025413</v>
      </c>
      <c r="O26" s="312">
        <f>+'Working - Sugar + Cogen'!O43</f>
        <v>52.41263604398592</v>
      </c>
      <c r="P26" s="312">
        <f>+'Working - Sugar + Cogen'!P43</f>
        <v>53.460888764865636</v>
      </c>
      <c r="Q26" s="312">
        <f>+'Working - Sugar + Cogen'!Q43</f>
        <v>54.530106540162947</v>
      </c>
      <c r="R26" s="312">
        <f>+'Working - Sugar + Cogen'!R43</f>
        <v>55.620708670966209</v>
      </c>
      <c r="S26" s="312">
        <f>+'Working - Sugar + Cogen'!S43</f>
        <v>56.733122844385534</v>
      </c>
      <c r="U26" s="116"/>
      <c r="V26" s="116"/>
      <c r="W26" s="116"/>
      <c r="Z26" s="398"/>
      <c r="AA26" s="398"/>
      <c r="AB26" s="398"/>
      <c r="AC26" s="398"/>
      <c r="AD26" s="398"/>
      <c r="AE26" s="398"/>
      <c r="AF26" s="398"/>
      <c r="AG26" s="398"/>
      <c r="AH26" s="398"/>
      <c r="AI26" s="398"/>
      <c r="AJ26" s="398"/>
      <c r="AL26" s="398"/>
      <c r="AM26" s="398"/>
      <c r="AN26" s="398"/>
      <c r="AO26" s="398"/>
      <c r="AP26" s="398"/>
      <c r="AQ26" s="398"/>
      <c r="AR26" s="398"/>
      <c r="AS26" s="398"/>
      <c r="AT26" s="398"/>
      <c r="AU26" s="398"/>
      <c r="AV26" s="398"/>
    </row>
    <row r="27" spans="1:48" x14ac:dyDescent="0.35">
      <c r="B27" s="396" t="s">
        <v>58</v>
      </c>
      <c r="C27" s="396"/>
      <c r="D27" s="396"/>
      <c r="E27" s="1106">
        <f>+'Working - Sugar + Cogen'!E40</f>
        <v>55.430362779999996</v>
      </c>
      <c r="F27" s="1106">
        <f>+'Working - Sugar + Cogen'!F40</f>
        <v>70.928991277999998</v>
      </c>
      <c r="G27" s="1106">
        <f>+'Working - Sugar + Cogen'!G40</f>
        <v>64.531457869999997</v>
      </c>
      <c r="H27" s="1106">
        <f>+'Working - Sugar + Cogen'!H40</f>
        <v>66.441441089000008</v>
      </c>
      <c r="I27" s="1106">
        <f>+'Working - Sugar + Cogen'!I40</f>
        <v>62.194967154999993</v>
      </c>
      <c r="J27" s="1106">
        <f>+'Working - Sugar + Cogen'!J40</f>
        <v>73.161098985990236</v>
      </c>
      <c r="K27" s="312">
        <f>+'Working - Sugar + Cogen'!K40</f>
        <v>82.344078306990383</v>
      </c>
      <c r="L27" s="312">
        <f>+'Working - Sugar + Cogen'!L40</f>
        <v>86.61567736916551</v>
      </c>
      <c r="M27" s="312">
        <f>+'Working - Sugar + Cogen'!M40</f>
        <v>88.347990916548824</v>
      </c>
      <c r="N27" s="312">
        <f>+'Working - Sugar + Cogen'!N40</f>
        <v>90.114950734879798</v>
      </c>
      <c r="O27" s="312">
        <f>+'Working - Sugar + Cogen'!O40</f>
        <v>91.917249749577408</v>
      </c>
      <c r="P27" s="312">
        <f>+'Working - Sugar + Cogen'!P40</f>
        <v>93.755594744568953</v>
      </c>
      <c r="Q27" s="312">
        <f>+'Working - Sugar + Cogen'!Q40</f>
        <v>95.630706639460328</v>
      </c>
      <c r="R27" s="312">
        <f>+'Working - Sugar + Cogen'!R40</f>
        <v>97.54332077224953</v>
      </c>
      <c r="S27" s="312">
        <f>+'Working - Sugar + Cogen'!S40</f>
        <v>99.494187187694536</v>
      </c>
      <c r="U27" s="116"/>
      <c r="V27" s="116"/>
      <c r="W27" s="116"/>
      <c r="Z27" s="398"/>
      <c r="AA27" s="398"/>
      <c r="AB27" s="398"/>
      <c r="AC27" s="398"/>
      <c r="AD27" s="398"/>
      <c r="AE27" s="398"/>
      <c r="AF27" s="398"/>
      <c r="AG27" s="398"/>
      <c r="AH27" s="398"/>
      <c r="AI27" s="398"/>
      <c r="AJ27" s="398"/>
      <c r="AL27" s="398"/>
      <c r="AM27" s="398"/>
      <c r="AN27" s="398"/>
      <c r="AO27" s="398"/>
      <c r="AP27" s="398"/>
      <c r="AQ27" s="398"/>
      <c r="AR27" s="398"/>
      <c r="AS27" s="398"/>
      <c r="AT27" s="398"/>
      <c r="AU27" s="398"/>
      <c r="AV27" s="398"/>
    </row>
    <row r="28" spans="1:48" x14ac:dyDescent="0.35">
      <c r="B28" s="396" t="s">
        <v>59</v>
      </c>
      <c r="C28" s="396"/>
      <c r="D28" s="396"/>
      <c r="E28" s="1106">
        <f>+'Working - Sugar + Cogen'!E44+'Working - Distillery'!E73+'Working - Corporate'!E16</f>
        <v>6.2700000000000005</v>
      </c>
      <c r="F28" s="1106">
        <f>+'Working - Sugar + Cogen'!F44+'Working - Distillery'!F73+'Working - Corporate'!F16</f>
        <v>6.5025026190000004</v>
      </c>
      <c r="G28" s="1106">
        <f>+'Working - Sugar + Cogen'!G44+'Working - Distillery'!G73+'Working - Corporate'!G16</f>
        <v>3.2399704309999997</v>
      </c>
      <c r="H28" s="1106">
        <f>+'Working - Sugar + Cogen'!H44+'Working - Distillery'!H73+'Working - Corporate'!H16</f>
        <v>6.1203434000000003</v>
      </c>
      <c r="I28" s="1106">
        <f>+'Working - Sugar + Cogen'!I44+'Working - Distillery'!I73+'Working - Corporate'!I16</f>
        <v>3.6575832639999994</v>
      </c>
      <c r="J28" s="1106">
        <f>+'Working - Sugar + Cogen'!J44+'Working - Distillery'!J73+'Working - Corporate'!J16</f>
        <v>3.7307349292799996</v>
      </c>
      <c r="K28" s="312">
        <f>+'Working - Sugar + Cogen'!K44+'Working - Distillery'!K73+'Working - Corporate'!K16</f>
        <v>3.8053496278656</v>
      </c>
      <c r="L28" s="312">
        <f>+'Working - Sugar + Cogen'!L44+'Working - Distillery'!L73+'Working - Corporate'!L16</f>
        <v>3.8814566204229122</v>
      </c>
      <c r="M28" s="312">
        <f>+'Working - Sugar + Cogen'!M44+'Working - Distillery'!M73+'Working - Corporate'!M16</f>
        <v>3.9590857528313705</v>
      </c>
      <c r="N28" s="312">
        <f>+'Working - Sugar + Cogen'!N44+'Working - Distillery'!N73+'Working - Corporate'!N16</f>
        <v>4.038267467887998</v>
      </c>
      <c r="O28" s="312">
        <f>+'Working - Sugar + Cogen'!O44+'Working - Distillery'!O73+'Working - Corporate'!O16</f>
        <v>4.119032817245758</v>
      </c>
      <c r="P28" s="312">
        <f>+'Working - Sugar + Cogen'!P44+'Working - Distillery'!P73+'Working - Corporate'!P16</f>
        <v>4.201413473590673</v>
      </c>
      <c r="Q28" s="312">
        <f>+'Working - Sugar + Cogen'!Q44+'Working - Distillery'!Q73+'Working - Corporate'!Q16</f>
        <v>4.2854417430624867</v>
      </c>
      <c r="R28" s="312">
        <f>+'Working - Sugar + Cogen'!R44+'Working - Distillery'!R73+'Working - Corporate'!R16</f>
        <v>4.3711505779237365</v>
      </c>
      <c r="S28" s="312">
        <f>+'Working - Sugar + Cogen'!S44+'Working - Distillery'!S73+'Working - Corporate'!S16</f>
        <v>4.4585735894822118</v>
      </c>
      <c r="U28" s="116"/>
      <c r="V28" s="116"/>
      <c r="W28" s="116"/>
      <c r="Z28" s="398"/>
      <c r="AA28" s="398"/>
      <c r="AB28" s="398"/>
      <c r="AC28" s="398"/>
      <c r="AD28" s="398"/>
      <c r="AE28" s="398"/>
      <c r="AF28" s="398"/>
      <c r="AG28" s="398"/>
      <c r="AH28" s="398"/>
      <c r="AI28" s="398"/>
      <c r="AJ28" s="398"/>
      <c r="AL28" s="398"/>
      <c r="AM28" s="398"/>
      <c r="AN28" s="398"/>
      <c r="AO28" s="398"/>
      <c r="AP28" s="398"/>
      <c r="AQ28" s="398"/>
      <c r="AR28" s="398"/>
      <c r="AS28" s="398"/>
      <c r="AT28" s="398"/>
      <c r="AU28" s="398"/>
      <c r="AV28" s="398"/>
    </row>
    <row r="29" spans="1:48" x14ac:dyDescent="0.35">
      <c r="B29" s="396" t="s">
        <v>61</v>
      </c>
      <c r="C29" s="396"/>
      <c r="D29" s="396"/>
      <c r="E29" s="1106">
        <f>+'Working - Sugar + Cogen'!E45+'Working - Distillery'!E74+'Working - Corporate'!E18</f>
        <v>4.46</v>
      </c>
      <c r="F29" s="1106">
        <f>+'Working - Sugar + Cogen'!F45+'Working - Distillery'!F74+'Working - Corporate'!F18</f>
        <v>6.26</v>
      </c>
      <c r="G29" s="1106">
        <f>+'Working - Sugar + Cogen'!G45+'Working - Distillery'!G74+'Working - Corporate'!G18</f>
        <v>7.860832692999999</v>
      </c>
      <c r="H29" s="1106">
        <f>+'Working - Sugar + Cogen'!H45+'Working - Distillery'!H74+'Working - Corporate'!H18</f>
        <v>12.489999999999998</v>
      </c>
      <c r="I29" s="1106">
        <f>+'Working - Sugar + Cogen'!I45+'Working - Distillery'!I74+'Working - Corporate'!I18</f>
        <v>14.487658016000001</v>
      </c>
      <c r="J29" s="1106">
        <f>+'Working - Sugar + Cogen'!J45+'Working - Distillery'!J74+'Working - Corporate'!J18</f>
        <v>14.777411176320001</v>
      </c>
      <c r="K29" s="312">
        <f>+'Working - Sugar + Cogen'!K45+'Working - Distillery'!K74+'Working - Corporate'!K18</f>
        <v>15.0729593998464</v>
      </c>
      <c r="L29" s="312">
        <f>+'Working - Sugar + Cogen'!L45+'Working - Distillery'!L74+'Working - Corporate'!L18</f>
        <v>15.37441858784333</v>
      </c>
      <c r="M29" s="312">
        <f>+'Working - Sugar + Cogen'!M45+'Working - Distillery'!M74+'Working - Corporate'!M18</f>
        <v>15.681906959600195</v>
      </c>
      <c r="N29" s="312">
        <f>+'Working - Sugar + Cogen'!N45+'Working - Distillery'!N74+'Working - Corporate'!N18</f>
        <v>15.995545098792201</v>
      </c>
      <c r="O29" s="312">
        <f>+'Working - Sugar + Cogen'!O45+'Working - Distillery'!O74+'Working - Corporate'!O18</f>
        <v>16.315456000768044</v>
      </c>
      <c r="P29" s="312">
        <f>+'Working - Sugar + Cogen'!P45+'Working - Distillery'!P74+'Working - Corporate'!P18</f>
        <v>16.641765120783408</v>
      </c>
      <c r="Q29" s="312">
        <f>+'Working - Sugar + Cogen'!Q45+'Working - Distillery'!Q74+'Working - Corporate'!Q18</f>
        <v>16.974600423199075</v>
      </c>
      <c r="R29" s="312">
        <f>+'Working - Sugar + Cogen'!R45+'Working - Distillery'!R74+'Working - Corporate'!R18</f>
        <v>17.314092431663056</v>
      </c>
      <c r="S29" s="312">
        <f>+'Working - Sugar + Cogen'!S45+'Working - Distillery'!S74+'Working - Corporate'!S18</f>
        <v>17.66037428029632</v>
      </c>
      <c r="U29" s="116"/>
      <c r="V29" s="116"/>
      <c r="W29" s="116"/>
      <c r="Z29" s="398"/>
      <c r="AA29" s="398"/>
      <c r="AB29" s="398"/>
      <c r="AC29" s="398"/>
      <c r="AD29" s="398"/>
      <c r="AE29" s="398"/>
      <c r="AF29" s="398"/>
      <c r="AG29" s="398"/>
      <c r="AH29" s="398"/>
      <c r="AI29" s="398"/>
      <c r="AJ29" s="398"/>
      <c r="AL29" s="398"/>
      <c r="AM29" s="398"/>
      <c r="AN29" s="398"/>
      <c r="AO29" s="398"/>
      <c r="AP29" s="398"/>
      <c r="AQ29" s="398"/>
      <c r="AR29" s="398"/>
      <c r="AS29" s="398"/>
      <c r="AT29" s="398"/>
      <c r="AU29" s="398"/>
      <c r="AV29" s="398"/>
    </row>
    <row r="30" spans="1:48" x14ac:dyDescent="0.35">
      <c r="B30" s="396" t="s">
        <v>47</v>
      </c>
      <c r="C30" s="396"/>
      <c r="D30" s="396"/>
      <c r="E30" s="1106">
        <f>+'Working - Sugar + Cogen'!E41+'Working - Distillery'!E68+'Working - Corporate'!E22</f>
        <v>68.432740514000002</v>
      </c>
      <c r="F30" s="1106">
        <f>+'Working - Sugar + Cogen'!F41+'Working - Distillery'!F68+'Working - Corporate'!F22</f>
        <v>60.872997755</v>
      </c>
      <c r="G30" s="1106">
        <f>+'Working - Sugar + Cogen'!G41+'Working - Distillery'!G68+'Working - Corporate'!G22</f>
        <v>41.899812937999997</v>
      </c>
      <c r="H30" s="1106">
        <f>+'Working - Sugar + Cogen'!H41+'Working - Distillery'!H68+'Working - Corporate'!H22</f>
        <v>36.691797503000011</v>
      </c>
      <c r="I30" s="1106">
        <f>+'Working - Sugar + Cogen'!I41+'Working - Distillery'!I68+'Working - Corporate'!I22</f>
        <v>48.69128221199999</v>
      </c>
      <c r="J30" s="1106">
        <f>+'Working - Sugar + Cogen'!J41+'Working - Distillery'!J68+'Working - Corporate'!J22</f>
        <v>54.751587528802261</v>
      </c>
      <c r="K30" s="312">
        <f>+'Working - Sugar + Cogen'!K41+'Working - Distillery'!K68+'Working - Corporate'!K22</f>
        <v>66.308063136557834</v>
      </c>
      <c r="L30" s="312">
        <f>+'Working - Sugar + Cogen'!L41+'Working - Distillery'!L68+'Working - Corporate'!L22</f>
        <v>70.926770379055483</v>
      </c>
      <c r="M30" s="312">
        <f>+'Working - Sugar + Cogen'!M41+'Working - Distillery'!M68+'Working - Corporate'!M22</f>
        <v>73.363167824018149</v>
      </c>
      <c r="N30" s="312">
        <f>+'Working - Sugar + Cogen'!N41+'Working - Distillery'!N68+'Working - Corporate'!N22</f>
        <v>74.922118382944959</v>
      </c>
      <c r="O30" s="312">
        <f>+'Working - Sugar + Cogen'!O41+'Working - Distillery'!O68+'Working - Corporate'!O22</f>
        <v>76.423529669540216</v>
      </c>
      <c r="P30" s="312">
        <f>+'Working - Sugar + Cogen'!P41+'Working - Distillery'!P68+'Working - Corporate'!P22</f>
        <v>77.952000262931023</v>
      </c>
      <c r="Q30" s="312">
        <f>+'Working - Sugar + Cogen'!Q41+'Working - Distillery'!Q68+'Working - Corporate'!Q22</f>
        <v>79.511040268189632</v>
      </c>
      <c r="R30" s="312">
        <f>+'Working - Sugar + Cogen'!R41+'Working - Distillery'!R68+'Working - Corporate'!R22</f>
        <v>81.101261073553431</v>
      </c>
      <c r="S30" s="312">
        <f>+'Working - Sugar + Cogen'!S41+'Working - Distillery'!S68+'Working - Corporate'!S22</f>
        <v>82.723286295024494</v>
      </c>
      <c r="U30" s="116"/>
      <c r="V30" s="116"/>
      <c r="W30" s="116"/>
      <c r="Z30" s="398"/>
      <c r="AA30" s="398"/>
      <c r="AB30" s="398"/>
      <c r="AC30" s="398"/>
      <c r="AD30" s="398"/>
      <c r="AE30" s="398"/>
      <c r="AF30" s="398"/>
      <c r="AG30" s="398"/>
      <c r="AH30" s="398"/>
      <c r="AI30" s="398"/>
      <c r="AJ30" s="398"/>
      <c r="AL30" s="398"/>
      <c r="AM30" s="398"/>
      <c r="AN30" s="398"/>
      <c r="AO30" s="398"/>
      <c r="AP30" s="398"/>
      <c r="AQ30" s="398"/>
      <c r="AR30" s="398"/>
      <c r="AS30" s="398"/>
      <c r="AT30" s="398"/>
      <c r="AU30" s="398"/>
      <c r="AV30" s="398"/>
    </row>
    <row r="31" spans="1:48" x14ac:dyDescent="0.35">
      <c r="B31" s="396" t="s">
        <v>65</v>
      </c>
      <c r="C31" s="396"/>
      <c r="D31" s="396"/>
      <c r="E31" s="1106">
        <f>+'Working - Sugar + Cogen'!E42</f>
        <v>12.649409334</v>
      </c>
      <c r="F31" s="1106">
        <f>+'Working - Sugar + Cogen'!F42</f>
        <v>15.477437988</v>
      </c>
      <c r="G31" s="1106">
        <f>+'Working - Sugar + Cogen'!G42</f>
        <v>15.140340988000002</v>
      </c>
      <c r="H31" s="1106">
        <f>+'Working - Sugar + Cogen'!H42</f>
        <v>15.419252444</v>
      </c>
      <c r="I31" s="1106">
        <f>+'Working - Sugar + Cogen'!I42</f>
        <v>12.457967025</v>
      </c>
      <c r="J31" s="1106">
        <f>+'Working - Sugar + Cogen'!J42</f>
        <v>14.911740912907089</v>
      </c>
      <c r="K31" s="312">
        <f>+'Working - Sugar + Cogen'!K42</f>
        <v>15.627814904851386</v>
      </c>
      <c r="L31" s="312">
        <f>+'Working - Sugar + Cogen'!L42</f>
        <v>16.871951338185653</v>
      </c>
      <c r="M31" s="312">
        <f>+'Working - Sugar + Cogen'!M42</f>
        <v>17.420548528936475</v>
      </c>
      <c r="N31" s="312">
        <f>+'Working - Sugar + Cogen'!N42</f>
        <v>17.768959499515205</v>
      </c>
      <c r="O31" s="312">
        <f>+'Working - Sugar + Cogen'!O42</f>
        <v>18.12433868950551</v>
      </c>
      <c r="P31" s="312">
        <f>+'Working - Sugar + Cogen'!P42</f>
        <v>18.48682546329562</v>
      </c>
      <c r="Q31" s="312">
        <f>+'Working - Sugar + Cogen'!Q42</f>
        <v>18.856561972561536</v>
      </c>
      <c r="R31" s="312">
        <f>+'Working - Sugar + Cogen'!R42</f>
        <v>19.233693212012767</v>
      </c>
      <c r="S31" s="312">
        <f>+'Working - Sugar + Cogen'!S42</f>
        <v>19.618367076253019</v>
      </c>
      <c r="U31" s="116"/>
      <c r="V31" s="116"/>
      <c r="W31" s="116"/>
      <c r="Z31" s="398"/>
      <c r="AA31" s="398"/>
      <c r="AB31" s="398"/>
      <c r="AC31" s="398"/>
      <c r="AD31" s="398"/>
      <c r="AE31" s="398"/>
      <c r="AF31" s="398"/>
      <c r="AG31" s="398"/>
      <c r="AH31" s="398"/>
      <c r="AI31" s="398"/>
      <c r="AJ31" s="398"/>
      <c r="AL31" s="398"/>
      <c r="AM31" s="398"/>
      <c r="AN31" s="398"/>
      <c r="AO31" s="398"/>
      <c r="AP31" s="398"/>
      <c r="AQ31" s="398"/>
      <c r="AR31" s="398"/>
      <c r="AS31" s="398"/>
      <c r="AT31" s="398"/>
      <c r="AU31" s="398"/>
      <c r="AV31" s="398"/>
    </row>
    <row r="32" spans="1:48" s="58" customFormat="1" x14ac:dyDescent="0.35">
      <c r="B32" s="1352" t="s">
        <v>66</v>
      </c>
      <c r="C32" s="1352"/>
      <c r="D32" s="1538"/>
      <c r="E32" s="102">
        <f>SUM('Working - Sugar + Cogen'!E47:E49)+'Working - Distillery'!E67+'Working - Corporate'!E23+'Working - Corporate'!E24</f>
        <v>91.727289005999992</v>
      </c>
      <c r="F32" s="102">
        <f>SUM('Working - Sugar + Cogen'!F47:F49)+'Working - Distillery'!F67+'Working - Corporate'!F23+'Working - Corporate'!F24</f>
        <v>129.50941306800001</v>
      </c>
      <c r="G32" s="102">
        <f>SUM('Working - Sugar + Cogen'!G47:G49)+'Working - Distillery'!G67+'Working - Corporate'!G23+'Working - Corporate'!G24</f>
        <v>158.11597693699997</v>
      </c>
      <c r="H32" s="102">
        <f>SUM('Working - Sugar + Cogen'!H47:H49)+'Working - Distillery'!H67+'Working - Corporate'!H23+'Working - Corporate'!H24</f>
        <v>336.171702079</v>
      </c>
      <c r="I32" s="102">
        <f>SUM('Working - Sugar + Cogen'!I47:I49)+'Working - Distillery'!I67+'Working - Corporate'!I23+'Working - Corporate'!I24</f>
        <v>242.058050761</v>
      </c>
      <c r="J32" s="102">
        <f>SUM('Working - Sugar + Cogen'!J47:J49)+'Working - Distillery'!J67+'Working - Corporate'!J23+'Working - Corporate'!J24</f>
        <v>157.1272988780637</v>
      </c>
      <c r="K32" s="102">
        <f>SUM('Working - Sugar + Cogen'!K47:K49)+'Working - Distillery'!K67+'Working - Corporate'!K23+'Working - Corporate'!K24</f>
        <v>159.2990845990914</v>
      </c>
      <c r="L32" s="102">
        <f>SUM('Working - Sugar + Cogen'!L47:L49)+'Working - Distillery'!L67+'Working - Corporate'!L23+'Working - Corporate'!L24</f>
        <v>167.19293636340149</v>
      </c>
      <c r="M32" s="102">
        <f>SUM('Working - Sugar + Cogen'!M47:M49)+'Working - Distillery'!M67+'Working - Corporate'!M23+'Working - Corporate'!M24</f>
        <v>171.02491638729506</v>
      </c>
      <c r="N32" s="102">
        <f>SUM('Working - Sugar + Cogen'!N47:N49)+'Working - Distillery'!N67+'Working - Corporate'!N23+'Working - Corporate'!N24</f>
        <v>174.47030890116889</v>
      </c>
      <c r="O32" s="102">
        <f>SUM('Working - Sugar + Cogen'!O47:O49)+'Working - Distillery'!O67+'Working - Corporate'!O23+'Working - Corporate'!O24</f>
        <v>177.95971507919225</v>
      </c>
      <c r="P32" s="102">
        <f>SUM('Working - Sugar + Cogen'!P47:P49)+'Working - Distillery'!P67+'Working - Corporate'!P23+'Working - Corporate'!P24</f>
        <v>181.51890938077614</v>
      </c>
      <c r="Q32" s="102">
        <f>SUM('Working - Sugar + Cogen'!Q47:Q49)+'Working - Distillery'!Q67+'Working - Corporate'!Q23+'Working - Corporate'!Q24</f>
        <v>185.14928756839166</v>
      </c>
      <c r="R32" s="102">
        <f>SUM('Working - Sugar + Cogen'!R47:R49)+'Working - Distillery'!R67+'Working - Corporate'!R23+'Working - Corporate'!R24</f>
        <v>188.85227331975949</v>
      </c>
      <c r="S32" s="71">
        <f>SUM('Working - Sugar + Cogen'!S47:S49)+'Working - Distillery'!S67+'Working - Corporate'!S23+'Working - Corporate'!S24</f>
        <v>192.6293187861547</v>
      </c>
      <c r="U32" s="1734"/>
      <c r="V32" s="1734"/>
      <c r="W32" s="158"/>
      <c r="Z32" s="565"/>
      <c r="AA32" s="565"/>
      <c r="AB32" s="565"/>
      <c r="AC32" s="565"/>
      <c r="AD32" s="565"/>
      <c r="AE32" s="565"/>
      <c r="AF32" s="565"/>
      <c r="AG32" s="565"/>
      <c r="AH32" s="565"/>
      <c r="AI32" s="565"/>
      <c r="AJ32" s="565"/>
      <c r="AL32" s="398"/>
      <c r="AM32" s="398"/>
      <c r="AN32" s="398"/>
      <c r="AO32" s="398"/>
      <c r="AP32" s="398"/>
      <c r="AQ32" s="398"/>
      <c r="AR32" s="398"/>
      <c r="AS32" s="398"/>
      <c r="AT32" s="398"/>
      <c r="AU32" s="398"/>
      <c r="AV32" s="398"/>
    </row>
    <row r="33" spans="2:48" x14ac:dyDescent="0.35">
      <c r="B33" s="396" t="s">
        <v>67</v>
      </c>
      <c r="C33" s="396"/>
      <c r="D33" s="396"/>
      <c r="E33" s="1106">
        <f>+'Working - Sugar + Cogen'!E52+'Working - Distillery'!E72+'Working - Corporate'!E25</f>
        <v>12.921987375000114</v>
      </c>
      <c r="F33" s="1106">
        <f>+'Working - Sugar + Cogen'!F52+'Working - Distillery'!F72+'Working - Corporate'!F25</f>
        <v>14.626720739999962</v>
      </c>
      <c r="G33" s="1106">
        <f>+'Working - Sugar + Cogen'!G52+'Working - Distillery'!G72+'Working - Corporate'!G25</f>
        <v>25.935486141999991</v>
      </c>
      <c r="H33" s="1106">
        <f>+'Working - Sugar + Cogen'!H52+'Working - Distillery'!H72+'Working - Corporate'!H25</f>
        <v>25.863745106</v>
      </c>
      <c r="I33" s="1106">
        <f>+'Working - Sugar + Cogen'!I52+'Working - Distillery'!I72+'Working - Corporate'!I25</f>
        <v>19.448642420999999</v>
      </c>
      <c r="J33" s="1106">
        <f>+'Working - Sugar + Cogen'!J52+'Working - Distillery'!J72+'Working - Corporate'!J25</f>
        <v>19.837615269419999</v>
      </c>
      <c r="K33" s="312">
        <f>+'Working - Sugar + Cogen'!K52+'Working - Distillery'!K72+'Working - Corporate'!K25</f>
        <v>20.234367574808399</v>
      </c>
      <c r="L33" s="312">
        <f>+'Working - Sugar + Cogen'!L52+'Working - Distillery'!L72+'Working - Corporate'!L25</f>
        <v>20.639054926304564</v>
      </c>
      <c r="M33" s="312">
        <f>+'Working - Sugar + Cogen'!M52+'Working - Distillery'!M72+'Working - Corporate'!M25</f>
        <v>21.051836024830656</v>
      </c>
      <c r="N33" s="312">
        <f>+'Working - Sugar + Cogen'!N52+'Working - Distillery'!N72+'Working - Corporate'!N25</f>
        <v>21.472872745327273</v>
      </c>
      <c r="O33" s="312">
        <f>+'Working - Sugar + Cogen'!O52+'Working - Distillery'!O72+'Working - Corporate'!O25</f>
        <v>21.902330200233816</v>
      </c>
      <c r="P33" s="312">
        <f>+'Working - Sugar + Cogen'!P52+'Working - Distillery'!P72+'Working - Corporate'!P25</f>
        <v>22.340376804238492</v>
      </c>
      <c r="Q33" s="312">
        <f>+'Working - Sugar + Cogen'!Q52+'Working - Distillery'!Q72+'Working - Corporate'!Q25</f>
        <v>22.787184340323265</v>
      </c>
      <c r="R33" s="312">
        <f>+'Working - Sugar + Cogen'!R52+'Working - Distillery'!R72+'Working - Corporate'!R25</f>
        <v>23.242928027129732</v>
      </c>
      <c r="S33" s="312">
        <f>+'Working - Sugar + Cogen'!S52+'Working - Distillery'!S72+'Working - Corporate'!S25</f>
        <v>23.707786587672324</v>
      </c>
      <c r="U33" s="116"/>
      <c r="V33" s="116"/>
      <c r="W33" s="116"/>
      <c r="Z33" s="398"/>
      <c r="AA33" s="398"/>
      <c r="AB33" s="398"/>
      <c r="AC33" s="398"/>
      <c r="AD33" s="398"/>
      <c r="AE33" s="398"/>
      <c r="AF33" s="398"/>
      <c r="AG33" s="398"/>
      <c r="AH33" s="398"/>
      <c r="AI33" s="398"/>
      <c r="AJ33" s="398"/>
      <c r="AL33" s="398"/>
      <c r="AM33" s="398"/>
      <c r="AN33" s="398"/>
      <c r="AO33" s="398"/>
      <c r="AP33" s="398"/>
      <c r="AQ33" s="398"/>
      <c r="AR33" s="398"/>
      <c r="AS33" s="398"/>
      <c r="AT33" s="398"/>
      <c r="AU33" s="398"/>
      <c r="AV33" s="398"/>
    </row>
    <row r="34" spans="2:48" x14ac:dyDescent="0.35">
      <c r="B34" s="396" t="s">
        <v>69</v>
      </c>
      <c r="C34" s="396"/>
      <c r="D34" s="396"/>
      <c r="E34" s="1106">
        <f>+'Working - Sugar + Cogen'!E53+'Working - Distillery'!E75+'Working - Corporate'!E27-('Working - Corporate'!E15+'Working - Corporate'!E16+'Working - Corporate'!E18+'Working - Corporate'!E22+'Working - Corporate'!E23+'Working - Corporate'!E24+'Working - Corporate'!E25+'Working - Corporate'!E13)</f>
        <v>107.467658665</v>
      </c>
      <c r="F34" s="1106">
        <f>+'Working - Sugar + Cogen'!F53+'Working - Distillery'!F75+'Working - Corporate'!F27-('Working - Corporate'!F15+'Working - Corporate'!F16+'Working - Corporate'!F18+'Working - Corporate'!F22+'Working - Corporate'!F23+'Working - Corporate'!F24+'Working - Corporate'!F25+'Working - Corporate'!F13)</f>
        <v>70.315790480999993</v>
      </c>
      <c r="G34" s="1106">
        <f>+'Working - Sugar + Cogen'!G53+'Working - Distillery'!G75+'Working - Corporate'!G27-('Working - Corporate'!G15+'Working - Corporate'!G16+'Working - Corporate'!G18+'Working - Corporate'!G22+'Working - Corporate'!G23+'Working - Corporate'!G24+'Working - Corporate'!G25+'Working - Corporate'!G13)</f>
        <v>74.311351255999995</v>
      </c>
      <c r="H34" s="1106">
        <f>+'Working - Sugar + Cogen'!H53+'Working - Distillery'!H75+'Working - Corporate'!H27-('Working - Corporate'!H15+'Working - Corporate'!H16+'Working - Corporate'!H18+'Working - Corporate'!H22+'Working - Corporate'!H23+'Working - Corporate'!H24+'Working - Corporate'!H25+'Working - Corporate'!H13)</f>
        <v>66.6554</v>
      </c>
      <c r="I34" s="1106">
        <f>+'Working - Sugar + Cogen'!I53+'Working - Distillery'!I75+'Working - Corporate'!I27-('Working - Corporate'!I15+'Working - Corporate'!I16+'Working - Corporate'!I18+'Working - Corporate'!I22+'Working - Corporate'!I23+'Working - Corporate'!I24+'Working - Corporate'!I25+'Working - Corporate'!I13)</f>
        <v>74.040352471999995</v>
      </c>
      <c r="J34" s="1106">
        <f>+'Working - Sugar + Cogen'!J53+'Working - Distillery'!J75+'Working - Corporate'!J27-('Working - Corporate'!J15+'Working - Corporate'!J16+'Working - Corporate'!J18+'Working - Corporate'!J22+'Working - Corporate'!J23+'Working - Corporate'!J24+'Working - Corporate'!J25+'Working - Corporate'!J13)</f>
        <v>68.165863123439991</v>
      </c>
      <c r="K34" s="312">
        <f>+'Working - Sugar + Cogen'!K53+'Working - Distillery'!K75+'Working - Corporate'!K27-('Working - Corporate'!K15+'Working - Corporate'!K16+'Working - Corporate'!K18+'Working - Corporate'!K22+'Working - Corporate'!K23+'Working - Corporate'!K24+'Working - Corporate'!K25+'Working - Corporate'!K13)</f>
        <v>69.529180385908802</v>
      </c>
      <c r="L34" s="312">
        <f>+'Working - Sugar + Cogen'!L53+'Working - Distillery'!L75+'Working - Corporate'!L27-('Working - Corporate'!L15+'Working - Corporate'!L16+'Working - Corporate'!L18+'Working - Corporate'!L22+'Working - Corporate'!L23+'Working - Corporate'!L24+'Working - Corporate'!L25+'Working - Corporate'!L13)</f>
        <v>70.919763993626987</v>
      </c>
      <c r="M34" s="312">
        <f>+'Working - Sugar + Cogen'!M53+'Working - Distillery'!M75+'Working - Corporate'!M27-('Working - Corporate'!M15+'Working - Corporate'!M16+'Working - Corporate'!M18+'Working - Corporate'!M22+'Working - Corporate'!M23+'Working - Corporate'!M24+'Working - Corporate'!M25+'Working - Corporate'!M13)</f>
        <v>72.338159273499514</v>
      </c>
      <c r="N34" s="312">
        <f>+'Working - Sugar + Cogen'!N53+'Working - Distillery'!N75+'Working - Corporate'!N27-('Working - Corporate'!N15+'Working - Corporate'!N16+'Working - Corporate'!N18+'Working - Corporate'!N22+'Working - Corporate'!N23+'Working - Corporate'!N24+'Working - Corporate'!N25+'Working - Corporate'!N13)</f>
        <v>73.784922458969504</v>
      </c>
      <c r="O34" s="312">
        <f>+'Working - Sugar + Cogen'!O53+'Working - Distillery'!O75+'Working - Corporate'!O27-('Working - Corporate'!O15+'Working - Corporate'!O16+'Working - Corporate'!O18+'Working - Corporate'!O22+'Working - Corporate'!O23+'Working - Corporate'!O24+'Working - Corporate'!O25+'Working - Corporate'!O13)</f>
        <v>75.260620908148923</v>
      </c>
      <c r="P34" s="312">
        <f>+'Working - Sugar + Cogen'!P53+'Working - Distillery'!P75+'Working - Corporate'!P27-('Working - Corporate'!P15+'Working - Corporate'!P16+'Working - Corporate'!P18+'Working - Corporate'!P22+'Working - Corporate'!P23+'Working - Corporate'!P24+'Working - Corporate'!P25+'Working - Corporate'!P13)</f>
        <v>76.765833326311906</v>
      </c>
      <c r="Q34" s="312">
        <f>+'Working - Sugar + Cogen'!Q53+'Working - Distillery'!Q75+'Working - Corporate'!Q27-('Working - Corporate'!Q15+'Working - Corporate'!Q16+'Working - Corporate'!Q18+'Working - Corporate'!Q22+'Working - Corporate'!Q23+'Working - Corporate'!Q24+'Working - Corporate'!Q25+'Working - Corporate'!Q13)</f>
        <v>78.301149992838134</v>
      </c>
      <c r="R34" s="312">
        <f>+'Working - Sugar + Cogen'!R53+'Working - Distillery'!R75+'Working - Corporate'!R27-('Working - Corporate'!R15+'Working - Corporate'!R16+'Working - Corporate'!R18+'Working - Corporate'!R22+'Working - Corporate'!R23+'Working - Corporate'!R24+'Working - Corporate'!R25+'Working - Corporate'!R13)</f>
        <v>79.86717299269489</v>
      </c>
      <c r="S34" s="312">
        <f>+'Working - Sugar + Cogen'!S53+'Working - Distillery'!S75+'Working - Corporate'!S27-('Working - Corporate'!S15+'Working - Corporate'!S16+'Working - Corporate'!S18+'Working - Corporate'!S22+'Working - Corporate'!S23+'Working - Corporate'!S24+'Working - Corporate'!S25+'Working - Corporate'!S13)</f>
        <v>81.464516452548793</v>
      </c>
      <c r="U34" s="116"/>
      <c r="V34" s="116"/>
      <c r="W34" s="116"/>
      <c r="Z34" s="398"/>
      <c r="AA34" s="398"/>
      <c r="AB34" s="398"/>
      <c r="AC34" s="398"/>
      <c r="AD34" s="398"/>
      <c r="AE34" s="398"/>
      <c r="AF34" s="398"/>
      <c r="AG34" s="398"/>
      <c r="AH34" s="398"/>
      <c r="AI34" s="398"/>
      <c r="AJ34" s="398"/>
      <c r="AL34" s="398"/>
      <c r="AM34" s="398"/>
      <c r="AN34" s="398"/>
      <c r="AO34" s="398"/>
      <c r="AP34" s="398"/>
      <c r="AQ34" s="398"/>
      <c r="AR34" s="398"/>
      <c r="AS34" s="398"/>
      <c r="AT34" s="398"/>
      <c r="AU34" s="398"/>
      <c r="AV34" s="398"/>
    </row>
    <row r="35" spans="2:48" x14ac:dyDescent="0.35">
      <c r="B35" s="103" t="s">
        <v>248</v>
      </c>
      <c r="C35" s="103"/>
      <c r="D35" s="103"/>
      <c r="E35" s="123">
        <f t="shared" ref="E35:R35" si="4">E20+E22+E23+E24+E21</f>
        <v>5655.5400598540018</v>
      </c>
      <c r="F35" s="123">
        <f t="shared" si="4"/>
        <v>6500.6613305393321</v>
      </c>
      <c r="G35" s="123">
        <f t="shared" si="4"/>
        <v>6207.0035313732633</v>
      </c>
      <c r="H35" s="123">
        <f t="shared" si="4"/>
        <v>6492.6292522451095</v>
      </c>
      <c r="I35" s="123">
        <f t="shared" si="4"/>
        <v>5344.4106735238274</v>
      </c>
      <c r="J35" s="123">
        <f t="shared" si="4"/>
        <v>6240.7371179037891</v>
      </c>
      <c r="K35" s="123">
        <f t="shared" si="4"/>
        <v>6802.13407354847</v>
      </c>
      <c r="L35" s="123">
        <f t="shared" si="4"/>
        <v>7305.3837462669781</v>
      </c>
      <c r="M35" s="123">
        <f t="shared" si="4"/>
        <v>7572.4191097314933</v>
      </c>
      <c r="N35" s="123">
        <f t="shared" si="4"/>
        <v>7757.7832848830767</v>
      </c>
      <c r="O35" s="123">
        <f t="shared" si="4"/>
        <v>7943.949206134931</v>
      </c>
      <c r="P35" s="123">
        <f t="shared" si="4"/>
        <v>8136.141572280635</v>
      </c>
      <c r="Q35" s="123">
        <f t="shared" si="4"/>
        <v>8334.8546673847632</v>
      </c>
      <c r="R35" s="123">
        <f t="shared" si="4"/>
        <v>8475.899775082562</v>
      </c>
      <c r="S35" s="123">
        <f>S20+S22+S23+S24+S21</f>
        <v>8645.3815707585254</v>
      </c>
      <c r="U35" s="116"/>
      <c r="V35" s="116"/>
      <c r="W35" s="116"/>
      <c r="Z35" s="398"/>
      <c r="AA35" s="398"/>
      <c r="AB35" s="398"/>
      <c r="AC35" s="398"/>
      <c r="AD35" s="398"/>
      <c r="AE35" s="398"/>
      <c r="AF35" s="398"/>
      <c r="AG35" s="398"/>
      <c r="AH35" s="398"/>
      <c r="AI35" s="398"/>
      <c r="AJ35" s="398"/>
      <c r="AL35" s="398"/>
      <c r="AM35" s="398"/>
      <c r="AN35" s="398"/>
      <c r="AO35" s="398"/>
      <c r="AP35" s="398"/>
      <c r="AQ35" s="398"/>
      <c r="AR35" s="398"/>
      <c r="AS35" s="398"/>
      <c r="AT35" s="398"/>
      <c r="AU35" s="398"/>
      <c r="AV35" s="398"/>
    </row>
    <row r="36" spans="2:48" x14ac:dyDescent="0.35">
      <c r="B36" s="103" t="s">
        <v>72</v>
      </c>
      <c r="C36" s="103"/>
      <c r="D36" s="230"/>
      <c r="E36" s="123">
        <f t="shared" ref="E36:S36" si="5">E17-E35</f>
        <v>449.7684268628982</v>
      </c>
      <c r="F36" s="123">
        <f t="shared" si="5"/>
        <v>466.77489496346789</v>
      </c>
      <c r="G36" s="123">
        <f t="shared" si="5"/>
        <v>469.60484953673586</v>
      </c>
      <c r="H36" s="123">
        <f t="shared" si="5"/>
        <v>195.56989374408931</v>
      </c>
      <c r="I36" s="123">
        <f t="shared" si="5"/>
        <v>245.81128392615665</v>
      </c>
      <c r="J36" s="177">
        <f t="shared" si="5"/>
        <v>393.21076018756958</v>
      </c>
      <c r="K36" s="123">
        <f t="shared" si="5"/>
        <v>465.29540558861845</v>
      </c>
      <c r="L36" s="123">
        <f t="shared" si="5"/>
        <v>544.7902245309815</v>
      </c>
      <c r="M36" s="123">
        <f t="shared" si="5"/>
        <v>565.71099102413427</v>
      </c>
      <c r="N36" s="123">
        <f t="shared" si="5"/>
        <v>577.2414238969759</v>
      </c>
      <c r="O36" s="123">
        <f t="shared" si="5"/>
        <v>589.97793642805391</v>
      </c>
      <c r="P36" s="123">
        <f t="shared" si="5"/>
        <v>601.38803126051698</v>
      </c>
      <c r="Q36" s="123">
        <f t="shared" si="5"/>
        <v>611.18410003354984</v>
      </c>
      <c r="R36" s="1713">
        <f t="shared" si="5"/>
        <v>683.67385951186952</v>
      </c>
      <c r="S36" s="1713">
        <f t="shared" si="5"/>
        <v>732.87453637749422</v>
      </c>
      <c r="U36" s="1796"/>
      <c r="V36" s="1796"/>
      <c r="W36" s="116"/>
      <c r="Z36" s="398"/>
      <c r="AA36" s="398"/>
      <c r="AB36" s="398"/>
      <c r="AC36" s="398"/>
      <c r="AD36" s="398"/>
      <c r="AE36" s="398"/>
      <c r="AF36" s="398"/>
      <c r="AG36" s="398"/>
      <c r="AH36" s="398"/>
      <c r="AI36" s="398"/>
      <c r="AJ36" s="398"/>
      <c r="AL36" s="398"/>
      <c r="AM36" s="398"/>
      <c r="AN36" s="398"/>
      <c r="AO36" s="398"/>
      <c r="AP36" s="398"/>
      <c r="AQ36" s="398"/>
      <c r="AR36" s="398"/>
      <c r="AS36" s="398"/>
      <c r="AT36" s="398"/>
      <c r="AU36" s="398"/>
      <c r="AV36" s="398"/>
    </row>
    <row r="37" spans="2:48" x14ac:dyDescent="0.35">
      <c r="B37" s="98" t="s">
        <v>380</v>
      </c>
      <c r="C37" s="98"/>
      <c r="D37" s="98"/>
      <c r="E37" s="363">
        <f t="shared" ref="E37:R37" si="6">E36/E17</f>
        <v>7.3668419514172495E-2</v>
      </c>
      <c r="F37" s="99">
        <f t="shared" si="6"/>
        <v>6.6993780761844493E-2</v>
      </c>
      <c r="G37" s="99">
        <f t="shared" si="6"/>
        <v>7.0335838609232662E-2</v>
      </c>
      <c r="H37" s="99">
        <f t="shared" si="6"/>
        <v>2.9241039250658275E-2</v>
      </c>
      <c r="I37" s="99">
        <f t="shared" si="6"/>
        <v>4.3971650105693663E-2</v>
      </c>
      <c r="J37" s="1733">
        <f t="shared" si="6"/>
        <v>5.9272512750085028E-2</v>
      </c>
      <c r="K37" s="99">
        <f t="shared" si="6"/>
        <v>6.4024756886098627E-2</v>
      </c>
      <c r="L37" s="99">
        <f t="shared" si="6"/>
        <v>6.9398490601298657E-2</v>
      </c>
      <c r="M37" s="99">
        <f t="shared" si="6"/>
        <v>6.951363323272601E-2</v>
      </c>
      <c r="N37" s="99">
        <f t="shared" si="6"/>
        <v>6.9254914540194959E-2</v>
      </c>
      <c r="O37" s="99">
        <f t="shared" si="6"/>
        <v>6.9133228649860073E-2</v>
      </c>
      <c r="P37" s="99">
        <f t="shared" si="6"/>
        <v>6.8828153785800747E-2</v>
      </c>
      <c r="Q37" s="99">
        <f t="shared" si="6"/>
        <v>6.8318963948546363E-2</v>
      </c>
      <c r="R37" s="99">
        <f t="shared" si="6"/>
        <v>7.4640358469277301E-2</v>
      </c>
      <c r="S37" s="587">
        <f>S36/S17</f>
        <v>7.8146142311025374E-2</v>
      </c>
      <c r="U37" s="116"/>
      <c r="V37" s="116"/>
      <c r="W37" s="116"/>
      <c r="Z37" s="398"/>
      <c r="AA37" s="398"/>
      <c r="AB37" s="398"/>
      <c r="AC37" s="398"/>
      <c r="AD37" s="398"/>
      <c r="AE37" s="398"/>
      <c r="AF37" s="398"/>
      <c r="AG37" s="398"/>
      <c r="AH37" s="398"/>
      <c r="AI37" s="398"/>
      <c r="AJ37" s="398"/>
      <c r="AL37" s="398"/>
      <c r="AM37" s="398"/>
      <c r="AN37" s="398"/>
      <c r="AO37" s="398"/>
      <c r="AP37" s="398"/>
      <c r="AQ37" s="398"/>
      <c r="AR37" s="398"/>
      <c r="AS37" s="398"/>
      <c r="AT37" s="398"/>
      <c r="AU37" s="398"/>
      <c r="AV37" s="398"/>
    </row>
    <row r="38" spans="2:48" x14ac:dyDescent="0.35">
      <c r="B38" s="224" t="s">
        <v>53</v>
      </c>
      <c r="C38" s="224"/>
      <c r="D38" s="224"/>
      <c r="E38" s="77">
        <v>680.17000000000007</v>
      </c>
      <c r="F38" s="77">
        <v>321.77999999999997</v>
      </c>
      <c r="G38" s="122">
        <f>+'Working - Corporate'!G40</f>
        <v>300.75</v>
      </c>
      <c r="H38" s="122">
        <f>+'Working - Corporate'!H40</f>
        <v>263.08</v>
      </c>
      <c r="I38" s="63">
        <f>+'Working - Corporate'!I40</f>
        <v>253.54593660300003</v>
      </c>
      <c r="J38" s="63">
        <f>+'Working - Corporate'!J40</f>
        <v>1927.8509328252517</v>
      </c>
      <c r="K38" s="122">
        <f>+'Working - Corporate'!K40</f>
        <v>115.37655044977427</v>
      </c>
      <c r="L38" s="122">
        <f>+'Working - Corporate'!L40</f>
        <v>149.47046473988843</v>
      </c>
      <c r="M38" s="122">
        <f>+'Working - Corporate'!M40</f>
        <v>143.70003839953796</v>
      </c>
      <c r="N38" s="122">
        <f>+'Working - Corporate'!N40</f>
        <v>129.91899332770834</v>
      </c>
      <c r="O38" s="122">
        <f>+'Working - Corporate'!O40</f>
        <v>113.90871434053656</v>
      </c>
      <c r="P38" s="122">
        <f>+'Working - Corporate'!P40</f>
        <v>93.709205164645553</v>
      </c>
      <c r="Q38" s="122">
        <f>+'Working - Corporate'!Q40</f>
        <v>74.130010808844659</v>
      </c>
      <c r="R38" s="1566">
        <f>+'Working - Corporate'!R40</f>
        <v>62.483430773508132</v>
      </c>
      <c r="S38" s="1566">
        <f>+'Working - Corporate'!S40</f>
        <v>62.772164305969099</v>
      </c>
      <c r="U38" s="116"/>
      <c r="V38" s="116"/>
      <c r="W38" s="116"/>
      <c r="X38" s="398"/>
      <c r="Y38" s="398"/>
      <c r="Z38" s="398"/>
      <c r="AA38" s="398"/>
      <c r="AB38" s="398"/>
      <c r="AC38" s="398"/>
      <c r="AD38" s="398"/>
      <c r="AE38" s="398"/>
      <c r="AF38" s="398"/>
      <c r="AG38" s="398"/>
      <c r="AH38" s="398"/>
      <c r="AI38" s="398"/>
      <c r="AJ38" s="398"/>
      <c r="AL38" s="398"/>
      <c r="AM38" s="398"/>
      <c r="AN38" s="398"/>
      <c r="AO38" s="398"/>
      <c r="AP38" s="398"/>
      <c r="AQ38" s="398"/>
      <c r="AR38" s="398"/>
      <c r="AS38" s="398"/>
      <c r="AT38" s="398"/>
      <c r="AU38" s="398"/>
      <c r="AV38" s="398"/>
    </row>
    <row r="39" spans="2:48" x14ac:dyDescent="0.35">
      <c r="B39" s="224" t="s">
        <v>54</v>
      </c>
      <c r="C39" s="224"/>
      <c r="D39" s="224"/>
      <c r="E39" s="311">
        <v>196.91</v>
      </c>
      <c r="F39" s="311">
        <v>211.33</v>
      </c>
      <c r="G39" s="311">
        <v>215.873643684</v>
      </c>
      <c r="H39" s="311">
        <v>215.163237815</v>
      </c>
      <c r="I39" s="311">
        <f>'Fixed Asset schedule'!I70+'Fixed Asset schedule'!I92+'Fixed Asset schedule'!I100+'Fixed Asset schedule'!I108</f>
        <v>214.63</v>
      </c>
      <c r="J39" s="311">
        <f>'Fixed Asset schedule'!J70+'Fixed Asset schedule'!J92+'Fixed Asset schedule'!J100+'Fixed Asset schedule'!J108</f>
        <v>215.8294257165827</v>
      </c>
      <c r="K39" s="122">
        <f>'Fixed Asset schedule'!K70+'Fixed Asset schedule'!K92+'Fixed Asset schedule'!K100+'Fixed Asset schedule'!K108</f>
        <v>215.20442435589436</v>
      </c>
      <c r="L39" s="122">
        <f>'Fixed Asset schedule'!L70+'Fixed Asset schedule'!L92+'Fixed Asset schedule'!L100+'Fixed Asset schedule'!L108</f>
        <v>214.13942299520602</v>
      </c>
      <c r="M39" s="122">
        <f>'Fixed Asset schedule'!M70+'Fixed Asset schedule'!M92+'Fixed Asset schedule'!M100+'Fixed Asset schedule'!M108</f>
        <v>214.62442163451766</v>
      </c>
      <c r="N39" s="122">
        <f>'Fixed Asset schedule'!N70+'Fixed Asset schedule'!N92+'Fixed Asset schedule'!N100+'Fixed Asset schedule'!N108</f>
        <v>214.64630845948335</v>
      </c>
      <c r="O39" s="122">
        <f>'Fixed Asset schedule'!O70+'Fixed Asset schedule'!O92+'Fixed Asset schedule'!O100+'Fixed Asset schedule'!O108</f>
        <v>214.72379655027177</v>
      </c>
      <c r="P39" s="122">
        <f>'Fixed Asset schedule'!P70+'Fixed Asset schedule'!P92+'Fixed Asset schedule'!P100+'Fixed Asset schedule'!P108</f>
        <v>215.20879518958344</v>
      </c>
      <c r="Q39" s="122">
        <f>'Fixed Asset schedule'!Q70+'Fixed Asset schedule'!Q92+'Fixed Asset schedule'!Q100+'Fixed Asset schedule'!Q108</f>
        <v>215.69379382889508</v>
      </c>
      <c r="R39" s="1566">
        <f>'Fixed Asset schedule'!R70+'Fixed Asset schedule'!R92+'Fixed Asset schedule'!R100+'Fixed Asset schedule'!R108</f>
        <v>216.12553979254363</v>
      </c>
      <c r="S39" s="1566">
        <f>'Fixed Asset schedule'!S70+'Fixed Asset schedule'!S92+'Fixed Asset schedule'!S100+'Fixed Asset schedule'!S108</f>
        <v>211.13009636577809</v>
      </c>
      <c r="U39" s="116"/>
      <c r="V39" s="116"/>
      <c r="W39" s="116"/>
      <c r="X39" s="214"/>
      <c r="Y39" s="214"/>
      <c r="Z39" s="214"/>
      <c r="AA39" s="214"/>
      <c r="AB39" s="214"/>
      <c r="AC39" s="214"/>
      <c r="AD39" s="214"/>
      <c r="AE39" s="214"/>
      <c r="AF39" s="398"/>
      <c r="AG39" s="398"/>
      <c r="AH39" s="398"/>
      <c r="AI39" s="398"/>
      <c r="AJ39" s="398"/>
      <c r="AL39" s="398"/>
      <c r="AM39" s="398"/>
      <c r="AN39" s="398"/>
      <c r="AO39" s="398"/>
      <c r="AP39" s="398"/>
      <c r="AQ39" s="398"/>
      <c r="AR39" s="398"/>
      <c r="AS39" s="398"/>
      <c r="AT39" s="398"/>
      <c r="AU39" s="398"/>
      <c r="AV39" s="398"/>
    </row>
    <row r="40" spans="2:48" x14ac:dyDescent="0.35">
      <c r="B40" s="224" t="s">
        <v>101</v>
      </c>
      <c r="C40" s="224"/>
      <c r="D40" s="224"/>
      <c r="E40" s="311">
        <f>E36-E38-E39</f>
        <v>-427.31157313710185</v>
      </c>
      <c r="F40" s="311">
        <f>F36-F38-F39</f>
        <v>-66.335105036532099</v>
      </c>
      <c r="G40" s="311">
        <f>G36-G38-G39</f>
        <v>-47.018794147264146</v>
      </c>
      <c r="H40" s="311">
        <f t="shared" ref="H40:R40" si="7">H36-H38-H39</f>
        <v>-282.67334407091067</v>
      </c>
      <c r="I40" s="311">
        <f t="shared" si="7"/>
        <v>-222.36465267684338</v>
      </c>
      <c r="J40" s="311">
        <f t="shared" si="7"/>
        <v>-1750.4695983542647</v>
      </c>
      <c r="K40" s="122">
        <f t="shared" si="7"/>
        <v>134.71443078294979</v>
      </c>
      <c r="L40" s="122">
        <f t="shared" si="7"/>
        <v>181.18033679588706</v>
      </c>
      <c r="M40" s="122">
        <f t="shared" si="7"/>
        <v>207.38653099007865</v>
      </c>
      <c r="N40" s="122">
        <f t="shared" si="7"/>
        <v>232.67612210978422</v>
      </c>
      <c r="O40" s="122">
        <f t="shared" si="7"/>
        <v>261.34542553724555</v>
      </c>
      <c r="P40" s="122">
        <f t="shared" si="7"/>
        <v>292.470030906288</v>
      </c>
      <c r="Q40" s="122">
        <f t="shared" si="7"/>
        <v>321.36029539581011</v>
      </c>
      <c r="R40" s="1566">
        <f t="shared" si="7"/>
        <v>405.0648889458177</v>
      </c>
      <c r="S40" s="1566">
        <f>S36-S38-S39</f>
        <v>458.97227570574705</v>
      </c>
      <c r="U40" s="116"/>
      <c r="V40" s="116"/>
      <c r="W40" s="116"/>
      <c r="Z40" s="398"/>
      <c r="AA40" s="398"/>
      <c r="AB40" s="398"/>
      <c r="AC40" s="398"/>
      <c r="AD40" s="398"/>
      <c r="AE40" s="398"/>
      <c r="AF40" s="398"/>
      <c r="AG40" s="398"/>
      <c r="AH40" s="398"/>
      <c r="AI40" s="398"/>
      <c r="AJ40" s="398"/>
      <c r="AL40" s="398"/>
      <c r="AM40" s="398"/>
      <c r="AN40" s="398"/>
      <c r="AO40" s="398"/>
      <c r="AP40" s="398"/>
      <c r="AQ40" s="398"/>
      <c r="AR40" s="398"/>
      <c r="AS40" s="398"/>
      <c r="AT40" s="398"/>
      <c r="AU40" s="398"/>
      <c r="AV40" s="398"/>
    </row>
    <row r="41" spans="2:48" x14ac:dyDescent="0.35">
      <c r="B41" s="61" t="s">
        <v>204</v>
      </c>
      <c r="C41" s="61"/>
      <c r="D41" s="61"/>
      <c r="E41" s="311">
        <v>0</v>
      </c>
      <c r="F41" s="311">
        <v>0</v>
      </c>
      <c r="G41" s="311">
        <v>60.71</v>
      </c>
      <c r="H41" s="311"/>
      <c r="I41" s="311"/>
      <c r="J41" s="311"/>
      <c r="K41" s="122"/>
      <c r="L41" s="122"/>
      <c r="M41" s="122"/>
      <c r="N41" s="122"/>
      <c r="O41" s="122"/>
      <c r="P41" s="122"/>
      <c r="Q41" s="122"/>
      <c r="R41" s="1566"/>
      <c r="S41" s="1566"/>
      <c r="U41" s="116"/>
      <c r="V41" s="116"/>
      <c r="W41" s="116"/>
    </row>
    <row r="42" spans="2:48" x14ac:dyDescent="0.35">
      <c r="B42" s="103" t="s">
        <v>71</v>
      </c>
      <c r="C42" s="103"/>
      <c r="D42" s="103"/>
      <c r="E42" s="177">
        <f t="shared" ref="E42:P42" si="8">+E40-E41</f>
        <v>-427.31157313710185</v>
      </c>
      <c r="F42" s="177">
        <f t="shared" si="8"/>
        <v>-66.335105036532099</v>
      </c>
      <c r="G42" s="177">
        <f t="shared" si="8"/>
        <v>-107.72879414726415</v>
      </c>
      <c r="H42" s="177">
        <f t="shared" si="8"/>
        <v>-282.67334407091067</v>
      </c>
      <c r="I42" s="177">
        <f t="shared" si="8"/>
        <v>-222.36465267684338</v>
      </c>
      <c r="J42" s="177">
        <f t="shared" si="8"/>
        <v>-1750.4695983542647</v>
      </c>
      <c r="K42" s="123">
        <f t="shared" si="8"/>
        <v>134.71443078294979</v>
      </c>
      <c r="L42" s="123">
        <f t="shared" si="8"/>
        <v>181.18033679588706</v>
      </c>
      <c r="M42" s="123">
        <f t="shared" si="8"/>
        <v>207.38653099007865</v>
      </c>
      <c r="N42" s="123">
        <f t="shared" si="8"/>
        <v>232.67612210978422</v>
      </c>
      <c r="O42" s="123">
        <f t="shared" si="8"/>
        <v>261.34542553724555</v>
      </c>
      <c r="P42" s="123">
        <f t="shared" si="8"/>
        <v>292.470030906288</v>
      </c>
      <c r="Q42" s="123">
        <f>+Q40-Q41</f>
        <v>321.36029539581011</v>
      </c>
      <c r="R42" s="1568">
        <f>+R40-R41</f>
        <v>405.0648889458177</v>
      </c>
      <c r="S42" s="1568">
        <f>+S40-S41</f>
        <v>458.97227570574705</v>
      </c>
      <c r="U42" s="116"/>
      <c r="V42" s="116"/>
      <c r="W42" s="116"/>
    </row>
    <row r="43" spans="2:48" x14ac:dyDescent="0.35">
      <c r="B43" s="68" t="s">
        <v>305</v>
      </c>
      <c r="C43" s="577"/>
      <c r="D43" s="577"/>
      <c r="E43" s="77">
        <v>5.75</v>
      </c>
      <c r="F43" s="77">
        <v>-2.31</v>
      </c>
      <c r="G43" s="77">
        <v>-2.36</v>
      </c>
      <c r="H43" s="77">
        <v>-3.08</v>
      </c>
      <c r="I43" s="77"/>
      <c r="J43" s="63">
        <f>'Tax calc'!H108</f>
        <v>0</v>
      </c>
      <c r="K43" s="63">
        <f>'Tax calc'!I108</f>
        <v>0</v>
      </c>
      <c r="L43" s="63">
        <f>'Tax calc'!J108</f>
        <v>0</v>
      </c>
      <c r="M43" s="63">
        <f>'Tax calc'!K108</f>
        <v>0</v>
      </c>
      <c r="N43" s="63">
        <f>'Tax calc'!L108</f>
        <v>0</v>
      </c>
      <c r="O43" s="63">
        <f>'Tax calc'!M108</f>
        <v>0</v>
      </c>
      <c r="P43" s="63">
        <f>'Tax calc'!N108</f>
        <v>0</v>
      </c>
      <c r="Q43" s="63">
        <f>'Tax calc'!O108</f>
        <v>8.7890706411512625</v>
      </c>
      <c r="R43" s="1569">
        <f>'Tax calc'!P108</f>
        <v>70.772937396613258</v>
      </c>
      <c r="S43" s="1722">
        <f>'Tax calc'!Q108</f>
        <v>80.19163601130812</v>
      </c>
      <c r="U43" s="116"/>
      <c r="V43" s="116"/>
      <c r="W43" s="116"/>
    </row>
    <row r="44" spans="2:48" s="58" customFormat="1" x14ac:dyDescent="0.35">
      <c r="B44" s="577" t="s">
        <v>585</v>
      </c>
      <c r="C44" s="577"/>
      <c r="D44" s="577"/>
      <c r="E44" s="77">
        <v>-9.86</v>
      </c>
      <c r="F44" s="77">
        <v>0.05</v>
      </c>
      <c r="G44" s="315"/>
      <c r="H44" s="315"/>
      <c r="I44" s="77">
        <v>-4.1100000000000003</v>
      </c>
      <c r="J44" s="315">
        <f>'Tax calc'!H117+'Tax calc'!H103+'Tax calc'!H101-'Tax calc'!H100</f>
        <v>0</v>
      </c>
      <c r="K44" s="315">
        <f>'Tax calc'!I117+'Tax calc'!I103+'Tax calc'!I101-'Tax calc'!I100</f>
        <v>0</v>
      </c>
      <c r="L44" s="315">
        <f>'Tax calc'!J117+'Tax calc'!J103+'Tax calc'!J101-'Tax calc'!J100</f>
        <v>0</v>
      </c>
      <c r="M44" s="315">
        <f>'Tax calc'!K117+'Tax calc'!K103+'Tax calc'!K101-'Tax calc'!K100</f>
        <v>0</v>
      </c>
      <c r="N44" s="315">
        <f>'Tax calc'!L117+'Tax calc'!L103+'Tax calc'!L101-'Tax calc'!L100</f>
        <v>0</v>
      </c>
      <c r="O44" s="315">
        <f>'Tax calc'!M117+'Tax calc'!M103+'Tax calc'!M101-'Tax calc'!M100</f>
        <v>0</v>
      </c>
      <c r="P44" s="315">
        <f>'Tax calc'!N117+'Tax calc'!N103+'Tax calc'!N101-'Tax calc'!N100</f>
        <v>0</v>
      </c>
      <c r="Q44" s="315">
        <f>'Tax calc'!O117+'Tax calc'!O103+'Tax calc'!O101-'Tax calc'!O100</f>
        <v>-8.7890706411512625</v>
      </c>
      <c r="R44" s="1570">
        <f>'Tax calc'!P117+'Tax calc'!P103+'Tax calc'!P101-'Tax calc'!P100</f>
        <v>-70.772937396613258</v>
      </c>
      <c r="S44" s="1722">
        <f>'Tax calc'!Q117+'Tax calc'!Q103+'Tax calc'!Q101-'Tax calc'!Q100</f>
        <v>89.056841614941632</v>
      </c>
      <c r="U44" s="1734"/>
      <c r="V44" s="1734"/>
      <c r="W44" s="1734"/>
    </row>
    <row r="45" spans="2:48" x14ac:dyDescent="0.35">
      <c r="B45" s="103" t="s">
        <v>205</v>
      </c>
      <c r="C45" s="103"/>
      <c r="D45" s="103"/>
      <c r="E45" s="123">
        <f>+E42-E43-E44</f>
        <v>-423.20157313710183</v>
      </c>
      <c r="F45" s="123">
        <f>+F42-F43-F44</f>
        <v>-64.075105036532094</v>
      </c>
      <c r="G45" s="123">
        <f>+G42-G43-G44</f>
        <v>-105.36879414726415</v>
      </c>
      <c r="H45" s="123">
        <f>+H42-H43-H44</f>
        <v>-279.59334407091069</v>
      </c>
      <c r="I45" s="123">
        <f>+I42-I43-I44</f>
        <v>-218.25465267684336</v>
      </c>
      <c r="J45" s="123">
        <f t="shared" ref="J45:R45" si="9">+J42-J43-J44</f>
        <v>-1750.4695983542647</v>
      </c>
      <c r="K45" s="123">
        <f t="shared" si="9"/>
        <v>134.71443078294979</v>
      </c>
      <c r="L45" s="123">
        <f t="shared" si="9"/>
        <v>181.18033679588706</v>
      </c>
      <c r="M45" s="123">
        <f t="shared" si="9"/>
        <v>207.38653099007865</v>
      </c>
      <c r="N45" s="123">
        <f t="shared" si="9"/>
        <v>232.67612210978422</v>
      </c>
      <c r="O45" s="123">
        <f t="shared" si="9"/>
        <v>261.34542553724555</v>
      </c>
      <c r="P45" s="123">
        <f t="shared" si="9"/>
        <v>292.470030906288</v>
      </c>
      <c r="Q45" s="123">
        <f t="shared" si="9"/>
        <v>321.36029539581011</v>
      </c>
      <c r="R45" s="1568">
        <f t="shared" si="9"/>
        <v>405.0648889458177</v>
      </c>
      <c r="S45" s="1568">
        <f>+S42-S43-S44</f>
        <v>289.72379807949733</v>
      </c>
      <c r="U45" s="116"/>
      <c r="V45" s="116"/>
      <c r="W45" s="116"/>
    </row>
    <row r="46" spans="2:48" x14ac:dyDescent="0.35">
      <c r="B46" s="103" t="s">
        <v>256</v>
      </c>
      <c r="C46" s="103"/>
      <c r="D46" s="103"/>
      <c r="E46" s="397">
        <v>-33.22</v>
      </c>
      <c r="F46" s="397">
        <v>-27.520000000000007</v>
      </c>
      <c r="G46" s="397">
        <v>-43.83</v>
      </c>
      <c r="H46" s="397">
        <v>-33.599999999999994</v>
      </c>
      <c r="I46" s="397">
        <v>28.250000000000007</v>
      </c>
      <c r="J46" s="123"/>
      <c r="K46" s="123"/>
      <c r="L46" s="123"/>
      <c r="M46" s="123"/>
      <c r="N46" s="123"/>
      <c r="O46" s="123"/>
      <c r="P46" s="123"/>
      <c r="Q46" s="123"/>
      <c r="R46" s="1568"/>
      <c r="S46" s="1568"/>
      <c r="U46" s="116"/>
      <c r="V46" s="116"/>
      <c r="W46" s="116"/>
    </row>
    <row r="47" spans="2:48" x14ac:dyDescent="0.35">
      <c r="B47" s="103" t="s">
        <v>308</v>
      </c>
      <c r="C47" s="103"/>
      <c r="D47" s="103"/>
      <c r="E47" s="123">
        <f>+E46+E45</f>
        <v>-456.42157313710186</v>
      </c>
      <c r="F47" s="123">
        <f>+F46+F45</f>
        <v>-91.595105036532104</v>
      </c>
      <c r="G47" s="123">
        <f>+G46+G45</f>
        <v>-149.19879414726415</v>
      </c>
      <c r="H47" s="123">
        <f>+H46+H45</f>
        <v>-313.19334407091071</v>
      </c>
      <c r="I47" s="123">
        <f>+I46+I45</f>
        <v>-190.00465267684336</v>
      </c>
      <c r="J47" s="123">
        <f t="shared" ref="J47:R47" si="10">+J46+J45</f>
        <v>-1750.4695983542647</v>
      </c>
      <c r="K47" s="123">
        <f t="shared" si="10"/>
        <v>134.71443078294979</v>
      </c>
      <c r="L47" s="123">
        <f t="shared" si="10"/>
        <v>181.18033679588706</v>
      </c>
      <c r="M47" s="123">
        <f t="shared" si="10"/>
        <v>207.38653099007865</v>
      </c>
      <c r="N47" s="123">
        <f t="shared" si="10"/>
        <v>232.67612210978422</v>
      </c>
      <c r="O47" s="123">
        <f t="shared" si="10"/>
        <v>261.34542553724555</v>
      </c>
      <c r="P47" s="123">
        <f t="shared" si="10"/>
        <v>292.470030906288</v>
      </c>
      <c r="Q47" s="123">
        <f t="shared" si="10"/>
        <v>321.36029539581011</v>
      </c>
      <c r="R47" s="1568">
        <f t="shared" si="10"/>
        <v>405.0648889458177</v>
      </c>
      <c r="S47" s="1568">
        <f>+S46+S45</f>
        <v>289.72379807949733</v>
      </c>
      <c r="U47" s="116"/>
      <c r="V47" s="116"/>
      <c r="W47" s="116"/>
    </row>
    <row r="48" spans="2:48" x14ac:dyDescent="0.35">
      <c r="I48" s="1701"/>
      <c r="U48" s="116"/>
      <c r="V48" s="116"/>
      <c r="W48" s="116"/>
    </row>
    <row r="49" spans="2:36" x14ac:dyDescent="0.35">
      <c r="B49" s="54" t="s">
        <v>1045</v>
      </c>
      <c r="C49" s="54"/>
      <c r="D49" s="54"/>
      <c r="E49" s="56">
        <f t="shared" ref="E49:S49" si="11">E5</f>
        <v>43190</v>
      </c>
      <c r="F49" s="56">
        <f t="shared" si="11"/>
        <v>43555</v>
      </c>
      <c r="G49" s="56">
        <f t="shared" si="11"/>
        <v>43921</v>
      </c>
      <c r="H49" s="56">
        <f t="shared" si="11"/>
        <v>44286</v>
      </c>
      <c r="I49" s="1702">
        <f t="shared" si="11"/>
        <v>44651</v>
      </c>
      <c r="J49" s="56">
        <f t="shared" si="11"/>
        <v>45016</v>
      </c>
      <c r="K49" s="56">
        <f t="shared" si="11"/>
        <v>45382</v>
      </c>
      <c r="L49" s="56">
        <f t="shared" si="11"/>
        <v>45747</v>
      </c>
      <c r="M49" s="56">
        <f t="shared" si="11"/>
        <v>46112</v>
      </c>
      <c r="N49" s="56">
        <f t="shared" si="11"/>
        <v>46477</v>
      </c>
      <c r="O49" s="56">
        <f t="shared" si="11"/>
        <v>46843</v>
      </c>
      <c r="P49" s="56">
        <f t="shared" si="11"/>
        <v>47208</v>
      </c>
      <c r="Q49" s="56">
        <f t="shared" si="11"/>
        <v>47573</v>
      </c>
      <c r="R49" s="56">
        <f t="shared" si="11"/>
        <v>47938</v>
      </c>
      <c r="S49" s="56">
        <f t="shared" si="11"/>
        <v>48304</v>
      </c>
      <c r="U49" s="116"/>
      <c r="V49" s="116"/>
      <c r="W49" s="116"/>
    </row>
    <row r="50" spans="2:36" x14ac:dyDescent="0.35">
      <c r="B50" s="224" t="s">
        <v>663</v>
      </c>
      <c r="C50" s="224"/>
      <c r="D50" s="224"/>
      <c r="E50" s="122">
        <f>'Working - Corporate'!E28</f>
        <v>58.685482708000293</v>
      </c>
      <c r="F50" s="122">
        <f>'Working - Corporate'!F28</f>
        <v>91.195424021999912</v>
      </c>
      <c r="G50" s="122">
        <f>'Working - Corporate'!G28</f>
        <v>-65.201034354000001</v>
      </c>
      <c r="H50" s="122">
        <f>'Working - Corporate'!H28</f>
        <v>-52.210824756999948</v>
      </c>
      <c r="I50" s="122">
        <f>'Working - Corporate'!I28</f>
        <v>-59.465173182000008</v>
      </c>
      <c r="J50" s="122">
        <f>'Working - Corporate'!J28</f>
        <v>-42.530667305730006</v>
      </c>
      <c r="K50" s="122">
        <f>'Working - Corporate'!K28</f>
        <v>-44.959631828283108</v>
      </c>
      <c r="L50" s="122">
        <f>'Working - Corporate'!L28</f>
        <v>-47.534576232360962</v>
      </c>
      <c r="M50" s="122">
        <f>'Working - Corporate'!M28</f>
        <v>-50.265238156969232</v>
      </c>
      <c r="N50" s="122">
        <f>'Working - Corporate'!N28</f>
        <v>-53.162027256789941</v>
      </c>
      <c r="O50" s="122">
        <f>'Working - Corporate'!O28</f>
        <v>-56.236072050897761</v>
      </c>
      <c r="P50" s="122">
        <f>'Working - Corporate'!P28</f>
        <v>-59.499270047038792</v>
      </c>
      <c r="Q50" s="122">
        <f>'Working - Corporate'!Q28</f>
        <v>-62.964341370684238</v>
      </c>
      <c r="R50" s="1566">
        <f>'Working - Corporate'!R28</f>
        <v>-66.644886144114921</v>
      </c>
      <c r="S50" s="1566">
        <f>'Working - Corporate'!S28</f>
        <v>-70.555445877958405</v>
      </c>
      <c r="U50" s="116"/>
      <c r="V50" s="116"/>
      <c r="W50" s="116"/>
      <c r="Z50" s="214"/>
      <c r="AA50" s="214"/>
      <c r="AB50" s="214"/>
      <c r="AC50" s="214"/>
      <c r="AD50" s="214"/>
      <c r="AE50" s="214"/>
      <c r="AF50" s="214"/>
      <c r="AG50" s="214"/>
      <c r="AH50" s="214"/>
      <c r="AI50" s="214"/>
      <c r="AJ50" s="214"/>
    </row>
    <row r="51" spans="2:36" x14ac:dyDescent="0.35">
      <c r="B51" s="224" t="s">
        <v>662</v>
      </c>
      <c r="C51" s="224"/>
      <c r="D51" s="224"/>
      <c r="E51" s="122">
        <f>'Working - Distillery'!E35</f>
        <v>176.93680538590002</v>
      </c>
      <c r="F51" s="122">
        <f>'Working - Distillery'!F35</f>
        <v>282.07667589740004</v>
      </c>
      <c r="G51" s="122">
        <f>'Working - Distillery'!G35</f>
        <v>77.933458432299972</v>
      </c>
      <c r="H51" s="122">
        <f>'Working - Distillery'!H35</f>
        <v>41.990156331189041</v>
      </c>
      <c r="I51" s="122">
        <f>'Working - Distillery'!I35</f>
        <v>121.98404721863085</v>
      </c>
      <c r="J51" s="122">
        <f>'Working - Distillery'!J35</f>
        <v>164.55701950062439</v>
      </c>
      <c r="K51" s="122">
        <f>'Working - Distillery'!K35</f>
        <v>219.65900970391567</v>
      </c>
      <c r="L51" s="122">
        <f>'Working - Distillery'!L35</f>
        <v>235.72091984170106</v>
      </c>
      <c r="M51" s="122">
        <f>'Working - Distillery'!M35</f>
        <v>244.86303357241195</v>
      </c>
      <c r="N51" s="122">
        <f>'Working - Distillery'!N35</f>
        <v>250.90289426711479</v>
      </c>
      <c r="O51" s="122">
        <f>'Working - Distillery'!O35</f>
        <v>256.38184922313394</v>
      </c>
      <c r="P51" s="122">
        <f>'Working - Distillery'!P35</f>
        <v>261.73987933570834</v>
      </c>
      <c r="Q51" s="122">
        <f>'Working - Distillery'!Q35</f>
        <v>266.97305646590598</v>
      </c>
      <c r="R51" s="1566">
        <f>'Working - Distillery'!R35</f>
        <v>272.06284534567089</v>
      </c>
      <c r="S51" s="1566">
        <f>'Working - Distillery'!S35</f>
        <v>276.95264140211884</v>
      </c>
      <c r="U51" s="116"/>
      <c r="V51" s="116"/>
      <c r="W51" s="116"/>
      <c r="Z51" s="214"/>
      <c r="AA51" s="214"/>
      <c r="AB51" s="214"/>
      <c r="AC51" s="214"/>
      <c r="AD51" s="214"/>
      <c r="AE51" s="214"/>
      <c r="AF51" s="214"/>
      <c r="AG51" s="214"/>
      <c r="AH51" s="214"/>
      <c r="AI51" s="214"/>
      <c r="AJ51" s="214"/>
    </row>
    <row r="52" spans="2:36" x14ac:dyDescent="0.35">
      <c r="B52" s="224" t="s">
        <v>661</v>
      </c>
      <c r="C52" s="224"/>
      <c r="D52" s="224"/>
      <c r="E52" s="122">
        <f>'Working - Sugar + Cogen'!E56</f>
        <v>214.14613876899875</v>
      </c>
      <c r="F52" s="122">
        <f>'Working - Sugar + Cogen'!F56</f>
        <v>93.50279504406808</v>
      </c>
      <c r="G52" s="122">
        <f>'Working - Sugar + Cogen'!G56</f>
        <v>456.87242545843674</v>
      </c>
      <c r="H52" s="122">
        <f>'Working - Sugar + Cogen'!H56</f>
        <v>205.79056216990102</v>
      </c>
      <c r="I52" s="122">
        <f>'Working - Sugar + Cogen'!I56</f>
        <v>183.29240988952733</v>
      </c>
      <c r="J52" s="122">
        <f>'Working - Sugar + Cogen'!J56</f>
        <v>271.18440799267592</v>
      </c>
      <c r="K52" s="122">
        <f>'Working - Sugar + Cogen'!K56</f>
        <v>290.59602771298614</v>
      </c>
      <c r="L52" s="122">
        <f>'Working - Sugar + Cogen'!L56</f>
        <v>356.60388092164158</v>
      </c>
      <c r="M52" s="122">
        <f>'Working - Sugar + Cogen'!M56</f>
        <v>371.11319560869197</v>
      </c>
      <c r="N52" s="122">
        <f>'Working - Sugar + Cogen'!N56</f>
        <v>379.50055688665452</v>
      </c>
      <c r="O52" s="122">
        <f>'Working - Sugar + Cogen'!O56</f>
        <v>389.83215925581771</v>
      </c>
      <c r="P52" s="122">
        <f>'Working - Sugar + Cogen'!P56</f>
        <v>399.14742197184933</v>
      </c>
      <c r="Q52" s="122">
        <f>'Working - Sugar + Cogen'!Q56</f>
        <v>407.17538493832762</v>
      </c>
      <c r="R52" s="1566">
        <f>'Working - Sugar + Cogen'!R56</f>
        <v>478.25590031031425</v>
      </c>
      <c r="S52" s="1566">
        <f>'Working - Sugar + Cogen'!S56</f>
        <v>526.47734085333104</v>
      </c>
      <c r="U52" s="116"/>
      <c r="V52" s="116"/>
      <c r="W52" s="116"/>
      <c r="Z52" s="214"/>
      <c r="AA52" s="214"/>
      <c r="AB52" s="214"/>
      <c r="AC52" s="214"/>
      <c r="AD52" s="214"/>
      <c r="AE52" s="214"/>
      <c r="AF52" s="214"/>
      <c r="AG52" s="214"/>
      <c r="AH52" s="214"/>
      <c r="AI52" s="214"/>
      <c r="AJ52" s="214"/>
    </row>
    <row r="53" spans="2:36" x14ac:dyDescent="0.35">
      <c r="B53" s="129" t="s">
        <v>1044</v>
      </c>
      <c r="C53" s="129"/>
      <c r="D53" s="129"/>
      <c r="E53" s="378">
        <f t="shared" ref="E53:I53" si="12">SUM(E50:E52)</f>
        <v>449.76842686289905</v>
      </c>
      <c r="F53" s="378">
        <f t="shared" si="12"/>
        <v>466.774894963468</v>
      </c>
      <c r="G53" s="378">
        <f t="shared" si="12"/>
        <v>469.60484953673671</v>
      </c>
      <c r="H53" s="378">
        <f t="shared" si="12"/>
        <v>195.56989374409011</v>
      </c>
      <c r="I53" s="378">
        <f t="shared" si="12"/>
        <v>245.81128392615818</v>
      </c>
      <c r="J53" s="1638">
        <f t="shared" ref="J53:R53" si="13">SUM(J50:J52)</f>
        <v>393.21076018757032</v>
      </c>
      <c r="K53" s="1638">
        <f t="shared" si="13"/>
        <v>465.29540558861868</v>
      </c>
      <c r="L53" s="1638">
        <f t="shared" si="13"/>
        <v>544.79022453098173</v>
      </c>
      <c r="M53" s="1638">
        <f t="shared" si="13"/>
        <v>565.71099102413473</v>
      </c>
      <c r="N53" s="1638">
        <f t="shared" si="13"/>
        <v>577.24142389697931</v>
      </c>
      <c r="O53" s="1638">
        <f t="shared" si="13"/>
        <v>589.97793642805391</v>
      </c>
      <c r="P53" s="1638">
        <f t="shared" si="13"/>
        <v>601.3880312605188</v>
      </c>
      <c r="Q53" s="1638">
        <f t="shared" si="13"/>
        <v>611.18410003354938</v>
      </c>
      <c r="R53" s="1583">
        <f t="shared" si="13"/>
        <v>683.67385951187021</v>
      </c>
      <c r="S53" s="1723">
        <f>SUM(S50:S52)</f>
        <v>732.87453637749149</v>
      </c>
      <c r="U53" s="158"/>
      <c r="V53" s="158"/>
      <c r="W53" s="116"/>
    </row>
    <row r="54" spans="2:36" x14ac:dyDescent="0.35">
      <c r="E54" s="398"/>
      <c r="F54" s="398"/>
      <c r="G54" s="398"/>
      <c r="H54" s="398"/>
      <c r="I54" s="398"/>
      <c r="J54" s="398"/>
      <c r="K54" s="398"/>
      <c r="L54" s="398"/>
      <c r="M54" s="398"/>
      <c r="N54" s="398"/>
      <c r="O54" s="398"/>
      <c r="P54" s="398"/>
      <c r="Q54" s="398"/>
      <c r="R54" s="398"/>
      <c r="S54" s="1717"/>
      <c r="U54" s="1331"/>
      <c r="V54" s="116"/>
      <c r="W54" s="116"/>
    </row>
    <row r="55" spans="2:36" x14ac:dyDescent="0.35">
      <c r="E55" s="1803"/>
      <c r="F55" s="1803"/>
      <c r="G55" s="1803"/>
      <c r="H55" s="1802"/>
      <c r="I55" s="1803"/>
      <c r="J55" s="1803"/>
      <c r="K55" s="1803"/>
      <c r="L55" s="1803"/>
      <c r="M55" s="1803"/>
      <c r="N55" s="1803"/>
      <c r="O55" s="1803"/>
      <c r="P55" s="1803"/>
      <c r="Q55" s="1803"/>
      <c r="R55" s="1804"/>
      <c r="S55" s="1804"/>
      <c r="T55" s="115"/>
      <c r="U55" s="1331"/>
      <c r="V55" s="116"/>
      <c r="W55" s="116"/>
      <c r="Z55" s="398"/>
      <c r="AA55" s="398"/>
      <c r="AB55" s="398"/>
      <c r="AC55" s="398"/>
      <c r="AD55" s="398"/>
      <c r="AE55" s="398"/>
      <c r="AF55" s="398"/>
      <c r="AG55" s="398"/>
      <c r="AH55" s="398"/>
      <c r="AI55" s="398"/>
      <c r="AJ55" s="398"/>
    </row>
    <row r="56" spans="2:36" x14ac:dyDescent="0.35">
      <c r="E56" s="1803"/>
      <c r="F56" s="1803"/>
      <c r="G56" s="1803"/>
      <c r="H56" s="1802"/>
      <c r="I56" s="1803"/>
      <c r="J56" s="1803"/>
      <c r="K56" s="1803"/>
      <c r="L56" s="1803"/>
      <c r="M56" s="1803"/>
      <c r="N56" s="1803"/>
      <c r="O56" s="1803"/>
      <c r="P56" s="1803"/>
      <c r="Q56" s="1803"/>
      <c r="R56" s="1805"/>
      <c r="S56" s="1804"/>
      <c r="T56" s="115"/>
      <c r="U56" s="1331"/>
      <c r="V56" s="116"/>
      <c r="W56" s="116"/>
      <c r="Z56" s="398"/>
      <c r="AA56" s="398"/>
      <c r="AB56" s="398"/>
      <c r="AC56" s="398"/>
      <c r="AD56" s="398"/>
      <c r="AE56" s="398"/>
      <c r="AF56" s="398"/>
      <c r="AG56" s="398"/>
      <c r="AH56" s="398"/>
      <c r="AI56" s="398"/>
      <c r="AJ56" s="398"/>
    </row>
    <row r="57" spans="2:36" x14ac:dyDescent="0.35">
      <c r="E57" s="1803"/>
      <c r="F57" s="1803"/>
      <c r="G57" s="1803"/>
      <c r="H57" s="1806"/>
      <c r="I57" s="1806"/>
      <c r="J57" s="1803"/>
      <c r="K57" s="1803"/>
      <c r="L57" s="1803"/>
      <c r="M57" s="1803"/>
      <c r="N57" s="1803"/>
      <c r="O57" s="1803"/>
      <c r="P57" s="1803"/>
      <c r="Q57" s="1803"/>
      <c r="R57" s="1804"/>
      <c r="S57" s="1804"/>
      <c r="T57" s="115"/>
      <c r="U57" s="1331"/>
      <c r="V57" s="116"/>
      <c r="W57" s="116"/>
      <c r="Z57" s="398"/>
      <c r="AA57" s="398"/>
      <c r="AB57" s="398"/>
      <c r="AC57" s="398"/>
      <c r="AD57" s="398"/>
      <c r="AE57" s="398"/>
      <c r="AF57" s="398"/>
      <c r="AG57" s="398"/>
      <c r="AH57" s="398"/>
      <c r="AI57" s="398"/>
      <c r="AJ57" s="398"/>
    </row>
    <row r="58" spans="2:36" x14ac:dyDescent="0.35">
      <c r="E58" s="1803"/>
      <c r="F58" s="1803"/>
      <c r="G58" s="1803"/>
      <c r="H58" s="1802"/>
      <c r="I58" s="1803"/>
      <c r="J58" s="1802"/>
      <c r="K58" s="1802"/>
      <c r="L58" s="1802"/>
      <c r="M58" s="1803"/>
      <c r="N58" s="1803"/>
      <c r="O58" s="1803"/>
      <c r="P58" s="1803"/>
      <c r="Q58" s="1803"/>
      <c r="R58" s="115"/>
      <c r="S58" s="115"/>
      <c r="T58" s="115"/>
      <c r="U58" s="1331"/>
      <c r="V58" s="116"/>
      <c r="W58" s="116"/>
    </row>
    <row r="59" spans="2:36" x14ac:dyDescent="0.35">
      <c r="E59" s="115"/>
      <c r="F59" s="115"/>
      <c r="G59" s="115"/>
      <c r="H59" s="154"/>
      <c r="I59" s="1804"/>
      <c r="J59" s="154"/>
      <c r="K59" s="154"/>
      <c r="L59" s="1807"/>
      <c r="M59" s="1808"/>
      <c r="N59" s="1808"/>
      <c r="O59" s="1808"/>
      <c r="P59" s="1808"/>
      <c r="Q59" s="1808"/>
      <c r="R59" s="1808"/>
      <c r="S59" s="115"/>
      <c r="T59" s="115"/>
    </row>
    <row r="60" spans="2:36" x14ac:dyDescent="0.35">
      <c r="E60" s="115"/>
      <c r="F60" s="115"/>
      <c r="G60" s="115"/>
      <c r="H60" s="1807"/>
      <c r="I60" s="1808"/>
      <c r="J60" s="1807"/>
      <c r="K60" s="1807"/>
      <c r="L60" s="1807"/>
      <c r="M60" s="1808"/>
      <c r="N60" s="1808"/>
      <c r="O60" s="1808"/>
      <c r="P60" s="1808"/>
      <c r="Q60" s="1808"/>
      <c r="R60" s="1808"/>
      <c r="S60" s="115"/>
      <c r="T60" s="115"/>
    </row>
    <row r="61" spans="2:36" x14ac:dyDescent="0.35">
      <c r="E61" s="1804"/>
      <c r="F61" s="1804"/>
      <c r="G61" s="1804"/>
      <c r="H61" s="1804"/>
      <c r="I61" s="1804"/>
      <c r="J61" s="1804"/>
      <c r="K61" s="1804"/>
      <c r="L61" s="1804"/>
      <c r="M61" s="1804"/>
      <c r="N61" s="1804"/>
      <c r="O61" s="1804"/>
      <c r="P61" s="1804"/>
      <c r="Q61" s="1804"/>
      <c r="R61" s="1808"/>
      <c r="S61" s="115"/>
      <c r="T61" s="115"/>
    </row>
    <row r="62" spans="2:36" x14ac:dyDescent="0.35">
      <c r="E62" s="1804"/>
      <c r="F62" s="1804"/>
      <c r="G62" s="1804"/>
      <c r="H62" s="1804"/>
      <c r="I62" s="1804"/>
      <c r="J62" s="1804"/>
      <c r="K62" s="1804"/>
      <c r="L62" s="1804"/>
      <c r="M62" s="1804"/>
      <c r="N62" s="1804"/>
      <c r="O62" s="1804"/>
      <c r="P62" s="1804"/>
      <c r="Q62" s="1804"/>
      <c r="R62" s="1804"/>
      <c r="S62" s="115"/>
      <c r="T62" s="115"/>
    </row>
    <row r="63" spans="2:36" x14ac:dyDescent="0.35">
      <c r="E63" s="1804"/>
      <c r="F63" s="1804"/>
      <c r="G63" s="1804"/>
      <c r="H63" s="1804"/>
      <c r="I63" s="1804"/>
      <c r="J63" s="1804"/>
      <c r="K63" s="1804"/>
      <c r="L63" s="1804"/>
      <c r="M63" s="1804"/>
      <c r="N63" s="1804"/>
      <c r="O63" s="1804"/>
      <c r="P63" s="1804"/>
      <c r="Q63" s="1804"/>
      <c r="R63" s="1804"/>
      <c r="S63" s="115"/>
      <c r="T63" s="115"/>
    </row>
    <row r="64" spans="2:36" x14ac:dyDescent="0.35">
      <c r="E64" s="1804"/>
      <c r="F64" s="1804"/>
      <c r="G64" s="1804"/>
      <c r="H64" s="1804"/>
      <c r="I64" s="1804"/>
      <c r="J64" s="1804"/>
      <c r="K64" s="1804"/>
      <c r="L64" s="1804"/>
      <c r="M64" s="1804"/>
      <c r="N64" s="1804"/>
      <c r="O64" s="1804"/>
      <c r="P64" s="1804"/>
      <c r="Q64" s="1804"/>
      <c r="R64" s="1596"/>
      <c r="S64" s="115"/>
      <c r="T64" s="115"/>
    </row>
    <row r="65" spans="8:18" x14ac:dyDescent="0.35">
      <c r="H65" s="1614"/>
      <c r="I65" s="1614"/>
      <c r="J65" s="1584"/>
      <c r="K65" s="1584"/>
      <c r="L65" s="1584"/>
      <c r="M65" s="1584"/>
      <c r="N65" s="1584"/>
      <c r="O65" s="1584"/>
      <c r="P65" s="1584"/>
      <c r="Q65" s="1584"/>
      <c r="R65" s="1584"/>
    </row>
    <row r="66" spans="8:18" x14ac:dyDescent="0.35">
      <c r="H66" s="1585"/>
      <c r="I66" s="1585"/>
      <c r="J66" s="1585"/>
      <c r="K66" s="1585"/>
      <c r="L66" s="1585"/>
      <c r="M66" s="1585"/>
      <c r="N66" s="1585"/>
      <c r="O66" s="1585"/>
      <c r="P66" s="1585"/>
      <c r="Q66" s="1585"/>
      <c r="R66" s="1585"/>
    </row>
    <row r="67" spans="8:18" x14ac:dyDescent="0.35">
      <c r="H67" s="58"/>
      <c r="I67" s="58"/>
      <c r="J67" s="58"/>
      <c r="K67" s="58"/>
      <c r="L67" s="58"/>
      <c r="M67" s="58"/>
      <c r="N67" s="58"/>
      <c r="O67" s="58"/>
      <c r="P67" s="58"/>
      <c r="Q67" s="58"/>
      <c r="R67" s="58"/>
    </row>
    <row r="68" spans="8:18" x14ac:dyDescent="0.35">
      <c r="H68" s="575"/>
      <c r="I68" s="575"/>
      <c r="J68" s="575"/>
      <c r="K68" s="575"/>
      <c r="L68" s="575"/>
      <c r="M68" s="575"/>
      <c r="N68" s="575"/>
      <c r="O68" s="575"/>
      <c r="P68" s="575"/>
      <c r="Q68" s="575"/>
      <c r="R68" s="575"/>
    </row>
    <row r="69" spans="8:18" x14ac:dyDescent="0.35">
      <c r="H69" s="575"/>
      <c r="I69" s="575"/>
      <c r="J69" s="575"/>
      <c r="K69" s="575"/>
      <c r="L69" s="575"/>
      <c r="M69" s="575"/>
      <c r="N69" s="575"/>
      <c r="O69" s="575"/>
      <c r="P69" s="575"/>
      <c r="Q69" s="575"/>
      <c r="R69" s="575"/>
    </row>
    <row r="70" spans="8:18" x14ac:dyDescent="0.35">
      <c r="H70" s="1285"/>
      <c r="I70" s="1285"/>
      <c r="J70" s="1285"/>
      <c r="K70" s="1285"/>
      <c r="L70" s="1285"/>
      <c r="M70" s="1285"/>
      <c r="N70" s="1285"/>
      <c r="O70" s="1285"/>
      <c r="P70" s="1285"/>
      <c r="Q70" s="1285"/>
      <c r="R70" s="1285"/>
    </row>
  </sheetData>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9" tint="0.59999389629810485"/>
  </sheetPr>
  <dimension ref="A2:O108"/>
  <sheetViews>
    <sheetView showGridLines="0" zoomScale="75" zoomScaleNormal="80" workbookViewId="0">
      <pane xSplit="2" ySplit="4" topLeftCell="C5" activePane="bottomRight" state="frozen"/>
      <selection pane="topRight" activeCell="C1" sqref="C1"/>
      <selection pane="bottomLeft" activeCell="A5" sqref="A5"/>
      <selection pane="bottomRight" activeCell="K21" sqref="K21"/>
    </sheetView>
  </sheetViews>
  <sheetFormatPr defaultColWidth="8.54296875" defaultRowHeight="14.5" x14ac:dyDescent="0.35"/>
  <cols>
    <col min="1" max="1" width="9.7265625" style="133" bestFit="1" customWidth="1"/>
    <col min="2" max="2" width="50.54296875" style="133" customWidth="1"/>
    <col min="3" max="11" width="12.54296875" style="133" customWidth="1"/>
    <col min="12" max="12" width="11" style="133" hidden="1" customWidth="1"/>
    <col min="13" max="13" width="12.54296875" style="133" hidden="1" customWidth="1"/>
    <col min="14" max="16384" width="8.54296875" style="133"/>
  </cols>
  <sheetData>
    <row r="2" spans="2:13" x14ac:dyDescent="0.35">
      <c r="B2" s="112" t="str">
        <f>'Balance Sheet'!B2</f>
        <v>All figures in INR Crores</v>
      </c>
      <c r="C2" s="172"/>
      <c r="D2" s="172"/>
      <c r="E2" s="172"/>
      <c r="F2" s="172"/>
      <c r="G2" s="172"/>
      <c r="H2" s="172"/>
      <c r="I2" s="172"/>
      <c r="J2" s="172"/>
      <c r="K2" s="172"/>
      <c r="L2" s="172"/>
    </row>
    <row r="4" spans="2:13" x14ac:dyDescent="0.35">
      <c r="B4" s="54" t="s">
        <v>231</v>
      </c>
      <c r="C4" s="222"/>
      <c r="D4" s="222">
        <f>'Balance Sheet'!H4</f>
        <v>45016</v>
      </c>
      <c r="E4" s="222">
        <f>'Balance Sheet'!I4</f>
        <v>45382</v>
      </c>
      <c r="F4" s="222">
        <f>'Balance Sheet'!J4</f>
        <v>45747</v>
      </c>
      <c r="G4" s="222">
        <f>'Balance Sheet'!K4</f>
        <v>46112</v>
      </c>
      <c r="H4" s="222">
        <f>'Balance Sheet'!L4</f>
        <v>46477</v>
      </c>
      <c r="I4" s="222">
        <f>'Balance Sheet'!M4</f>
        <v>46843</v>
      </c>
      <c r="J4" s="222">
        <f>'Balance Sheet'!N4</f>
        <v>47208</v>
      </c>
      <c r="K4" s="222">
        <f>'Balance Sheet'!O4</f>
        <v>47573</v>
      </c>
      <c r="L4" s="222">
        <f>'Balance Sheet'!P4</f>
        <v>47938</v>
      </c>
      <c r="M4" s="222">
        <f>'Balance Sheet'!Q4</f>
        <v>48304</v>
      </c>
    </row>
    <row r="5" spans="2:13" x14ac:dyDescent="0.35">
      <c r="B5" s="79" t="s">
        <v>552</v>
      </c>
      <c r="C5" s="358"/>
      <c r="D5" s="358"/>
      <c r="E5" s="358"/>
      <c r="F5" s="358"/>
      <c r="G5" s="358"/>
      <c r="H5" s="358"/>
      <c r="I5" s="358"/>
      <c r="J5" s="358"/>
      <c r="K5" s="358"/>
      <c r="L5" s="358"/>
      <c r="M5" s="358"/>
    </row>
    <row r="6" spans="2:13" x14ac:dyDescent="0.35">
      <c r="B6" s="128" t="s">
        <v>232</v>
      </c>
      <c r="C6" s="1358"/>
      <c r="D6" s="311">
        <f>'P&amp;L'!J42</f>
        <v>-1750.4695983542647</v>
      </c>
      <c r="E6" s="311">
        <f>'P&amp;L'!K42</f>
        <v>134.71443078294979</v>
      </c>
      <c r="F6" s="311">
        <f>'P&amp;L'!L42</f>
        <v>181.18033679588706</v>
      </c>
      <c r="G6" s="311">
        <f>'P&amp;L'!M42</f>
        <v>207.38653099007865</v>
      </c>
      <c r="H6" s="311">
        <f>'P&amp;L'!N42</f>
        <v>232.67612210978422</v>
      </c>
      <c r="I6" s="311">
        <f>'P&amp;L'!O42</f>
        <v>261.34542553724555</v>
      </c>
      <c r="J6" s="311">
        <f>'P&amp;L'!P42</f>
        <v>292.470030906288</v>
      </c>
      <c r="K6" s="311">
        <f>'P&amp;L'!Q42</f>
        <v>321.36029539581011</v>
      </c>
      <c r="L6" s="1358">
        <f>'P&amp;L'!R42</f>
        <v>405.0648889458177</v>
      </c>
      <c r="M6" s="1358">
        <f>'P&amp;L'!S42</f>
        <v>458.97227570574705</v>
      </c>
    </row>
    <row r="7" spans="2:13" x14ac:dyDescent="0.35">
      <c r="B7" s="120" t="s">
        <v>233</v>
      </c>
      <c r="C7" s="1358"/>
      <c r="D7" s="311"/>
      <c r="E7" s="311"/>
      <c r="F7" s="63"/>
      <c r="G7" s="311"/>
      <c r="H7" s="311"/>
      <c r="I7" s="311"/>
      <c r="J7" s="311"/>
      <c r="K7" s="311"/>
      <c r="L7" s="1358"/>
      <c r="M7" s="1358"/>
    </row>
    <row r="8" spans="2:13" x14ac:dyDescent="0.35">
      <c r="B8" s="128" t="s">
        <v>53</v>
      </c>
      <c r="C8" s="1358"/>
      <c r="D8" s="311">
        <f>+'P&amp;L'!J38</f>
        <v>1927.8509328252517</v>
      </c>
      <c r="E8" s="311">
        <f>+'P&amp;L'!K38</f>
        <v>115.37655044977427</v>
      </c>
      <c r="F8" s="311">
        <f>+'P&amp;L'!L38</f>
        <v>149.47046473988843</v>
      </c>
      <c r="G8" s="311">
        <f>+'P&amp;L'!M38</f>
        <v>143.70003839953796</v>
      </c>
      <c r="H8" s="311">
        <f>+'P&amp;L'!N38</f>
        <v>129.91899332770834</v>
      </c>
      <c r="I8" s="311">
        <f>+'P&amp;L'!O38</f>
        <v>113.90871434053656</v>
      </c>
      <c r="J8" s="311">
        <f>+'P&amp;L'!P38</f>
        <v>93.709205164645553</v>
      </c>
      <c r="K8" s="311">
        <f>+'P&amp;L'!Q38</f>
        <v>74.130010808844659</v>
      </c>
      <c r="L8" s="1358">
        <f>+'P&amp;L'!R38</f>
        <v>62.483430773508132</v>
      </c>
      <c r="M8" s="1358">
        <f>+'P&amp;L'!S38</f>
        <v>62.772164305969099</v>
      </c>
    </row>
    <row r="9" spans="2:13" x14ac:dyDescent="0.35">
      <c r="B9" s="128" t="s">
        <v>54</v>
      </c>
      <c r="C9" s="1358"/>
      <c r="D9" s="311">
        <f>+'P&amp;L'!J39</f>
        <v>215.8294257165827</v>
      </c>
      <c r="E9" s="311">
        <f>+'P&amp;L'!K39</f>
        <v>215.20442435589436</v>
      </c>
      <c r="F9" s="311">
        <f>+'P&amp;L'!L39</f>
        <v>214.13942299520602</v>
      </c>
      <c r="G9" s="311">
        <f>+'P&amp;L'!M39</f>
        <v>214.62442163451766</v>
      </c>
      <c r="H9" s="311">
        <f>+'P&amp;L'!N39</f>
        <v>214.64630845948335</v>
      </c>
      <c r="I9" s="311">
        <f>+'P&amp;L'!O39</f>
        <v>214.72379655027177</v>
      </c>
      <c r="J9" s="311">
        <f>+'P&amp;L'!P39</f>
        <v>215.20879518958344</v>
      </c>
      <c r="K9" s="311">
        <f>+'P&amp;L'!Q39</f>
        <v>215.69379382889508</v>
      </c>
      <c r="L9" s="1358">
        <f>+'P&amp;L'!R39</f>
        <v>216.12553979254363</v>
      </c>
      <c r="M9" s="1358">
        <f>+'P&amp;L'!S39</f>
        <v>211.13009636577809</v>
      </c>
    </row>
    <row r="10" spans="2:13" x14ac:dyDescent="0.35">
      <c r="B10" s="155" t="s">
        <v>307</v>
      </c>
      <c r="C10" s="1360"/>
      <c r="D10" s="146">
        <f t="shared" ref="D10:J10" si="0">SUM(D6:D9)</f>
        <v>393.21076018756969</v>
      </c>
      <c r="E10" s="146">
        <f t="shared" si="0"/>
        <v>465.29540558861845</v>
      </c>
      <c r="F10" s="146">
        <f t="shared" si="0"/>
        <v>544.7902245309815</v>
      </c>
      <c r="G10" s="146">
        <f t="shared" si="0"/>
        <v>565.71099102413427</v>
      </c>
      <c r="H10" s="146">
        <f t="shared" si="0"/>
        <v>577.2414238969759</v>
      </c>
      <c r="I10" s="146">
        <f t="shared" si="0"/>
        <v>589.97793642805391</v>
      </c>
      <c r="J10" s="146">
        <f t="shared" si="0"/>
        <v>601.38803126051698</v>
      </c>
      <c r="K10" s="146">
        <f>SUM(K6:K9)</f>
        <v>611.18410003354984</v>
      </c>
      <c r="L10" s="1360">
        <f>SUM(L6:L9)</f>
        <v>683.67385951186952</v>
      </c>
      <c r="M10" s="1360">
        <f>SUM(M6:M9)</f>
        <v>732.87453637749422</v>
      </c>
    </row>
    <row r="11" spans="2:13" x14ac:dyDescent="0.35">
      <c r="B11" s="120" t="s">
        <v>234</v>
      </c>
      <c r="C11" s="1358"/>
      <c r="D11" s="311"/>
      <c r="E11" s="311"/>
      <c r="F11" s="311"/>
      <c r="G11" s="311"/>
      <c r="H11" s="1797"/>
      <c r="I11" s="311"/>
      <c r="J11" s="311"/>
      <c r="K11" s="311"/>
      <c r="L11" s="1358"/>
      <c r="M11" s="1358"/>
    </row>
    <row r="12" spans="2:13" x14ac:dyDescent="0.35">
      <c r="B12" s="128" t="s">
        <v>80</v>
      </c>
      <c r="C12" s="1358"/>
      <c r="D12" s="311">
        <f>+'Balance Sheet'!G20-'Balance Sheet'!H20</f>
        <v>-78.764057988829791</v>
      </c>
      <c r="E12" s="311">
        <f>+'Balance Sheet'!H20-'Balance Sheet'!I20</f>
        <v>-277.40021716654201</v>
      </c>
      <c r="F12" s="311">
        <f>+'Balance Sheet'!I20-'Balance Sheet'!J20</f>
        <v>-155.61123206972616</v>
      </c>
      <c r="G12" s="311">
        <f>+'Balance Sheet'!J20-'Balance Sheet'!K20</f>
        <v>-75.461432279797464</v>
      </c>
      <c r="H12" s="311">
        <f>+'Balance Sheet'!K20-'Balance Sheet'!L20</f>
        <v>-72.680843950695817</v>
      </c>
      <c r="I12" s="311">
        <f>+'Balance Sheet'!L20-'Balance Sheet'!M20</f>
        <v>-74.959593330014741</v>
      </c>
      <c r="J12" s="311">
        <f>+'Balance Sheet'!M20-'Balance Sheet'!N20</f>
        <v>-77.506176939136367</v>
      </c>
      <c r="K12" s="311">
        <f>+'Balance Sheet'!N20-'Balance Sheet'!O20</f>
        <v>-79.94013524382899</v>
      </c>
      <c r="L12" s="1358">
        <f>+'Balance Sheet'!O20-'Balance Sheet'!P20</f>
        <v>-38.729553330540966</v>
      </c>
      <c r="M12" s="1358">
        <f>+'Balance Sheet'!P20-'Balance Sheet'!Q20</f>
        <v>-82.541342929519033</v>
      </c>
    </row>
    <row r="13" spans="2:13" x14ac:dyDescent="0.35">
      <c r="B13" s="128" t="s">
        <v>235</v>
      </c>
      <c r="C13" s="1358"/>
      <c r="D13" s="311">
        <f>+'Balance Sheet'!G23-'Balance Sheet'!H23</f>
        <v>34.051789416687114</v>
      </c>
      <c r="E13" s="311">
        <f>+'Balance Sheet'!H23-'Balance Sheet'!I23</f>
        <v>-17.329648390683275</v>
      </c>
      <c r="F13" s="311">
        <f>+'Balance Sheet'!I23-'Balance Sheet'!J23</f>
        <v>-15.939070361078535</v>
      </c>
      <c r="G13" s="311">
        <f>+'Balance Sheet'!J23-'Balance Sheet'!K23</f>
        <v>-7.8621462467543495</v>
      </c>
      <c r="H13" s="311">
        <f>+'Balance Sheet'!K23-'Balance Sheet'!L23</f>
        <v>-5.3667687735416223</v>
      </c>
      <c r="I13" s="311">
        <f>+'Balance Sheet'!L23-'Balance Sheet'!M23</f>
        <v>-5.4212256174512277</v>
      </c>
      <c r="J13" s="311">
        <f>+'Balance Sheet'!M23-'Balance Sheet'!N23</f>
        <v>-5.5494303632133608</v>
      </c>
      <c r="K13" s="311">
        <f>+'Balance Sheet'!N23-'Balance Sheet'!O23</f>
        <v>-5.6832861945716502</v>
      </c>
      <c r="L13" s="1358">
        <f>+'Balance Sheet'!O23-'Balance Sheet'!P23</f>
        <v>-5.8203908231593005</v>
      </c>
      <c r="M13" s="1358">
        <f>+'Balance Sheet'!P23-'Balance Sheet'!Q23</f>
        <v>-5.9608235169361308</v>
      </c>
    </row>
    <row r="14" spans="2:13" x14ac:dyDescent="0.35">
      <c r="B14" s="128" t="s">
        <v>236</v>
      </c>
      <c r="C14" s="1358"/>
      <c r="D14" s="311">
        <f>('Balance Sheet'!H60+'Balance Sheet'!H62)-('Balance Sheet'!G60+'Balance Sheet'!G62)</f>
        <v>-2197.9682660697677</v>
      </c>
      <c r="E14" s="311">
        <f>('Balance Sheet'!I60+'Balance Sheet'!I62)-('Balance Sheet'!H60+'Balance Sheet'!H62)</f>
        <v>162.61358409021204</v>
      </c>
      <c r="F14" s="311">
        <f>('Balance Sheet'!J60+'Balance Sheet'!J62)-('Balance Sheet'!I60+'Balance Sheet'!I62)</f>
        <v>-932.88629063563121</v>
      </c>
      <c r="G14" s="311">
        <f>('Balance Sheet'!K60+'Balance Sheet'!K62)-('Balance Sheet'!J60+'Balance Sheet'!J62)</f>
        <v>-249.48967616924392</v>
      </c>
      <c r="H14" s="311">
        <f>('Balance Sheet'!L60+'Balance Sheet'!L62)-('Balance Sheet'!K60+'Balance Sheet'!K62)</f>
        <v>-143.86516089790689</v>
      </c>
      <c r="I14" s="311">
        <f>('Balance Sheet'!M60+'Balance Sheet'!M62)-('Balance Sheet'!L60+'Balance Sheet'!L62)</f>
        <v>-90.469823446720284</v>
      </c>
      <c r="J14" s="311">
        <f>('Balance Sheet'!N60+'Balance Sheet'!N62)-('Balance Sheet'!M60+'Balance Sheet'!M62)</f>
        <v>-131.28879795890816</v>
      </c>
      <c r="K14" s="311">
        <f>('Balance Sheet'!O60+'Balance Sheet'!O62)-('Balance Sheet'!N60+'Balance Sheet'!N62)</f>
        <v>-174.48693623798499</v>
      </c>
      <c r="L14" s="1358">
        <f>('Balance Sheet'!P60+'Balance Sheet'!P62)-('Balance Sheet'!O60+'Balance Sheet'!O62)</f>
        <v>-364.84186659937996</v>
      </c>
      <c r="M14" s="1358">
        <f>('Balance Sheet'!Q60+'Balance Sheet'!Q62)-('Balance Sheet'!P60+'Balance Sheet'!P62)</f>
        <v>-361.81597953412938</v>
      </c>
    </row>
    <row r="15" spans="2:13" x14ac:dyDescent="0.35">
      <c r="B15" s="128" t="s">
        <v>1643</v>
      </c>
      <c r="C15" s="1358"/>
      <c r="D15" s="311">
        <f>'Balance Sheet'!G26-'Balance Sheet'!H26+'Balance Sheet'!G31-'Balance Sheet'!H31</f>
        <v>0</v>
      </c>
      <c r="E15" s="311">
        <f>'Balance Sheet'!H26-'Balance Sheet'!I26+'Balance Sheet'!H31-'Balance Sheet'!I31</f>
        <v>0</v>
      </c>
      <c r="F15" s="311">
        <f>'Balance Sheet'!I26-'Balance Sheet'!J26+'Balance Sheet'!I31-'Balance Sheet'!J31</f>
        <v>0</v>
      </c>
      <c r="G15" s="311">
        <f>'Balance Sheet'!J26-'Balance Sheet'!K26+'Balance Sheet'!J31-'Balance Sheet'!K31</f>
        <v>0</v>
      </c>
      <c r="H15" s="311">
        <f>'Balance Sheet'!K26-'Balance Sheet'!L26+'Balance Sheet'!K31-'Balance Sheet'!L31</f>
        <v>0</v>
      </c>
      <c r="I15" s="311">
        <f>'Balance Sheet'!L26-'Balance Sheet'!M26+'Balance Sheet'!L31-'Balance Sheet'!M31</f>
        <v>0</v>
      </c>
      <c r="J15" s="311">
        <f>'Balance Sheet'!M26-'Balance Sheet'!N26+'Balance Sheet'!M31-'Balance Sheet'!N31</f>
        <v>0</v>
      </c>
      <c r="K15" s="311">
        <f>'Balance Sheet'!N26-'Balance Sheet'!O26+'Balance Sheet'!N31-'Balance Sheet'!O31</f>
        <v>0</v>
      </c>
      <c r="L15" s="1358">
        <f>'Balance Sheet'!O26-'Balance Sheet'!P26+'Balance Sheet'!O31-'Balance Sheet'!P31</f>
        <v>0</v>
      </c>
      <c r="M15" s="1358">
        <f>'Balance Sheet'!P26-'Balance Sheet'!Q26+'Balance Sheet'!P31-'Balance Sheet'!Q31</f>
        <v>0</v>
      </c>
    </row>
    <row r="16" spans="2:13" x14ac:dyDescent="0.35">
      <c r="B16" s="120" t="s">
        <v>553</v>
      </c>
      <c r="C16" s="1361"/>
      <c r="D16" s="74">
        <f t="shared" ref="D16:M16" si="1">SUM(D12:D15)</f>
        <v>-2242.6805346419105</v>
      </c>
      <c r="E16" s="74">
        <f t="shared" si="1"/>
        <v>-132.11628146701321</v>
      </c>
      <c r="F16" s="74">
        <f t="shared" si="1"/>
        <v>-1104.436593066436</v>
      </c>
      <c r="G16" s="74">
        <f t="shared" si="1"/>
        <v>-332.81325469579576</v>
      </c>
      <c r="H16" s="74">
        <f t="shared" si="1"/>
        <v>-221.91277362214433</v>
      </c>
      <c r="I16" s="74">
        <f t="shared" si="1"/>
        <v>-170.85064239418625</v>
      </c>
      <c r="J16" s="74">
        <f t="shared" si="1"/>
        <v>-214.34440526125789</v>
      </c>
      <c r="K16" s="74">
        <f t="shared" si="1"/>
        <v>-260.11035767638566</v>
      </c>
      <c r="L16" s="1361">
        <f t="shared" si="1"/>
        <v>-409.39181075308022</v>
      </c>
      <c r="M16" s="1361">
        <f t="shared" si="1"/>
        <v>-450.31814598058452</v>
      </c>
    </row>
    <row r="17" spans="2:13" x14ac:dyDescent="0.35">
      <c r="B17" s="128" t="s">
        <v>306</v>
      </c>
      <c r="C17" s="1359"/>
      <c r="D17" s="63">
        <f>-'Tax calc'!H108</f>
        <v>0</v>
      </c>
      <c r="E17" s="63">
        <f>-'Tax calc'!I108</f>
        <v>0</v>
      </c>
      <c r="F17" s="63">
        <f>-'Tax calc'!J108</f>
        <v>0</v>
      </c>
      <c r="G17" s="63">
        <f>-'Tax calc'!K108</f>
        <v>0</v>
      </c>
      <c r="H17" s="63">
        <f>-'Tax calc'!L108</f>
        <v>0</v>
      </c>
      <c r="I17" s="63">
        <f>-'Tax calc'!M108</f>
        <v>0</v>
      </c>
      <c r="J17" s="63">
        <f>-'Tax calc'!N108</f>
        <v>0</v>
      </c>
      <c r="K17" s="63">
        <f>-'Tax calc'!O108</f>
        <v>-8.7890706411512625</v>
      </c>
      <c r="L17" s="1359">
        <f>-'Tax calc'!P108</f>
        <v>-70.772937396613258</v>
      </c>
      <c r="M17" s="1359">
        <f>-'Tax calc'!Q108</f>
        <v>-80.19163601130812</v>
      </c>
    </row>
    <row r="18" spans="2:13" x14ac:dyDescent="0.35">
      <c r="B18" s="103" t="s">
        <v>551</v>
      </c>
      <c r="C18" s="1362"/>
      <c r="D18" s="123">
        <f t="shared" ref="D18:M18" si="2">D17+D16+D10</f>
        <v>-1849.4697744543409</v>
      </c>
      <c r="E18" s="123">
        <f t="shared" si="2"/>
        <v>333.17912412160524</v>
      </c>
      <c r="F18" s="123">
        <f t="shared" si="2"/>
        <v>-559.64636853545449</v>
      </c>
      <c r="G18" s="123">
        <f t="shared" si="2"/>
        <v>232.89773632833851</v>
      </c>
      <c r="H18" s="123">
        <f t="shared" si="2"/>
        <v>355.3286502748316</v>
      </c>
      <c r="I18" s="123">
        <f t="shared" si="2"/>
        <v>419.12729403386766</v>
      </c>
      <c r="J18" s="123">
        <f t="shared" si="2"/>
        <v>387.04362599925912</v>
      </c>
      <c r="K18" s="123">
        <f t="shared" si="2"/>
        <v>342.28467171601289</v>
      </c>
      <c r="L18" s="1362">
        <f t="shared" si="2"/>
        <v>203.50911136217604</v>
      </c>
      <c r="M18" s="1362">
        <f t="shared" si="2"/>
        <v>202.3647543856016</v>
      </c>
    </row>
    <row r="19" spans="2:13" s="162" customFormat="1" x14ac:dyDescent="0.35">
      <c r="B19" s="74"/>
      <c r="C19" s="1361"/>
      <c r="D19" s="1361"/>
      <c r="E19" s="1361"/>
      <c r="F19" s="1361"/>
      <c r="G19" s="1361"/>
      <c r="H19" s="1361"/>
      <c r="I19" s="1361"/>
      <c r="J19" s="1361"/>
      <c r="K19" s="1361"/>
      <c r="L19" s="1361"/>
      <c r="M19" s="1361"/>
    </row>
    <row r="20" spans="2:13" x14ac:dyDescent="0.35">
      <c r="B20" s="79" t="s">
        <v>237</v>
      </c>
      <c r="C20" s="1363"/>
      <c r="D20" s="1363"/>
      <c r="E20" s="1363"/>
      <c r="F20" s="1363"/>
      <c r="G20" s="1363"/>
      <c r="H20" s="1363"/>
      <c r="I20" s="1363"/>
      <c r="J20" s="1363"/>
      <c r="K20" s="1363"/>
      <c r="L20" s="1363"/>
      <c r="M20" s="1363"/>
    </row>
    <row r="21" spans="2:13" x14ac:dyDescent="0.35">
      <c r="B21" s="128" t="s">
        <v>304</v>
      </c>
      <c r="C21" s="1359"/>
      <c r="D21" s="63">
        <f>-Assumptions!J169</f>
        <v>0</v>
      </c>
      <c r="E21" s="63">
        <f>-Assumptions!K169</f>
        <v>-15</v>
      </c>
      <c r="F21" s="63">
        <f>-Assumptions!L169</f>
        <v>-15</v>
      </c>
      <c r="G21" s="63">
        <f>-Assumptions!M169</f>
        <v>-15</v>
      </c>
      <c r="H21" s="63">
        <f>-Assumptions!N169</f>
        <v>-15</v>
      </c>
      <c r="I21" s="63">
        <f>-Assumptions!O169</f>
        <v>-15</v>
      </c>
      <c r="J21" s="63">
        <f>-Assumptions!P169</f>
        <v>-15</v>
      </c>
      <c r="K21" s="63">
        <f>-Assumptions!Q169</f>
        <v>-15</v>
      </c>
      <c r="L21" s="1359">
        <f>-Assumptions!R169</f>
        <v>-15</v>
      </c>
      <c r="M21" s="1359">
        <f>-Assumptions!S169</f>
        <v>-15</v>
      </c>
    </row>
    <row r="22" spans="2:13" s="162" customFormat="1" x14ac:dyDescent="0.35">
      <c r="B22" s="74"/>
      <c r="C22" s="1361"/>
      <c r="D22" s="1361"/>
      <c r="E22" s="1361"/>
      <c r="F22" s="1361"/>
      <c r="G22" s="1361"/>
      <c r="H22" s="1361"/>
      <c r="I22" s="1361"/>
      <c r="J22" s="1361"/>
      <c r="K22" s="1361"/>
      <c r="L22" s="1361"/>
      <c r="M22" s="1361"/>
    </row>
    <row r="23" spans="2:13" x14ac:dyDescent="0.35">
      <c r="B23" s="79" t="s">
        <v>268</v>
      </c>
      <c r="C23" s="1364"/>
      <c r="D23" s="1364"/>
      <c r="E23" s="1364"/>
      <c r="F23" s="1364"/>
      <c r="G23" s="1364"/>
      <c r="H23" s="1364"/>
      <c r="I23" s="1364"/>
      <c r="J23" s="1364"/>
      <c r="K23" s="1364"/>
      <c r="L23" s="1364"/>
      <c r="M23" s="1364"/>
    </row>
    <row r="24" spans="2:13" s="162" customFormat="1" x14ac:dyDescent="0.35">
      <c r="B24" s="68" t="s">
        <v>574</v>
      </c>
      <c r="C24" s="1365"/>
      <c r="D24" s="315">
        <f>'Promoter Loan &amp; Equity workings'!G9</f>
        <v>0</v>
      </c>
      <c r="E24" s="315">
        <f>'Promoter Loan &amp; Equity workings'!H9</f>
        <v>0</v>
      </c>
      <c r="F24" s="315">
        <f>'Promoter Loan &amp; Equity workings'!I9</f>
        <v>0</v>
      </c>
      <c r="G24" s="315">
        <f>'Promoter Loan &amp; Equity workings'!J9</f>
        <v>0</v>
      </c>
      <c r="H24" s="315">
        <f>'Promoter Loan &amp; Equity workings'!K9</f>
        <v>0</v>
      </c>
      <c r="I24" s="315">
        <f>'Promoter Loan &amp; Equity workings'!L9</f>
        <v>0</v>
      </c>
      <c r="J24" s="315">
        <f>'Promoter Loan &amp; Equity workings'!M9</f>
        <v>0</v>
      </c>
      <c r="K24" s="315">
        <f>'Promoter Loan &amp; Equity workings'!N9</f>
        <v>0</v>
      </c>
      <c r="L24" s="1365">
        <f>'Promoter Loan &amp; Equity workings'!O9</f>
        <v>0</v>
      </c>
      <c r="M24" s="1365">
        <f>'Promoter Loan &amp; Equity workings'!P9</f>
        <v>0</v>
      </c>
    </row>
    <row r="25" spans="2:13" x14ac:dyDescent="0.35">
      <c r="B25" s="128" t="s">
        <v>554</v>
      </c>
      <c r="C25" s="1366"/>
      <c r="D25" s="62">
        <f>'Promoter Loan &amp; Equity workings'!G36</f>
        <v>2361</v>
      </c>
      <c r="E25" s="74"/>
      <c r="F25" s="74"/>
      <c r="G25" s="74"/>
      <c r="H25" s="74"/>
      <c r="I25" s="74"/>
      <c r="J25" s="74"/>
      <c r="K25" s="74"/>
      <c r="L25" s="1361"/>
      <c r="M25" s="1361"/>
    </row>
    <row r="26" spans="2:13" x14ac:dyDescent="0.35">
      <c r="B26" s="128" t="s">
        <v>550</v>
      </c>
      <c r="C26" s="1359"/>
      <c r="D26" s="122">
        <f>+'Balance Sheet'!H45-'Balance Sheet'!G45</f>
        <v>-142.50400105055019</v>
      </c>
      <c r="E26" s="122">
        <f>+'Balance Sheet'!I45-'Balance Sheet'!H45</f>
        <v>-129.54786505049981</v>
      </c>
      <c r="F26" s="122">
        <f>+'Balance Sheet'!J45-'Balance Sheet'!I45</f>
        <v>-129.54786505050004</v>
      </c>
      <c r="G26" s="122">
        <f>+'Balance Sheet'!K45-'Balance Sheet'!J45</f>
        <v>-142.50265155554996</v>
      </c>
      <c r="H26" s="122">
        <f>+'Balance Sheet'!L45-'Balance Sheet'!K45</f>
        <v>-142.50265155555007</v>
      </c>
      <c r="I26" s="122">
        <f>+'Balance Sheet'!M45-'Balance Sheet'!L45</f>
        <v>-207.27658408079998</v>
      </c>
      <c r="J26" s="122">
        <f>+'Balance Sheet'!N45-'Balance Sheet'!M45</f>
        <v>-207.27658408080001</v>
      </c>
      <c r="K26" s="122">
        <f>+'Balance Sheet'!O45-'Balance Sheet'!N45</f>
        <v>-194.32179757574997</v>
      </c>
      <c r="L26" s="1367">
        <f>+'Balance Sheet'!P45-'Balance Sheet'!O45</f>
        <v>0</v>
      </c>
      <c r="M26" s="1367">
        <f>+'Balance Sheet'!Q45-'Balance Sheet'!P45</f>
        <v>0</v>
      </c>
    </row>
    <row r="27" spans="2:13" x14ac:dyDescent="0.35">
      <c r="B27" s="128" t="s">
        <v>238</v>
      </c>
      <c r="C27" s="1359"/>
      <c r="D27" s="63">
        <f>(+'Balance Sheet'!H44+'Working - Corporate'!J195-'Balance Sheet'!G44-'Working - Corporate'!I195)*0</f>
        <v>0</v>
      </c>
      <c r="E27" s="311">
        <f>+'Balance Sheet'!I44+'Working - Corporate'!K195-'Balance Sheet'!H44-'Working - Corporate'!J195</f>
        <v>0</v>
      </c>
      <c r="F27" s="311">
        <f>+'Balance Sheet'!J44+'Working - Corporate'!L195-'Balance Sheet'!I44-'Working - Corporate'!K195</f>
        <v>0</v>
      </c>
      <c r="G27" s="311">
        <f>+'Balance Sheet'!K44+'Working - Corporate'!M195-'Balance Sheet'!J44-'Working - Corporate'!L195</f>
        <v>0</v>
      </c>
      <c r="H27" s="311">
        <f>+'Balance Sheet'!L44+'Working - Corporate'!N195-'Balance Sheet'!K44-'Working - Corporate'!M195</f>
        <v>0</v>
      </c>
      <c r="I27" s="311">
        <f>+'Balance Sheet'!M44+'Working - Corporate'!O195-'Balance Sheet'!L44-'Working - Corporate'!N195</f>
        <v>0</v>
      </c>
      <c r="J27" s="311">
        <f>+'Balance Sheet'!N44+'Working - Corporate'!P195-'Balance Sheet'!M44-'Working - Corporate'!O195</f>
        <v>0</v>
      </c>
      <c r="K27" s="311">
        <f>+'Balance Sheet'!O44+'Working - Corporate'!Q195-'Balance Sheet'!N44-'Working - Corporate'!P195</f>
        <v>0</v>
      </c>
      <c r="L27" s="1358">
        <f>+'Balance Sheet'!P44+'Working - Corporate'!R195-'Balance Sheet'!O44-'Working - Corporate'!Q195</f>
        <v>0</v>
      </c>
      <c r="M27" s="1358">
        <f>+'Balance Sheet'!Q44+'Working - Corporate'!S195-'Balance Sheet'!P44-'Working - Corporate'!R195</f>
        <v>0</v>
      </c>
    </row>
    <row r="28" spans="2:13" x14ac:dyDescent="0.35">
      <c r="B28" s="128" t="s">
        <v>239</v>
      </c>
      <c r="C28" s="1358"/>
      <c r="D28" s="311">
        <f>+'Balance Sheet'!H57-'Balance Sheet'!G57</f>
        <v>0</v>
      </c>
      <c r="E28" s="311">
        <f>+'Balance Sheet'!I57-'Balance Sheet'!H57</f>
        <v>0</v>
      </c>
      <c r="F28" s="311">
        <f>+'Balance Sheet'!J57-'Balance Sheet'!I57</f>
        <v>924.60167862344667</v>
      </c>
      <c r="G28" s="311">
        <f>+'Balance Sheet'!K57-'Balance Sheet'!J57</f>
        <v>145.50832137655323</v>
      </c>
      <c r="H28" s="311">
        <f>+'Balance Sheet'!L57-'Balance Sheet'!K57</f>
        <v>0</v>
      </c>
      <c r="I28" s="311">
        <f>+'Balance Sheet'!M57-'Balance Sheet'!L57</f>
        <v>0</v>
      </c>
      <c r="J28" s="311">
        <f>+'Balance Sheet'!N57-'Balance Sheet'!M57</f>
        <v>0</v>
      </c>
      <c r="K28" s="311">
        <f>+'Balance Sheet'!O57-'Balance Sheet'!N57</f>
        <v>0</v>
      </c>
      <c r="L28" s="1358">
        <f>+'Balance Sheet'!P57-'Balance Sheet'!O57</f>
        <v>0</v>
      </c>
      <c r="M28" s="1358">
        <f>+'Balance Sheet'!Q57-'Balance Sheet'!P57</f>
        <v>0</v>
      </c>
    </row>
    <row r="29" spans="2:13" x14ac:dyDescent="0.35">
      <c r="B29" s="103" t="s">
        <v>555</v>
      </c>
      <c r="C29" s="1368"/>
      <c r="D29" s="177">
        <f t="shared" ref="D29:J29" si="3">SUM(D26:D28)</f>
        <v>-142.50400105055019</v>
      </c>
      <c r="E29" s="177">
        <f t="shared" si="3"/>
        <v>-129.54786505049981</v>
      </c>
      <c r="F29" s="177">
        <f t="shared" si="3"/>
        <v>795.05381357294664</v>
      </c>
      <c r="G29" s="177">
        <f t="shared" si="3"/>
        <v>3.0056698210032664</v>
      </c>
      <c r="H29" s="177">
        <f t="shared" si="3"/>
        <v>-142.50265155555007</v>
      </c>
      <c r="I29" s="177">
        <f t="shared" si="3"/>
        <v>-207.27658408079998</v>
      </c>
      <c r="J29" s="177">
        <f t="shared" si="3"/>
        <v>-207.27658408080001</v>
      </c>
      <c r="K29" s="177">
        <f>SUM(K26:K28)</f>
        <v>-194.32179757574997</v>
      </c>
      <c r="L29" s="1368">
        <f>SUM(L26:L28)</f>
        <v>0</v>
      </c>
      <c r="M29" s="1368">
        <f>SUM(M26:M28)</f>
        <v>0</v>
      </c>
    </row>
    <row r="30" spans="2:13" x14ac:dyDescent="0.35">
      <c r="B30" s="120" t="s">
        <v>240</v>
      </c>
      <c r="C30" s="1358"/>
      <c r="D30" s="311"/>
      <c r="E30" s="311"/>
      <c r="F30" s="311"/>
      <c r="G30" s="311"/>
      <c r="H30" s="311"/>
      <c r="I30" s="311"/>
      <c r="J30" s="311"/>
      <c r="K30" s="311"/>
      <c r="L30" s="1358"/>
      <c r="M30" s="1358"/>
    </row>
    <row r="31" spans="2:13" x14ac:dyDescent="0.35">
      <c r="B31" s="128" t="s">
        <v>242</v>
      </c>
      <c r="C31" s="1358"/>
      <c r="D31" s="63">
        <f>'Working - Corporate'!J193-'Working - Corporate'!I193+'Working - Corporate'!J196-'Working - Corporate'!I196+'Working - Corporate'!J197-'Working - Corporate'!I197+'Working - Corporate'!J199-'Working - Corporate'!I199+IF('Debt repayment Schedule'!B4=1,'Working - Corporate'!J198-'Working - Corporate'!I198,0)</f>
        <v>-0.92010000000000003</v>
      </c>
      <c r="E31" s="311">
        <f>'Working - Corporate'!K193-'Working - Corporate'!J193+'Working - Corporate'!K196-'Working - Corporate'!J196+'Working - Corporate'!K197-'Working - Corporate'!J197+'Working - Corporate'!K198-'Working - Corporate'!J198+'Working - Corporate'!K199-'Working - Corporate'!J199</f>
        <v>0</v>
      </c>
      <c r="F31" s="311">
        <f>'Working - Corporate'!L193-'Working - Corporate'!K193+'Working - Corporate'!L196-'Working - Corporate'!K196+'Working - Corporate'!L197-'Working - Corporate'!K197+'Working - Corporate'!L198-'Working - Corporate'!K198+'Working - Corporate'!L199-'Working - Corporate'!K199</f>
        <v>0</v>
      </c>
      <c r="G31" s="311">
        <f>'Working - Corporate'!M193-'Working - Corporate'!L193+'Working - Corporate'!M196-'Working - Corporate'!L196+'Working - Corporate'!M197-'Working - Corporate'!L197+'Working - Corporate'!M198-'Working - Corporate'!L198+'Working - Corporate'!M199-'Working - Corporate'!L199</f>
        <v>0</v>
      </c>
      <c r="H31" s="311">
        <f>'Working - Corporate'!N193-'Working - Corporate'!M193+'Working - Corporate'!N196-'Working - Corporate'!M196+'Working - Corporate'!N197-'Working - Corporate'!M197+'Working - Corporate'!N198-'Working - Corporate'!M198+'Working - Corporate'!N199-'Working - Corporate'!M199</f>
        <v>0</v>
      </c>
      <c r="I31" s="311">
        <f>'Working - Corporate'!O193-'Working - Corporate'!N193+'Working - Corporate'!O196-'Working - Corporate'!N196+'Working - Corporate'!O197-'Working - Corporate'!N197+'Working - Corporate'!O198-'Working - Corporate'!N198+'Working - Corporate'!O199-'Working - Corporate'!N199</f>
        <v>0</v>
      </c>
      <c r="J31" s="311">
        <f>'Working - Corporate'!P193-'Working - Corporate'!O193+'Working - Corporate'!P196-'Working - Corporate'!O196+'Working - Corporate'!P197-'Working - Corporate'!O197+'Working - Corporate'!P198-'Working - Corporate'!O198+'Working - Corporate'!P199-'Working - Corporate'!O199</f>
        <v>0</v>
      </c>
      <c r="K31" s="311">
        <f>'Working - Corporate'!Q193-'Working - Corporate'!P193+'Working - Corporate'!Q196-'Working - Corporate'!P196+'Working - Corporate'!Q197-'Working - Corporate'!P197+'Working - Corporate'!Q198-'Working - Corporate'!P198+'Working - Corporate'!Q199-'Working - Corporate'!P199</f>
        <v>0</v>
      </c>
      <c r="L31" s="1358">
        <f>'Working - Corporate'!R193-'Working - Corporate'!Q193+'Working - Corporate'!R196-'Working - Corporate'!Q196+'Working - Corporate'!R197-'Working - Corporate'!Q197+'Working - Corporate'!R198-'Working - Corporate'!Q198+'Working - Corporate'!R199-'Working - Corporate'!Q199</f>
        <v>0</v>
      </c>
      <c r="M31" s="1358">
        <f>'Working - Corporate'!S193-'Working - Corporate'!R193+'Working - Corporate'!S196-'Working - Corporate'!R196+'Working - Corporate'!S197-'Working - Corporate'!R197+'Working - Corporate'!S198-'Working - Corporate'!R198+'Working - Corporate'!S199-'Working - Corporate'!R199</f>
        <v>0</v>
      </c>
    </row>
    <row r="32" spans="2:13" x14ac:dyDescent="0.35">
      <c r="B32" s="128" t="s">
        <v>241</v>
      </c>
      <c r="C32" s="1358"/>
      <c r="D32" s="311">
        <f>-'Working - Corporate'!J32</f>
        <v>-121.55663532003958</v>
      </c>
      <c r="E32" s="311">
        <f>-'Working - Corporate'!K32</f>
        <v>-108.36891172302285</v>
      </c>
      <c r="F32" s="63">
        <f>-'Working - Corporate'!L32</f>
        <v>-95.408682436146904</v>
      </c>
      <c r="G32" s="311">
        <f>-'Working - Corporate'!M32</f>
        <v>-82.257427392664169</v>
      </c>
      <c r="H32" s="311">
        <f>-'Working - Corporate'!N32</f>
        <v>-68.312547160369704</v>
      </c>
      <c r="I32" s="311">
        <f>-'Working - Corporate'!O32</f>
        <v>-52.118772793477291</v>
      </c>
      <c r="J32" s="311">
        <f>-'Working - Corporate'!P32</f>
        <v>-31.713748792299171</v>
      </c>
      <c r="K32" s="311">
        <f>-'Working - Corporate'!Q32</f>
        <v>-11.904377832176719</v>
      </c>
      <c r="L32" s="1358">
        <f>-'Working - Corporate'!R32</f>
        <v>-4.4375392249662573E-14</v>
      </c>
      <c r="M32" s="1358">
        <f>-'Working - Corporate'!S32</f>
        <v>-4.4496968666784935E-14</v>
      </c>
    </row>
    <row r="33" spans="2:13" x14ac:dyDescent="0.35">
      <c r="B33" s="128" t="s">
        <v>243</v>
      </c>
      <c r="C33" s="1358"/>
      <c r="D33" s="311">
        <f>-'Working - Corporate'!J33</f>
        <v>0</v>
      </c>
      <c r="E33" s="311">
        <f>-'Working - Corporate'!K33</f>
        <v>0</v>
      </c>
      <c r="F33" s="63">
        <f>-'Working - Corporate'!L33</f>
        <v>-46.923535190139923</v>
      </c>
      <c r="G33" s="311">
        <f>-'Working - Corporate'!M33</f>
        <v>-54.308082499999998</v>
      </c>
      <c r="H33" s="311">
        <f>-'Working - Corporate'!N33</f>
        <v>-54.308082499999998</v>
      </c>
      <c r="I33" s="311">
        <f>-'Working - Corporate'!O33</f>
        <v>-54.308082499999998</v>
      </c>
      <c r="J33" s="311">
        <f>-'Working - Corporate'!P33</f>
        <v>-54.308082499999998</v>
      </c>
      <c r="K33" s="311">
        <f>-'Working - Corporate'!Q33</f>
        <v>-54.308082499999998</v>
      </c>
      <c r="L33" s="1358">
        <f>-'Working - Corporate'!R33</f>
        <v>-54.308082499999998</v>
      </c>
      <c r="M33" s="1358">
        <f>-'Working - Corporate'!S33</f>
        <v>-54.308082499999998</v>
      </c>
    </row>
    <row r="34" spans="2:13" x14ac:dyDescent="0.35">
      <c r="B34" s="128" t="s">
        <v>1513</v>
      </c>
      <c r="C34" s="1358"/>
      <c r="D34" s="63">
        <f>-IF('Debt repayment Schedule'!B4=2,0,'Working - Corporate'!J38)</f>
        <v>0</v>
      </c>
      <c r="E34" s="311">
        <f>-'Working - Corporate'!K38</f>
        <v>0</v>
      </c>
      <c r="F34" s="311">
        <f>-'Working - Corporate'!L38</f>
        <v>0</v>
      </c>
      <c r="G34" s="311">
        <f>-'Working - Corporate'!M38</f>
        <v>0</v>
      </c>
      <c r="H34" s="311">
        <f>-'Working - Corporate'!N38</f>
        <v>0</v>
      </c>
      <c r="I34" s="311">
        <f>-'Working - Corporate'!O38</f>
        <v>0</v>
      </c>
      <c r="J34" s="311">
        <f>-'Working - Corporate'!P38</f>
        <v>0</v>
      </c>
      <c r="K34" s="311">
        <f>-'Working - Corporate'!Q38</f>
        <v>0</v>
      </c>
      <c r="L34" s="1358">
        <f>-'Working - Corporate'!R38</f>
        <v>0</v>
      </c>
      <c r="M34" s="1358">
        <f>-'Working - Corporate'!S38</f>
        <v>0</v>
      </c>
    </row>
    <row r="35" spans="2:13" x14ac:dyDescent="0.35">
      <c r="B35" s="128" t="s">
        <v>1646</v>
      </c>
      <c r="D35" s="63">
        <f>IF('Debt repayment Schedule'!B4=2,(-YTM!E7),0)</f>
        <v>-178.41232734095769</v>
      </c>
      <c r="E35" s="311"/>
      <c r="F35" s="63"/>
      <c r="G35" s="311"/>
      <c r="H35" s="311"/>
      <c r="I35" s="311"/>
      <c r="J35" s="311"/>
      <c r="K35" s="311"/>
      <c r="L35" s="1358"/>
      <c r="M35" s="1358"/>
    </row>
    <row r="36" spans="2:13" s="582" customFormat="1" x14ac:dyDescent="0.35">
      <c r="B36" s="128" t="s">
        <v>208</v>
      </c>
      <c r="C36" s="1358"/>
      <c r="D36" s="311">
        <f>IF('Debt repayment Schedule'!B4=2,0,-'Working - Corporate'!J36)</f>
        <v>0</v>
      </c>
      <c r="E36" s="311">
        <f>-'Working - Corporate'!K36</f>
        <v>0</v>
      </c>
      <c r="F36" s="311">
        <f>-'Working - Corporate'!L36</f>
        <v>0</v>
      </c>
      <c r="G36" s="311">
        <f>-'Working - Corporate'!M36</f>
        <v>0</v>
      </c>
      <c r="H36" s="311">
        <f>-'Working - Corporate'!N36</f>
        <v>0</v>
      </c>
      <c r="I36" s="311">
        <f>-'Working - Corporate'!O36</f>
        <v>0</v>
      </c>
      <c r="J36" s="311">
        <f>-'Working - Corporate'!P36</f>
        <v>0</v>
      </c>
      <c r="K36" s="311">
        <f>-'Working - Corporate'!Q36</f>
        <v>0</v>
      </c>
      <c r="L36" s="1358">
        <f>-'Working - Corporate'!R36</f>
        <v>0</v>
      </c>
      <c r="M36" s="1358">
        <f>-'Working - Corporate'!S36</f>
        <v>0</v>
      </c>
    </row>
    <row r="37" spans="2:13" x14ac:dyDescent="0.35">
      <c r="B37" s="128" t="s">
        <v>244</v>
      </c>
      <c r="C37" s="1358"/>
      <c r="D37" s="311">
        <f>-'Working - Corporate'!J37-'Working - Corporate'!J39-'Working - Corporate'!J35</f>
        <v>-21.199235502999997</v>
      </c>
      <c r="E37" s="311">
        <f>-'Working - Corporate'!K37-'Working - Corporate'!K39-'Working - Corporate'!K35</f>
        <v>-5.9192355029999995</v>
      </c>
      <c r="F37" s="63">
        <f>-'Working - Corporate'!L37-'Working - Corporate'!L39-'Working - Corporate'!L35</f>
        <v>-5.9192355029999995</v>
      </c>
      <c r="G37" s="311">
        <f>-'Working - Corporate'!M37-'Working - Corporate'!M39-'Working - Corporate'!M35</f>
        <v>-5.7692355029999991</v>
      </c>
      <c r="H37" s="311">
        <f>-'Working - Corporate'!N37-'Working - Corporate'!N39-'Working - Corporate'!N35</f>
        <v>-5.7692355029999991</v>
      </c>
      <c r="I37" s="311">
        <f>-'Working - Corporate'!O37-'Working - Corporate'!O39-'Working - Corporate'!O35</f>
        <v>-5.7692355029999991</v>
      </c>
      <c r="J37" s="311">
        <f>-'Working - Corporate'!P37-'Working - Corporate'!P39-'Working - Corporate'!P35</f>
        <v>-5.7692355029999991</v>
      </c>
      <c r="K37" s="311">
        <f>-'Working - Corporate'!Q37-'Working - Corporate'!Q39-'Working - Corporate'!Q35</f>
        <v>-5.7692355029999991</v>
      </c>
      <c r="L37" s="1358">
        <f>-'Working - Corporate'!R37-'Working - Corporate'!R39-'Working - Corporate'!R35</f>
        <v>-5.7692355029999991</v>
      </c>
      <c r="M37" s="1358">
        <f>-'Working - Corporate'!S37-'Working - Corporate'!S39-'Working - Corporate'!S35</f>
        <v>-5.7692355029999991</v>
      </c>
    </row>
    <row r="38" spans="2:13" x14ac:dyDescent="0.35">
      <c r="B38" s="103" t="s">
        <v>556</v>
      </c>
      <c r="C38" s="1368"/>
      <c r="D38" s="177">
        <f t="shared" ref="D38:J38" si="4">SUM(D31:D37)</f>
        <v>-322.08829816399731</v>
      </c>
      <c r="E38" s="177">
        <f t="shared" si="4"/>
        <v>-114.28814722602284</v>
      </c>
      <c r="F38" s="177">
        <f t="shared" si="4"/>
        <v>-148.25145312928683</v>
      </c>
      <c r="G38" s="177">
        <f t="shared" si="4"/>
        <v>-142.33474539566419</v>
      </c>
      <c r="H38" s="177">
        <f t="shared" si="4"/>
        <v>-128.38986516336971</v>
      </c>
      <c r="I38" s="177">
        <f t="shared" si="4"/>
        <v>-112.19609079647729</v>
      </c>
      <c r="J38" s="177">
        <f t="shared" si="4"/>
        <v>-91.791066795299173</v>
      </c>
      <c r="K38" s="177">
        <f>SUM(K31:K37)</f>
        <v>-71.981695835176723</v>
      </c>
      <c r="L38" s="1368">
        <f>SUM(L31:L37)</f>
        <v>-60.077318003000038</v>
      </c>
      <c r="M38" s="1368">
        <f>SUM(M31:M37)</f>
        <v>-60.077318003000038</v>
      </c>
    </row>
    <row r="39" spans="2:13" x14ac:dyDescent="0.35">
      <c r="B39" s="103" t="s">
        <v>268</v>
      </c>
      <c r="C39" s="1368"/>
      <c r="D39" s="177">
        <f t="shared" ref="D39:L39" si="5">D38+D29+D25+D24</f>
        <v>1896.4077007854526</v>
      </c>
      <c r="E39" s="177">
        <f t="shared" si="5"/>
        <v>-243.83601227652264</v>
      </c>
      <c r="F39" s="177">
        <f t="shared" si="5"/>
        <v>646.80236044365984</v>
      </c>
      <c r="G39" s="177">
        <f t="shared" si="5"/>
        <v>-139.32907557466092</v>
      </c>
      <c r="H39" s="177">
        <f t="shared" si="5"/>
        <v>-270.89251671891975</v>
      </c>
      <c r="I39" s="177">
        <f t="shared" si="5"/>
        <v>-319.47267487727726</v>
      </c>
      <c r="J39" s="177">
        <f t="shared" si="5"/>
        <v>-299.06765087609915</v>
      </c>
      <c r="K39" s="177">
        <f t="shared" si="5"/>
        <v>-266.30349341092671</v>
      </c>
      <c r="L39" s="1368">
        <f t="shared" si="5"/>
        <v>-60.077318003000038</v>
      </c>
      <c r="M39" s="1368">
        <f>M38+M29+M25+M24</f>
        <v>-60.077318003000038</v>
      </c>
    </row>
    <row r="40" spans="2:13" x14ac:dyDescent="0.35">
      <c r="B40" s="120" t="s">
        <v>245</v>
      </c>
      <c r="C40" s="1369"/>
      <c r="D40" s="225">
        <f t="shared" ref="D40:L40" si="6">D39+D21+D18</f>
        <v>46.937926331111612</v>
      </c>
      <c r="E40" s="225">
        <f t="shared" si="6"/>
        <v>74.343111845082603</v>
      </c>
      <c r="F40" s="225">
        <f t="shared" si="6"/>
        <v>72.155991908205351</v>
      </c>
      <c r="G40" s="225">
        <f t="shared" si="6"/>
        <v>78.568660753677591</v>
      </c>
      <c r="H40" s="225">
        <f t="shared" si="6"/>
        <v>69.436133555911852</v>
      </c>
      <c r="I40" s="225">
        <f t="shared" si="6"/>
        <v>84.6546191565904</v>
      </c>
      <c r="J40" s="225">
        <f t="shared" si="6"/>
        <v>72.975975123159969</v>
      </c>
      <c r="K40" s="225">
        <f t="shared" si="6"/>
        <v>60.981178305086189</v>
      </c>
      <c r="L40" s="1369">
        <f t="shared" si="6"/>
        <v>128.431793359176</v>
      </c>
      <c r="M40" s="1369">
        <f>M39+M21+M18</f>
        <v>127.28743638260156</v>
      </c>
    </row>
    <row r="41" spans="2:13" x14ac:dyDescent="0.35">
      <c r="B41" s="120" t="s">
        <v>557</v>
      </c>
      <c r="C41" s="1369"/>
      <c r="D41" s="225">
        <f t="shared" ref="D41" si="7">+C42</f>
        <v>47.33</v>
      </c>
      <c r="E41" s="225">
        <f>D44</f>
        <v>27.593922838053928</v>
      </c>
      <c r="F41" s="225">
        <f t="shared" ref="F41:M41" si="8">E44</f>
        <v>101.93703468313653</v>
      </c>
      <c r="G41" s="225">
        <f t="shared" si="8"/>
        <v>174.09302659134187</v>
      </c>
      <c r="H41" s="225">
        <f t="shared" si="8"/>
        <v>252.66168734501946</v>
      </c>
      <c r="I41" s="225">
        <f t="shared" si="8"/>
        <v>322.09782090093131</v>
      </c>
      <c r="J41" s="225">
        <f t="shared" si="8"/>
        <v>406.75244005752171</v>
      </c>
      <c r="K41" s="225">
        <f t="shared" si="8"/>
        <v>479.72841518068168</v>
      </c>
      <c r="L41" s="1369">
        <f t="shared" si="8"/>
        <v>607.38359697882561</v>
      </c>
      <c r="M41" s="1369">
        <f t="shared" si="8"/>
        <v>735.81539033800163</v>
      </c>
    </row>
    <row r="42" spans="2:13" x14ac:dyDescent="0.35">
      <c r="B42" s="103" t="s">
        <v>1580</v>
      </c>
      <c r="C42" s="1362">
        <f>'Balance Sheet'!G24</f>
        <v>47.33</v>
      </c>
      <c r="D42" s="123">
        <f t="shared" ref="D42:J42" si="9">SUM(D40:D41)</f>
        <v>94.26792633111161</v>
      </c>
      <c r="E42" s="123">
        <f t="shared" si="9"/>
        <v>101.93703468313653</v>
      </c>
      <c r="F42" s="177">
        <f t="shared" si="9"/>
        <v>174.09302659134187</v>
      </c>
      <c r="G42" s="177">
        <f t="shared" si="9"/>
        <v>252.66168734501946</v>
      </c>
      <c r="H42" s="177">
        <f t="shared" si="9"/>
        <v>322.09782090093131</v>
      </c>
      <c r="I42" s="177">
        <f t="shared" si="9"/>
        <v>406.75244005752171</v>
      </c>
      <c r="J42" s="177">
        <f t="shared" si="9"/>
        <v>479.72841518068168</v>
      </c>
      <c r="K42" s="177">
        <f>SUM(K40:K41)</f>
        <v>540.70959348576787</v>
      </c>
      <c r="L42" s="1368">
        <f>SUM(L40:L41)</f>
        <v>735.81539033800163</v>
      </c>
      <c r="M42" s="1368">
        <f>SUM(M40:M41)</f>
        <v>863.10282672060316</v>
      </c>
    </row>
    <row r="43" spans="2:13" s="582" customFormat="1" x14ac:dyDescent="0.35">
      <c r="B43" s="103" t="s">
        <v>1578</v>
      </c>
      <c r="C43" s="1362"/>
      <c r="D43" s="123">
        <f>IF('Debt repayment Schedule'!B4=2,-MAX('Debt repayment Schedule'!BD25:BD97),0)</f>
        <v>-66.674003493057683</v>
      </c>
      <c r="E43" s="123">
        <f>'Balance Sheet'!H25-'Balance Sheet'!I25</f>
        <v>0</v>
      </c>
      <c r="F43" s="123">
        <f>'Balance Sheet'!I25-'Balance Sheet'!J25</f>
        <v>0</v>
      </c>
      <c r="G43" s="123">
        <f>'Balance Sheet'!J25-'Balance Sheet'!K25</f>
        <v>0</v>
      </c>
      <c r="H43" s="123">
        <f>'Balance Sheet'!K25-'Balance Sheet'!L25</f>
        <v>0</v>
      </c>
      <c r="I43" s="123">
        <f>'Balance Sheet'!L25-'Balance Sheet'!M25</f>
        <v>0</v>
      </c>
      <c r="J43" s="123">
        <f>'Balance Sheet'!M25-'Balance Sheet'!N25</f>
        <v>0</v>
      </c>
      <c r="K43" s="123">
        <f>'Balance Sheet'!N25-'Balance Sheet'!O25</f>
        <v>66.674003493057683</v>
      </c>
      <c r="L43" s="1362">
        <f>'Balance Sheet'!O25-'Balance Sheet'!P25</f>
        <v>0</v>
      </c>
      <c r="M43" s="1362">
        <f>'Balance Sheet'!P25-'Balance Sheet'!Q25</f>
        <v>0</v>
      </c>
    </row>
    <row r="44" spans="2:13" s="582" customFormat="1" x14ac:dyDescent="0.35">
      <c r="B44" s="103" t="s">
        <v>1579</v>
      </c>
      <c r="C44" s="1362"/>
      <c r="D44" s="123">
        <f>D42+D43</f>
        <v>27.593922838053928</v>
      </c>
      <c r="E44" s="123">
        <f t="shared" ref="E44:M44" si="10">E42+E43</f>
        <v>101.93703468313653</v>
      </c>
      <c r="F44" s="123">
        <f t="shared" si="10"/>
        <v>174.09302659134187</v>
      </c>
      <c r="G44" s="123">
        <f t="shared" si="10"/>
        <v>252.66168734501946</v>
      </c>
      <c r="H44" s="123">
        <f t="shared" si="10"/>
        <v>322.09782090093131</v>
      </c>
      <c r="I44" s="123">
        <f t="shared" si="10"/>
        <v>406.75244005752171</v>
      </c>
      <c r="J44" s="123">
        <f t="shared" si="10"/>
        <v>479.72841518068168</v>
      </c>
      <c r="K44" s="123">
        <f t="shared" si="10"/>
        <v>607.38359697882561</v>
      </c>
      <c r="L44" s="1362">
        <f t="shared" si="10"/>
        <v>735.81539033800163</v>
      </c>
      <c r="M44" s="1362">
        <f t="shared" si="10"/>
        <v>863.10282672060316</v>
      </c>
    </row>
    <row r="45" spans="2:13" s="117" customFormat="1" x14ac:dyDescent="0.35">
      <c r="B45" s="72" t="s">
        <v>407</v>
      </c>
      <c r="C45" s="361"/>
      <c r="D45" s="361">
        <f>ROUND(+D42-'Balance Sheet'!H24,2)-'Balance Sheet'!H25</f>
        <v>-4.0034930576808847E-3</v>
      </c>
      <c r="E45" s="361">
        <f>ROUND(+E42-'Balance Sheet'!I24,2)</f>
        <v>0</v>
      </c>
      <c r="F45" s="361">
        <f>ROUND(+F42-'Balance Sheet'!J24,2)</f>
        <v>0</v>
      </c>
      <c r="G45" s="361">
        <f>ROUND(+G42-'Balance Sheet'!K24,2)</f>
        <v>0</v>
      </c>
      <c r="H45" s="361">
        <f>ROUND(+H42-'Balance Sheet'!L24,2)</f>
        <v>0</v>
      </c>
      <c r="I45" s="361">
        <f>ROUND(+I42-'Balance Sheet'!M24,2)</f>
        <v>0</v>
      </c>
      <c r="J45" s="361">
        <f>ROUND(+J42-'Balance Sheet'!N24,2)</f>
        <v>0</v>
      </c>
      <c r="K45" s="361"/>
      <c r="L45" s="361">
        <f>ROUND(+L42-'Balance Sheet'!P24,2)</f>
        <v>0</v>
      </c>
      <c r="M45" s="361">
        <f>ROUND(+M42-'Balance Sheet'!Q24,2)</f>
        <v>0</v>
      </c>
    </row>
    <row r="46" spans="2:13" x14ac:dyDescent="0.35">
      <c r="C46" s="172"/>
      <c r="D46" s="172"/>
      <c r="E46" s="172"/>
      <c r="F46" s="172"/>
      <c r="G46" s="172"/>
      <c r="H46" s="172"/>
      <c r="I46" s="172"/>
      <c r="J46" s="172"/>
      <c r="K46" s="172"/>
      <c r="L46" s="172"/>
      <c r="M46" s="172"/>
    </row>
    <row r="47" spans="2:13" x14ac:dyDescent="0.35">
      <c r="B47" s="134" t="s">
        <v>353</v>
      </c>
      <c r="C47" s="215"/>
      <c r="D47" s="215"/>
      <c r="E47" s="215"/>
      <c r="F47" s="215"/>
      <c r="G47" s="215"/>
      <c r="H47" s="215"/>
      <c r="I47" s="215"/>
      <c r="J47" s="215"/>
      <c r="K47" s="215"/>
      <c r="L47" s="215"/>
      <c r="M47" s="215"/>
    </row>
    <row r="48" spans="2:13" x14ac:dyDescent="0.35">
      <c r="B48" s="1542" t="s">
        <v>251</v>
      </c>
      <c r="C48" s="1543"/>
      <c r="D48" s="1543">
        <f t="shared" ref="D48:M48" si="11">D4</f>
        <v>45016</v>
      </c>
      <c r="E48" s="1543">
        <f t="shared" si="11"/>
        <v>45382</v>
      </c>
      <c r="F48" s="1543">
        <f t="shared" si="11"/>
        <v>45747</v>
      </c>
      <c r="G48" s="1543">
        <f t="shared" si="11"/>
        <v>46112</v>
      </c>
      <c r="H48" s="1543">
        <f t="shared" si="11"/>
        <v>46477</v>
      </c>
      <c r="I48" s="1543">
        <f t="shared" si="11"/>
        <v>46843</v>
      </c>
      <c r="J48" s="1543">
        <f t="shared" si="11"/>
        <v>47208</v>
      </c>
      <c r="K48" s="1543">
        <f t="shared" si="11"/>
        <v>47573</v>
      </c>
      <c r="L48" s="1543">
        <f t="shared" si="11"/>
        <v>47938</v>
      </c>
      <c r="M48" s="1543">
        <f t="shared" si="11"/>
        <v>48304</v>
      </c>
    </row>
    <row r="49" spans="1:13" x14ac:dyDescent="0.35">
      <c r="B49" s="1544" t="s">
        <v>72</v>
      </c>
      <c r="C49" s="1546"/>
      <c r="D49" s="1725">
        <f>'P&amp;L'!J36</f>
        <v>393.21076018756958</v>
      </c>
      <c r="E49" s="1725">
        <f>'P&amp;L'!K36</f>
        <v>465.29540558861845</v>
      </c>
      <c r="F49" s="1725">
        <f>'P&amp;L'!L36</f>
        <v>544.7902245309815</v>
      </c>
      <c r="G49" s="1725">
        <f>'P&amp;L'!M36</f>
        <v>565.71099102413427</v>
      </c>
      <c r="H49" s="1725">
        <f>'P&amp;L'!N36</f>
        <v>577.2414238969759</v>
      </c>
      <c r="I49" s="1725">
        <f>'P&amp;L'!O36</f>
        <v>589.97793642805391</v>
      </c>
      <c r="J49" s="1725">
        <f>'P&amp;L'!P36</f>
        <v>601.38803126051698</v>
      </c>
      <c r="K49" s="1725">
        <f>'P&amp;L'!Q36</f>
        <v>611.18410003354984</v>
      </c>
      <c r="L49" s="1546">
        <f>'P&amp;L'!R36</f>
        <v>683.67385951186952</v>
      </c>
      <c r="M49" s="1546">
        <f>'P&amp;L'!S36</f>
        <v>732.87453637749422</v>
      </c>
    </row>
    <row r="50" spans="1:13" x14ac:dyDescent="0.35">
      <c r="B50" s="1545" t="s">
        <v>543</v>
      </c>
      <c r="C50" s="1547"/>
      <c r="D50" s="1726">
        <f>-'Tax calc'!H108</f>
        <v>0</v>
      </c>
      <c r="E50" s="1726">
        <f>-'Tax calc'!I108</f>
        <v>0</v>
      </c>
      <c r="F50" s="1726">
        <f>-'Tax calc'!J108</f>
        <v>0</v>
      </c>
      <c r="G50" s="1726">
        <f>-'Tax calc'!K108</f>
        <v>0</v>
      </c>
      <c r="H50" s="1726">
        <f>-'Tax calc'!L108</f>
        <v>0</v>
      </c>
      <c r="I50" s="1726">
        <f>-'Tax calc'!M108</f>
        <v>0</v>
      </c>
      <c r="J50" s="1726">
        <f>-'Tax calc'!N108</f>
        <v>0</v>
      </c>
      <c r="K50" s="1726">
        <f>-'Tax calc'!O108</f>
        <v>-8.7890706411512625</v>
      </c>
      <c r="L50" s="1547">
        <f>-'Tax calc'!P108</f>
        <v>-70.772937396613258</v>
      </c>
      <c r="M50" s="1547">
        <f>-'Tax calc'!Q108</f>
        <v>-80.19163601130812</v>
      </c>
    </row>
    <row r="51" spans="1:13" x14ac:dyDescent="0.35">
      <c r="B51" s="1545" t="s">
        <v>589</v>
      </c>
      <c r="C51" s="1547"/>
      <c r="D51" s="1726">
        <f t="shared" ref="D51:L51" si="12">D21</f>
        <v>0</v>
      </c>
      <c r="E51" s="1726">
        <f t="shared" si="12"/>
        <v>-15</v>
      </c>
      <c r="F51" s="1726">
        <f t="shared" si="12"/>
        <v>-15</v>
      </c>
      <c r="G51" s="1726">
        <f t="shared" si="12"/>
        <v>-15</v>
      </c>
      <c r="H51" s="1726">
        <f t="shared" si="12"/>
        <v>-15</v>
      </c>
      <c r="I51" s="1726">
        <f t="shared" si="12"/>
        <v>-15</v>
      </c>
      <c r="J51" s="1726">
        <f t="shared" si="12"/>
        <v>-15</v>
      </c>
      <c r="K51" s="1726">
        <f t="shared" si="12"/>
        <v>-15</v>
      </c>
      <c r="L51" s="1547">
        <f t="shared" si="12"/>
        <v>-15</v>
      </c>
      <c r="M51" s="1547">
        <f>M21</f>
        <v>-15</v>
      </c>
    </row>
    <row r="52" spans="1:13" x14ac:dyDescent="0.35">
      <c r="A52" s="172"/>
      <c r="B52" s="1545" t="s">
        <v>590</v>
      </c>
      <c r="C52" s="1547"/>
      <c r="D52" s="1726">
        <f>D12+D13+D14</f>
        <v>-2242.6805346419105</v>
      </c>
      <c r="E52" s="1726">
        <f t="shared" ref="E52:M52" si="13">E12+E13+E14</f>
        <v>-132.11628146701321</v>
      </c>
      <c r="F52" s="1726">
        <f t="shared" si="13"/>
        <v>-1104.436593066436</v>
      </c>
      <c r="G52" s="1726">
        <f t="shared" si="13"/>
        <v>-332.81325469579576</v>
      </c>
      <c r="H52" s="1726">
        <f t="shared" si="13"/>
        <v>-221.91277362214433</v>
      </c>
      <c r="I52" s="1726">
        <f t="shared" si="13"/>
        <v>-170.85064239418625</v>
      </c>
      <c r="J52" s="1726">
        <f t="shared" si="13"/>
        <v>-214.34440526125789</v>
      </c>
      <c r="K52" s="1726">
        <f t="shared" si="13"/>
        <v>-260.11035767638566</v>
      </c>
      <c r="L52" s="1547">
        <f t="shared" si="13"/>
        <v>-409.39181075308022</v>
      </c>
      <c r="M52" s="1547">
        <f t="shared" si="13"/>
        <v>-450.31814598058452</v>
      </c>
    </row>
    <row r="53" spans="1:13" hidden="1" x14ac:dyDescent="0.35">
      <c r="B53" s="1545" t="s">
        <v>588</v>
      </c>
      <c r="C53" s="1547"/>
      <c r="D53" s="1725"/>
      <c r="E53" s="1725"/>
      <c r="F53" s="1725"/>
      <c r="G53" s="1725"/>
      <c r="H53" s="1725"/>
      <c r="I53" s="1725"/>
      <c r="J53" s="1725"/>
      <c r="K53" s="1727"/>
      <c r="L53" s="1548"/>
      <c r="M53" s="1548"/>
    </row>
    <row r="54" spans="1:13" s="584" customFormat="1" x14ac:dyDescent="0.35">
      <c r="B54" s="1556" t="s">
        <v>1570</v>
      </c>
      <c r="C54" s="1565"/>
      <c r="D54" s="1728">
        <f>-'Working - Corporate'!J33</f>
        <v>0</v>
      </c>
      <c r="E54" s="1728">
        <f>-'Working - Corporate'!K33</f>
        <v>0</v>
      </c>
      <c r="F54" s="1728">
        <f>-'Working - Corporate'!L33</f>
        <v>-46.923535190139923</v>
      </c>
      <c r="G54" s="1728">
        <f>-'Working - Corporate'!M33</f>
        <v>-54.308082499999998</v>
      </c>
      <c r="H54" s="1728">
        <f>-'Working - Corporate'!N33</f>
        <v>-54.308082499999998</v>
      </c>
      <c r="I54" s="1728">
        <f>-'Working - Corporate'!O33</f>
        <v>-54.308082499999998</v>
      </c>
      <c r="J54" s="1728">
        <f>-'Working - Corporate'!P33</f>
        <v>-54.308082499999998</v>
      </c>
      <c r="K54" s="1728">
        <f>-'Working - Corporate'!Q33</f>
        <v>-54.308082499999998</v>
      </c>
      <c r="L54" s="1565">
        <f>-'Working - Corporate'!R33</f>
        <v>-54.308082499999998</v>
      </c>
      <c r="M54" s="1565">
        <f>-'Working - Corporate'!S33</f>
        <v>-54.308082499999998</v>
      </c>
    </row>
    <row r="55" spans="1:13" x14ac:dyDescent="0.35">
      <c r="A55" s="172"/>
      <c r="B55" s="1545" t="s">
        <v>592</v>
      </c>
      <c r="C55" s="1547"/>
      <c r="D55" s="1726">
        <f t="shared" ref="D55:L55" si="14">D25</f>
        <v>2361</v>
      </c>
      <c r="E55" s="1726">
        <f t="shared" si="14"/>
        <v>0</v>
      </c>
      <c r="F55" s="1726">
        <f t="shared" si="14"/>
        <v>0</v>
      </c>
      <c r="G55" s="1726">
        <f t="shared" si="14"/>
        <v>0</v>
      </c>
      <c r="H55" s="1726">
        <f t="shared" si="14"/>
        <v>0</v>
      </c>
      <c r="I55" s="1726">
        <f t="shared" si="14"/>
        <v>0</v>
      </c>
      <c r="J55" s="1726">
        <f t="shared" si="14"/>
        <v>0</v>
      </c>
      <c r="K55" s="1726">
        <f t="shared" si="14"/>
        <v>0</v>
      </c>
      <c r="L55" s="1547">
        <f t="shared" si="14"/>
        <v>0</v>
      </c>
      <c r="M55" s="1547">
        <f>M25</f>
        <v>0</v>
      </c>
    </row>
    <row r="56" spans="1:13" x14ac:dyDescent="0.35">
      <c r="A56" s="172"/>
      <c r="B56" s="1545" t="s">
        <v>597</v>
      </c>
      <c r="C56" s="1586"/>
      <c r="D56" s="1729">
        <f t="shared" ref="D56:M56" si="15">D35</f>
        <v>-178.41232734095769</v>
      </c>
      <c r="E56" s="1729">
        <f t="shared" si="15"/>
        <v>0</v>
      </c>
      <c r="F56" s="1729">
        <f t="shared" si="15"/>
        <v>0</v>
      </c>
      <c r="G56" s="1729">
        <f t="shared" si="15"/>
        <v>0</v>
      </c>
      <c r="H56" s="1729">
        <f t="shared" si="15"/>
        <v>0</v>
      </c>
      <c r="I56" s="1729">
        <f t="shared" si="15"/>
        <v>0</v>
      </c>
      <c r="J56" s="1729">
        <f t="shared" si="15"/>
        <v>0</v>
      </c>
      <c r="K56" s="1729">
        <f t="shared" si="15"/>
        <v>0</v>
      </c>
      <c r="L56" s="1586">
        <f t="shared" si="15"/>
        <v>0</v>
      </c>
      <c r="M56" s="1586">
        <f t="shared" si="15"/>
        <v>0</v>
      </c>
    </row>
    <row r="57" spans="1:13" x14ac:dyDescent="0.35">
      <c r="A57" s="172"/>
      <c r="B57" s="1545" t="s">
        <v>599</v>
      </c>
      <c r="C57" s="1547"/>
      <c r="D57" s="1729">
        <f>D34</f>
        <v>0</v>
      </c>
      <c r="E57" s="1726">
        <f t="shared" ref="E57:L57" si="16">E34</f>
        <v>0</v>
      </c>
      <c r="F57" s="1726">
        <f t="shared" si="16"/>
        <v>0</v>
      </c>
      <c r="G57" s="1726">
        <f t="shared" si="16"/>
        <v>0</v>
      </c>
      <c r="H57" s="1726">
        <f t="shared" si="16"/>
        <v>0</v>
      </c>
      <c r="I57" s="1726">
        <f t="shared" si="16"/>
        <v>0</v>
      </c>
      <c r="J57" s="1726">
        <f t="shared" si="16"/>
        <v>0</v>
      </c>
      <c r="K57" s="1726">
        <f t="shared" si="16"/>
        <v>0</v>
      </c>
      <c r="L57" s="1547">
        <f t="shared" si="16"/>
        <v>0</v>
      </c>
      <c r="M57" s="1547">
        <f>M34</f>
        <v>0</v>
      </c>
    </row>
    <row r="58" spans="1:13" x14ac:dyDescent="0.35">
      <c r="B58" s="1545" t="s">
        <v>598</v>
      </c>
      <c r="C58" s="1547"/>
      <c r="D58" s="1726">
        <f t="shared" ref="D58:L58" si="17">D37</f>
        <v>-21.199235502999997</v>
      </c>
      <c r="E58" s="1726">
        <f t="shared" si="17"/>
        <v>-5.9192355029999995</v>
      </c>
      <c r="F58" s="1726">
        <f t="shared" si="17"/>
        <v>-5.9192355029999995</v>
      </c>
      <c r="G58" s="1726">
        <f t="shared" si="17"/>
        <v>-5.7692355029999991</v>
      </c>
      <c r="H58" s="1726">
        <f t="shared" si="17"/>
        <v>-5.7692355029999991</v>
      </c>
      <c r="I58" s="1726">
        <f t="shared" si="17"/>
        <v>-5.7692355029999991</v>
      </c>
      <c r="J58" s="1726">
        <f t="shared" si="17"/>
        <v>-5.7692355029999991</v>
      </c>
      <c r="K58" s="1726">
        <f t="shared" si="17"/>
        <v>-5.7692355029999991</v>
      </c>
      <c r="L58" s="1547">
        <f t="shared" si="17"/>
        <v>-5.7692355029999991</v>
      </c>
      <c r="M58" s="1547">
        <f>M37</f>
        <v>-5.7692355029999991</v>
      </c>
    </row>
    <row r="59" spans="1:13" x14ac:dyDescent="0.35">
      <c r="B59" s="1545" t="s">
        <v>623</v>
      </c>
      <c r="C59" s="1547"/>
      <c r="D59" s="1726">
        <f t="shared" ref="D59:M59" si="18">D28</f>
        <v>0</v>
      </c>
      <c r="E59" s="1726">
        <f t="shared" si="18"/>
        <v>0</v>
      </c>
      <c r="F59" s="1726">
        <f t="shared" si="18"/>
        <v>924.60167862344667</v>
      </c>
      <c r="G59" s="1726">
        <f t="shared" si="18"/>
        <v>145.50832137655323</v>
      </c>
      <c r="H59" s="1726">
        <f t="shared" si="18"/>
        <v>0</v>
      </c>
      <c r="I59" s="1726">
        <f t="shared" si="18"/>
        <v>0</v>
      </c>
      <c r="J59" s="1726">
        <f t="shared" si="18"/>
        <v>0</v>
      </c>
      <c r="K59" s="1726">
        <f t="shared" si="18"/>
        <v>0</v>
      </c>
      <c r="L59" s="1547">
        <f t="shared" si="18"/>
        <v>0</v>
      </c>
      <c r="M59" s="1547">
        <f t="shared" si="18"/>
        <v>0</v>
      </c>
    </row>
    <row r="60" spans="1:13" x14ac:dyDescent="0.35">
      <c r="B60" s="1549" t="s">
        <v>1030</v>
      </c>
      <c r="C60" s="1550"/>
      <c r="D60" s="1730">
        <f t="shared" ref="D60:M60" si="19">SUM(D49:D59)</f>
        <v>311.91866270170135</v>
      </c>
      <c r="E60" s="1730">
        <f t="shared" si="19"/>
        <v>312.25988861860526</v>
      </c>
      <c r="F60" s="1730">
        <f t="shared" si="19"/>
        <v>297.11253939485232</v>
      </c>
      <c r="G60" s="1730">
        <f t="shared" si="19"/>
        <v>303.32873970189172</v>
      </c>
      <c r="H60" s="1730">
        <f t="shared" si="19"/>
        <v>280.25133227183159</v>
      </c>
      <c r="I60" s="1730">
        <f t="shared" si="19"/>
        <v>344.04997603086764</v>
      </c>
      <c r="J60" s="1730">
        <f t="shared" si="19"/>
        <v>311.9663079962591</v>
      </c>
      <c r="K60" s="1730">
        <f t="shared" si="19"/>
        <v>267.20735371301288</v>
      </c>
      <c r="L60" s="1550">
        <f t="shared" si="19"/>
        <v>128.43179335917597</v>
      </c>
      <c r="M60" s="1550">
        <f t="shared" si="19"/>
        <v>127.28743638260158</v>
      </c>
    </row>
    <row r="61" spans="1:13" x14ac:dyDescent="0.35">
      <c r="B61" s="1545"/>
      <c r="C61" s="1551"/>
      <c r="D61" s="1691"/>
      <c r="E61" s="1691"/>
      <c r="F61" s="1691"/>
      <c r="G61" s="1691"/>
      <c r="H61" s="1691"/>
      <c r="I61" s="1691"/>
      <c r="J61" s="1691"/>
      <c r="K61" s="1691"/>
      <c r="L61" s="1551"/>
      <c r="M61" s="1551"/>
    </row>
    <row r="62" spans="1:13" x14ac:dyDescent="0.35">
      <c r="B62" s="1552" t="s">
        <v>78</v>
      </c>
      <c r="C62" s="1551"/>
      <c r="D62" s="1691"/>
      <c r="E62" s="1691"/>
      <c r="F62" s="1691"/>
      <c r="G62" s="1691"/>
      <c r="H62" s="1691"/>
      <c r="I62" s="1691"/>
      <c r="J62" s="1691"/>
      <c r="K62" s="1691"/>
      <c r="L62" s="1551"/>
      <c r="M62" s="1551"/>
    </row>
    <row r="63" spans="1:13" x14ac:dyDescent="0.35">
      <c r="B63" s="1553" t="s">
        <v>586</v>
      </c>
      <c r="C63" s="1551"/>
      <c r="D63" s="1691">
        <f>'Debt Assumptions &amp; working'!E50</f>
        <v>121.55663532003958</v>
      </c>
      <c r="E63" s="1691">
        <f>'Debt Assumptions &amp; working'!F50</f>
        <v>108.36891172302285</v>
      </c>
      <c r="F63" s="1691">
        <f>'Debt Assumptions &amp; working'!G50</f>
        <v>95.408682436146904</v>
      </c>
      <c r="G63" s="1691">
        <f>'Debt Assumptions &amp; working'!H50</f>
        <v>82.257427392664169</v>
      </c>
      <c r="H63" s="1691">
        <f>'Debt Assumptions &amp; working'!I50</f>
        <v>68.312547160369704</v>
      </c>
      <c r="I63" s="1691">
        <f>'Debt Assumptions &amp; working'!J50</f>
        <v>52.118772793477291</v>
      </c>
      <c r="J63" s="1691">
        <f>'Debt Assumptions &amp; working'!K50</f>
        <v>31.713748792299171</v>
      </c>
      <c r="K63" s="1691">
        <f>'Debt Assumptions &amp; working'!L50</f>
        <v>11.904377832176719</v>
      </c>
      <c r="L63" s="1551">
        <f>'Debt Assumptions &amp; working'!M50</f>
        <v>4.4375392249662573E-14</v>
      </c>
      <c r="M63" s="1551">
        <f>'Debt Assumptions &amp; working'!N50</f>
        <v>4.4496968666784935E-14</v>
      </c>
    </row>
    <row r="64" spans="1:13" x14ac:dyDescent="0.35">
      <c r="B64" s="1553" t="s">
        <v>587</v>
      </c>
      <c r="C64" s="1551"/>
      <c r="D64" s="1691">
        <f>'WC &amp; DP'!H73*0</f>
        <v>0</v>
      </c>
      <c r="E64" s="1691">
        <f>'WC &amp; DP'!I73*0</f>
        <v>0</v>
      </c>
      <c r="F64" s="1691">
        <f>'WC &amp; DP'!J73*0</f>
        <v>0</v>
      </c>
      <c r="G64" s="1691">
        <f>'WC &amp; DP'!K73*0</f>
        <v>0</v>
      </c>
      <c r="H64" s="1691">
        <f>'WC &amp; DP'!L73*0</f>
        <v>0</v>
      </c>
      <c r="I64" s="1691">
        <f>'WC &amp; DP'!M73*0</f>
        <v>0</v>
      </c>
      <c r="J64" s="1691">
        <f>'WC &amp; DP'!N73*0</f>
        <v>0</v>
      </c>
      <c r="K64" s="1691">
        <f>'WC &amp; DP'!O73*0</f>
        <v>0</v>
      </c>
      <c r="L64" s="1551">
        <f>'WC &amp; DP'!P73*0</f>
        <v>0</v>
      </c>
      <c r="M64" s="1551">
        <f>'WC &amp; DP'!Q73*0</f>
        <v>0</v>
      </c>
    </row>
    <row r="65" spans="2:13" x14ac:dyDescent="0.35">
      <c r="B65" s="1552" t="s">
        <v>349</v>
      </c>
      <c r="C65" s="1690"/>
      <c r="D65" s="1690">
        <f>'Debt Assumptions &amp; working'!E49</f>
        <v>142.50265155554999</v>
      </c>
      <c r="E65" s="1690">
        <f>'Debt Assumptions &amp; working'!F49</f>
        <v>129.54786505050001</v>
      </c>
      <c r="F65" s="1690">
        <f>'Debt Assumptions &amp; working'!G49</f>
        <v>129.54786505050001</v>
      </c>
      <c r="G65" s="1690">
        <f>'Debt Assumptions &amp; working'!H49</f>
        <v>142.50265155554999</v>
      </c>
      <c r="H65" s="1690">
        <f>'Debt Assumptions &amp; working'!I49</f>
        <v>142.50265155554999</v>
      </c>
      <c r="I65" s="1690">
        <f>'Debt Assumptions &amp; working'!J49</f>
        <v>207.27658408080001</v>
      </c>
      <c r="J65" s="1690">
        <f>'Debt Assumptions &amp; working'!K49</f>
        <v>207.27658408080001</v>
      </c>
      <c r="K65" s="1691">
        <f>'Debt Assumptions &amp; working'!L49</f>
        <v>194.32179757574988</v>
      </c>
      <c r="L65" s="1691">
        <f>'Debt Assumptions &amp; working'!M49</f>
        <v>0</v>
      </c>
      <c r="M65" s="1691">
        <f>'Debt Assumptions &amp; working'!N49</f>
        <v>0</v>
      </c>
    </row>
    <row r="66" spans="2:13" s="582" customFormat="1" x14ac:dyDescent="0.35">
      <c r="B66" s="1552" t="s">
        <v>1473</v>
      </c>
      <c r="C66" s="1551"/>
      <c r="D66" s="1691">
        <f>'OCD working'!I234+'OCD working'!I231</f>
        <v>0</v>
      </c>
      <c r="E66" s="1691">
        <f>'OCD working'!J234+'OCD working'!J231</f>
        <v>0</v>
      </c>
      <c r="F66" s="1691">
        <f>'OCD working'!K234+'OCD working'!K231</f>
        <v>0</v>
      </c>
      <c r="G66" s="1691">
        <f>'OCD working'!L234+'OCD working'!L231</f>
        <v>0</v>
      </c>
      <c r="H66" s="1691">
        <f>'OCD working'!M234+'OCD working'!M231</f>
        <v>0</v>
      </c>
      <c r="I66" s="1691">
        <f>'OCD working'!N234+'OCD working'!N231</f>
        <v>0</v>
      </c>
      <c r="J66" s="1691">
        <f>'OCD working'!O234+'OCD working'!O231</f>
        <v>0</v>
      </c>
      <c r="K66" s="1691">
        <f>'OCD working'!P234+'OCD working'!P231</f>
        <v>0</v>
      </c>
      <c r="L66" s="1551">
        <f>'OCD working'!Q234+'OCD working'!Q231</f>
        <v>0</v>
      </c>
      <c r="M66" s="1551">
        <f>'OCD working'!R234+'OCD working'!R231</f>
        <v>0</v>
      </c>
    </row>
    <row r="67" spans="2:13" s="582" customFormat="1" x14ac:dyDescent="0.35">
      <c r="B67" s="1552" t="s">
        <v>365</v>
      </c>
      <c r="C67" s="1551"/>
      <c r="D67" s="1691">
        <f t="shared" ref="D67:M67" si="20">-D31</f>
        <v>0.92010000000000003</v>
      </c>
      <c r="E67" s="1691">
        <f t="shared" si="20"/>
        <v>0</v>
      </c>
      <c r="F67" s="1691">
        <f t="shared" si="20"/>
        <v>0</v>
      </c>
      <c r="G67" s="1691">
        <f t="shared" si="20"/>
        <v>0</v>
      </c>
      <c r="H67" s="1691">
        <f t="shared" si="20"/>
        <v>0</v>
      </c>
      <c r="I67" s="1691">
        <f t="shared" si="20"/>
        <v>0</v>
      </c>
      <c r="J67" s="1691">
        <f t="shared" si="20"/>
        <v>0</v>
      </c>
      <c r="K67" s="1691">
        <f t="shared" si="20"/>
        <v>0</v>
      </c>
      <c r="L67" s="1551">
        <f t="shared" si="20"/>
        <v>0</v>
      </c>
      <c r="M67" s="1551">
        <f t="shared" si="20"/>
        <v>0</v>
      </c>
    </row>
    <row r="68" spans="2:13" x14ac:dyDescent="0.35">
      <c r="B68" s="1549" t="s">
        <v>1029</v>
      </c>
      <c r="C68" s="1550"/>
      <c r="D68" s="1730">
        <f t="shared" ref="D68:M68" si="21">SUM(D62:D67)</f>
        <v>264.97938687558957</v>
      </c>
      <c r="E68" s="1730">
        <f t="shared" si="21"/>
        <v>237.91677677352286</v>
      </c>
      <c r="F68" s="1730">
        <f t="shared" si="21"/>
        <v>224.95654748664691</v>
      </c>
      <c r="G68" s="1730">
        <f t="shared" si="21"/>
        <v>224.76007894821416</v>
      </c>
      <c r="H68" s="1730">
        <f t="shared" si="21"/>
        <v>210.81519871591968</v>
      </c>
      <c r="I68" s="1730">
        <f t="shared" si="21"/>
        <v>259.3953568742773</v>
      </c>
      <c r="J68" s="1730">
        <f t="shared" si="21"/>
        <v>238.99033287309919</v>
      </c>
      <c r="K68" s="1730">
        <f t="shared" si="21"/>
        <v>206.2261754079266</v>
      </c>
      <c r="L68" s="1550">
        <f t="shared" si="21"/>
        <v>4.4375392249662573E-14</v>
      </c>
      <c r="M68" s="1550">
        <f t="shared" si="21"/>
        <v>4.4496968666784935E-14</v>
      </c>
    </row>
    <row r="69" spans="2:13" x14ac:dyDescent="0.35">
      <c r="B69" s="1544" t="s">
        <v>1028</v>
      </c>
      <c r="C69" s="1554"/>
      <c r="D69" s="1563">
        <f t="shared" ref="D69:M69" si="22">IF(D68&gt;0.05,(D49+D50)/(D68),"n/a")</f>
        <v>1.4839296174090171</v>
      </c>
      <c r="E69" s="1563">
        <f t="shared" si="22"/>
        <v>1.9557065789922889</v>
      </c>
      <c r="F69" s="1563">
        <f t="shared" si="22"/>
        <v>2.4217575821540356</v>
      </c>
      <c r="G69" s="1563">
        <f t="shared" si="22"/>
        <v>2.5169549400028326</v>
      </c>
      <c r="H69" s="1563">
        <f t="shared" si="22"/>
        <v>2.7381395051825814</v>
      </c>
      <c r="I69" s="1563">
        <f t="shared" si="22"/>
        <v>2.2744352232719494</v>
      </c>
      <c r="J69" s="1563">
        <f t="shared" si="22"/>
        <v>2.5163696959234176</v>
      </c>
      <c r="K69" s="1563">
        <f t="shared" si="22"/>
        <v>2.9210405914808262</v>
      </c>
      <c r="L69" s="1563" t="str">
        <f t="shared" si="22"/>
        <v>n/a</v>
      </c>
      <c r="M69" s="1563" t="str">
        <f t="shared" si="22"/>
        <v>n/a</v>
      </c>
    </row>
    <row r="70" spans="2:13" s="582" customFormat="1" x14ac:dyDescent="0.35">
      <c r="B70" s="1544" t="s">
        <v>1046</v>
      </c>
      <c r="C70" s="1554">
        <f>SUM(D49:K50)/SUM(D68:K68)</f>
        <v>2.3232961508396928</v>
      </c>
      <c r="D70" s="1554"/>
      <c r="E70" s="1554"/>
      <c r="F70" s="1554"/>
      <c r="G70" s="1554"/>
      <c r="H70" s="1554"/>
      <c r="I70" s="1554"/>
      <c r="J70" s="1554"/>
      <c r="K70" s="1554"/>
      <c r="L70" s="1554"/>
      <c r="M70" s="1554"/>
    </row>
    <row r="71" spans="2:13" s="584" customFormat="1" x14ac:dyDescent="0.35">
      <c r="B71" s="1555" t="s">
        <v>351</v>
      </c>
      <c r="C71" s="1554"/>
      <c r="D71" s="1554">
        <f>(D60+D41)/D68</f>
        <v>1.3557607893114045</v>
      </c>
      <c r="E71" s="1554">
        <f t="shared" ref="E71:I71" si="23">E60/E68</f>
        <v>1.3124752817068084</v>
      </c>
      <c r="F71" s="1554">
        <f t="shared" si="23"/>
        <v>1.3207552423540305</v>
      </c>
      <c r="G71" s="1554">
        <f t="shared" si="23"/>
        <v>1.3495667963872719</v>
      </c>
      <c r="H71" s="1554">
        <f t="shared" si="23"/>
        <v>1.3293696753310436</v>
      </c>
      <c r="I71" s="1554">
        <f t="shared" si="23"/>
        <v>1.3263536409312846</v>
      </c>
      <c r="J71" s="1554">
        <f>IF(J68&gt;0.05,J60/J68,"n/a")</f>
        <v>1.3053511589605142</v>
      </c>
      <c r="K71" s="1554">
        <f>IF(K68&gt;0.05,K60/K68,"n/a")</f>
        <v>1.2957004763554489</v>
      </c>
      <c r="L71" s="1554" t="str">
        <f>IF(L68&gt;0.05,L60/L68,"n/a")</f>
        <v>n/a</v>
      </c>
      <c r="M71" s="1554" t="str">
        <f>IF(M68&gt;0.05,M60/M68,"n/a")</f>
        <v>n/a</v>
      </c>
    </row>
    <row r="72" spans="2:13" x14ac:dyDescent="0.35">
      <c r="B72" s="1544" t="s">
        <v>1031</v>
      </c>
      <c r="C72" s="1766">
        <f>(D41+SUM(D60:K60))/SUM(D68:K68)</f>
        <v>1.325145603926924</v>
      </c>
      <c r="D72" s="1557"/>
      <c r="E72" s="1557"/>
      <c r="F72" s="1557"/>
      <c r="G72" s="1557"/>
      <c r="H72" s="1557"/>
      <c r="I72" s="1557"/>
      <c r="J72" s="1557"/>
      <c r="K72" s="1548"/>
      <c r="L72" s="1548"/>
      <c r="M72" s="1548"/>
    </row>
    <row r="73" spans="2:13" x14ac:dyDescent="0.35">
      <c r="B73" s="1549" t="s">
        <v>593</v>
      </c>
      <c r="C73" s="1558"/>
      <c r="D73" s="1558">
        <f t="shared" ref="D73:M73" si="24">+D60-D68</f>
        <v>46.939275826111782</v>
      </c>
      <c r="E73" s="1558">
        <f t="shared" si="24"/>
        <v>74.343111845082404</v>
      </c>
      <c r="F73" s="1558">
        <f t="shared" si="24"/>
        <v>72.155991908205408</v>
      </c>
      <c r="G73" s="1558">
        <f t="shared" si="24"/>
        <v>78.568660753677563</v>
      </c>
      <c r="H73" s="1558">
        <f t="shared" si="24"/>
        <v>69.436133555911908</v>
      </c>
      <c r="I73" s="1558">
        <f t="shared" si="24"/>
        <v>84.654619156590343</v>
      </c>
      <c r="J73" s="1558">
        <f t="shared" si="24"/>
        <v>72.975975123159913</v>
      </c>
      <c r="K73" s="1558">
        <f t="shared" si="24"/>
        <v>60.981178305086274</v>
      </c>
      <c r="L73" s="1558">
        <f t="shared" si="24"/>
        <v>128.43179335917591</v>
      </c>
      <c r="M73" s="1558">
        <f t="shared" si="24"/>
        <v>127.28743638260154</v>
      </c>
    </row>
    <row r="74" spans="2:13" x14ac:dyDescent="0.35">
      <c r="B74" s="1549" t="s">
        <v>594</v>
      </c>
      <c r="C74" s="1558"/>
      <c r="D74" s="1558">
        <f>+C75</f>
        <v>47.33</v>
      </c>
      <c r="E74" s="1558">
        <f t="shared" ref="E74:M74" si="25">D75</f>
        <v>94.26927582611178</v>
      </c>
      <c r="F74" s="1558">
        <f t="shared" si="25"/>
        <v>168.6123876711942</v>
      </c>
      <c r="G74" s="1558">
        <f t="shared" si="25"/>
        <v>240.76837957939961</v>
      </c>
      <c r="H74" s="1558">
        <f t="shared" si="25"/>
        <v>319.3370403330772</v>
      </c>
      <c r="I74" s="1558">
        <f t="shared" si="25"/>
        <v>388.77317388898911</v>
      </c>
      <c r="J74" s="1558">
        <f t="shared" si="25"/>
        <v>473.42779304557945</v>
      </c>
      <c r="K74" s="1558">
        <f t="shared" si="25"/>
        <v>546.40376816873936</v>
      </c>
      <c r="L74" s="1558">
        <f t="shared" si="25"/>
        <v>607.38494647382561</v>
      </c>
      <c r="M74" s="1558">
        <f t="shared" si="25"/>
        <v>735.81673983300152</v>
      </c>
    </row>
    <row r="75" spans="2:13" x14ac:dyDescent="0.35">
      <c r="B75" s="1549" t="s">
        <v>595</v>
      </c>
      <c r="C75" s="1558">
        <f>C42</f>
        <v>47.33</v>
      </c>
      <c r="D75" s="1558">
        <f t="shared" ref="D75:L75" si="26">SUM(D73:D74)</f>
        <v>94.26927582611178</v>
      </c>
      <c r="E75" s="1558">
        <f t="shared" si="26"/>
        <v>168.6123876711942</v>
      </c>
      <c r="F75" s="1558">
        <f t="shared" si="26"/>
        <v>240.76837957939961</v>
      </c>
      <c r="G75" s="1558">
        <f t="shared" si="26"/>
        <v>319.3370403330772</v>
      </c>
      <c r="H75" s="1558">
        <f t="shared" si="26"/>
        <v>388.77317388898911</v>
      </c>
      <c r="I75" s="1558">
        <f t="shared" si="26"/>
        <v>473.42779304557945</v>
      </c>
      <c r="J75" s="1558">
        <f t="shared" si="26"/>
        <v>546.40376816873936</v>
      </c>
      <c r="K75" s="1558">
        <f t="shared" si="26"/>
        <v>607.38494647382561</v>
      </c>
      <c r="L75" s="1558">
        <f t="shared" si="26"/>
        <v>735.81673983300152</v>
      </c>
      <c r="M75" s="1558">
        <f>SUM(M73:M74)</f>
        <v>863.10417621560305</v>
      </c>
    </row>
    <row r="76" spans="2:13" x14ac:dyDescent="0.35">
      <c r="B76" s="1559" t="s">
        <v>596</v>
      </c>
      <c r="C76" s="1560"/>
      <c r="D76" s="1767">
        <f>+D75-'Balance Sheet'!H24-'Balance Sheet'!H25</f>
        <v>1.349495000170009E-3</v>
      </c>
      <c r="E76" s="1767">
        <f>+E75-'Balance Sheet'!I24-'Balance Sheet'!I25</f>
        <v>1.3494949999852679E-3</v>
      </c>
      <c r="F76" s="1767">
        <f>+F75-'Balance Sheet'!J24-'Balance Sheet'!J25</f>
        <v>1.3494950000563222E-3</v>
      </c>
      <c r="G76" s="1767">
        <f>+G75-'Balance Sheet'!K24-'Balance Sheet'!K25</f>
        <v>1.3494950000563222E-3</v>
      </c>
      <c r="H76" s="1767">
        <f>+H75-'Balance Sheet'!L24-'Balance Sheet'!L25</f>
        <v>1.3494950001131656E-3</v>
      </c>
      <c r="I76" s="1767">
        <f>+I75-'Balance Sheet'!M24-'Balance Sheet'!M25</f>
        <v>1.3494950000563222E-3</v>
      </c>
      <c r="J76" s="1767">
        <f>+J75-'Balance Sheet'!N24-'Balance Sheet'!N25</f>
        <v>1.3494949999994788E-3</v>
      </c>
      <c r="K76" s="1767">
        <f>+K75-'Balance Sheet'!O24-'Balance Sheet'!O25</f>
        <v>1.3494949999994788E-3</v>
      </c>
      <c r="L76" s="1767">
        <f>+L75-'Balance Sheet'!P24-'Balance Sheet'!P25</f>
        <v>1.3494949998857919E-3</v>
      </c>
      <c r="M76" s="1767">
        <f>+M75-'Balance Sheet'!Q24-'Balance Sheet'!Q25</f>
        <v>1.3494949998857919E-3</v>
      </c>
    </row>
    <row r="77" spans="2:13" x14ac:dyDescent="0.35">
      <c r="B77" s="1559"/>
      <c r="C77" s="1560"/>
      <c r="D77" s="1560"/>
      <c r="E77" s="1560"/>
      <c r="F77" s="1560"/>
      <c r="G77" s="1560"/>
      <c r="H77" s="1560"/>
      <c r="I77" s="1560"/>
      <c r="J77" s="1560"/>
      <c r="K77" s="1560"/>
      <c r="L77" s="1560"/>
      <c r="M77" s="1560"/>
    </row>
    <row r="78" spans="2:13" s="114" customFormat="1" x14ac:dyDescent="0.35"/>
    <row r="79" spans="2:13" s="117" customFormat="1" x14ac:dyDescent="0.35">
      <c r="C79" s="1593"/>
      <c r="D79" s="259"/>
      <c r="E79" s="259"/>
      <c r="F79" s="259"/>
      <c r="G79" s="259"/>
      <c r="H79" s="259"/>
      <c r="I79" s="259"/>
      <c r="J79" s="259"/>
      <c r="K79" s="259"/>
      <c r="L79" s="1593"/>
      <c r="M79" s="1593"/>
    </row>
    <row r="80" spans="2:13" s="117" customFormat="1" x14ac:dyDescent="0.35">
      <c r="D80" s="1594"/>
      <c r="E80" s="1594"/>
      <c r="F80" s="1594"/>
      <c r="G80" s="1594"/>
      <c r="H80" s="1594"/>
      <c r="I80" s="1594"/>
      <c r="J80" s="1594"/>
      <c r="K80" s="1594"/>
    </row>
    <row r="81" spans="1:15" s="117" customFormat="1" x14ac:dyDescent="0.35">
      <c r="B81" s="151"/>
      <c r="C81" s="1802"/>
      <c r="D81" s="1802"/>
      <c r="E81" s="1802"/>
      <c r="F81" s="1802"/>
      <c r="G81" s="1802"/>
      <c r="H81" s="1802"/>
      <c r="I81" s="1802"/>
      <c r="J81" s="1802"/>
      <c r="K81" s="1802"/>
      <c r="L81" s="1594"/>
      <c r="M81" s="1594"/>
    </row>
    <row r="82" spans="1:15" s="117" customFormat="1" x14ac:dyDescent="0.35">
      <c r="B82" s="151"/>
      <c r="C82" s="1802"/>
      <c r="D82" s="1802"/>
      <c r="E82" s="1802"/>
      <c r="F82" s="1802"/>
      <c r="G82" s="1802"/>
      <c r="H82" s="1802"/>
      <c r="I82" s="1802"/>
      <c r="J82" s="1802"/>
      <c r="K82" s="1802"/>
      <c r="L82" s="1594"/>
      <c r="M82" s="1594"/>
    </row>
    <row r="83" spans="1:15" s="117" customFormat="1" x14ac:dyDescent="0.35">
      <c r="B83" s="151"/>
      <c r="C83" s="1802"/>
      <c r="D83" s="1802"/>
      <c r="E83" s="1802"/>
      <c r="F83" s="1802"/>
      <c r="G83" s="1802"/>
      <c r="H83" s="1802"/>
      <c r="I83" s="1802"/>
      <c r="J83" s="1802"/>
      <c r="K83" s="1802"/>
      <c r="L83" s="1594"/>
      <c r="M83" s="1594"/>
    </row>
    <row r="84" spans="1:15" s="117" customFormat="1" x14ac:dyDescent="0.35">
      <c r="B84" s="151"/>
      <c r="C84" s="1802"/>
      <c r="D84" s="1802"/>
      <c r="E84" s="1802"/>
      <c r="F84" s="1802"/>
      <c r="G84" s="1802"/>
      <c r="H84" s="1802"/>
      <c r="I84" s="1802"/>
      <c r="J84" s="1802"/>
      <c r="K84" s="1802"/>
      <c r="L84" s="1594"/>
      <c r="M84" s="1594"/>
    </row>
    <row r="85" spans="1:15" s="117" customFormat="1" x14ac:dyDescent="0.35">
      <c r="B85" s="151"/>
      <c r="C85" s="1802"/>
      <c r="D85" s="1802"/>
      <c r="E85" s="1802"/>
      <c r="F85" s="1802"/>
      <c r="G85" s="1802"/>
      <c r="H85" s="1802"/>
      <c r="I85" s="1802"/>
      <c r="J85" s="1802"/>
      <c r="K85" s="1802"/>
    </row>
    <row r="86" spans="1:15" s="117" customFormat="1" x14ac:dyDescent="0.35">
      <c r="D86" s="1595"/>
      <c r="E86" s="1595"/>
      <c r="F86" s="1595"/>
      <c r="G86" s="1595"/>
      <c r="H86" s="1595"/>
      <c r="I86" s="1595"/>
      <c r="J86" s="1595"/>
      <c r="K86" s="1595"/>
      <c r="L86" s="1595"/>
      <c r="M86" s="1595"/>
    </row>
    <row r="87" spans="1:15" s="117" customFormat="1" x14ac:dyDescent="0.35"/>
    <row r="88" spans="1:15" s="117" customFormat="1" x14ac:dyDescent="0.35">
      <c r="D88" s="1596"/>
      <c r="E88" s="1596"/>
      <c r="F88" s="1596"/>
      <c r="G88" s="1596"/>
      <c r="H88" s="1596"/>
      <c r="I88" s="1596"/>
      <c r="J88" s="1596"/>
      <c r="K88" s="1596"/>
      <c r="L88" s="1596"/>
      <c r="M88" s="1596"/>
    </row>
    <row r="89" spans="1:15" s="117" customFormat="1" x14ac:dyDescent="0.35">
      <c r="D89" s="1594"/>
      <c r="E89" s="1594"/>
      <c r="F89" s="1594"/>
      <c r="G89" s="1594"/>
      <c r="H89" s="1594"/>
      <c r="I89" s="1594"/>
      <c r="J89" s="1594"/>
      <c r="K89" s="1594"/>
      <c r="L89" s="1594"/>
      <c r="M89" s="1594"/>
    </row>
    <row r="90" spans="1:15" s="117" customFormat="1" x14ac:dyDescent="0.35">
      <c r="D90" s="259"/>
    </row>
    <row r="95" spans="1:15" x14ac:dyDescent="0.35">
      <c r="A95" s="582"/>
      <c r="B95" s="582"/>
      <c r="C95" s="582"/>
      <c r="D95" s="582"/>
      <c r="E95" s="582"/>
      <c r="F95" s="582"/>
      <c r="G95" s="582"/>
      <c r="H95" s="582"/>
      <c r="I95" s="582"/>
      <c r="J95" s="582"/>
      <c r="K95" s="582"/>
      <c r="L95" s="582"/>
      <c r="M95" s="582"/>
      <c r="N95" s="582"/>
      <c r="O95" s="582"/>
    </row>
    <row r="96" spans="1:15" x14ac:dyDescent="0.35">
      <c r="A96" s="582"/>
      <c r="B96" s="582"/>
      <c r="C96" s="582"/>
      <c r="D96" s="582"/>
      <c r="E96" s="582"/>
      <c r="F96" s="582"/>
      <c r="G96" s="582"/>
      <c r="H96" s="582"/>
      <c r="I96" s="582"/>
      <c r="J96" s="582"/>
      <c r="K96" s="582"/>
      <c r="L96" s="582"/>
      <c r="M96" s="582"/>
      <c r="N96" s="582"/>
      <c r="O96" s="582"/>
    </row>
    <row r="97" spans="1:15" x14ac:dyDescent="0.35">
      <c r="A97" s="582"/>
      <c r="B97" s="582"/>
      <c r="C97" s="582"/>
      <c r="D97" s="582"/>
      <c r="E97" s="582"/>
      <c r="F97" s="582"/>
      <c r="G97" s="582"/>
      <c r="H97" s="582"/>
      <c r="I97" s="582"/>
      <c r="J97" s="582"/>
      <c r="K97" s="582"/>
      <c r="L97" s="582"/>
      <c r="M97" s="582"/>
      <c r="N97" s="582"/>
      <c r="O97" s="582"/>
    </row>
    <row r="98" spans="1:15" x14ac:dyDescent="0.35">
      <c r="A98" s="582"/>
      <c r="B98" s="582"/>
      <c r="C98" s="582"/>
      <c r="D98" s="582"/>
      <c r="E98" s="582"/>
      <c r="F98" s="582"/>
      <c r="G98" s="582"/>
      <c r="H98" s="582"/>
      <c r="I98" s="582"/>
      <c r="J98" s="582"/>
      <c r="K98" s="582"/>
      <c r="L98" s="582"/>
      <c r="M98" s="582"/>
      <c r="N98" s="582"/>
      <c r="O98" s="582"/>
    </row>
    <row r="99" spans="1:15" x14ac:dyDescent="0.35">
      <c r="A99" s="582"/>
      <c r="B99" s="582"/>
      <c r="C99" s="582"/>
      <c r="D99" s="582"/>
      <c r="E99" s="582"/>
      <c r="F99" s="582"/>
      <c r="G99" s="582"/>
      <c r="H99" s="582"/>
      <c r="I99" s="582"/>
      <c r="J99" s="582"/>
      <c r="K99" s="582"/>
      <c r="L99" s="582"/>
      <c r="M99" s="582"/>
      <c r="N99" s="582"/>
      <c r="O99" s="582"/>
    </row>
    <row r="100" spans="1:15" x14ac:dyDescent="0.35">
      <c r="A100" s="582"/>
      <c r="B100" s="582"/>
      <c r="C100" s="582"/>
      <c r="D100" s="582"/>
      <c r="E100" s="582"/>
      <c r="F100" s="582"/>
      <c r="G100" s="582"/>
      <c r="H100" s="582"/>
      <c r="I100" s="582"/>
      <c r="J100" s="582"/>
      <c r="K100" s="582"/>
      <c r="L100" s="582"/>
      <c r="M100" s="582"/>
      <c r="N100" s="582"/>
      <c r="O100" s="582"/>
    </row>
    <row r="101" spans="1:15" x14ac:dyDescent="0.35">
      <c r="A101" s="582"/>
      <c r="B101" s="582"/>
      <c r="C101" s="582"/>
      <c r="D101" s="582"/>
      <c r="E101" s="582"/>
      <c r="F101" s="582"/>
      <c r="G101" s="582"/>
      <c r="H101" s="582"/>
      <c r="I101" s="582"/>
      <c r="J101" s="582"/>
      <c r="K101" s="582"/>
      <c r="L101" s="582"/>
      <c r="M101" s="582"/>
      <c r="N101" s="582"/>
      <c r="O101" s="582"/>
    </row>
    <row r="102" spans="1:15" x14ac:dyDescent="0.35">
      <c r="A102" s="582"/>
      <c r="B102" s="582"/>
      <c r="C102" s="582"/>
      <c r="D102" s="582"/>
      <c r="E102" s="582"/>
      <c r="F102" s="582"/>
      <c r="G102" s="582"/>
      <c r="H102" s="582"/>
      <c r="I102" s="582"/>
      <c r="J102" s="582"/>
      <c r="K102" s="582"/>
      <c r="L102" s="582"/>
      <c r="M102" s="582"/>
      <c r="N102" s="582"/>
      <c r="O102" s="582"/>
    </row>
    <row r="103" spans="1:15" x14ac:dyDescent="0.35">
      <c r="A103" s="582"/>
      <c r="B103" s="582"/>
      <c r="C103" s="582"/>
      <c r="D103" s="582"/>
      <c r="E103" s="582"/>
      <c r="F103" s="582"/>
      <c r="G103" s="582"/>
      <c r="H103" s="582"/>
      <c r="I103" s="582"/>
      <c r="J103" s="582"/>
      <c r="K103" s="582"/>
      <c r="L103" s="582"/>
      <c r="M103" s="582"/>
      <c r="N103" s="582"/>
      <c r="O103" s="582"/>
    </row>
    <row r="104" spans="1:15" x14ac:dyDescent="0.35">
      <c r="A104" s="582"/>
      <c r="B104" s="582"/>
      <c r="C104" s="582"/>
      <c r="D104" s="582"/>
      <c r="E104" s="582"/>
      <c r="F104" s="582"/>
      <c r="G104" s="582"/>
      <c r="H104" s="582"/>
      <c r="I104" s="582"/>
      <c r="J104" s="582"/>
      <c r="K104" s="582"/>
      <c r="L104" s="582"/>
      <c r="M104" s="582"/>
      <c r="N104" s="582"/>
      <c r="O104" s="582"/>
    </row>
    <row r="105" spans="1:15" x14ac:dyDescent="0.35">
      <c r="A105" s="582"/>
      <c r="B105" s="582"/>
      <c r="C105" s="582"/>
      <c r="D105" s="582"/>
      <c r="E105" s="582"/>
      <c r="F105" s="582"/>
      <c r="G105" s="582"/>
      <c r="H105" s="582"/>
      <c r="I105" s="582"/>
      <c r="J105" s="582"/>
      <c r="K105" s="582"/>
      <c r="L105" s="582"/>
      <c r="M105" s="582"/>
      <c r="N105" s="582"/>
      <c r="O105" s="582"/>
    </row>
    <row r="106" spans="1:15" x14ac:dyDescent="0.35">
      <c r="A106" s="582"/>
      <c r="B106" s="582"/>
      <c r="C106" s="582"/>
      <c r="D106" s="582"/>
      <c r="E106" s="582"/>
      <c r="F106" s="582"/>
      <c r="G106" s="582"/>
      <c r="H106" s="582"/>
      <c r="I106" s="582"/>
      <c r="J106" s="582"/>
      <c r="K106" s="582"/>
      <c r="L106" s="582"/>
      <c r="M106" s="582"/>
      <c r="N106" s="582"/>
      <c r="O106" s="582"/>
    </row>
    <row r="107" spans="1:15" x14ac:dyDescent="0.35">
      <c r="A107" s="582"/>
      <c r="B107" s="582"/>
      <c r="C107" s="582"/>
      <c r="D107" s="582"/>
      <c r="E107" s="582"/>
      <c r="F107" s="582"/>
      <c r="G107" s="582"/>
      <c r="H107" s="582"/>
      <c r="I107" s="582"/>
      <c r="J107" s="582"/>
      <c r="K107" s="582"/>
      <c r="L107" s="582"/>
      <c r="M107" s="582"/>
      <c r="N107" s="582"/>
      <c r="O107" s="582"/>
    </row>
    <row r="108" spans="1:15" x14ac:dyDescent="0.35">
      <c r="A108" s="582"/>
      <c r="B108" s="582"/>
      <c r="C108" s="582"/>
      <c r="D108" s="582"/>
      <c r="E108" s="582"/>
      <c r="F108" s="582"/>
      <c r="G108" s="582"/>
      <c r="H108" s="582"/>
      <c r="I108" s="582"/>
      <c r="J108" s="582"/>
      <c r="K108" s="582"/>
      <c r="L108" s="582"/>
      <c r="M108" s="582"/>
      <c r="N108" s="582"/>
      <c r="O108" s="582"/>
    </row>
  </sheetData>
  <conditionalFormatting sqref="C42:L42">
    <cfRule type="cellIs" dxfId="52" priority="17" operator="lessThan">
      <formula>0</formula>
    </cfRule>
  </conditionalFormatting>
  <conditionalFormatting sqref="D71:M71">
    <cfRule type="cellIs" dxfId="51" priority="14" operator="lessThan">
      <formula>1.1</formula>
    </cfRule>
  </conditionalFormatting>
  <conditionalFormatting sqref="M42">
    <cfRule type="cellIs" dxfId="50" priority="11" operator="lessThan">
      <formula>0</formula>
    </cfRule>
  </conditionalFormatting>
  <conditionalFormatting sqref="M71">
    <cfRule type="cellIs" dxfId="49" priority="10" operator="lessThan">
      <formula>1.1</formula>
    </cfRule>
  </conditionalFormatting>
  <conditionalFormatting sqref="C75:M75">
    <cfRule type="cellIs" dxfId="48" priority="9" operator="lessThan">
      <formula>0</formula>
    </cfRule>
  </conditionalFormatting>
  <conditionalFormatting sqref="C43 E43:M43">
    <cfRule type="cellIs" dxfId="47" priority="7" operator="lessThan">
      <formula>0</formula>
    </cfRule>
  </conditionalFormatting>
  <conditionalFormatting sqref="C44:D44">
    <cfRule type="cellIs" dxfId="46" priority="5" operator="lessThan">
      <formula>0</formula>
    </cfRule>
  </conditionalFormatting>
  <conditionalFormatting sqref="F43:M43">
    <cfRule type="cellIs" dxfId="45" priority="3" operator="lessThan">
      <formula>0</formula>
    </cfRule>
  </conditionalFormatting>
  <conditionalFormatting sqref="E44:M44">
    <cfRule type="cellIs" dxfId="44" priority="1" operator="lessThan">
      <formula>0</formula>
    </cfRule>
  </conditionalFormatting>
  <pageMargins left="0.7" right="0.7" top="0.75" bottom="0.75" header="0.3" footer="0.3"/>
  <pageSetup paperSize="9" orientation="portrait" horizont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theme="9" tint="0.59999389629810485"/>
  </sheetPr>
  <dimension ref="A2:AK374"/>
  <sheetViews>
    <sheetView showGridLines="0" zoomScale="80" zoomScaleNormal="80" workbookViewId="0">
      <pane xSplit="1" ySplit="4" topLeftCell="B5" activePane="bottomRight" state="frozen"/>
      <selection pane="topRight" activeCell="B1" sqref="B1"/>
      <selection pane="bottomLeft" activeCell="A5" sqref="A5"/>
      <selection pane="bottomRight" activeCell="G20" sqref="G20"/>
    </sheetView>
  </sheetViews>
  <sheetFormatPr defaultColWidth="8.54296875" defaultRowHeight="14.5" outlineLevelRow="1" outlineLevelCol="1" x14ac:dyDescent="0.35"/>
  <cols>
    <col min="1" max="1" width="8.54296875" style="133"/>
    <col min="2" max="2" width="43.54296875" style="133" bestFit="1" customWidth="1"/>
    <col min="3" max="6" width="10.7265625" style="133" customWidth="1" outlineLevel="1"/>
    <col min="7" max="7" width="10.7265625" style="582" customWidth="1" outlineLevel="1"/>
    <col min="8" max="8" width="10.7265625" style="133" customWidth="1"/>
    <col min="9" max="9" width="11.26953125" style="133" bestFit="1" customWidth="1"/>
    <col min="10" max="15" width="10.7265625" style="133" customWidth="1"/>
    <col min="16" max="16" width="10.7265625" style="133" hidden="1" customWidth="1"/>
    <col min="17" max="17" width="10.7265625" style="582" hidden="1" customWidth="1"/>
    <col min="18" max="18" width="8.54296875" style="133"/>
    <col min="19" max="27" width="10.81640625" style="133" bestFit="1" customWidth="1"/>
    <col min="28" max="16384" width="8.54296875" style="133"/>
  </cols>
  <sheetData>
    <row r="2" spans="1:37" x14ac:dyDescent="0.35">
      <c r="B2" s="112" t="str">
        <f>'P&amp;L'!B2</f>
        <v>All figures in INR Crores</v>
      </c>
      <c r="H2" s="111"/>
      <c r="J2" s="172"/>
      <c r="K2" s="172"/>
    </row>
    <row r="3" spans="1:37" x14ac:dyDescent="0.35">
      <c r="D3" s="582"/>
      <c r="E3" s="582"/>
      <c r="F3" s="582"/>
      <c r="H3" s="172"/>
    </row>
    <row r="4" spans="1:37" x14ac:dyDescent="0.35">
      <c r="A4" s="114"/>
      <c r="B4" s="159" t="s">
        <v>142</v>
      </c>
      <c r="C4" s="56">
        <f>'P&amp;L'!E5</f>
        <v>43190</v>
      </c>
      <c r="D4" s="56">
        <f>'P&amp;L'!F5</f>
        <v>43555</v>
      </c>
      <c r="E4" s="56">
        <f>'P&amp;L'!G5</f>
        <v>43921</v>
      </c>
      <c r="F4" s="56">
        <f>'P&amp;L'!H5</f>
        <v>44286</v>
      </c>
      <c r="G4" s="56">
        <f>'P&amp;L'!I5</f>
        <v>44651</v>
      </c>
      <c r="H4" s="56">
        <f>'P&amp;L'!J5</f>
        <v>45016</v>
      </c>
      <c r="I4" s="56">
        <f>'P&amp;L'!K5</f>
        <v>45382</v>
      </c>
      <c r="J4" s="56">
        <f>'P&amp;L'!L5</f>
        <v>45747</v>
      </c>
      <c r="K4" s="56">
        <f>'P&amp;L'!M5</f>
        <v>46112</v>
      </c>
      <c r="L4" s="56">
        <f>'P&amp;L'!N5</f>
        <v>46477</v>
      </c>
      <c r="M4" s="56">
        <f>'P&amp;L'!O5</f>
        <v>46843</v>
      </c>
      <c r="N4" s="56">
        <f>'P&amp;L'!P5</f>
        <v>47208</v>
      </c>
      <c r="O4" s="56">
        <f>'P&amp;L'!Q5</f>
        <v>47573</v>
      </c>
      <c r="P4" s="56">
        <f>'P&amp;L'!R5</f>
        <v>47938</v>
      </c>
      <c r="Q4" s="56">
        <f>'P&amp;L'!S5</f>
        <v>48304</v>
      </c>
    </row>
    <row r="5" spans="1:37" s="582" customFormat="1" x14ac:dyDescent="0.35">
      <c r="A5" s="114"/>
      <c r="B5" s="159"/>
      <c r="C5" s="56" t="s">
        <v>367</v>
      </c>
      <c r="D5" s="56" t="s">
        <v>367</v>
      </c>
      <c r="E5" s="56" t="s">
        <v>367</v>
      </c>
      <c r="F5" s="56" t="s">
        <v>367</v>
      </c>
      <c r="G5" s="56" t="s">
        <v>367</v>
      </c>
      <c r="H5" s="56" t="s">
        <v>368</v>
      </c>
      <c r="I5" s="56" t="s">
        <v>368</v>
      </c>
      <c r="J5" s="56" t="s">
        <v>368</v>
      </c>
      <c r="K5" s="56" t="s">
        <v>368</v>
      </c>
      <c r="L5" s="56" t="s">
        <v>368</v>
      </c>
      <c r="M5" s="56" t="s">
        <v>368</v>
      </c>
      <c r="N5" s="56" t="s">
        <v>368</v>
      </c>
      <c r="O5" s="56" t="s">
        <v>368</v>
      </c>
      <c r="P5" s="56" t="s">
        <v>368</v>
      </c>
      <c r="Q5" s="56" t="s">
        <v>368</v>
      </c>
    </row>
    <row r="6" spans="1:37" x14ac:dyDescent="0.35">
      <c r="A6" s="117"/>
      <c r="B6" s="79" t="s">
        <v>408</v>
      </c>
      <c r="C6" s="160"/>
      <c r="D6" s="160"/>
      <c r="E6" s="161"/>
      <c r="F6" s="161"/>
      <c r="G6" s="161"/>
      <c r="H6" s="161"/>
      <c r="I6" s="161"/>
      <c r="J6" s="161"/>
      <c r="K6" s="161"/>
      <c r="L6" s="161"/>
      <c r="M6" s="161"/>
      <c r="N6" s="161"/>
      <c r="O6" s="161"/>
      <c r="P6" s="161"/>
      <c r="Q6" s="161"/>
    </row>
    <row r="7" spans="1:37" x14ac:dyDescent="0.35">
      <c r="A7" s="117"/>
      <c r="B7" s="57" t="s">
        <v>150</v>
      </c>
      <c r="C7" s="68"/>
      <c r="D7" s="68"/>
      <c r="E7" s="156"/>
      <c r="F7" s="157"/>
      <c r="G7" s="157"/>
      <c r="H7" s="157"/>
      <c r="I7" s="156"/>
      <c r="J7" s="156"/>
      <c r="K7" s="156"/>
      <c r="L7" s="156"/>
      <c r="M7" s="156"/>
      <c r="N7" s="156"/>
      <c r="O7" s="156"/>
      <c r="P7" s="156"/>
      <c r="Q7" s="156"/>
    </row>
    <row r="8" spans="1:37" x14ac:dyDescent="0.35">
      <c r="A8" s="114"/>
      <c r="B8" s="63" t="s">
        <v>570</v>
      </c>
      <c r="C8" s="121">
        <v>7535.7599999999993</v>
      </c>
      <c r="D8" s="121">
        <v>7390.08</v>
      </c>
      <c r="E8" s="121">
        <v>7178.15</v>
      </c>
      <c r="F8" s="121">
        <v>6985.26</v>
      </c>
      <c r="G8" s="311">
        <f>'Fixed Asset schedule'!I72</f>
        <v>6799.2800000000016</v>
      </c>
      <c r="H8" s="311">
        <f>'Fixed Asset schedule'!J72</f>
        <v>6586.1105742834179</v>
      </c>
      <c r="I8" s="122">
        <f>'Fixed Asset schedule'!K72</f>
        <v>6387.4561499275233</v>
      </c>
      <c r="J8" s="122">
        <f>'Fixed Asset schedule'!L72</f>
        <v>6188.3167269323167</v>
      </c>
      <c r="K8" s="122">
        <f>'Fixed Asset schedule'!M72</f>
        <v>5988.6923052978</v>
      </c>
      <c r="L8" s="122">
        <f>'Fixed Asset schedule'!N72</f>
        <v>5789.0459968383166</v>
      </c>
      <c r="M8" s="122">
        <f>'Fixed Asset schedule'!O72</f>
        <v>5589.3222002880448</v>
      </c>
      <c r="N8" s="122">
        <f>'Fixed Asset schedule'!P72</f>
        <v>5389.113405098462</v>
      </c>
      <c r="O8" s="122">
        <f>'Fixed Asset schedule'!Q72</f>
        <v>5188.4196112695663</v>
      </c>
      <c r="P8" s="122">
        <f>'Fixed Asset schedule'!R72</f>
        <v>4987.294071477023</v>
      </c>
      <c r="Q8" s="122">
        <f>'Fixed Asset schedule'!S72</f>
        <v>4791.1639751112443</v>
      </c>
      <c r="S8" s="111"/>
      <c r="T8" s="111"/>
      <c r="U8" s="111"/>
      <c r="V8" s="111"/>
      <c r="W8" s="111"/>
      <c r="X8" s="111"/>
      <c r="Y8" s="111"/>
      <c r="Z8" s="111"/>
      <c r="AA8" s="111"/>
      <c r="AC8" s="111"/>
      <c r="AD8" s="111"/>
      <c r="AE8" s="111"/>
      <c r="AF8" s="111"/>
      <c r="AG8" s="111"/>
      <c r="AH8" s="111"/>
      <c r="AI8" s="111"/>
      <c r="AJ8" s="111"/>
      <c r="AK8" s="111"/>
    </row>
    <row r="9" spans="1:37" x14ac:dyDescent="0.35">
      <c r="A9" s="114"/>
      <c r="B9" s="63" t="s">
        <v>143</v>
      </c>
      <c r="C9" s="121">
        <v>0</v>
      </c>
      <c r="D9" s="121">
        <v>0</v>
      </c>
      <c r="E9" s="121">
        <v>9.44</v>
      </c>
      <c r="F9" s="121">
        <v>6.7799999999999994</v>
      </c>
      <c r="G9" s="311">
        <f>'Fixed Asset schedule'!I102</f>
        <v>4.2099999999999991</v>
      </c>
      <c r="H9" s="311">
        <f>'Fixed Asset schedule'!J102</f>
        <v>1.5499999999999989</v>
      </c>
      <c r="I9" s="122">
        <f>'Fixed Asset schedule'!K102</f>
        <v>0</v>
      </c>
      <c r="J9" s="122">
        <f>'Fixed Asset schedule'!L102</f>
        <v>0</v>
      </c>
      <c r="K9" s="122">
        <f>'Fixed Asset schedule'!M102</f>
        <v>0</v>
      </c>
      <c r="L9" s="122">
        <f>'Fixed Asset schedule'!N102</f>
        <v>0</v>
      </c>
      <c r="M9" s="122">
        <f>'Fixed Asset schedule'!O102</f>
        <v>0</v>
      </c>
      <c r="N9" s="122">
        <f>'Fixed Asset schedule'!P102</f>
        <v>0</v>
      </c>
      <c r="O9" s="122">
        <f>'Fixed Asset schedule'!Q102</f>
        <v>0</v>
      </c>
      <c r="P9" s="122">
        <f>'Fixed Asset schedule'!R102</f>
        <v>0</v>
      </c>
      <c r="Q9" s="122">
        <f>'Fixed Asset schedule'!S102</f>
        <v>0</v>
      </c>
      <c r="S9" s="111"/>
      <c r="T9" s="111"/>
      <c r="U9" s="111"/>
      <c r="V9" s="111"/>
      <c r="W9" s="111"/>
      <c r="X9" s="111"/>
      <c r="Y9" s="111"/>
      <c r="Z9" s="111"/>
      <c r="AA9" s="111"/>
      <c r="AC9" s="111"/>
      <c r="AD9" s="111"/>
      <c r="AE9" s="111"/>
      <c r="AF9" s="111"/>
      <c r="AG9" s="111"/>
      <c r="AH9" s="111"/>
      <c r="AI9" s="111"/>
      <c r="AJ9" s="111"/>
      <c r="AK9" s="111"/>
    </row>
    <row r="10" spans="1:37" x14ac:dyDescent="0.35">
      <c r="A10" s="114"/>
      <c r="B10" s="63" t="s">
        <v>144</v>
      </c>
      <c r="C10" s="121">
        <v>65.790000000000006</v>
      </c>
      <c r="D10" s="121">
        <v>16.559999999999999</v>
      </c>
      <c r="E10" s="121">
        <v>43.07</v>
      </c>
      <c r="F10" s="121">
        <v>25.17</v>
      </c>
      <c r="G10" s="63">
        <f>'Fixed Asset schedule'!I94</f>
        <v>4.2899999999999991</v>
      </c>
      <c r="H10" s="311">
        <f>'Fixed Asset schedule'!J94</f>
        <v>4.2899999999999991</v>
      </c>
      <c r="I10" s="122">
        <f>'Fixed Asset schedule'!K94</f>
        <v>4.2899999999999991</v>
      </c>
      <c r="J10" s="122">
        <f>'Fixed Asset schedule'!L94</f>
        <v>4.2899999999999991</v>
      </c>
      <c r="K10" s="122">
        <f>'Fixed Asset schedule'!M94</f>
        <v>4.2899999999999991</v>
      </c>
      <c r="L10" s="122">
        <f>'Fixed Asset schedule'!N94</f>
        <v>4.2899999999999991</v>
      </c>
      <c r="M10" s="122">
        <f>'Fixed Asset schedule'!O94</f>
        <v>4.2899999999999991</v>
      </c>
      <c r="N10" s="122">
        <f>'Fixed Asset schedule'!P94</f>
        <v>4.2899999999999991</v>
      </c>
      <c r="O10" s="122">
        <f>'Fixed Asset schedule'!Q94</f>
        <v>4.2899999999999991</v>
      </c>
      <c r="P10" s="122">
        <f>'Fixed Asset schedule'!R94</f>
        <v>4.2899999999999991</v>
      </c>
      <c r="Q10" s="122">
        <f>'Fixed Asset schedule'!S94</f>
        <v>4.2899999999999991</v>
      </c>
      <c r="S10" s="111"/>
      <c r="T10" s="111"/>
      <c r="U10" s="111"/>
      <c r="V10" s="111"/>
      <c r="W10" s="111"/>
      <c r="X10" s="111"/>
      <c r="Y10" s="111"/>
      <c r="Z10" s="111"/>
      <c r="AA10" s="111"/>
      <c r="AC10" s="111"/>
      <c r="AD10" s="111"/>
      <c r="AE10" s="111"/>
      <c r="AF10" s="111"/>
      <c r="AG10" s="111"/>
      <c r="AH10" s="111"/>
      <c r="AI10" s="111"/>
      <c r="AJ10" s="111"/>
      <c r="AK10" s="111"/>
    </row>
    <row r="11" spans="1:37" x14ac:dyDescent="0.35">
      <c r="A11" s="114"/>
      <c r="B11" s="63" t="s">
        <v>145</v>
      </c>
      <c r="C11" s="121">
        <v>1.0000000000000001E-5</v>
      </c>
      <c r="D11" s="121">
        <v>1.0000000000000001E-5</v>
      </c>
      <c r="E11" s="121">
        <v>1.0000000000000001E-5</v>
      </c>
      <c r="F11" s="121">
        <v>1E-4</v>
      </c>
      <c r="G11" s="311">
        <f>'Fixed Asset schedule'!I110</f>
        <v>4.0000000000109392E-7</v>
      </c>
      <c r="H11" s="311">
        <f>'Fixed Asset schedule'!J110</f>
        <v>4.0000000000109392E-7</v>
      </c>
      <c r="I11" s="122">
        <f>'Fixed Asset schedule'!K110</f>
        <v>4.0000000000109392E-7</v>
      </c>
      <c r="J11" s="122">
        <f>'Fixed Asset schedule'!L110</f>
        <v>4.0000000000109392E-7</v>
      </c>
      <c r="K11" s="122">
        <f>'Fixed Asset schedule'!M110</f>
        <v>4.0000000000109392E-7</v>
      </c>
      <c r="L11" s="122">
        <f>'Fixed Asset schedule'!N110</f>
        <v>4.0000000000109392E-7</v>
      </c>
      <c r="M11" s="122">
        <f>'Fixed Asset schedule'!O110</f>
        <v>4.0000000000109392E-7</v>
      </c>
      <c r="N11" s="122">
        <f>'Fixed Asset schedule'!P110</f>
        <v>4.0000000000109392E-7</v>
      </c>
      <c r="O11" s="122">
        <f>'Fixed Asset schedule'!Q110</f>
        <v>4.0000000000109392E-7</v>
      </c>
      <c r="P11" s="122">
        <f>'Fixed Asset schedule'!R110</f>
        <v>4.0000000000109392E-7</v>
      </c>
      <c r="Q11" s="122">
        <f>'Fixed Asset schedule'!S110</f>
        <v>4.0000000000109392E-7</v>
      </c>
      <c r="S11" s="111"/>
      <c r="T11" s="111"/>
      <c r="U11" s="111"/>
      <c r="V11" s="111"/>
      <c r="W11" s="111"/>
      <c r="X11" s="111"/>
      <c r="Y11" s="111"/>
      <c r="Z11" s="111"/>
      <c r="AA11" s="111"/>
      <c r="AC11" s="111"/>
      <c r="AD11" s="111"/>
      <c r="AE11" s="111"/>
      <c r="AF11" s="111"/>
      <c r="AG11" s="111"/>
      <c r="AH11" s="111"/>
      <c r="AI11" s="111"/>
      <c r="AJ11" s="111"/>
      <c r="AK11" s="111"/>
    </row>
    <row r="12" spans="1:37" x14ac:dyDescent="0.35">
      <c r="A12" s="114"/>
      <c r="B12" s="74" t="s">
        <v>146</v>
      </c>
      <c r="C12" s="121"/>
      <c r="D12" s="121"/>
      <c r="E12" s="121"/>
      <c r="F12" s="121"/>
      <c r="G12" s="121"/>
      <c r="H12" s="311"/>
      <c r="I12" s="122"/>
      <c r="J12" s="122"/>
      <c r="K12" s="122"/>
      <c r="L12" s="122"/>
      <c r="M12" s="122"/>
      <c r="N12" s="122"/>
      <c r="O12" s="122"/>
      <c r="P12" s="122"/>
      <c r="Q12" s="122"/>
      <c r="S12" s="111"/>
      <c r="T12" s="111"/>
      <c r="U12" s="111"/>
      <c r="V12" s="111"/>
      <c r="W12" s="111"/>
      <c r="X12" s="111"/>
      <c r="Y12" s="111"/>
      <c r="Z12" s="111"/>
      <c r="AA12" s="111"/>
      <c r="AC12" s="111"/>
      <c r="AD12" s="111"/>
      <c r="AE12" s="111"/>
      <c r="AF12" s="111"/>
      <c r="AG12" s="111"/>
      <c r="AH12" s="111"/>
      <c r="AI12" s="111"/>
      <c r="AJ12" s="111"/>
      <c r="AK12" s="111"/>
    </row>
    <row r="13" spans="1:37" x14ac:dyDescent="0.35">
      <c r="A13" s="114"/>
      <c r="B13" s="62" t="s">
        <v>147</v>
      </c>
      <c r="C13" s="311">
        <f>+'Working - Corporate'!E91</f>
        <v>1055.92</v>
      </c>
      <c r="D13" s="311">
        <f>+'Working - Corporate'!F91</f>
        <v>251.26999999999998</v>
      </c>
      <c r="E13" s="311">
        <f>+'Working - Corporate'!G91</f>
        <v>191.67999999999995</v>
      </c>
      <c r="F13" s="311">
        <f>+'Working - Corporate'!H91</f>
        <v>140.24</v>
      </c>
      <c r="G13" s="311">
        <f>+'Working - Corporate'!I91</f>
        <v>92.339999999999918</v>
      </c>
      <c r="H13" s="311">
        <f>+'Working - Corporate'!J91</f>
        <v>92.339999999999918</v>
      </c>
      <c r="I13" s="122">
        <f>+'Working - Corporate'!K91</f>
        <v>92.339999999999918</v>
      </c>
      <c r="J13" s="122">
        <f>+'Working - Corporate'!L91</f>
        <v>92.339999999999918</v>
      </c>
      <c r="K13" s="122">
        <f>+'Working - Corporate'!M91</f>
        <v>92.339999999999918</v>
      </c>
      <c r="L13" s="122">
        <f>+'Working - Corporate'!N91</f>
        <v>92.339999999999918</v>
      </c>
      <c r="M13" s="122">
        <f>+'Working - Corporate'!O91</f>
        <v>92.339999999999918</v>
      </c>
      <c r="N13" s="122">
        <f>+'Working - Corporate'!P91</f>
        <v>92.339999999999918</v>
      </c>
      <c r="O13" s="122">
        <f>+'Working - Corporate'!Q91</f>
        <v>92.339999999999918</v>
      </c>
      <c r="P13" s="122">
        <f>+'Working - Corporate'!R91</f>
        <v>92.339999999999918</v>
      </c>
      <c r="Q13" s="122">
        <f>+'Working - Corporate'!S91</f>
        <v>92.339999999999918</v>
      </c>
      <c r="S13" s="111"/>
      <c r="T13" s="111"/>
      <c r="U13" s="111"/>
      <c r="V13" s="111"/>
      <c r="W13" s="111"/>
      <c r="X13" s="111"/>
      <c r="Y13" s="111"/>
      <c r="Z13" s="111"/>
      <c r="AA13" s="111"/>
      <c r="AC13" s="111"/>
      <c r="AD13" s="111"/>
      <c r="AE13" s="111"/>
      <c r="AF13" s="111"/>
      <c r="AG13" s="111"/>
      <c r="AH13" s="111"/>
      <c r="AI13" s="111"/>
      <c r="AJ13" s="111"/>
      <c r="AK13" s="111"/>
    </row>
    <row r="14" spans="1:37" x14ac:dyDescent="0.35">
      <c r="A14" s="114"/>
      <c r="B14" s="62" t="s">
        <v>148</v>
      </c>
      <c r="C14" s="121">
        <v>2.35</v>
      </c>
      <c r="D14" s="121">
        <v>3.99</v>
      </c>
      <c r="E14" s="121">
        <v>2.0699999999999998</v>
      </c>
      <c r="F14" s="121">
        <v>12.86</v>
      </c>
      <c r="G14" s="121">
        <v>13.39</v>
      </c>
      <c r="H14" s="122">
        <f>+G14</f>
        <v>13.39</v>
      </c>
      <c r="I14" s="122">
        <f t="shared" ref="I14:N14" si="0">+H14</f>
        <v>13.39</v>
      </c>
      <c r="J14" s="122">
        <f t="shared" si="0"/>
        <v>13.39</v>
      </c>
      <c r="K14" s="122">
        <f t="shared" si="0"/>
        <v>13.39</v>
      </c>
      <c r="L14" s="122">
        <f t="shared" si="0"/>
        <v>13.39</v>
      </c>
      <c r="M14" s="122">
        <f t="shared" si="0"/>
        <v>13.39</v>
      </c>
      <c r="N14" s="122">
        <f t="shared" si="0"/>
        <v>13.39</v>
      </c>
      <c r="O14" s="122">
        <f t="shared" ref="O14:Q14" si="1">+N14</f>
        <v>13.39</v>
      </c>
      <c r="P14" s="122">
        <f t="shared" si="1"/>
        <v>13.39</v>
      </c>
      <c r="Q14" s="122">
        <f t="shared" si="1"/>
        <v>13.39</v>
      </c>
      <c r="S14" s="111"/>
      <c r="T14" s="111"/>
      <c r="U14" s="111"/>
      <c r="V14" s="111"/>
      <c r="W14" s="111"/>
      <c r="X14" s="111"/>
      <c r="Y14" s="111"/>
      <c r="Z14" s="111"/>
      <c r="AA14" s="111"/>
      <c r="AC14" s="111"/>
      <c r="AD14" s="111"/>
      <c r="AE14" s="111"/>
      <c r="AF14" s="111"/>
      <c r="AG14" s="111"/>
      <c r="AH14" s="111"/>
      <c r="AI14" s="111"/>
      <c r="AJ14" s="111"/>
      <c r="AK14" s="111"/>
    </row>
    <row r="15" spans="1:37" x14ac:dyDescent="0.35">
      <c r="A15" s="114"/>
      <c r="B15" s="68" t="s">
        <v>149</v>
      </c>
      <c r="C15" s="490">
        <v>13.59</v>
      </c>
      <c r="D15" s="490">
        <v>12.97</v>
      </c>
      <c r="E15" s="121">
        <v>14.14</v>
      </c>
      <c r="F15" s="63">
        <f>'Working - Corporate'!H126</f>
        <v>133.56</v>
      </c>
      <c r="G15" s="63">
        <f>'Working - Corporate'!I126</f>
        <v>137.98000000000002</v>
      </c>
      <c r="H15" s="63">
        <f>'Working - Corporate'!J126</f>
        <v>137.98000000000002</v>
      </c>
      <c r="I15" s="63">
        <f>'Working - Corporate'!K126</f>
        <v>137.98000000000002</v>
      </c>
      <c r="J15" s="63">
        <f>'Working - Corporate'!L126</f>
        <v>137.98000000000002</v>
      </c>
      <c r="K15" s="63">
        <f>'Working - Corporate'!M126</f>
        <v>137.98000000000002</v>
      </c>
      <c r="L15" s="63">
        <f>'Working - Corporate'!N126</f>
        <v>137.98000000000002</v>
      </c>
      <c r="M15" s="63">
        <f>'Working - Corporate'!O126</f>
        <v>137.98000000000002</v>
      </c>
      <c r="N15" s="63">
        <f>'Working - Corporate'!P126</f>
        <v>137.98000000000002</v>
      </c>
      <c r="O15" s="63">
        <f>'Working - Corporate'!Q126</f>
        <v>146.76907064115125</v>
      </c>
      <c r="P15" s="63">
        <f>'Working - Corporate'!R126</f>
        <v>217.5420080377645</v>
      </c>
      <c r="Q15" s="63">
        <f>'Working - Corporate'!S126</f>
        <v>128.48516642282289</v>
      </c>
      <c r="S15" s="111"/>
      <c r="T15" s="111"/>
      <c r="U15" s="111"/>
      <c r="V15" s="111"/>
      <c r="W15" s="111"/>
      <c r="X15" s="111"/>
      <c r="Y15" s="111"/>
      <c r="Z15" s="111"/>
      <c r="AA15" s="111"/>
      <c r="AC15" s="111"/>
      <c r="AD15" s="111"/>
      <c r="AE15" s="111"/>
      <c r="AF15" s="111"/>
      <c r="AG15" s="111"/>
      <c r="AH15" s="111"/>
      <c r="AI15" s="111"/>
      <c r="AJ15" s="111"/>
      <c r="AK15" s="111"/>
    </row>
    <row r="16" spans="1:37" x14ac:dyDescent="0.35">
      <c r="B16" s="103" t="s">
        <v>409</v>
      </c>
      <c r="C16" s="123">
        <f t="shared" ref="C16:Q16" si="2">SUM(C8:C15)</f>
        <v>8673.4100099999996</v>
      </c>
      <c r="D16" s="1724">
        <f t="shared" si="2"/>
        <v>7674.8700099999996</v>
      </c>
      <c r="E16" s="1724">
        <f t="shared" si="2"/>
        <v>7438.550009999999</v>
      </c>
      <c r="F16" s="1724">
        <f t="shared" si="2"/>
        <v>7303.8701000000001</v>
      </c>
      <c r="G16" s="1724">
        <f t="shared" si="2"/>
        <v>7051.4900004000028</v>
      </c>
      <c r="H16" s="123">
        <f t="shared" si="2"/>
        <v>6835.6605746834193</v>
      </c>
      <c r="I16" s="123">
        <f t="shared" si="2"/>
        <v>6635.4561503275236</v>
      </c>
      <c r="J16" s="123">
        <f t="shared" si="2"/>
        <v>6436.3167273323179</v>
      </c>
      <c r="K16" s="123">
        <f t="shared" si="2"/>
        <v>6236.6923056978012</v>
      </c>
      <c r="L16" s="123">
        <f t="shared" si="2"/>
        <v>6037.0459972383178</v>
      </c>
      <c r="M16" s="123">
        <f t="shared" si="2"/>
        <v>5837.322200688046</v>
      </c>
      <c r="N16" s="123">
        <f t="shared" si="2"/>
        <v>5637.1134054984632</v>
      </c>
      <c r="O16" s="123">
        <f t="shared" si="2"/>
        <v>5445.2086823107184</v>
      </c>
      <c r="P16" s="123">
        <f t="shared" si="2"/>
        <v>5314.8560799147881</v>
      </c>
      <c r="Q16" s="123">
        <f t="shared" si="2"/>
        <v>5029.6691419340677</v>
      </c>
      <c r="S16" s="111"/>
      <c r="T16" s="111"/>
      <c r="U16" s="111"/>
      <c r="V16" s="111"/>
      <c r="W16" s="111"/>
      <c r="X16" s="111"/>
      <c r="Y16" s="111"/>
      <c r="Z16" s="111"/>
      <c r="AA16" s="111"/>
      <c r="AC16" s="111"/>
      <c r="AD16" s="111"/>
      <c r="AE16" s="111"/>
      <c r="AF16" s="111"/>
      <c r="AG16" s="111"/>
      <c r="AH16" s="111"/>
      <c r="AI16" s="111"/>
      <c r="AJ16" s="111"/>
      <c r="AK16" s="111"/>
    </row>
    <row r="17" spans="2:37" s="582" customFormat="1" x14ac:dyDescent="0.35">
      <c r="B17" s="103"/>
      <c r="C17" s="123"/>
      <c r="D17" s="123"/>
      <c r="E17" s="123"/>
      <c r="F17" s="123"/>
      <c r="G17" s="123"/>
      <c r="H17" s="123"/>
      <c r="I17" s="123"/>
      <c r="J17" s="123"/>
      <c r="K17" s="123"/>
      <c r="L17" s="123"/>
      <c r="M17" s="123"/>
      <c r="N17" s="123"/>
      <c r="O17" s="123"/>
      <c r="P17" s="123"/>
      <c r="Q17" s="123"/>
      <c r="S17" s="111"/>
      <c r="T17" s="111"/>
      <c r="U17" s="111"/>
      <c r="V17" s="111"/>
      <c r="W17" s="111"/>
      <c r="X17" s="111"/>
      <c r="Y17" s="111"/>
      <c r="Z17" s="111"/>
      <c r="AA17" s="111"/>
      <c r="AC17" s="111"/>
      <c r="AD17" s="111"/>
      <c r="AE17" s="111"/>
      <c r="AF17" s="111"/>
      <c r="AG17" s="111"/>
      <c r="AH17" s="111"/>
      <c r="AI17" s="111"/>
      <c r="AJ17" s="111"/>
      <c r="AK17" s="111"/>
    </row>
    <row r="18" spans="2:37" x14ac:dyDescent="0.35">
      <c r="B18" s="57" t="s">
        <v>151</v>
      </c>
      <c r="C18" s="128"/>
      <c r="D18" s="128"/>
      <c r="E18" s="122"/>
      <c r="F18" s="122"/>
      <c r="G18" s="122"/>
      <c r="H18" s="62"/>
      <c r="I18" s="62"/>
      <c r="J18" s="62"/>
      <c r="K18" s="62"/>
      <c r="L18" s="62"/>
      <c r="M18" s="62"/>
      <c r="N18" s="62"/>
      <c r="O18" s="62"/>
      <c r="P18" s="62"/>
      <c r="Q18" s="62"/>
      <c r="S18" s="111"/>
      <c r="T18" s="111"/>
      <c r="U18" s="111"/>
      <c r="V18" s="111"/>
      <c r="W18" s="111"/>
      <c r="X18" s="111"/>
      <c r="Y18" s="111"/>
      <c r="Z18" s="111"/>
      <c r="AA18" s="111"/>
      <c r="AC18" s="111"/>
      <c r="AD18" s="111"/>
      <c r="AE18" s="111"/>
      <c r="AF18" s="111"/>
      <c r="AG18" s="111"/>
      <c r="AH18" s="111"/>
      <c r="AI18" s="111"/>
      <c r="AJ18" s="111"/>
      <c r="AK18" s="111"/>
    </row>
    <row r="19" spans="2:37" s="582" customFormat="1" x14ac:dyDescent="0.35">
      <c r="B19" s="57"/>
      <c r="C19" s="128"/>
      <c r="D19" s="128"/>
      <c r="E19" s="122"/>
      <c r="F19" s="122"/>
      <c r="G19" s="122"/>
      <c r="H19" s="62"/>
      <c r="I19" s="62"/>
      <c r="J19" s="62"/>
      <c r="K19" s="62"/>
      <c r="L19" s="62"/>
      <c r="M19" s="62"/>
      <c r="N19" s="62"/>
      <c r="O19" s="62"/>
      <c r="P19" s="62"/>
      <c r="Q19" s="62"/>
      <c r="S19" s="111"/>
      <c r="T19" s="111"/>
      <c r="U19" s="111"/>
      <c r="V19" s="111"/>
      <c r="W19" s="111"/>
      <c r="X19" s="111"/>
      <c r="Y19" s="111"/>
      <c r="Z19" s="111"/>
      <c r="AA19" s="111"/>
      <c r="AC19" s="111"/>
      <c r="AD19" s="111"/>
      <c r="AE19" s="111"/>
      <c r="AF19" s="111"/>
      <c r="AG19" s="111"/>
      <c r="AH19" s="111"/>
      <c r="AI19" s="111"/>
      <c r="AJ19" s="111"/>
      <c r="AK19" s="111"/>
    </row>
    <row r="20" spans="2:37" x14ac:dyDescent="0.35">
      <c r="B20" s="68" t="s">
        <v>152</v>
      </c>
      <c r="C20" s="311">
        <f>+'Working - Corporate'!E115</f>
        <v>2847.88</v>
      </c>
      <c r="D20" s="311">
        <f>+'Working - Corporate'!F115</f>
        <v>2764.98</v>
      </c>
      <c r="E20" s="63">
        <f>+'Working - Corporate'!G115</f>
        <v>2711.3896694894092</v>
      </c>
      <c r="F20" s="63">
        <f>+'Working - Corporate'!H115</f>
        <v>2541.3423543232998</v>
      </c>
      <c r="G20" s="63">
        <f>+'Working - Corporate'!I115</f>
        <v>2745.5590438654717</v>
      </c>
      <c r="H20" s="63">
        <f>+'Working - Corporate'!J115</f>
        <v>2824.3231018543015</v>
      </c>
      <c r="I20" s="122">
        <f>+'Working - Corporate'!K115</f>
        <v>3101.7233190208435</v>
      </c>
      <c r="J20" s="122">
        <f>+'Working - Corporate'!L115</f>
        <v>3257.3345510905697</v>
      </c>
      <c r="K20" s="122">
        <f>+'Working - Corporate'!M115</f>
        <v>3332.7959833703671</v>
      </c>
      <c r="L20" s="122">
        <f>+'Working - Corporate'!N115</f>
        <v>3405.476827321063</v>
      </c>
      <c r="M20" s="122">
        <f>+'Working - Corporate'!O115</f>
        <v>3480.4364206510777</v>
      </c>
      <c r="N20" s="122">
        <f>+'Working - Corporate'!P115</f>
        <v>3557.9425975902141</v>
      </c>
      <c r="O20" s="122">
        <f>+'Working - Corporate'!Q115</f>
        <v>3637.8827328340431</v>
      </c>
      <c r="P20" s="122">
        <f>+'Working - Corporate'!R115</f>
        <v>3676.612286164584</v>
      </c>
      <c r="Q20" s="122">
        <f>+'Working - Corporate'!S115</f>
        <v>3759.1536290941031</v>
      </c>
      <c r="S20" s="111"/>
      <c r="T20" s="111"/>
      <c r="U20" s="111"/>
      <c r="V20" s="111"/>
      <c r="W20" s="111"/>
      <c r="X20" s="111"/>
      <c r="Y20" s="111"/>
      <c r="Z20" s="111"/>
      <c r="AA20" s="111"/>
      <c r="AC20" s="111"/>
      <c r="AD20" s="111"/>
      <c r="AE20" s="111"/>
      <c r="AF20" s="111"/>
      <c r="AG20" s="111"/>
      <c r="AH20" s="111"/>
      <c r="AI20" s="111"/>
      <c r="AJ20" s="111"/>
      <c r="AK20" s="111"/>
    </row>
    <row r="21" spans="2:37" x14ac:dyDescent="0.35">
      <c r="B21" s="57" t="s">
        <v>146</v>
      </c>
      <c r="C21" s="1228"/>
      <c r="D21" s="1228"/>
      <c r="E21" s="311"/>
      <c r="F21" s="311"/>
      <c r="G21" s="311"/>
      <c r="H21" s="311"/>
      <c r="I21" s="122"/>
      <c r="J21" s="122"/>
      <c r="K21" s="122"/>
      <c r="L21" s="122"/>
      <c r="M21" s="122"/>
      <c r="N21" s="122"/>
      <c r="O21" s="122"/>
      <c r="P21" s="122"/>
      <c r="Q21" s="122"/>
      <c r="S21" s="111"/>
      <c r="T21" s="111"/>
      <c r="U21" s="111"/>
      <c r="V21" s="111"/>
      <c r="W21" s="111"/>
      <c r="X21" s="111"/>
      <c r="Y21" s="111"/>
      <c r="Z21" s="111"/>
      <c r="AA21" s="111"/>
      <c r="AC21" s="111"/>
      <c r="AD21" s="111"/>
      <c r="AE21" s="111"/>
      <c r="AF21" s="111"/>
      <c r="AG21" s="111"/>
      <c r="AH21" s="111"/>
      <c r="AI21" s="111"/>
      <c r="AJ21" s="111"/>
      <c r="AK21" s="111"/>
    </row>
    <row r="22" spans="2:37" x14ac:dyDescent="0.35">
      <c r="B22" s="68" t="s">
        <v>153</v>
      </c>
      <c r="C22" s="311">
        <f>+'Working - Corporate'!E94</f>
        <v>0</v>
      </c>
      <c r="D22" s="311">
        <f>+'Working - Corporate'!F94</f>
        <v>770.13</v>
      </c>
      <c r="E22" s="311">
        <f>+'Working - Corporate'!G94</f>
        <v>770.13</v>
      </c>
      <c r="F22" s="311">
        <f>+'Working - Corporate'!H94</f>
        <v>770.13</v>
      </c>
      <c r="G22" s="311">
        <f>+'Working - Corporate'!I94</f>
        <v>770.13</v>
      </c>
      <c r="H22" s="311">
        <f>+'Working - Corporate'!J94</f>
        <v>770.13</v>
      </c>
      <c r="I22" s="122">
        <f>+'Working - Corporate'!K94</f>
        <v>770.13</v>
      </c>
      <c r="J22" s="122">
        <f>+'Working - Corporate'!L94</f>
        <v>770.13</v>
      </c>
      <c r="K22" s="122">
        <f>+'Working - Corporate'!M94</f>
        <v>770.13</v>
      </c>
      <c r="L22" s="122">
        <f>+'Working - Corporate'!N94</f>
        <v>770.13</v>
      </c>
      <c r="M22" s="122">
        <f>+'Working - Corporate'!O94</f>
        <v>770.13</v>
      </c>
      <c r="N22" s="122">
        <f>+'Working - Corporate'!P94</f>
        <v>770.13</v>
      </c>
      <c r="O22" s="122">
        <f>+'Working - Corporate'!Q94</f>
        <v>770.13</v>
      </c>
      <c r="P22" s="122">
        <f>+'Working - Corporate'!R94</f>
        <v>770.13</v>
      </c>
      <c r="Q22" s="122">
        <f>+'Working - Corporate'!S94</f>
        <v>770.13</v>
      </c>
      <c r="S22" s="111"/>
      <c r="T22" s="111"/>
      <c r="U22" s="111"/>
      <c r="V22" s="111"/>
      <c r="W22" s="111"/>
      <c r="X22" s="111"/>
      <c r="Y22" s="111"/>
      <c r="Z22" s="111"/>
      <c r="AA22" s="111"/>
      <c r="AC22" s="111"/>
      <c r="AD22" s="111"/>
      <c r="AE22" s="111"/>
      <c r="AF22" s="111"/>
      <c r="AG22" s="111"/>
      <c r="AH22" s="111"/>
      <c r="AI22" s="111"/>
      <c r="AJ22" s="111"/>
      <c r="AK22" s="111"/>
    </row>
    <row r="23" spans="2:37" s="261" customFormat="1" x14ac:dyDescent="0.35">
      <c r="B23" s="581" t="s">
        <v>154</v>
      </c>
      <c r="C23" s="311">
        <f>'Working - Corporate'!E118</f>
        <v>192.43</v>
      </c>
      <c r="D23" s="311">
        <f>'Working - Corporate'!F118</f>
        <v>206.05</v>
      </c>
      <c r="E23" s="311">
        <f>'Working - Corporate'!G118</f>
        <v>173.18</v>
      </c>
      <c r="F23" s="311">
        <f>'Working - Corporate'!H118</f>
        <v>218.73</v>
      </c>
      <c r="G23" s="311">
        <f>'Working - Corporate'!I118</f>
        <v>213.86999999999998</v>
      </c>
      <c r="H23" s="63">
        <f>'Working - Corporate'!J118</f>
        <v>179.81821058331286</v>
      </c>
      <c r="I23" s="311">
        <f>'Working - Corporate'!K118</f>
        <v>197.14785897399614</v>
      </c>
      <c r="J23" s="311">
        <f>'Working - Corporate'!L118</f>
        <v>213.08692933507467</v>
      </c>
      <c r="K23" s="311">
        <f>'Working - Corporate'!M118</f>
        <v>220.94907558182902</v>
      </c>
      <c r="L23" s="311">
        <f>'Working - Corporate'!N118</f>
        <v>226.31584435537064</v>
      </c>
      <c r="M23" s="311">
        <f>'Working - Corporate'!O118</f>
        <v>231.73706997282187</v>
      </c>
      <c r="N23" s="311">
        <f>'Working - Corporate'!P118</f>
        <v>237.28650033603523</v>
      </c>
      <c r="O23" s="311">
        <f>'Working - Corporate'!Q118</f>
        <v>242.96978653060688</v>
      </c>
      <c r="P23" s="311">
        <f>'Working - Corporate'!R118</f>
        <v>248.79017735376618</v>
      </c>
      <c r="Q23" s="311">
        <f>'Working - Corporate'!S118</f>
        <v>254.75100087070231</v>
      </c>
      <c r="S23" s="1799"/>
      <c r="T23" s="1799"/>
      <c r="U23" s="1799"/>
      <c r="V23" s="1799"/>
      <c r="W23" s="1799"/>
      <c r="X23" s="1799"/>
      <c r="Y23" s="1799"/>
      <c r="Z23" s="1799"/>
      <c r="AA23" s="1799"/>
      <c r="AC23" s="111"/>
      <c r="AD23" s="111"/>
      <c r="AE23" s="111"/>
      <c r="AF23" s="111"/>
      <c r="AG23" s="111"/>
      <c r="AH23" s="111"/>
      <c r="AI23" s="111"/>
      <c r="AJ23" s="111"/>
      <c r="AK23" s="111"/>
    </row>
    <row r="24" spans="2:37" x14ac:dyDescent="0.35">
      <c r="B24" s="68" t="s">
        <v>155</v>
      </c>
      <c r="C24" s="121">
        <v>31.28</v>
      </c>
      <c r="D24" s="121">
        <v>48.1</v>
      </c>
      <c r="E24" s="121">
        <v>100.69000000000001</v>
      </c>
      <c r="F24" s="121">
        <f>63+0.01</f>
        <v>63.01</v>
      </c>
      <c r="G24" s="77">
        <v>47.33</v>
      </c>
      <c r="H24" s="63">
        <f>Cashflow!D44</f>
        <v>27.593922838053928</v>
      </c>
      <c r="I24" s="63">
        <f>Cashflow!E44</f>
        <v>101.93703468313653</v>
      </c>
      <c r="J24" s="63">
        <f>Cashflow!F44</f>
        <v>174.09302659134187</v>
      </c>
      <c r="K24" s="63">
        <f>Cashflow!G44</f>
        <v>252.66168734501946</v>
      </c>
      <c r="L24" s="63">
        <f>Cashflow!H44</f>
        <v>322.09782090093131</v>
      </c>
      <c r="M24" s="63">
        <f>Cashflow!I44</f>
        <v>406.75244005752171</v>
      </c>
      <c r="N24" s="63">
        <f>Cashflow!J44</f>
        <v>479.72841518068168</v>
      </c>
      <c r="O24" s="63">
        <f>Cashflow!K44</f>
        <v>607.38359697882561</v>
      </c>
      <c r="P24" s="63">
        <f>Cashflow!L44</f>
        <v>735.81539033800163</v>
      </c>
      <c r="Q24" s="63">
        <f>Cashflow!M44</f>
        <v>863.10282672060316</v>
      </c>
      <c r="S24" s="111"/>
      <c r="T24" s="111"/>
      <c r="U24" s="111"/>
      <c r="V24" s="111"/>
      <c r="W24" s="111"/>
      <c r="X24" s="111"/>
      <c r="Y24" s="111"/>
      <c r="Z24" s="111"/>
      <c r="AA24" s="111"/>
      <c r="AC24" s="111"/>
      <c r="AD24" s="111"/>
      <c r="AE24" s="111"/>
      <c r="AF24" s="111"/>
      <c r="AG24" s="111"/>
      <c r="AH24" s="111"/>
      <c r="AI24" s="111"/>
      <c r="AJ24" s="111"/>
      <c r="AK24" s="111"/>
    </row>
    <row r="25" spans="2:37" s="582" customFormat="1" x14ac:dyDescent="0.35">
      <c r="B25" s="577" t="s">
        <v>1576</v>
      </c>
      <c r="C25" s="121"/>
      <c r="D25" s="121"/>
      <c r="E25" s="121"/>
      <c r="F25" s="121"/>
      <c r="G25" s="121"/>
      <c r="H25" s="63">
        <f>-Cashflow!D43</f>
        <v>66.674003493057683</v>
      </c>
      <c r="I25" s="63">
        <f>H25</f>
        <v>66.674003493057683</v>
      </c>
      <c r="J25" s="63">
        <f t="shared" ref="J25:N25" si="3">I25</f>
        <v>66.674003493057683</v>
      </c>
      <c r="K25" s="63">
        <f t="shared" si="3"/>
        <v>66.674003493057683</v>
      </c>
      <c r="L25" s="63">
        <f t="shared" si="3"/>
        <v>66.674003493057683</v>
      </c>
      <c r="M25" s="63">
        <f t="shared" si="3"/>
        <v>66.674003493057683</v>
      </c>
      <c r="N25" s="63">
        <f t="shared" si="3"/>
        <v>66.674003493057683</v>
      </c>
      <c r="O25" s="63">
        <v>0</v>
      </c>
      <c r="P25" s="63">
        <v>0</v>
      </c>
      <c r="Q25" s="63">
        <v>0</v>
      </c>
      <c r="S25" s="111"/>
      <c r="T25" s="111"/>
      <c r="U25" s="111"/>
      <c r="V25" s="111"/>
      <c r="W25" s="111"/>
      <c r="X25" s="111"/>
      <c r="Y25" s="111"/>
      <c r="Z25" s="111"/>
      <c r="AA25" s="111"/>
      <c r="AC25" s="111"/>
      <c r="AD25" s="111"/>
      <c r="AE25" s="111"/>
      <c r="AF25" s="111"/>
      <c r="AG25" s="111"/>
      <c r="AH25" s="111"/>
      <c r="AI25" s="111"/>
      <c r="AJ25" s="111"/>
      <c r="AK25" s="111"/>
    </row>
    <row r="26" spans="2:37" s="584" customFormat="1" x14ac:dyDescent="0.35">
      <c r="B26" s="577" t="s">
        <v>156</v>
      </c>
      <c r="C26" s="580">
        <v>23.39</v>
      </c>
      <c r="D26" s="580">
        <v>11.42</v>
      </c>
      <c r="E26" s="77">
        <v>10.49</v>
      </c>
      <c r="F26" s="77">
        <v>0</v>
      </c>
      <c r="G26" s="77">
        <v>0</v>
      </c>
      <c r="H26" s="63">
        <f>+G26</f>
        <v>0</v>
      </c>
      <c r="I26" s="62">
        <f t="shared" ref="I26:Q26" si="4">+H26</f>
        <v>0</v>
      </c>
      <c r="J26" s="62">
        <f t="shared" si="4"/>
        <v>0</v>
      </c>
      <c r="K26" s="62">
        <f t="shared" si="4"/>
        <v>0</v>
      </c>
      <c r="L26" s="62">
        <f t="shared" si="4"/>
        <v>0</v>
      </c>
      <c r="M26" s="62">
        <f t="shared" si="4"/>
        <v>0</v>
      </c>
      <c r="N26" s="62">
        <f t="shared" si="4"/>
        <v>0</v>
      </c>
      <c r="O26" s="62">
        <f t="shared" si="4"/>
        <v>0</v>
      </c>
      <c r="P26" s="62">
        <f t="shared" si="4"/>
        <v>0</v>
      </c>
      <c r="Q26" s="62">
        <f t="shared" si="4"/>
        <v>0</v>
      </c>
      <c r="S26" s="1800"/>
      <c r="T26" s="1800"/>
      <c r="U26" s="1800"/>
      <c r="V26" s="1800"/>
      <c r="W26" s="1800"/>
      <c r="X26" s="1800"/>
      <c r="Y26" s="1800"/>
      <c r="Z26" s="1800"/>
      <c r="AA26" s="1800"/>
      <c r="AC26" s="111"/>
      <c r="AD26" s="111"/>
      <c r="AE26" s="111"/>
      <c r="AF26" s="111"/>
      <c r="AG26" s="111"/>
      <c r="AH26" s="111"/>
      <c r="AI26" s="111"/>
      <c r="AJ26" s="111"/>
      <c r="AK26" s="111"/>
    </row>
    <row r="27" spans="2:37" x14ac:dyDescent="0.35">
      <c r="B27" s="68" t="s">
        <v>157</v>
      </c>
      <c r="C27" s="311">
        <f>+'Working - Corporate'!E107</f>
        <v>2002.04</v>
      </c>
      <c r="D27" s="311">
        <f>+'Working - Corporate'!F107</f>
        <v>2146.58</v>
      </c>
      <c r="E27" s="311">
        <f>+'Working - Corporate'!G107</f>
        <v>2091.2900000000004</v>
      </c>
      <c r="F27" s="311">
        <f>+'Working - Corporate'!H107</f>
        <v>2091.2900000000004</v>
      </c>
      <c r="G27" s="311">
        <f>+'Working - Corporate'!I107</f>
        <v>2088.7900000000004</v>
      </c>
      <c r="H27" s="311">
        <f>+'Working - Corporate'!J107</f>
        <v>2088.7900000000004</v>
      </c>
      <c r="I27" s="122">
        <f>+'Working - Corporate'!K107</f>
        <v>2088.7900000000004</v>
      </c>
      <c r="J27" s="122">
        <f>+'Working - Corporate'!L107</f>
        <v>2088.7900000000004</v>
      </c>
      <c r="K27" s="122">
        <f>+'Working - Corporate'!M107</f>
        <v>2088.7900000000004</v>
      </c>
      <c r="L27" s="122">
        <f>+'Working - Corporate'!N107</f>
        <v>2088.7900000000004</v>
      </c>
      <c r="M27" s="122">
        <f>+'Working - Corporate'!O107</f>
        <v>2088.7900000000004</v>
      </c>
      <c r="N27" s="122">
        <f>+'Working - Corporate'!P107</f>
        <v>2088.7900000000004</v>
      </c>
      <c r="O27" s="122">
        <f>+'Working - Corporate'!Q107</f>
        <v>2088.7900000000004</v>
      </c>
      <c r="P27" s="122">
        <f>+'Working - Corporate'!R107</f>
        <v>2088.7900000000004</v>
      </c>
      <c r="Q27" s="122">
        <f>+'Working - Corporate'!S107</f>
        <v>2088.7900000000004</v>
      </c>
      <c r="S27" s="111"/>
      <c r="T27" s="111"/>
      <c r="U27" s="111"/>
      <c r="V27" s="111"/>
      <c r="W27" s="111"/>
      <c r="X27" s="111"/>
      <c r="Y27" s="111"/>
      <c r="Z27" s="111"/>
      <c r="AA27" s="111"/>
      <c r="AC27" s="111"/>
      <c r="AD27" s="111"/>
      <c r="AE27" s="111"/>
      <c r="AF27" s="111"/>
      <c r="AG27" s="111"/>
      <c r="AH27" s="111"/>
      <c r="AI27" s="111"/>
      <c r="AJ27" s="111"/>
      <c r="AK27" s="111"/>
    </row>
    <row r="28" spans="2:37" x14ac:dyDescent="0.35">
      <c r="B28" s="68" t="s">
        <v>158</v>
      </c>
      <c r="C28" s="590">
        <v>4.4099999999999984</v>
      </c>
      <c r="D28" s="590">
        <v>3.7600000000000002</v>
      </c>
      <c r="E28" s="121">
        <v>4.26</v>
      </c>
      <c r="F28" s="121">
        <f>5.38-0.005</f>
        <v>5.375</v>
      </c>
      <c r="G28" s="121">
        <v>7.92</v>
      </c>
      <c r="H28" s="311">
        <f>+G28</f>
        <v>7.92</v>
      </c>
      <c r="I28" s="122">
        <f t="shared" ref="I28:Q28" si="5">+H28</f>
        <v>7.92</v>
      </c>
      <c r="J28" s="122">
        <f t="shared" si="5"/>
        <v>7.92</v>
      </c>
      <c r="K28" s="122">
        <f t="shared" si="5"/>
        <v>7.92</v>
      </c>
      <c r="L28" s="122">
        <f t="shared" si="5"/>
        <v>7.92</v>
      </c>
      <c r="M28" s="122">
        <f t="shared" si="5"/>
        <v>7.92</v>
      </c>
      <c r="N28" s="122">
        <f t="shared" si="5"/>
        <v>7.92</v>
      </c>
      <c r="O28" s="122">
        <f t="shared" si="5"/>
        <v>7.92</v>
      </c>
      <c r="P28" s="122">
        <f t="shared" si="5"/>
        <v>7.92</v>
      </c>
      <c r="Q28" s="122">
        <f t="shared" si="5"/>
        <v>7.92</v>
      </c>
      <c r="S28" s="111"/>
      <c r="T28" s="111"/>
      <c r="U28" s="111"/>
      <c r="V28" s="111"/>
      <c r="W28" s="111"/>
      <c r="X28" s="111"/>
      <c r="Y28" s="111"/>
      <c r="Z28" s="111"/>
      <c r="AA28" s="111"/>
      <c r="AC28" s="111"/>
      <c r="AD28" s="111"/>
      <c r="AE28" s="111"/>
      <c r="AF28" s="111"/>
      <c r="AG28" s="111"/>
      <c r="AH28" s="111"/>
      <c r="AI28" s="111"/>
      <c r="AJ28" s="111"/>
      <c r="AK28" s="111"/>
    </row>
    <row r="29" spans="2:37" s="582" customFormat="1" x14ac:dyDescent="0.35">
      <c r="B29" s="128" t="s">
        <v>1449</v>
      </c>
      <c r="C29" s="121">
        <v>0</v>
      </c>
      <c r="D29" s="121">
        <v>0</v>
      </c>
      <c r="E29" s="121">
        <v>0</v>
      </c>
      <c r="F29" s="121">
        <v>0</v>
      </c>
      <c r="G29" s="121">
        <v>0</v>
      </c>
      <c r="H29" s="311">
        <f>IF('Tax calc'!H118&lt;=0,-'Tax calc'!H118,0)</f>
        <v>0</v>
      </c>
      <c r="I29" s="311">
        <f>IF('Tax calc'!I118&lt;=0,-'Tax calc'!I118,0)</f>
        <v>0</v>
      </c>
      <c r="J29" s="311">
        <f>IF('Tax calc'!J118&lt;=0,-'Tax calc'!J118,0)</f>
        <v>0</v>
      </c>
      <c r="K29" s="311">
        <f>IF('Tax calc'!K118&lt;=0,-'Tax calc'!K118,0)</f>
        <v>0</v>
      </c>
      <c r="L29" s="311">
        <f>IF('Tax calc'!L118&lt;=0,-'Tax calc'!L118,0)</f>
        <v>0</v>
      </c>
      <c r="M29" s="311">
        <f>IF('Tax calc'!M118&lt;=0,-'Tax calc'!M118,0)</f>
        <v>0</v>
      </c>
      <c r="N29" s="311">
        <f>IF('Tax calc'!N118&lt;=0,-'Tax calc'!N118,0)</f>
        <v>0</v>
      </c>
      <c r="O29" s="311">
        <f>IF('Tax calc'!O118&lt;=0,-'Tax calc'!O118,0)</f>
        <v>0</v>
      </c>
      <c r="P29" s="311">
        <f>IF('Tax calc'!P118&lt;=0,-'Tax calc'!P118,0)</f>
        <v>0</v>
      </c>
      <c r="Q29" s="311">
        <f>IF('Tax calc'!Q118&lt;=0,-'Tax calc'!Q118,0)</f>
        <v>0</v>
      </c>
      <c r="S29" s="111"/>
      <c r="T29" s="111"/>
      <c r="U29" s="111"/>
      <c r="V29" s="111"/>
      <c r="W29" s="111"/>
      <c r="X29" s="111"/>
      <c r="Y29" s="111"/>
      <c r="Z29" s="111"/>
      <c r="AA29" s="111"/>
      <c r="AC29" s="111"/>
      <c r="AD29" s="111"/>
      <c r="AE29" s="111"/>
      <c r="AF29" s="111"/>
      <c r="AG29" s="111"/>
      <c r="AH29" s="111"/>
      <c r="AI29" s="111"/>
      <c r="AJ29" s="111"/>
      <c r="AK29" s="111"/>
    </row>
    <row r="30" spans="2:37" x14ac:dyDescent="0.35">
      <c r="B30" s="68" t="s">
        <v>267</v>
      </c>
      <c r="C30" s="121">
        <v>79.44</v>
      </c>
      <c r="D30" s="121">
        <v>79.44</v>
      </c>
      <c r="E30" s="121">
        <v>79.44</v>
      </c>
      <c r="F30" s="121">
        <v>0</v>
      </c>
      <c r="G30" s="121">
        <v>0</v>
      </c>
      <c r="H30" s="311">
        <f>G30</f>
        <v>0</v>
      </c>
      <c r="I30" s="311">
        <f t="shared" ref="I30:Q30" si="6">H30</f>
        <v>0</v>
      </c>
      <c r="J30" s="311">
        <f t="shared" si="6"/>
        <v>0</v>
      </c>
      <c r="K30" s="311">
        <f t="shared" si="6"/>
        <v>0</v>
      </c>
      <c r="L30" s="311">
        <f t="shared" si="6"/>
        <v>0</v>
      </c>
      <c r="M30" s="311">
        <f t="shared" si="6"/>
        <v>0</v>
      </c>
      <c r="N30" s="311">
        <f t="shared" si="6"/>
        <v>0</v>
      </c>
      <c r="O30" s="311">
        <f t="shared" si="6"/>
        <v>0</v>
      </c>
      <c r="P30" s="311">
        <f t="shared" si="6"/>
        <v>0</v>
      </c>
      <c r="Q30" s="311">
        <f t="shared" si="6"/>
        <v>0</v>
      </c>
      <c r="S30" s="111"/>
      <c r="T30" s="111"/>
      <c r="U30" s="111"/>
      <c r="V30" s="111"/>
      <c r="W30" s="111"/>
      <c r="X30" s="111"/>
      <c r="Y30" s="111"/>
      <c r="Z30" s="111"/>
      <c r="AA30" s="111"/>
      <c r="AC30" s="111"/>
      <c r="AD30" s="111"/>
      <c r="AE30" s="111"/>
      <c r="AF30" s="111"/>
      <c r="AG30" s="111"/>
      <c r="AH30" s="111"/>
      <c r="AI30" s="111"/>
      <c r="AJ30" s="111"/>
      <c r="AK30" s="111"/>
    </row>
    <row r="31" spans="2:37" x14ac:dyDescent="0.35">
      <c r="B31" s="68" t="s">
        <v>159</v>
      </c>
      <c r="C31" s="311">
        <f>+'Working - Corporate'!E133</f>
        <v>738.37999999999988</v>
      </c>
      <c r="D31" s="311">
        <f>+'Working - Corporate'!F133</f>
        <v>700.37000000000012</v>
      </c>
      <c r="E31" s="311">
        <f>+'Working - Corporate'!G133</f>
        <v>709.88</v>
      </c>
      <c r="F31" s="63">
        <f>+'Working - Corporate'!H133</f>
        <v>685.33</v>
      </c>
      <c r="G31" s="311">
        <f>+'Working - Corporate'!I133</f>
        <v>685.15655155399998</v>
      </c>
      <c r="H31" s="63">
        <f>+'Working - Corporate'!J133</f>
        <v>685.15655155399998</v>
      </c>
      <c r="I31" s="122">
        <f>+'Working - Corporate'!K133</f>
        <v>685.15655155399998</v>
      </c>
      <c r="J31" s="122">
        <f>+'Working - Corporate'!L133</f>
        <v>685.15655155399998</v>
      </c>
      <c r="K31" s="122">
        <f>+'Working - Corporate'!M133</f>
        <v>685.15655155399998</v>
      </c>
      <c r="L31" s="122">
        <f>+'Working - Corporate'!N133</f>
        <v>685.15655155399998</v>
      </c>
      <c r="M31" s="122">
        <f>+'Working - Corporate'!O133</f>
        <v>685.15655155399998</v>
      </c>
      <c r="N31" s="122">
        <f>+'Working - Corporate'!P133</f>
        <v>685.15655155399998</v>
      </c>
      <c r="O31" s="122">
        <f>+'Working - Corporate'!Q133</f>
        <v>685.15655155399998</v>
      </c>
      <c r="P31" s="122">
        <f>+'Working - Corporate'!R133</f>
        <v>685.15655155399998</v>
      </c>
      <c r="Q31" s="122">
        <f>+'Working - Corporate'!S133</f>
        <v>685.15655155399998</v>
      </c>
      <c r="S31" s="111"/>
      <c r="T31" s="111"/>
      <c r="U31" s="111"/>
      <c r="V31" s="111"/>
      <c r="W31" s="111"/>
      <c r="X31" s="111"/>
      <c r="Y31" s="111"/>
      <c r="Z31" s="111"/>
      <c r="AA31" s="111"/>
      <c r="AC31" s="111"/>
      <c r="AD31" s="111"/>
      <c r="AE31" s="111"/>
      <c r="AF31" s="111"/>
      <c r="AG31" s="111"/>
      <c r="AH31" s="111"/>
      <c r="AI31" s="111"/>
      <c r="AJ31" s="111"/>
      <c r="AK31" s="111"/>
    </row>
    <row r="32" spans="2:37" x14ac:dyDescent="0.35">
      <c r="B32" s="103" t="s">
        <v>410</v>
      </c>
      <c r="C32" s="123">
        <f t="shared" ref="C32:Q32" si="7">SUM(C20:C31)</f>
        <v>5919.25</v>
      </c>
      <c r="D32" s="123">
        <f t="shared" si="7"/>
        <v>6730.83</v>
      </c>
      <c r="E32" s="123">
        <f t="shared" si="7"/>
        <v>6650.7496694894089</v>
      </c>
      <c r="F32" s="123">
        <f t="shared" si="7"/>
        <v>6375.2073543233</v>
      </c>
      <c r="G32" s="123">
        <f t="shared" si="7"/>
        <v>6558.7555954194713</v>
      </c>
      <c r="H32" s="123">
        <f t="shared" si="7"/>
        <v>6650.4057903227267</v>
      </c>
      <c r="I32" s="123">
        <f t="shared" si="7"/>
        <v>7019.4787677250342</v>
      </c>
      <c r="J32" s="123">
        <f t="shared" si="7"/>
        <v>7263.1850620640444</v>
      </c>
      <c r="K32" s="123">
        <f t="shared" si="7"/>
        <v>7425.0773013442731</v>
      </c>
      <c r="L32" s="123">
        <f t="shared" si="7"/>
        <v>7572.5610476244228</v>
      </c>
      <c r="M32" s="123">
        <f t="shared" si="7"/>
        <v>7737.5964857284789</v>
      </c>
      <c r="N32" s="123">
        <f t="shared" si="7"/>
        <v>7893.6280681539893</v>
      </c>
      <c r="O32" s="123">
        <f t="shared" si="7"/>
        <v>8040.2326678974759</v>
      </c>
      <c r="P32" s="123">
        <f t="shared" si="7"/>
        <v>8213.2144054103519</v>
      </c>
      <c r="Q32" s="123">
        <f t="shared" si="7"/>
        <v>8429.0040082394098</v>
      </c>
      <c r="S32" s="111"/>
      <c r="T32" s="111"/>
      <c r="U32" s="111"/>
      <c r="V32" s="111"/>
      <c r="W32" s="111"/>
      <c r="X32" s="111"/>
      <c r="Y32" s="111"/>
      <c r="Z32" s="111"/>
      <c r="AA32" s="111"/>
      <c r="AC32" s="111"/>
      <c r="AD32" s="111"/>
      <c r="AE32" s="111"/>
      <c r="AF32" s="111"/>
      <c r="AG32" s="111"/>
      <c r="AH32" s="111"/>
      <c r="AI32" s="111"/>
      <c r="AJ32" s="111"/>
      <c r="AK32" s="111"/>
    </row>
    <row r="33" spans="2:37" x14ac:dyDescent="0.35">
      <c r="B33" s="79" t="s">
        <v>411</v>
      </c>
      <c r="C33" s="178">
        <f t="shared" ref="C33:Q33" si="8">+C32+C16</f>
        <v>14592.66001</v>
      </c>
      <c r="D33" s="178">
        <f t="shared" si="8"/>
        <v>14405.70001</v>
      </c>
      <c r="E33" s="359">
        <f t="shared" si="8"/>
        <v>14089.299679489408</v>
      </c>
      <c r="F33" s="359">
        <f t="shared" si="8"/>
        <v>13679.0774543233</v>
      </c>
      <c r="G33" s="359">
        <f t="shared" si="8"/>
        <v>13610.245595819473</v>
      </c>
      <c r="H33" s="178">
        <f t="shared" si="8"/>
        <v>13486.066365006147</v>
      </c>
      <c r="I33" s="178">
        <f t="shared" si="8"/>
        <v>13654.934918052557</v>
      </c>
      <c r="J33" s="178">
        <f t="shared" si="8"/>
        <v>13699.501789396363</v>
      </c>
      <c r="K33" s="178">
        <f t="shared" si="8"/>
        <v>13661.769607042075</v>
      </c>
      <c r="L33" s="178">
        <f t="shared" si="8"/>
        <v>13609.60704486274</v>
      </c>
      <c r="M33" s="178">
        <f t="shared" si="8"/>
        <v>13574.918686416524</v>
      </c>
      <c r="N33" s="178">
        <f t="shared" si="8"/>
        <v>13530.741473652452</v>
      </c>
      <c r="O33" s="178">
        <f t="shared" si="8"/>
        <v>13485.441350208195</v>
      </c>
      <c r="P33" s="178">
        <f t="shared" si="8"/>
        <v>13528.070485325141</v>
      </c>
      <c r="Q33" s="178">
        <f t="shared" si="8"/>
        <v>13458.673150173478</v>
      </c>
      <c r="S33" s="111"/>
      <c r="T33" s="111"/>
      <c r="U33" s="111"/>
      <c r="V33" s="111"/>
      <c r="W33" s="111"/>
      <c r="X33" s="111"/>
      <c r="Y33" s="111"/>
      <c r="Z33" s="111"/>
      <c r="AA33" s="111"/>
      <c r="AC33" s="111"/>
      <c r="AD33" s="111"/>
      <c r="AE33" s="111"/>
      <c r="AF33" s="111"/>
      <c r="AG33" s="111"/>
      <c r="AH33" s="111"/>
      <c r="AI33" s="111"/>
      <c r="AJ33" s="111"/>
      <c r="AK33" s="111"/>
    </row>
    <row r="34" spans="2:37" s="162" customFormat="1" x14ac:dyDescent="0.35">
      <c r="B34" s="57"/>
      <c r="C34" s="57"/>
      <c r="D34" s="57"/>
      <c r="E34" s="74"/>
      <c r="F34" s="74"/>
      <c r="G34" s="74"/>
      <c r="H34" s="74"/>
      <c r="I34" s="74"/>
      <c r="J34" s="74"/>
      <c r="K34" s="74"/>
      <c r="L34" s="74"/>
      <c r="M34" s="74"/>
      <c r="N34" s="74"/>
      <c r="O34" s="74"/>
      <c r="P34" s="74"/>
      <c r="Q34" s="74"/>
      <c r="S34" s="1800"/>
      <c r="T34" s="1800"/>
      <c r="U34" s="1800"/>
      <c r="V34" s="1800"/>
      <c r="W34" s="1800"/>
      <c r="X34" s="1800"/>
      <c r="Y34" s="1800"/>
      <c r="Z34" s="1800"/>
      <c r="AA34" s="1800"/>
      <c r="AC34" s="111"/>
      <c r="AD34" s="111"/>
      <c r="AE34" s="111"/>
      <c r="AF34" s="111"/>
      <c r="AG34" s="111"/>
      <c r="AH34" s="111"/>
      <c r="AI34" s="111"/>
      <c r="AJ34" s="111"/>
      <c r="AK34" s="111"/>
    </row>
    <row r="35" spans="2:37" x14ac:dyDescent="0.35">
      <c r="B35" s="79" t="s">
        <v>160</v>
      </c>
      <c r="C35" s="160"/>
      <c r="D35" s="160"/>
      <c r="E35" s="81"/>
      <c r="F35" s="81"/>
      <c r="G35" s="81"/>
      <c r="H35" s="81"/>
      <c r="I35" s="81"/>
      <c r="J35" s="81"/>
      <c r="K35" s="81"/>
      <c r="L35" s="81"/>
      <c r="M35" s="81"/>
      <c r="N35" s="81"/>
      <c r="O35" s="81"/>
      <c r="P35" s="81"/>
      <c r="Q35" s="81"/>
      <c r="S35" s="111"/>
      <c r="T35" s="111"/>
      <c r="U35" s="111"/>
      <c r="V35" s="111"/>
      <c r="W35" s="111"/>
      <c r="X35" s="111"/>
      <c r="Y35" s="111"/>
      <c r="Z35" s="111"/>
      <c r="AA35" s="111"/>
      <c r="AC35" s="111"/>
      <c r="AD35" s="111"/>
      <c r="AE35" s="111"/>
      <c r="AF35" s="111"/>
      <c r="AG35" s="111"/>
      <c r="AH35" s="111"/>
      <c r="AI35" s="111"/>
      <c r="AJ35" s="111"/>
      <c r="AK35" s="111"/>
    </row>
    <row r="36" spans="2:37" x14ac:dyDescent="0.35">
      <c r="B36" s="57" t="s">
        <v>161</v>
      </c>
      <c r="C36" s="128"/>
      <c r="D36" s="128"/>
      <c r="E36" s="122"/>
      <c r="F36" s="122"/>
      <c r="G36" s="122"/>
      <c r="H36" s="122"/>
      <c r="I36" s="122"/>
      <c r="J36" s="122"/>
      <c r="K36" s="122"/>
      <c r="L36" s="122"/>
      <c r="M36" s="122"/>
      <c r="N36" s="122"/>
      <c r="O36" s="122"/>
      <c r="P36" s="122"/>
      <c r="Q36" s="122"/>
      <c r="S36" s="111"/>
      <c r="T36" s="111"/>
      <c r="U36" s="111"/>
      <c r="V36" s="111"/>
      <c r="W36" s="111"/>
      <c r="X36" s="111"/>
      <c r="Y36" s="111"/>
      <c r="Z36" s="111"/>
      <c r="AA36" s="111"/>
      <c r="AC36" s="111"/>
      <c r="AD36" s="111"/>
      <c r="AE36" s="111"/>
      <c r="AF36" s="111"/>
      <c r="AG36" s="111"/>
      <c r="AH36" s="111"/>
      <c r="AI36" s="111"/>
      <c r="AJ36" s="111"/>
      <c r="AK36" s="111"/>
    </row>
    <row r="37" spans="2:37" x14ac:dyDescent="0.35">
      <c r="B37" s="68" t="s">
        <v>162</v>
      </c>
      <c r="C37" s="121">
        <v>110.07</v>
      </c>
      <c r="D37" s="121">
        <v>110.07</v>
      </c>
      <c r="E37" s="121">
        <v>110.07</v>
      </c>
      <c r="F37" s="121">
        <v>110.07</v>
      </c>
      <c r="G37" s="122">
        <f>+F37+'Promoter Loan &amp; Equity workings'!F57</f>
        <v>124.44999999999999</v>
      </c>
      <c r="H37" s="122">
        <f>+G37+'Promoter Loan &amp; Equity workings'!G57</f>
        <v>929.27873700000009</v>
      </c>
      <c r="I37" s="122">
        <f t="shared" ref="I37:Q37" si="9">+H37</f>
        <v>929.27873700000009</v>
      </c>
      <c r="J37" s="122">
        <f t="shared" si="9"/>
        <v>929.27873700000009</v>
      </c>
      <c r="K37" s="122">
        <f t="shared" si="9"/>
        <v>929.27873700000009</v>
      </c>
      <c r="L37" s="122">
        <f t="shared" si="9"/>
        <v>929.27873700000009</v>
      </c>
      <c r="M37" s="122">
        <f t="shared" si="9"/>
        <v>929.27873700000009</v>
      </c>
      <c r="N37" s="122">
        <f t="shared" si="9"/>
        <v>929.27873700000009</v>
      </c>
      <c r="O37" s="122">
        <f t="shared" si="9"/>
        <v>929.27873700000009</v>
      </c>
      <c r="P37" s="122">
        <f t="shared" si="9"/>
        <v>929.27873700000009</v>
      </c>
      <c r="Q37" s="122">
        <f t="shared" si="9"/>
        <v>929.27873700000009</v>
      </c>
      <c r="S37" s="111"/>
      <c r="T37" s="111"/>
      <c r="U37" s="111"/>
      <c r="V37" s="111"/>
      <c r="W37" s="111"/>
      <c r="X37" s="111"/>
      <c r="Y37" s="111"/>
      <c r="Z37" s="111"/>
      <c r="AA37" s="111"/>
      <c r="AC37" s="111"/>
      <c r="AD37" s="111"/>
      <c r="AE37" s="111"/>
      <c r="AF37" s="111"/>
      <c r="AG37" s="111"/>
      <c r="AH37" s="111"/>
      <c r="AI37" s="111"/>
      <c r="AJ37" s="111"/>
      <c r="AK37" s="111"/>
    </row>
    <row r="38" spans="2:37" x14ac:dyDescent="0.35">
      <c r="B38" s="68" t="s">
        <v>1584</v>
      </c>
      <c r="C38" s="121">
        <v>0</v>
      </c>
      <c r="D38" s="121">
        <v>0</v>
      </c>
      <c r="E38" s="121">
        <v>0</v>
      </c>
      <c r="F38" s="121">
        <v>0</v>
      </c>
      <c r="G38" s="121"/>
      <c r="H38" s="122">
        <f>'Promoter Loan &amp; Equity workings'!G38</f>
        <v>639</v>
      </c>
      <c r="I38" s="122">
        <f t="shared" ref="I38:Q38" si="10">H38</f>
        <v>639</v>
      </c>
      <c r="J38" s="122">
        <f t="shared" si="10"/>
        <v>639</v>
      </c>
      <c r="K38" s="122">
        <f t="shared" si="10"/>
        <v>639</v>
      </c>
      <c r="L38" s="122">
        <f t="shared" si="10"/>
        <v>639</v>
      </c>
      <c r="M38" s="122">
        <f t="shared" si="10"/>
        <v>639</v>
      </c>
      <c r="N38" s="122">
        <f t="shared" si="10"/>
        <v>639</v>
      </c>
      <c r="O38" s="122">
        <f t="shared" si="10"/>
        <v>639</v>
      </c>
      <c r="P38" s="122">
        <f t="shared" si="10"/>
        <v>639</v>
      </c>
      <c r="Q38" s="122">
        <f t="shared" si="10"/>
        <v>639</v>
      </c>
      <c r="S38" s="111"/>
      <c r="T38" s="111"/>
      <c r="U38" s="111"/>
      <c r="V38" s="111"/>
      <c r="W38" s="111"/>
      <c r="X38" s="111"/>
      <c r="Y38" s="111"/>
      <c r="Z38" s="111"/>
      <c r="AA38" s="111"/>
      <c r="AC38" s="111"/>
      <c r="AD38" s="111"/>
      <c r="AE38" s="111"/>
      <c r="AF38" s="111"/>
      <c r="AG38" s="111"/>
      <c r="AH38" s="111"/>
      <c r="AI38" s="111"/>
      <c r="AJ38" s="111"/>
      <c r="AK38" s="111"/>
    </row>
    <row r="39" spans="2:37" x14ac:dyDescent="0.35">
      <c r="B39" s="68" t="s">
        <v>163</v>
      </c>
      <c r="C39" s="121">
        <v>3387.79</v>
      </c>
      <c r="D39" s="121">
        <v>3294.9800000000005</v>
      </c>
      <c r="E39" s="63">
        <f>'Working - Corporate'!G179</f>
        <v>3144.2112058527364</v>
      </c>
      <c r="F39" s="63">
        <f>'Working - Corporate'!H179</f>
        <v>2830.8478617818255</v>
      </c>
      <c r="G39" s="63">
        <f>'Working - Corporate'!I179</f>
        <v>2752.938692150266</v>
      </c>
      <c r="H39" s="63">
        <f>'Working - Corporate'!J179</f>
        <v>7086.9743454121653</v>
      </c>
      <c r="I39" s="63">
        <f>'Working - Corporate'!K179</f>
        <v>7221.6887761951157</v>
      </c>
      <c r="J39" s="63">
        <f>'Working - Corporate'!L179</f>
        <v>7402.8691129910021</v>
      </c>
      <c r="K39" s="63">
        <f>'Working - Corporate'!M179</f>
        <v>7610.2556439810805</v>
      </c>
      <c r="L39" s="63">
        <f>'Working - Corporate'!N179</f>
        <v>7842.9317660908646</v>
      </c>
      <c r="M39" s="63">
        <f>'Working - Corporate'!O179</f>
        <v>8104.2771916281099</v>
      </c>
      <c r="N39" s="63">
        <f>'Working - Corporate'!P179</f>
        <v>8396.7472225343972</v>
      </c>
      <c r="O39" s="63">
        <f>'Working - Corporate'!Q179</f>
        <v>8718.1075179302079</v>
      </c>
      <c r="P39" s="63">
        <f>'Working - Corporate'!R179</f>
        <v>9123.172406876025</v>
      </c>
      <c r="Q39" s="63">
        <f>'Working - Corporate'!S179</f>
        <v>9412.896204955523</v>
      </c>
      <c r="S39" s="111"/>
      <c r="T39" s="111"/>
      <c r="U39" s="111"/>
      <c r="V39" s="111"/>
      <c r="W39" s="111"/>
      <c r="X39" s="111"/>
      <c r="Y39" s="111"/>
      <c r="Z39" s="111"/>
      <c r="AA39" s="111"/>
      <c r="AC39" s="111"/>
      <c r="AD39" s="111"/>
      <c r="AE39" s="111"/>
      <c r="AF39" s="111"/>
      <c r="AG39" s="111"/>
      <c r="AH39" s="111"/>
      <c r="AI39" s="111"/>
      <c r="AJ39" s="111"/>
      <c r="AK39" s="111"/>
    </row>
    <row r="40" spans="2:37" x14ac:dyDescent="0.35">
      <c r="B40" s="103" t="s">
        <v>412</v>
      </c>
      <c r="C40" s="123">
        <f t="shared" ref="C40:Q40" si="11">SUM(C37:C39)</f>
        <v>3497.86</v>
      </c>
      <c r="D40" s="1724">
        <f t="shared" si="11"/>
        <v>3405.0500000000006</v>
      </c>
      <c r="E40" s="1724">
        <f t="shared" si="11"/>
        <v>3254.2812058527365</v>
      </c>
      <c r="F40" s="1724">
        <f t="shared" si="11"/>
        <v>2940.9178617818256</v>
      </c>
      <c r="G40" s="1724">
        <f t="shared" si="11"/>
        <v>2877.3886921502658</v>
      </c>
      <c r="H40" s="123">
        <f t="shared" si="11"/>
        <v>8655.2530824121659</v>
      </c>
      <c r="I40" s="123">
        <f t="shared" si="11"/>
        <v>8789.9675131951153</v>
      </c>
      <c r="J40" s="123">
        <f t="shared" si="11"/>
        <v>8971.1478499910027</v>
      </c>
      <c r="K40" s="123">
        <f t="shared" si="11"/>
        <v>9178.5343809810802</v>
      </c>
      <c r="L40" s="123">
        <f t="shared" si="11"/>
        <v>9411.2105030908642</v>
      </c>
      <c r="M40" s="123">
        <f t="shared" si="11"/>
        <v>9672.5559286281095</v>
      </c>
      <c r="N40" s="123">
        <f t="shared" si="11"/>
        <v>9965.0259595343978</v>
      </c>
      <c r="O40" s="123">
        <f t="shared" si="11"/>
        <v>10286.386254930208</v>
      </c>
      <c r="P40" s="123">
        <f t="shared" si="11"/>
        <v>10691.451143876026</v>
      </c>
      <c r="Q40" s="123">
        <f t="shared" si="11"/>
        <v>10981.174941955524</v>
      </c>
      <c r="S40" s="111"/>
      <c r="T40" s="111"/>
      <c r="U40" s="111"/>
      <c r="V40" s="111"/>
      <c r="W40" s="111"/>
      <c r="X40" s="111"/>
      <c r="Y40" s="111"/>
      <c r="Z40" s="111"/>
      <c r="AA40" s="111"/>
      <c r="AC40" s="111"/>
      <c r="AD40" s="111"/>
      <c r="AE40" s="111"/>
      <c r="AF40" s="111"/>
      <c r="AG40" s="111"/>
      <c r="AH40" s="111"/>
      <c r="AI40" s="111"/>
      <c r="AJ40" s="111"/>
      <c r="AK40" s="111"/>
    </row>
    <row r="41" spans="2:37" x14ac:dyDescent="0.35">
      <c r="B41" s="120" t="s">
        <v>164</v>
      </c>
      <c r="C41" s="122"/>
      <c r="D41" s="122"/>
      <c r="E41" s="122"/>
      <c r="F41" s="122"/>
      <c r="G41" s="122"/>
      <c r="H41" s="122"/>
      <c r="I41" s="122"/>
      <c r="J41" s="122"/>
      <c r="K41" s="122"/>
      <c r="L41" s="122"/>
      <c r="M41" s="122"/>
      <c r="N41" s="122"/>
      <c r="O41" s="122"/>
      <c r="P41" s="122"/>
      <c r="Q41" s="122"/>
      <c r="S41" s="111"/>
      <c r="T41" s="111"/>
      <c r="U41" s="111"/>
      <c r="V41" s="111"/>
      <c r="W41" s="111"/>
      <c r="X41" s="111"/>
      <c r="Y41" s="111"/>
      <c r="Z41" s="111"/>
      <c r="AA41" s="111"/>
      <c r="AC41" s="111"/>
      <c r="AD41" s="111"/>
      <c r="AE41" s="111"/>
      <c r="AF41" s="111"/>
      <c r="AG41" s="111"/>
      <c r="AH41" s="111"/>
      <c r="AI41" s="111"/>
      <c r="AJ41" s="111"/>
      <c r="AK41" s="111"/>
    </row>
    <row r="42" spans="2:37" x14ac:dyDescent="0.35">
      <c r="B42" s="128" t="s">
        <v>165</v>
      </c>
      <c r="C42" s="122"/>
      <c r="D42" s="122"/>
      <c r="E42" s="122"/>
      <c r="F42" s="122"/>
      <c r="G42" s="122"/>
      <c r="H42" s="122"/>
      <c r="I42" s="122"/>
      <c r="J42" s="122"/>
      <c r="K42" s="122"/>
      <c r="L42" s="122"/>
      <c r="M42" s="122"/>
      <c r="N42" s="122"/>
      <c r="O42" s="122"/>
      <c r="P42" s="122"/>
      <c r="Q42" s="122"/>
      <c r="S42" s="111"/>
      <c r="T42" s="111"/>
      <c r="U42" s="111"/>
      <c r="V42" s="111"/>
      <c r="W42" s="111"/>
      <c r="X42" s="111"/>
      <c r="Y42" s="111"/>
      <c r="Z42" s="111"/>
      <c r="AA42" s="111"/>
      <c r="AC42" s="111"/>
      <c r="AD42" s="111"/>
      <c r="AE42" s="111"/>
      <c r="AF42" s="111"/>
      <c r="AG42" s="111"/>
      <c r="AH42" s="111"/>
      <c r="AI42" s="111"/>
      <c r="AJ42" s="111"/>
      <c r="AK42" s="111"/>
    </row>
    <row r="43" spans="2:37" x14ac:dyDescent="0.35">
      <c r="B43" s="128" t="s">
        <v>513</v>
      </c>
      <c r="C43" s="122">
        <f t="shared" ref="C43:Q43" si="12">+SUM(C44:C46)</f>
        <v>6625.44</v>
      </c>
      <c r="D43" s="122">
        <f t="shared" si="12"/>
        <v>6019.8799999999992</v>
      </c>
      <c r="E43" s="122">
        <f t="shared" si="12"/>
        <v>5486.9900000000007</v>
      </c>
      <c r="F43" s="122">
        <f t="shared" si="12"/>
        <v>5381.4130000000005</v>
      </c>
      <c r="G43" s="122">
        <f t="shared" si="12"/>
        <v>4786.83</v>
      </c>
      <c r="H43" s="122">
        <f t="shared" si="12"/>
        <v>1162.0460258140449</v>
      </c>
      <c r="I43" s="122">
        <f t="shared" si="12"/>
        <v>1033.5865639872966</v>
      </c>
      <c r="J43" s="122">
        <f t="shared" si="12"/>
        <v>905.25771054739812</v>
      </c>
      <c r="K43" s="122">
        <f t="shared" si="12"/>
        <v>764.12035199572188</v>
      </c>
      <c r="L43" s="122">
        <f t="shared" si="12"/>
        <v>623.14682860451046</v>
      </c>
      <c r="M43" s="122">
        <f t="shared" si="12"/>
        <v>417.58286806776977</v>
      </c>
      <c r="N43" s="122">
        <f t="shared" si="12"/>
        <v>212.22442235631615</v>
      </c>
      <c r="O43" s="122">
        <f t="shared" si="12"/>
        <v>20.050939754234111</v>
      </c>
      <c r="P43" s="122">
        <f t="shared" si="12"/>
        <v>22.457052524742203</v>
      </c>
      <c r="Q43" s="122">
        <f t="shared" si="12"/>
        <v>25.151898827711271</v>
      </c>
      <c r="S43" s="111"/>
      <c r="T43" s="111"/>
      <c r="U43" s="111"/>
      <c r="V43" s="111"/>
      <c r="W43" s="111"/>
      <c r="X43" s="111"/>
      <c r="Y43" s="111"/>
      <c r="Z43" s="111"/>
      <c r="AA43" s="111"/>
      <c r="AC43" s="111"/>
      <c r="AD43" s="111"/>
      <c r="AE43" s="111"/>
      <c r="AF43" s="111"/>
      <c r="AG43" s="111"/>
      <c r="AH43" s="111"/>
      <c r="AI43" s="111"/>
      <c r="AJ43" s="111"/>
      <c r="AK43" s="111"/>
    </row>
    <row r="44" spans="2:37" x14ac:dyDescent="0.35">
      <c r="B44" s="242" t="s">
        <v>514</v>
      </c>
      <c r="C44" s="121">
        <v>3483.25</v>
      </c>
      <c r="D44" s="121">
        <v>3483.25</v>
      </c>
      <c r="E44" s="77">
        <v>3483.25</v>
      </c>
      <c r="F44" s="63">
        <f>+E44</f>
        <v>3483.25</v>
      </c>
      <c r="G44" s="63">
        <f>F44</f>
        <v>3483.25</v>
      </c>
      <c r="H44" s="63">
        <f>'OCD working'!I235</f>
        <v>0</v>
      </c>
      <c r="I44" s="63">
        <f>'OCD working'!J235</f>
        <v>0</v>
      </c>
      <c r="J44" s="63">
        <f>'OCD working'!K235</f>
        <v>0</v>
      </c>
      <c r="K44" s="63">
        <f>'OCD working'!L235</f>
        <v>0</v>
      </c>
      <c r="L44" s="63">
        <f>'OCD working'!M235</f>
        <v>0</v>
      </c>
      <c r="M44" s="63">
        <f>'OCD working'!N235</f>
        <v>0</v>
      </c>
      <c r="N44" s="63">
        <f>'OCD working'!O235</f>
        <v>0</v>
      </c>
      <c r="O44" s="63">
        <f>'OCD working'!P235</f>
        <v>0</v>
      </c>
      <c r="P44" s="63">
        <f>'OCD working'!Q235</f>
        <v>0</v>
      </c>
      <c r="Q44" s="63">
        <f>'OCD working'!R235</f>
        <v>0</v>
      </c>
      <c r="S44" s="111"/>
      <c r="T44" s="111"/>
      <c r="U44" s="111"/>
      <c r="V44" s="111"/>
      <c r="W44" s="111"/>
      <c r="X44" s="111"/>
      <c r="Y44" s="111"/>
      <c r="Z44" s="111"/>
      <c r="AA44" s="111"/>
      <c r="AC44" s="111"/>
      <c r="AD44" s="111"/>
      <c r="AE44" s="111"/>
      <c r="AF44" s="111"/>
      <c r="AG44" s="111"/>
      <c r="AH44" s="111"/>
      <c r="AI44" s="111"/>
      <c r="AJ44" s="111"/>
      <c r="AK44" s="111"/>
    </row>
    <row r="45" spans="2:37" x14ac:dyDescent="0.35">
      <c r="B45" s="242" t="s">
        <v>515</v>
      </c>
      <c r="C45" s="121">
        <f>2306.22++'Working - Corporate'!E194</f>
        <v>3048.31</v>
      </c>
      <c r="D45" s="121">
        <f>1791.5+'Working - Corporate'!F194</f>
        <v>2431.48</v>
      </c>
      <c r="E45" s="77">
        <f>1538.51+'Working - Corporate'!G194</f>
        <v>1885.97</v>
      </c>
      <c r="F45" s="63">
        <f>1187.18+'Working - Corporate'!H194</f>
        <v>1766.27</v>
      </c>
      <c r="G45" s="63">
        <f>752.47+'Working - Corporate'!I194</f>
        <v>1295.48</v>
      </c>
      <c r="H45" s="63">
        <f>'Debt Assumptions &amp; working'!E23+'Debt Assumptions &amp; working'!E29+'Debt Assumptions &amp; working'!E35+'Debt Assumptions &amp; working'!E41+'Debt Assumptions &amp; working'!E47</f>
        <v>1152.9759989494498</v>
      </c>
      <c r="I45" s="63">
        <f>'Debt Assumptions &amp; working'!F23+'Debt Assumptions &amp; working'!F29+'Debt Assumptions &amp; working'!F35+'Debt Assumptions &amp; working'!F41+'Debt Assumptions &amp; working'!F47</f>
        <v>1023.42813389895</v>
      </c>
      <c r="J45" s="63">
        <f>'Debt Assumptions &amp; working'!G23+'Debt Assumptions &amp; working'!G29+'Debt Assumptions &amp; working'!G35+'Debt Assumptions &amp; working'!G41+'Debt Assumptions &amp; working'!G47</f>
        <v>893.88026884844999</v>
      </c>
      <c r="K45" s="63">
        <f>'Debt Assumptions &amp; working'!H23+'Debt Assumptions &amp; working'!H29+'Debt Assumptions &amp; working'!H35+'Debt Assumptions &amp; working'!H41+'Debt Assumptions &amp; working'!H47</f>
        <v>751.37761729290003</v>
      </c>
      <c r="L45" s="63">
        <f>'Debt Assumptions &amp; working'!I23+'Debt Assumptions &amp; working'!I29+'Debt Assumptions &amp; working'!I35+'Debt Assumptions &amp; working'!I41+'Debt Assumptions &amp; working'!I47</f>
        <v>608.87496573734995</v>
      </c>
      <c r="M45" s="63">
        <f>'Debt Assumptions &amp; working'!J23+'Debt Assumptions &amp; working'!J29+'Debt Assumptions &amp; working'!J35+'Debt Assumptions &amp; working'!J41+'Debt Assumptions &amp; working'!J47</f>
        <v>401.59838165654998</v>
      </c>
      <c r="N45" s="63">
        <f>'Debt Assumptions &amp; working'!K23+'Debt Assumptions &amp; working'!K29+'Debt Assumptions &amp; working'!K35+'Debt Assumptions &amp; working'!K41+'Debt Assumptions &amp; working'!K47</f>
        <v>194.32179757574997</v>
      </c>
      <c r="O45" s="63">
        <f>'Debt Assumptions &amp; working'!L23+'Debt Assumptions &amp; working'!L29+'Debt Assumptions &amp; working'!L35+'Debt Assumptions &amp; working'!L41+'Debt Assumptions &amp; working'!L47</f>
        <v>0</v>
      </c>
      <c r="P45" s="63">
        <f>'Debt Assumptions &amp; working'!M23+'Debt Assumptions &amp; working'!M29+'Debt Assumptions &amp; working'!M35+'Debt Assumptions &amp; working'!M41+'Debt Assumptions &amp; working'!M47</f>
        <v>0</v>
      </c>
      <c r="Q45" s="63">
        <f>'Debt Assumptions &amp; working'!N23+'Debt Assumptions &amp; working'!N29+'Debt Assumptions &amp; working'!N35+'Debt Assumptions &amp; working'!N41+'Debt Assumptions &amp; working'!N47</f>
        <v>0</v>
      </c>
      <c r="S45" s="111"/>
      <c r="T45" s="111"/>
      <c r="U45" s="111"/>
      <c r="V45" s="111"/>
      <c r="W45" s="111"/>
      <c r="X45" s="111"/>
      <c r="Y45" s="111"/>
      <c r="Z45" s="111"/>
      <c r="AA45" s="111"/>
      <c r="AC45" s="111"/>
      <c r="AD45" s="111"/>
      <c r="AE45" s="111"/>
      <c r="AF45" s="111"/>
      <c r="AG45" s="111"/>
      <c r="AH45" s="111"/>
      <c r="AI45" s="111"/>
      <c r="AJ45" s="111"/>
      <c r="AK45" s="111"/>
    </row>
    <row r="46" spans="2:37" x14ac:dyDescent="0.35">
      <c r="B46" s="242" t="s">
        <v>516</v>
      </c>
      <c r="C46" s="121">
        <v>93.88</v>
      </c>
      <c r="D46" s="121">
        <v>105.15</v>
      </c>
      <c r="E46" s="77">
        <v>117.77</v>
      </c>
      <c r="F46" s="63">
        <f>'Promoter Loan &amp; Equity workings'!E27</f>
        <v>131.893</v>
      </c>
      <c r="G46" s="77">
        <v>8.1</v>
      </c>
      <c r="H46" s="63">
        <f>'Promoter Loan &amp; Equity workings'!G27</f>
        <v>9.0700268645951301</v>
      </c>
      <c r="I46" s="63">
        <f>'Promoter Loan &amp; Equity workings'!H27</f>
        <v>10.158430088346545</v>
      </c>
      <c r="J46" s="63">
        <f>'Promoter Loan &amp; Equity workings'!I27</f>
        <v>11.377441698948129</v>
      </c>
      <c r="K46" s="63">
        <f>'Promoter Loan &amp; Equity workings'!J27</f>
        <v>12.742734702821906</v>
      </c>
      <c r="L46" s="63">
        <f>'Promoter Loan &amp; Equity workings'!K27</f>
        <v>14.271862867160534</v>
      </c>
      <c r="M46" s="63">
        <f>'Promoter Loan &amp; Equity workings'!L27</f>
        <v>15.984486411219796</v>
      </c>
      <c r="N46" s="63">
        <f>'Promoter Loan &amp; Equity workings'!M27</f>
        <v>17.902624780566171</v>
      </c>
      <c r="O46" s="63">
        <f>'Promoter Loan &amp; Equity workings'!N27</f>
        <v>20.050939754234111</v>
      </c>
      <c r="P46" s="63">
        <f>'Promoter Loan &amp; Equity workings'!O27</f>
        <v>22.457052524742203</v>
      </c>
      <c r="Q46" s="63">
        <f>'Promoter Loan &amp; Equity workings'!P27</f>
        <v>25.151898827711271</v>
      </c>
      <c r="S46" s="111"/>
      <c r="T46" s="111"/>
      <c r="U46" s="111"/>
      <c r="V46" s="111"/>
      <c r="W46" s="111"/>
      <c r="X46" s="111"/>
      <c r="Y46" s="111"/>
      <c r="Z46" s="111"/>
      <c r="AA46" s="111"/>
      <c r="AC46" s="111"/>
      <c r="AD46" s="111"/>
      <c r="AE46" s="111"/>
      <c r="AF46" s="111"/>
      <c r="AG46" s="111"/>
      <c r="AH46" s="111"/>
      <c r="AI46" s="111"/>
      <c r="AJ46" s="111"/>
      <c r="AK46" s="111"/>
    </row>
    <row r="47" spans="2:37" x14ac:dyDescent="0.35">
      <c r="B47" s="242" t="s">
        <v>717</v>
      </c>
      <c r="C47" s="121">
        <v>9.07</v>
      </c>
      <c r="D47" s="121">
        <v>2.19</v>
      </c>
      <c r="E47" s="63">
        <v>0</v>
      </c>
      <c r="F47" s="63">
        <f t="shared" ref="F47:Q47" si="13">E47</f>
        <v>0</v>
      </c>
      <c r="G47" s="63">
        <v>0</v>
      </c>
      <c r="H47" s="63">
        <f>G47</f>
        <v>0</v>
      </c>
      <c r="I47" s="63">
        <f t="shared" si="13"/>
        <v>0</v>
      </c>
      <c r="J47" s="63">
        <f t="shared" si="13"/>
        <v>0</v>
      </c>
      <c r="K47" s="63">
        <f t="shared" si="13"/>
        <v>0</v>
      </c>
      <c r="L47" s="63">
        <f t="shared" si="13"/>
        <v>0</v>
      </c>
      <c r="M47" s="63">
        <f t="shared" si="13"/>
        <v>0</v>
      </c>
      <c r="N47" s="63">
        <f t="shared" si="13"/>
        <v>0</v>
      </c>
      <c r="O47" s="63">
        <f t="shared" si="13"/>
        <v>0</v>
      </c>
      <c r="P47" s="63">
        <f t="shared" si="13"/>
        <v>0</v>
      </c>
      <c r="Q47" s="63">
        <f t="shared" si="13"/>
        <v>0</v>
      </c>
      <c r="S47" s="111"/>
      <c r="T47" s="111"/>
      <c r="U47" s="111"/>
      <c r="V47" s="111"/>
      <c r="W47" s="111"/>
      <c r="X47" s="111"/>
      <c r="Y47" s="111"/>
      <c r="Z47" s="111"/>
      <c r="AA47" s="111"/>
      <c r="AC47" s="111"/>
      <c r="AD47" s="111"/>
      <c r="AE47" s="111"/>
      <c r="AF47" s="111"/>
      <c r="AG47" s="111"/>
      <c r="AH47" s="111"/>
      <c r="AI47" s="111"/>
      <c r="AJ47" s="111"/>
      <c r="AK47" s="111"/>
    </row>
    <row r="48" spans="2:37" s="582" customFormat="1" x14ac:dyDescent="0.35">
      <c r="B48" s="242" t="s">
        <v>1575</v>
      </c>
      <c r="C48" s="121"/>
      <c r="D48" s="121"/>
      <c r="E48" s="125"/>
      <c r="F48" s="125"/>
      <c r="G48" s="125"/>
      <c r="H48" s="63"/>
      <c r="I48" s="63"/>
      <c r="J48" s="63"/>
      <c r="K48" s="63"/>
      <c r="L48" s="63"/>
      <c r="M48" s="63"/>
      <c r="N48" s="63"/>
      <c r="O48" s="63"/>
      <c r="P48" s="63"/>
      <c r="Q48" s="63"/>
      <c r="S48" s="111"/>
      <c r="T48" s="111"/>
      <c r="U48" s="111"/>
      <c r="V48" s="111"/>
      <c r="W48" s="111"/>
      <c r="X48" s="111"/>
      <c r="Y48" s="111"/>
      <c r="Z48" s="111"/>
      <c r="AA48" s="111"/>
      <c r="AC48" s="111"/>
      <c r="AD48" s="111"/>
      <c r="AE48" s="111"/>
      <c r="AF48" s="111"/>
      <c r="AG48" s="111"/>
      <c r="AH48" s="111"/>
      <c r="AI48" s="111"/>
      <c r="AJ48" s="111"/>
      <c r="AK48" s="111"/>
    </row>
    <row r="49" spans="2:37" x14ac:dyDescent="0.35">
      <c r="B49" s="128" t="s">
        <v>573</v>
      </c>
      <c r="C49" s="122">
        <v>0</v>
      </c>
      <c r="D49" s="122">
        <v>0</v>
      </c>
      <c r="E49" s="121">
        <v>7.28</v>
      </c>
      <c r="F49" s="121">
        <v>4.84</v>
      </c>
      <c r="G49" s="121">
        <v>2.46</v>
      </c>
      <c r="H49" s="311">
        <f>+G49</f>
        <v>2.46</v>
      </c>
      <c r="I49" s="122">
        <f t="shared" ref="I49:N50" si="14">+H49</f>
        <v>2.46</v>
      </c>
      <c r="J49" s="122">
        <f t="shared" si="14"/>
        <v>2.46</v>
      </c>
      <c r="K49" s="122">
        <f t="shared" si="14"/>
        <v>2.46</v>
      </c>
      <c r="L49" s="122">
        <f t="shared" si="14"/>
        <v>2.46</v>
      </c>
      <c r="M49" s="122">
        <f t="shared" si="14"/>
        <v>2.46</v>
      </c>
      <c r="N49" s="122">
        <f t="shared" si="14"/>
        <v>2.46</v>
      </c>
      <c r="O49" s="122">
        <f t="shared" ref="O49:Q50" si="15">+N49</f>
        <v>2.46</v>
      </c>
      <c r="P49" s="122">
        <f t="shared" si="15"/>
        <v>2.46</v>
      </c>
      <c r="Q49" s="122">
        <f t="shared" si="15"/>
        <v>2.46</v>
      </c>
      <c r="S49" s="111"/>
      <c r="T49" s="111"/>
      <c r="U49" s="111"/>
      <c r="V49" s="111"/>
      <c r="W49" s="111"/>
      <c r="X49" s="111"/>
      <c r="Y49" s="111"/>
      <c r="Z49" s="111"/>
      <c r="AA49" s="111"/>
      <c r="AC49" s="111"/>
      <c r="AD49" s="111"/>
      <c r="AE49" s="111"/>
      <c r="AF49" s="111"/>
      <c r="AG49" s="111"/>
      <c r="AH49" s="111"/>
      <c r="AI49" s="111"/>
      <c r="AJ49" s="111"/>
      <c r="AK49" s="111"/>
    </row>
    <row r="50" spans="2:37" x14ac:dyDescent="0.35">
      <c r="B50" s="128" t="s">
        <v>166</v>
      </c>
      <c r="C50" s="121">
        <v>43.35</v>
      </c>
      <c r="D50" s="121">
        <v>53.75</v>
      </c>
      <c r="E50" s="121">
        <v>69.259999999999991</v>
      </c>
      <c r="F50" s="121">
        <v>76.58</v>
      </c>
      <c r="G50" s="121">
        <v>89.5</v>
      </c>
      <c r="H50" s="311">
        <f>+G50</f>
        <v>89.5</v>
      </c>
      <c r="I50" s="122">
        <f t="shared" si="14"/>
        <v>89.5</v>
      </c>
      <c r="J50" s="122">
        <f t="shared" si="14"/>
        <v>89.5</v>
      </c>
      <c r="K50" s="122">
        <f t="shared" si="14"/>
        <v>89.5</v>
      </c>
      <c r="L50" s="122">
        <f t="shared" si="14"/>
        <v>89.5</v>
      </c>
      <c r="M50" s="122">
        <f t="shared" si="14"/>
        <v>89.5</v>
      </c>
      <c r="N50" s="122">
        <f t="shared" si="14"/>
        <v>89.5</v>
      </c>
      <c r="O50" s="122">
        <f t="shared" si="15"/>
        <v>89.5</v>
      </c>
      <c r="P50" s="122">
        <f t="shared" si="15"/>
        <v>89.5</v>
      </c>
      <c r="Q50" s="122">
        <f t="shared" si="15"/>
        <v>89.5</v>
      </c>
      <c r="S50" s="111"/>
      <c r="T50" s="111"/>
      <c r="U50" s="111"/>
      <c r="V50" s="111"/>
      <c r="W50" s="111"/>
      <c r="X50" s="111"/>
      <c r="Y50" s="111"/>
      <c r="Z50" s="111"/>
      <c r="AA50" s="111"/>
      <c r="AC50" s="111"/>
      <c r="AD50" s="111"/>
      <c r="AE50" s="111"/>
      <c r="AF50" s="111"/>
      <c r="AG50" s="111"/>
      <c r="AH50" s="111"/>
      <c r="AI50" s="111"/>
      <c r="AJ50" s="111"/>
      <c r="AK50" s="111"/>
    </row>
    <row r="51" spans="2:37" x14ac:dyDescent="0.35">
      <c r="B51" s="128" t="s">
        <v>167</v>
      </c>
      <c r="C51" s="121">
        <v>642.54</v>
      </c>
      <c r="D51" s="121">
        <v>629.46</v>
      </c>
      <c r="E51" s="121">
        <v>610.07000000000005</v>
      </c>
      <c r="F51" s="121">
        <v>590.93999999999994</v>
      </c>
      <c r="G51" s="77">
        <v>505.63</v>
      </c>
      <c r="H51" s="63">
        <f>IF('Tax calc'!H118&gt;=0,'Tax calc'!H118,0)</f>
        <v>505.63</v>
      </c>
      <c r="I51" s="311">
        <f>IF('Tax calc'!I118&gt;=0,'Tax calc'!I118,0)</f>
        <v>505.63</v>
      </c>
      <c r="J51" s="311">
        <f>IF('Tax calc'!J118&gt;=0,'Tax calc'!J118,0)</f>
        <v>505.63</v>
      </c>
      <c r="K51" s="311">
        <f>IF('Tax calc'!K118&gt;=0,'Tax calc'!K118,0)</f>
        <v>505.63</v>
      </c>
      <c r="L51" s="311">
        <f>IF('Tax calc'!L118&gt;=0,'Tax calc'!L118,0)</f>
        <v>505.63</v>
      </c>
      <c r="M51" s="311">
        <f>IF('Tax calc'!M118&gt;=0,'Tax calc'!M118,0)</f>
        <v>505.63</v>
      </c>
      <c r="N51" s="311">
        <f>IF('Tax calc'!N118&gt;=0,'Tax calc'!N118,0)</f>
        <v>505.63</v>
      </c>
      <c r="O51" s="311">
        <f>IF('Tax calc'!O118&gt;=0,'Tax calc'!O118,0)</f>
        <v>505.63</v>
      </c>
      <c r="P51" s="311">
        <f>IF('Tax calc'!P118&gt;=0,'Tax calc'!P118,0)</f>
        <v>505.63</v>
      </c>
      <c r="Q51" s="311">
        <f>IF('Tax calc'!Q118&gt;=0,'Tax calc'!Q118,0)</f>
        <v>505.63</v>
      </c>
      <c r="S51" s="111"/>
      <c r="T51" s="111"/>
      <c r="U51" s="111"/>
      <c r="V51" s="111"/>
      <c r="W51" s="111"/>
      <c r="X51" s="111"/>
      <c r="Y51" s="111"/>
      <c r="Z51" s="111"/>
      <c r="AA51" s="111"/>
      <c r="AC51" s="111"/>
      <c r="AD51" s="111"/>
      <c r="AE51" s="111"/>
      <c r="AF51" s="111"/>
      <c r="AG51" s="111"/>
      <c r="AH51" s="111"/>
      <c r="AI51" s="111"/>
      <c r="AJ51" s="111"/>
      <c r="AK51" s="111"/>
    </row>
    <row r="52" spans="2:37" x14ac:dyDescent="0.35">
      <c r="B52" s="128" t="s">
        <v>168</v>
      </c>
      <c r="C52" s="121">
        <v>13.7</v>
      </c>
      <c r="D52" s="121">
        <v>21.74</v>
      </c>
      <c r="E52" s="121">
        <v>25.98</v>
      </c>
      <c r="F52" s="122">
        <v>35.840000000000003</v>
      </c>
      <c r="G52" s="122">
        <v>22</v>
      </c>
      <c r="H52" s="311">
        <f>+G52</f>
        <v>22</v>
      </c>
      <c r="I52" s="122">
        <f t="shared" ref="I52:Q52" si="16">+H52</f>
        <v>22</v>
      </c>
      <c r="J52" s="122">
        <f t="shared" si="16"/>
        <v>22</v>
      </c>
      <c r="K52" s="122">
        <f t="shared" si="16"/>
        <v>22</v>
      </c>
      <c r="L52" s="122">
        <f t="shared" si="16"/>
        <v>22</v>
      </c>
      <c r="M52" s="122">
        <f t="shared" si="16"/>
        <v>22</v>
      </c>
      <c r="N52" s="122">
        <f t="shared" si="16"/>
        <v>22</v>
      </c>
      <c r="O52" s="122">
        <f t="shared" si="16"/>
        <v>22</v>
      </c>
      <c r="P52" s="122">
        <f t="shared" si="16"/>
        <v>22</v>
      </c>
      <c r="Q52" s="122">
        <f t="shared" si="16"/>
        <v>22</v>
      </c>
      <c r="S52" s="111"/>
      <c r="T52" s="111"/>
      <c r="U52" s="111"/>
      <c r="V52" s="111"/>
      <c r="W52" s="111"/>
      <c r="X52" s="111"/>
      <c r="Y52" s="111"/>
      <c r="Z52" s="111"/>
      <c r="AA52" s="111"/>
      <c r="AC52" s="111"/>
      <c r="AD52" s="111"/>
      <c r="AE52" s="111"/>
      <c r="AF52" s="111"/>
      <c r="AG52" s="111"/>
      <c r="AH52" s="111"/>
      <c r="AI52" s="111"/>
      <c r="AJ52" s="111"/>
      <c r="AK52" s="111"/>
    </row>
    <row r="53" spans="2:37" x14ac:dyDescent="0.35">
      <c r="B53" s="103" t="s">
        <v>413</v>
      </c>
      <c r="C53" s="123">
        <f t="shared" ref="C53:Q53" si="17">SUM(C44:C52)</f>
        <v>7334.0999999999995</v>
      </c>
      <c r="D53" s="1724">
        <f t="shared" si="17"/>
        <v>6727.0199999999986</v>
      </c>
      <c r="E53" s="1724">
        <f t="shared" si="17"/>
        <v>6199.58</v>
      </c>
      <c r="F53" s="1724">
        <f t="shared" si="17"/>
        <v>6089.6130000000003</v>
      </c>
      <c r="G53" s="1724">
        <f t="shared" si="17"/>
        <v>5406.42</v>
      </c>
      <c r="H53" s="177">
        <f t="shared" si="17"/>
        <v>1781.6360258140448</v>
      </c>
      <c r="I53" s="123">
        <f t="shared" si="17"/>
        <v>1653.1765639872965</v>
      </c>
      <c r="J53" s="123">
        <f t="shared" si="17"/>
        <v>1524.847710547398</v>
      </c>
      <c r="K53" s="123">
        <f t="shared" si="17"/>
        <v>1383.7103519957218</v>
      </c>
      <c r="L53" s="123">
        <f t="shared" si="17"/>
        <v>1242.7368286045105</v>
      </c>
      <c r="M53" s="123">
        <f t="shared" si="17"/>
        <v>1037.1728680677697</v>
      </c>
      <c r="N53" s="123">
        <f t="shared" si="17"/>
        <v>831.81442235631619</v>
      </c>
      <c r="O53" s="123">
        <f t="shared" si="17"/>
        <v>639.64093975423407</v>
      </c>
      <c r="P53" s="123">
        <f t="shared" si="17"/>
        <v>642.04705252474218</v>
      </c>
      <c r="Q53" s="123">
        <f t="shared" si="17"/>
        <v>644.74189882771122</v>
      </c>
      <c r="S53" s="111"/>
      <c r="T53" s="111"/>
      <c r="U53" s="111"/>
      <c r="V53" s="111"/>
      <c r="W53" s="111"/>
      <c r="X53" s="111"/>
      <c r="Y53" s="111"/>
      <c r="Z53" s="111"/>
      <c r="AA53" s="111"/>
      <c r="AC53" s="111"/>
      <c r="AD53" s="111"/>
      <c r="AE53" s="111"/>
      <c r="AF53" s="111"/>
      <c r="AG53" s="111"/>
      <c r="AH53" s="111"/>
      <c r="AI53" s="111"/>
      <c r="AJ53" s="111"/>
      <c r="AK53" s="111"/>
    </row>
    <row r="54" spans="2:37" s="162" customFormat="1" x14ac:dyDescent="0.35">
      <c r="B54" s="57"/>
      <c r="C54" s="62"/>
      <c r="D54" s="62"/>
      <c r="E54" s="74"/>
      <c r="F54" s="74"/>
      <c r="G54" s="74"/>
      <c r="H54" s="74"/>
      <c r="I54" s="74"/>
      <c r="J54" s="74"/>
      <c r="K54" s="74"/>
      <c r="L54" s="74"/>
      <c r="M54" s="74"/>
      <c r="N54" s="74"/>
      <c r="O54" s="74"/>
      <c r="P54" s="74"/>
      <c r="Q54" s="74"/>
      <c r="S54" s="1800"/>
      <c r="T54" s="1800"/>
      <c r="U54" s="1800"/>
      <c r="V54" s="1800"/>
      <c r="W54" s="1800"/>
      <c r="X54" s="1800"/>
      <c r="Y54" s="1800"/>
      <c r="Z54" s="1800"/>
      <c r="AA54" s="1800"/>
      <c r="AC54" s="111"/>
      <c r="AD54" s="111"/>
      <c r="AE54" s="111"/>
      <c r="AF54" s="111"/>
      <c r="AG54" s="111"/>
      <c r="AH54" s="111"/>
      <c r="AI54" s="111"/>
      <c r="AJ54" s="111"/>
      <c r="AK54" s="111"/>
    </row>
    <row r="55" spans="2:37" x14ac:dyDescent="0.35">
      <c r="B55" s="120" t="s">
        <v>169</v>
      </c>
      <c r="C55" s="122"/>
      <c r="D55" s="122"/>
      <c r="E55" s="122"/>
      <c r="F55" s="122"/>
      <c r="G55" s="122"/>
      <c r="H55" s="122"/>
      <c r="I55" s="122"/>
      <c r="J55" s="122"/>
      <c r="K55" s="122"/>
      <c r="L55" s="122"/>
      <c r="M55" s="122"/>
      <c r="N55" s="122"/>
      <c r="O55" s="122"/>
      <c r="P55" s="122"/>
      <c r="Q55" s="122"/>
      <c r="S55" s="111"/>
      <c r="T55" s="111"/>
      <c r="U55" s="111"/>
      <c r="V55" s="111"/>
      <c r="W55" s="111"/>
      <c r="X55" s="111"/>
      <c r="Y55" s="111"/>
      <c r="Z55" s="111"/>
      <c r="AA55" s="111"/>
      <c r="AC55" s="111"/>
      <c r="AD55" s="111"/>
      <c r="AE55" s="111"/>
      <c r="AF55" s="111"/>
      <c r="AG55" s="111"/>
      <c r="AH55" s="111"/>
      <c r="AI55" s="111"/>
      <c r="AJ55" s="111"/>
      <c r="AK55" s="111"/>
    </row>
    <row r="56" spans="2:37" x14ac:dyDescent="0.35">
      <c r="B56" s="128" t="s">
        <v>165</v>
      </c>
      <c r="C56" s="122"/>
      <c r="D56" s="122"/>
      <c r="E56" s="122"/>
      <c r="F56" s="122"/>
      <c r="G56" s="122"/>
      <c r="H56" s="122"/>
      <c r="I56" s="122"/>
      <c r="J56" s="122"/>
      <c r="K56" s="122"/>
      <c r="L56" s="122"/>
      <c r="M56" s="122"/>
      <c r="N56" s="122"/>
      <c r="O56" s="122"/>
      <c r="P56" s="122"/>
      <c r="Q56" s="122"/>
      <c r="S56" s="111"/>
      <c r="T56" s="111"/>
      <c r="U56" s="111"/>
      <c r="V56" s="111"/>
      <c r="W56" s="111"/>
      <c r="X56" s="111"/>
      <c r="Y56" s="111"/>
      <c r="Z56" s="111"/>
      <c r="AA56" s="111"/>
      <c r="AC56" s="111"/>
      <c r="AD56" s="111"/>
      <c r="AE56" s="111"/>
      <c r="AF56" s="111"/>
      <c r="AG56" s="111"/>
      <c r="AH56" s="111"/>
      <c r="AI56" s="111"/>
      <c r="AJ56" s="111"/>
      <c r="AK56" s="111"/>
    </row>
    <row r="57" spans="2:37" x14ac:dyDescent="0.35">
      <c r="B57" s="357" t="s">
        <v>571</v>
      </c>
      <c r="C57" s="121">
        <v>156.26</v>
      </c>
      <c r="D57" s="311">
        <v>0</v>
      </c>
      <c r="E57" s="311">
        <f>+'WC &amp; DP'!E55</f>
        <v>0</v>
      </c>
      <c r="F57" s="311">
        <f>+'WC &amp; DP'!F55</f>
        <v>0</v>
      </c>
      <c r="G57" s="311">
        <f>+'WC &amp; DP'!G55</f>
        <v>0</v>
      </c>
      <c r="H57" s="63">
        <f>+'WC &amp; DP'!H55</f>
        <v>0</v>
      </c>
      <c r="I57" s="122">
        <f>+'WC &amp; DP'!I55</f>
        <v>0</v>
      </c>
      <c r="J57" s="122">
        <f>+'WC &amp; DP'!J55</f>
        <v>924.60167862344667</v>
      </c>
      <c r="K57" s="122">
        <f>+'WC &amp; DP'!K55</f>
        <v>1070.1099999999999</v>
      </c>
      <c r="L57" s="122">
        <f>+'WC &amp; DP'!L55</f>
        <v>1070.1099999999999</v>
      </c>
      <c r="M57" s="122">
        <f>+'WC &amp; DP'!M55</f>
        <v>1070.1099999999999</v>
      </c>
      <c r="N57" s="122">
        <f>+'WC &amp; DP'!N55</f>
        <v>1070.1099999999999</v>
      </c>
      <c r="O57" s="122">
        <f>+'WC &amp; DP'!O55</f>
        <v>1070.1099999999999</v>
      </c>
      <c r="P57" s="122">
        <f>+'WC &amp; DP'!P55</f>
        <v>1070.1099999999999</v>
      </c>
      <c r="Q57" s="122">
        <f>+'WC &amp; DP'!Q55</f>
        <v>1070.1099999999999</v>
      </c>
      <c r="S57" s="111"/>
      <c r="T57" s="111"/>
      <c r="U57" s="111"/>
      <c r="V57" s="111"/>
      <c r="W57" s="111"/>
      <c r="X57" s="111"/>
      <c r="Y57" s="111"/>
      <c r="Z57" s="111"/>
      <c r="AA57" s="111"/>
      <c r="AB57" s="111"/>
      <c r="AC57" s="111"/>
      <c r="AD57" s="111"/>
      <c r="AE57" s="111"/>
      <c r="AF57" s="111"/>
      <c r="AG57" s="111"/>
      <c r="AH57" s="111"/>
      <c r="AI57" s="111"/>
      <c r="AJ57" s="111"/>
      <c r="AK57" s="111"/>
    </row>
    <row r="58" spans="2:37" s="582" customFormat="1" x14ac:dyDescent="0.35">
      <c r="B58" s="711" t="s">
        <v>606</v>
      </c>
      <c r="C58" s="311">
        <f>'Working - Corporate'!E183</f>
        <v>3161.763250382</v>
      </c>
      <c r="D58" s="311">
        <f>'Working - Corporate'!F183</f>
        <v>3959.8109543629998</v>
      </c>
      <c r="E58" s="311">
        <f>'Working - Corporate'!G183</f>
        <v>4156.2659595810001</v>
      </c>
      <c r="F58" s="311">
        <f>'Working - Corporate'!H183</f>
        <v>4083.722286661</v>
      </c>
      <c r="G58" s="311">
        <f>'Working - Corporate'!I183</f>
        <v>3740.9217800050001</v>
      </c>
      <c r="H58" s="69">
        <f>'Working - Corporate'!J183</f>
        <v>2663.369454869488</v>
      </c>
      <c r="I58" s="1731">
        <f>'Working - Corporate'!K183</f>
        <v>2805.3045041885516</v>
      </c>
      <c r="J58" s="1731">
        <f>'Working - Corporate'!L183</f>
        <v>1871.6691083606281</v>
      </c>
      <c r="K58" s="1731">
        <f>'Working - Corporate'!M183</f>
        <v>1651.1156674835381</v>
      </c>
      <c r="L58" s="1731">
        <f>'Working - Corporate'!N183</f>
        <v>1526.2500451300953</v>
      </c>
      <c r="M58" s="1731">
        <f>'Working - Corporate'!O183</f>
        <v>1431.5172837082278</v>
      </c>
      <c r="N58" s="1731">
        <f>'Working - Corporate'!P183</f>
        <v>1295.8810210768729</v>
      </c>
      <c r="O58" s="1731">
        <f>'Working - Corporate'!Q183</f>
        <v>1117.0129364775298</v>
      </c>
      <c r="P58" s="710">
        <f>'Working - Corporate'!R183</f>
        <v>747.70229854956426</v>
      </c>
      <c r="Q58" s="710">
        <f>'Working - Corporate'!S183</f>
        <v>381.32817226027782</v>
      </c>
      <c r="S58" s="111"/>
      <c r="T58" s="111"/>
      <c r="U58" s="111"/>
      <c r="V58" s="111"/>
      <c r="W58" s="111"/>
      <c r="X58" s="111"/>
      <c r="Y58" s="111"/>
      <c r="Z58" s="111"/>
      <c r="AA58" s="111"/>
      <c r="AB58" s="111"/>
      <c r="AC58" s="111"/>
      <c r="AD58" s="111"/>
      <c r="AE58" s="111"/>
      <c r="AF58" s="111"/>
      <c r="AG58" s="111"/>
      <c r="AH58" s="111"/>
      <c r="AI58" s="111"/>
      <c r="AJ58" s="111"/>
      <c r="AK58" s="111"/>
    </row>
    <row r="59" spans="2:37" s="582" customFormat="1" x14ac:dyDescent="0.35">
      <c r="B59" s="711" t="s">
        <v>215</v>
      </c>
      <c r="C59" s="311">
        <f>'Working - Corporate'!E184</f>
        <v>210.90674961800005</v>
      </c>
      <c r="D59" s="311">
        <f>'Working - Corporate'!F184</f>
        <v>202.10904563700024</v>
      </c>
      <c r="E59" s="311">
        <f>'Working - Corporate'!G184</f>
        <v>283.25404041900038</v>
      </c>
      <c r="F59" s="311">
        <f>'Working - Corporate'!H184</f>
        <v>376.19771333900007</v>
      </c>
      <c r="G59" s="311">
        <f>'Working - Corporate'!I184</f>
        <v>351.32625461599991</v>
      </c>
      <c r="H59" s="63">
        <f>'Working - Corporate'!J184</f>
        <v>239.61842952036065</v>
      </c>
      <c r="I59" s="315">
        <f>'Working - Corporate'!K184</f>
        <v>260.29696429150925</v>
      </c>
      <c r="J59" s="315">
        <f>'Working - Corporate'!L184</f>
        <v>261.04606948380149</v>
      </c>
      <c r="K59" s="315">
        <f>'Working - Corporate'!M184</f>
        <v>232.10983419164734</v>
      </c>
      <c r="L59" s="315">
        <f>'Working - Corporate'!N184</f>
        <v>213.11029564718348</v>
      </c>
      <c r="M59" s="315">
        <f>'Working - Corporate'!O184</f>
        <v>217.37323362233064</v>
      </c>
      <c r="N59" s="315">
        <f>'Working - Corporate'!P184</f>
        <v>221.72069829477726</v>
      </c>
      <c r="O59" s="315">
        <f>'Working - Corporate'!Q184</f>
        <v>226.10184665613554</v>
      </c>
      <c r="P59" s="315">
        <f>'Working - Corporate'!R184</f>
        <v>230.57061798472088</v>
      </c>
      <c r="Q59" s="315">
        <f>'Working - Corporate'!S184</f>
        <v>235.12876473987797</v>
      </c>
      <c r="S59" s="111"/>
      <c r="T59" s="111"/>
      <c r="U59" s="111"/>
      <c r="V59" s="111"/>
      <c r="W59" s="111"/>
      <c r="X59" s="111"/>
      <c r="Y59" s="111"/>
      <c r="Z59" s="111"/>
      <c r="AA59" s="111"/>
      <c r="AB59" s="111"/>
      <c r="AC59" s="111"/>
      <c r="AD59" s="111"/>
      <c r="AE59" s="111"/>
      <c r="AF59" s="111"/>
      <c r="AG59" s="111"/>
      <c r="AH59" s="111"/>
      <c r="AI59" s="111"/>
      <c r="AJ59" s="111"/>
      <c r="AK59" s="111"/>
    </row>
    <row r="60" spans="2:37" x14ac:dyDescent="0.35">
      <c r="B60" s="709" t="s">
        <v>572</v>
      </c>
      <c r="C60" s="360">
        <f t="shared" ref="C60:Q60" si="18">SUBTOTAL(9,C58:C59)</f>
        <v>3372.67</v>
      </c>
      <c r="D60" s="360">
        <f t="shared" si="18"/>
        <v>4161.92</v>
      </c>
      <c r="E60" s="360">
        <f t="shared" si="18"/>
        <v>4439.5200000000004</v>
      </c>
      <c r="F60" s="360">
        <f t="shared" si="18"/>
        <v>4459.92</v>
      </c>
      <c r="G60" s="360">
        <f t="shared" si="18"/>
        <v>4092.248034621</v>
      </c>
      <c r="H60" s="107">
        <f t="shared" si="18"/>
        <v>2902.9878843898487</v>
      </c>
      <c r="I60" s="225">
        <f t="shared" si="18"/>
        <v>3065.6014684800607</v>
      </c>
      <c r="J60" s="225">
        <f t="shared" si="18"/>
        <v>2132.7151778444295</v>
      </c>
      <c r="K60" s="225">
        <f t="shared" si="18"/>
        <v>1883.2255016751856</v>
      </c>
      <c r="L60" s="225">
        <f t="shared" si="18"/>
        <v>1739.3603407772787</v>
      </c>
      <c r="M60" s="225">
        <f t="shared" si="18"/>
        <v>1648.8905173305584</v>
      </c>
      <c r="N60" s="225">
        <f t="shared" si="18"/>
        <v>1517.6017193716502</v>
      </c>
      <c r="O60" s="225">
        <f t="shared" si="18"/>
        <v>1343.1147831336652</v>
      </c>
      <c r="P60" s="225">
        <f t="shared" si="18"/>
        <v>978.27291653428517</v>
      </c>
      <c r="Q60" s="225">
        <f t="shared" si="18"/>
        <v>616.45693700015579</v>
      </c>
      <c r="S60" s="111"/>
      <c r="T60" s="111"/>
      <c r="U60" s="111"/>
      <c r="V60" s="111"/>
      <c r="W60" s="111"/>
      <c r="X60" s="111"/>
      <c r="Y60" s="111"/>
      <c r="Z60" s="111"/>
      <c r="AA60" s="111"/>
      <c r="AB60" s="111"/>
      <c r="AC60" s="111"/>
      <c r="AD60" s="111"/>
      <c r="AE60" s="111"/>
      <c r="AF60" s="111"/>
      <c r="AG60" s="111"/>
      <c r="AH60" s="111"/>
      <c r="AI60" s="111"/>
      <c r="AJ60" s="111"/>
      <c r="AK60" s="111"/>
    </row>
    <row r="61" spans="2:37" x14ac:dyDescent="0.35">
      <c r="B61" s="357" t="s">
        <v>573</v>
      </c>
      <c r="C61" s="311">
        <f>'Working - Corporate'!E201-'Working - Corporate'!E194</f>
        <v>31.230000000000018</v>
      </c>
      <c r="D61" s="311">
        <f>'Working - Corporate'!F201-'Working - Corporate'!F194</f>
        <v>23.930000000000064</v>
      </c>
      <c r="E61" s="311">
        <f>'Working - Corporate'!G201-'Working - Corporate'!G194</f>
        <v>42.699999999999989</v>
      </c>
      <c r="F61" s="311">
        <f>'Working - Corporate'!H201-'Working - Corporate'!H194</f>
        <v>17.669999999999959</v>
      </c>
      <c r="G61" s="311">
        <f>'Working - Corporate'!I201-'Working - Corporate'!I194</f>
        <v>81.670099999999934</v>
      </c>
      <c r="H61" s="63">
        <f>'Working - Corporate'!J201-'Working - Corporate'!J194</f>
        <v>2.38</v>
      </c>
      <c r="I61" s="311">
        <f>'Working - Corporate'!K201-'Working - Corporate'!K194</f>
        <v>2.38</v>
      </c>
      <c r="J61" s="311">
        <f>'Working - Corporate'!L201-'Working - Corporate'!L194</f>
        <v>2.38</v>
      </c>
      <c r="K61" s="311">
        <f>'Working - Corporate'!M201-'Working - Corporate'!M194</f>
        <v>2.38</v>
      </c>
      <c r="L61" s="311">
        <f>'Working - Corporate'!N201-'Working - Corporate'!N194</f>
        <v>2.38</v>
      </c>
      <c r="M61" s="311">
        <f>'Working - Corporate'!O201-'Working - Corporate'!O194</f>
        <v>2.38</v>
      </c>
      <c r="N61" s="311">
        <f>'Working - Corporate'!P201-'Working - Corporate'!P194</f>
        <v>2.38</v>
      </c>
      <c r="O61" s="311">
        <f>'Working - Corporate'!Q201-'Working - Corporate'!Q194</f>
        <v>2.38</v>
      </c>
      <c r="P61" s="311">
        <f>'Working - Corporate'!R201-'Working - Corporate'!R194</f>
        <v>2.38</v>
      </c>
      <c r="Q61" s="311">
        <f>'Working - Corporate'!S201-'Working - Corporate'!S194</f>
        <v>2.38</v>
      </c>
      <c r="S61" s="111"/>
      <c r="T61" s="111"/>
      <c r="U61" s="111"/>
      <c r="V61" s="111"/>
      <c r="W61" s="111"/>
      <c r="X61" s="111"/>
      <c r="Y61" s="111"/>
      <c r="Z61" s="111"/>
      <c r="AA61" s="111"/>
      <c r="AB61" s="111"/>
      <c r="AC61" s="111"/>
      <c r="AD61" s="111"/>
      <c r="AE61" s="111"/>
      <c r="AF61" s="111"/>
      <c r="AG61" s="111"/>
      <c r="AH61" s="111"/>
      <c r="AI61" s="111"/>
      <c r="AJ61" s="111"/>
      <c r="AK61" s="111"/>
    </row>
    <row r="62" spans="2:37" x14ac:dyDescent="0.35">
      <c r="B62" s="128" t="s">
        <v>170</v>
      </c>
      <c r="C62" s="311">
        <f>'Working - Corporate'!E229</f>
        <v>190.6</v>
      </c>
      <c r="D62" s="311">
        <f>'Working - Corporate'!F229</f>
        <v>76.2</v>
      </c>
      <c r="E62" s="311">
        <f>'Working - Corporate'!G229</f>
        <v>139.71</v>
      </c>
      <c r="F62" s="311">
        <f>'Working - Corporate'!H229</f>
        <v>154.76999999999998</v>
      </c>
      <c r="G62" s="63">
        <f>'Working - Corporate'!I229</f>
        <v>1131.74</v>
      </c>
      <c r="H62" s="63">
        <f>'Working - Corporate'!J229</f>
        <v>123.031884161384</v>
      </c>
      <c r="I62" s="513">
        <f>'Working - Corporate'!K229</f>
        <v>123.031884161384</v>
      </c>
      <c r="J62" s="513">
        <f>'Working - Corporate'!L229</f>
        <v>123.031884161384</v>
      </c>
      <c r="K62" s="513">
        <f>'Working - Corporate'!M229</f>
        <v>123.031884161384</v>
      </c>
      <c r="L62" s="513">
        <f>'Working - Corporate'!N229</f>
        <v>123.031884161384</v>
      </c>
      <c r="M62" s="513">
        <f>'Working - Corporate'!O229</f>
        <v>123.031884161384</v>
      </c>
      <c r="N62" s="513">
        <f>'Working - Corporate'!P229</f>
        <v>123.031884161384</v>
      </c>
      <c r="O62" s="513">
        <f>'Working - Corporate'!Q229</f>
        <v>123.031884161384</v>
      </c>
      <c r="P62" s="513">
        <f>'Working - Corporate'!R229</f>
        <v>123.031884161384</v>
      </c>
      <c r="Q62" s="513">
        <f>'Working - Corporate'!S229</f>
        <v>123.031884161384</v>
      </c>
      <c r="S62" s="111"/>
      <c r="T62" s="111"/>
      <c r="U62" s="111"/>
      <c r="V62" s="111"/>
      <c r="W62" s="111"/>
      <c r="X62" s="111"/>
      <c r="Y62" s="111"/>
      <c r="Z62" s="111"/>
      <c r="AA62" s="111"/>
      <c r="AB62" s="111"/>
      <c r="AC62" s="111"/>
      <c r="AD62" s="111"/>
      <c r="AE62" s="111"/>
      <c r="AF62" s="111"/>
      <c r="AG62" s="111"/>
      <c r="AH62" s="111"/>
      <c r="AI62" s="111"/>
      <c r="AJ62" s="111"/>
      <c r="AK62" s="111"/>
    </row>
    <row r="63" spans="2:37" x14ac:dyDescent="0.35">
      <c r="B63" s="128" t="s">
        <v>166</v>
      </c>
      <c r="C63" s="121">
        <v>9.9400100000002602</v>
      </c>
      <c r="D63" s="121">
        <v>11.580009999999699</v>
      </c>
      <c r="E63" s="121">
        <v>13.508473636673401</v>
      </c>
      <c r="F63" s="121">
        <v>16.1895925414719</v>
      </c>
      <c r="G63" s="121">
        <v>20.78</v>
      </c>
      <c r="H63" s="311">
        <f>+G63</f>
        <v>20.78</v>
      </c>
      <c r="I63" s="122">
        <f t="shared" ref="I63:Q63" si="19">+H63</f>
        <v>20.78</v>
      </c>
      <c r="J63" s="122">
        <f t="shared" si="19"/>
        <v>20.78</v>
      </c>
      <c r="K63" s="122">
        <f t="shared" si="19"/>
        <v>20.78</v>
      </c>
      <c r="L63" s="122">
        <f t="shared" si="19"/>
        <v>20.78</v>
      </c>
      <c r="M63" s="122">
        <f t="shared" si="19"/>
        <v>20.78</v>
      </c>
      <c r="N63" s="122">
        <f t="shared" si="19"/>
        <v>20.78</v>
      </c>
      <c r="O63" s="122">
        <f t="shared" si="19"/>
        <v>20.78</v>
      </c>
      <c r="P63" s="122">
        <f t="shared" si="19"/>
        <v>20.78</v>
      </c>
      <c r="Q63" s="122">
        <f t="shared" si="19"/>
        <v>20.78</v>
      </c>
      <c r="S63" s="111"/>
      <c r="T63" s="111"/>
      <c r="U63" s="111"/>
      <c r="V63" s="111"/>
      <c r="W63" s="111"/>
      <c r="X63" s="111"/>
      <c r="Y63" s="111"/>
      <c r="Z63" s="111"/>
      <c r="AA63" s="111"/>
      <c r="AB63" s="111"/>
      <c r="AC63" s="111"/>
      <c r="AD63" s="111"/>
      <c r="AE63" s="111"/>
      <c r="AF63" s="111"/>
      <c r="AG63" s="111"/>
      <c r="AH63" s="111"/>
      <c r="AI63" s="111"/>
      <c r="AJ63" s="111"/>
      <c r="AK63" s="111"/>
    </row>
    <row r="64" spans="2:37" x14ac:dyDescent="0.35">
      <c r="B64" s="103" t="s">
        <v>414</v>
      </c>
      <c r="C64" s="123">
        <f t="shared" ref="C64:Q64" si="20">SUBTOTAL(9,C57:C63)</f>
        <v>3760.70001</v>
      </c>
      <c r="D64" s="123">
        <f t="shared" si="20"/>
        <v>4273.6300099999999</v>
      </c>
      <c r="E64" s="123">
        <f t="shared" si="20"/>
        <v>4635.4384736366737</v>
      </c>
      <c r="F64" s="123">
        <f t="shared" si="20"/>
        <v>4648.5495925414725</v>
      </c>
      <c r="G64" s="123">
        <f t="shared" si="20"/>
        <v>5326.4381346209993</v>
      </c>
      <c r="H64" s="123">
        <f t="shared" si="20"/>
        <v>3049.1797685512329</v>
      </c>
      <c r="I64" s="123">
        <f t="shared" si="20"/>
        <v>3211.7933526414449</v>
      </c>
      <c r="J64" s="123">
        <f t="shared" si="20"/>
        <v>3203.5087406292605</v>
      </c>
      <c r="K64" s="123">
        <f t="shared" si="20"/>
        <v>3099.5273858365695</v>
      </c>
      <c r="L64" s="123">
        <f t="shared" si="20"/>
        <v>2955.6622249386633</v>
      </c>
      <c r="M64" s="123">
        <f t="shared" si="20"/>
        <v>2865.1924014919427</v>
      </c>
      <c r="N64" s="123">
        <f t="shared" si="20"/>
        <v>2733.9036035330346</v>
      </c>
      <c r="O64" s="123">
        <f t="shared" si="20"/>
        <v>2559.4166672950496</v>
      </c>
      <c r="P64" s="123">
        <f t="shared" si="20"/>
        <v>2194.5748006956692</v>
      </c>
      <c r="Q64" s="123">
        <f t="shared" si="20"/>
        <v>1832.7588211615396</v>
      </c>
      <c r="S64" s="111"/>
      <c r="T64" s="111"/>
      <c r="U64" s="111"/>
      <c r="V64" s="111"/>
      <c r="W64" s="111"/>
      <c r="X64" s="111"/>
      <c r="Y64" s="111"/>
      <c r="Z64" s="111"/>
      <c r="AA64" s="111"/>
      <c r="AB64" s="111"/>
      <c r="AC64" s="111"/>
      <c r="AD64" s="111"/>
      <c r="AE64" s="111"/>
      <c r="AF64" s="111"/>
      <c r="AG64" s="111"/>
      <c r="AH64" s="111"/>
      <c r="AI64" s="111"/>
      <c r="AJ64" s="111"/>
      <c r="AK64" s="111"/>
    </row>
    <row r="65" spans="2:37" x14ac:dyDescent="0.35">
      <c r="B65" s="79" t="s">
        <v>415</v>
      </c>
      <c r="C65" s="178">
        <f t="shared" ref="C65:Q65" si="21">+C64+C53+C40</f>
        <v>14592.66001</v>
      </c>
      <c r="D65" s="178">
        <f t="shared" si="21"/>
        <v>14405.700009999999</v>
      </c>
      <c r="E65" s="178">
        <f t="shared" si="21"/>
        <v>14089.29967948941</v>
      </c>
      <c r="F65" s="178">
        <f t="shared" si="21"/>
        <v>13679.080454323299</v>
      </c>
      <c r="G65" s="178">
        <f t="shared" si="21"/>
        <v>13610.246826771265</v>
      </c>
      <c r="H65" s="178">
        <f t="shared" si="21"/>
        <v>13486.068876777445</v>
      </c>
      <c r="I65" s="178">
        <f t="shared" si="21"/>
        <v>13654.937429823856</v>
      </c>
      <c r="J65" s="178">
        <f t="shared" si="21"/>
        <v>13699.504301167661</v>
      </c>
      <c r="K65" s="178">
        <f t="shared" si="21"/>
        <v>13661.772118813371</v>
      </c>
      <c r="L65" s="178">
        <f t="shared" si="21"/>
        <v>13609.609556634037</v>
      </c>
      <c r="M65" s="178">
        <f t="shared" si="21"/>
        <v>13574.921198187822</v>
      </c>
      <c r="N65" s="178">
        <f t="shared" si="21"/>
        <v>13530.743985423749</v>
      </c>
      <c r="O65" s="178">
        <f t="shared" si="21"/>
        <v>13485.443861979493</v>
      </c>
      <c r="P65" s="178">
        <f t="shared" si="21"/>
        <v>13528.072997096437</v>
      </c>
      <c r="Q65" s="178">
        <f t="shared" si="21"/>
        <v>13458.675661944773</v>
      </c>
      <c r="S65" s="111"/>
      <c r="T65" s="111"/>
      <c r="U65" s="111"/>
      <c r="V65" s="111"/>
      <c r="W65" s="111"/>
      <c r="X65" s="111"/>
      <c r="Y65" s="111"/>
      <c r="Z65" s="111"/>
      <c r="AA65" s="111"/>
      <c r="AB65" s="111"/>
      <c r="AC65" s="111"/>
      <c r="AD65" s="111"/>
      <c r="AE65" s="111"/>
      <c r="AF65" s="111"/>
      <c r="AG65" s="111"/>
      <c r="AH65" s="111"/>
      <c r="AI65" s="111"/>
      <c r="AJ65" s="111"/>
      <c r="AK65" s="111"/>
    </row>
    <row r="66" spans="2:37" s="117" customFormat="1" x14ac:dyDescent="0.35">
      <c r="E66" s="158"/>
      <c r="F66" s="158"/>
      <c r="G66" s="158"/>
      <c r="H66" s="158"/>
      <c r="I66" s="158"/>
      <c r="J66" s="158"/>
      <c r="K66" s="158"/>
      <c r="L66" s="158"/>
      <c r="M66" s="158"/>
      <c r="N66" s="158"/>
      <c r="O66" s="158"/>
      <c r="P66" s="158"/>
      <c r="Q66" s="158"/>
    </row>
    <row r="67" spans="2:37" s="117" customFormat="1" x14ac:dyDescent="0.35">
      <c r="B67" s="300" t="s">
        <v>407</v>
      </c>
      <c r="C67" s="1597">
        <f t="shared" ref="C67:Q67" si="22">+C65-C33</f>
        <v>0</v>
      </c>
      <c r="D67" s="1597">
        <f t="shared" si="22"/>
        <v>0</v>
      </c>
      <c r="E67" s="1597">
        <f t="shared" si="22"/>
        <v>0</v>
      </c>
      <c r="F67" s="1597">
        <f t="shared" si="22"/>
        <v>2.999999998792191E-3</v>
      </c>
      <c r="G67" s="1597">
        <f t="shared" si="22"/>
        <v>1.2309517915127799E-3</v>
      </c>
      <c r="H67" s="1875">
        <f t="shared" si="22"/>
        <v>2.5117712975770701E-3</v>
      </c>
      <c r="I67" s="1597">
        <f t="shared" si="22"/>
        <v>2.5117712993960595E-3</v>
      </c>
      <c r="J67" s="1597">
        <f t="shared" si="22"/>
        <v>2.5117712975770701E-3</v>
      </c>
      <c r="K67" s="1597">
        <f t="shared" si="22"/>
        <v>2.5117712957580807E-3</v>
      </c>
      <c r="L67" s="1597">
        <f t="shared" si="22"/>
        <v>2.5117712975770701E-3</v>
      </c>
      <c r="M67" s="1597">
        <f t="shared" si="22"/>
        <v>2.5117712975770701E-3</v>
      </c>
      <c r="N67" s="1597">
        <f t="shared" si="22"/>
        <v>2.5117712975770701E-3</v>
      </c>
      <c r="O67" s="1597">
        <f t="shared" si="22"/>
        <v>2.5117712975770701E-3</v>
      </c>
      <c r="P67" s="1597">
        <f t="shared" si="22"/>
        <v>2.5117712957580807E-3</v>
      </c>
      <c r="Q67" s="1597">
        <f t="shared" si="22"/>
        <v>2.5117712957580807E-3</v>
      </c>
    </row>
    <row r="68" spans="2:37" s="117" customFormat="1" x14ac:dyDescent="0.35">
      <c r="B68" s="64"/>
      <c r="C68" s="163"/>
      <c r="D68" s="163"/>
      <c r="E68" s="163"/>
      <c r="F68" s="163"/>
      <c r="G68" s="163"/>
      <c r="H68" s="163"/>
      <c r="I68" s="163"/>
      <c r="J68" s="163"/>
      <c r="K68" s="163"/>
      <c r="L68" s="163"/>
      <c r="M68" s="163"/>
      <c r="N68" s="163"/>
      <c r="O68" s="163"/>
      <c r="P68" s="163"/>
      <c r="Q68" s="163"/>
    </row>
    <row r="69" spans="2:37" x14ac:dyDescent="0.35">
      <c r="B69" s="1809"/>
      <c r="C69" s="1796"/>
      <c r="D69" s="1796"/>
      <c r="E69" s="1796"/>
      <c r="F69" s="1796"/>
      <c r="G69" s="1796"/>
      <c r="H69" s="1796"/>
      <c r="I69" s="1796"/>
      <c r="J69" s="1796"/>
      <c r="K69" s="1796"/>
      <c r="L69" s="1796"/>
      <c r="M69" s="1796"/>
      <c r="N69" s="1796"/>
      <c r="O69" s="1796"/>
    </row>
    <row r="70" spans="2:37" x14ac:dyDescent="0.35">
      <c r="B70" s="1809"/>
      <c r="C70" s="1796"/>
      <c r="D70" s="1796"/>
      <c r="E70" s="1796"/>
      <c r="F70" s="1796"/>
      <c r="G70" s="1796"/>
      <c r="H70" s="1796"/>
      <c r="I70" s="1796"/>
      <c r="J70" s="1796"/>
      <c r="K70" s="1796"/>
      <c r="L70" s="1796"/>
      <c r="M70" s="1796"/>
      <c r="N70" s="1796"/>
      <c r="O70" s="1796"/>
      <c r="P70" s="582"/>
      <c r="R70" s="582"/>
    </row>
    <row r="71" spans="2:37" x14ac:dyDescent="0.35">
      <c r="B71" s="1809"/>
      <c r="C71" s="1796"/>
      <c r="D71" s="1796"/>
      <c r="E71" s="1796"/>
      <c r="F71" s="1796"/>
      <c r="G71" s="1796"/>
      <c r="H71" s="1796"/>
      <c r="I71" s="1796"/>
      <c r="J71" s="1796"/>
      <c r="K71" s="1796"/>
      <c r="L71" s="1796"/>
      <c r="M71" s="1796"/>
      <c r="N71" s="1796"/>
      <c r="O71" s="1796"/>
      <c r="P71" s="582"/>
      <c r="R71" s="582"/>
    </row>
    <row r="72" spans="2:37" x14ac:dyDescent="0.35">
      <c r="B72" s="1809"/>
      <c r="C72" s="1796"/>
      <c r="D72" s="1796"/>
      <c r="E72" s="1796"/>
      <c r="F72" s="1796"/>
      <c r="G72" s="1796"/>
      <c r="H72" s="1796"/>
      <c r="I72" s="1796"/>
      <c r="J72" s="1796"/>
      <c r="K72" s="1796"/>
      <c r="L72" s="1796"/>
      <c r="M72" s="1796"/>
      <c r="N72" s="1796"/>
      <c r="O72" s="1796"/>
      <c r="P72" s="582"/>
      <c r="R72" s="582"/>
    </row>
    <row r="73" spans="2:37" x14ac:dyDescent="0.35">
      <c r="B73" s="1809"/>
      <c r="C73" s="1796"/>
      <c r="D73" s="1796"/>
      <c r="E73" s="1796"/>
      <c r="F73" s="1796"/>
      <c r="G73" s="1796"/>
      <c r="H73" s="1796"/>
      <c r="I73" s="1796"/>
      <c r="J73" s="1796"/>
      <c r="K73" s="1796"/>
      <c r="L73" s="1796"/>
      <c r="M73" s="1796"/>
      <c r="N73" s="1796"/>
      <c r="O73" s="1796"/>
      <c r="P73" s="582"/>
      <c r="R73" s="582"/>
    </row>
    <row r="74" spans="2:37" x14ac:dyDescent="0.35">
      <c r="B74" s="1809"/>
      <c r="C74" s="1796"/>
      <c r="D74" s="1796"/>
      <c r="E74" s="1796"/>
      <c r="F74" s="1796"/>
      <c r="G74" s="1796"/>
      <c r="H74" s="1796"/>
      <c r="I74" s="1796"/>
      <c r="J74" s="1796"/>
      <c r="K74" s="1796"/>
      <c r="L74" s="1796"/>
      <c r="M74" s="1796"/>
      <c r="N74" s="1796"/>
      <c r="O74" s="1796"/>
      <c r="P74" s="582"/>
      <c r="R74" s="582"/>
    </row>
    <row r="75" spans="2:37" x14ac:dyDescent="0.35">
      <c r="B75" s="1809"/>
      <c r="C75" s="1796"/>
      <c r="D75" s="1796"/>
      <c r="E75" s="1796"/>
      <c r="F75" s="1796"/>
      <c r="G75" s="1796"/>
      <c r="H75" s="1796"/>
      <c r="I75" s="1796"/>
      <c r="J75" s="1796"/>
      <c r="K75" s="1796"/>
      <c r="L75" s="1796"/>
      <c r="M75" s="1796"/>
      <c r="N75" s="1796"/>
      <c r="O75" s="1796"/>
      <c r="P75" s="582"/>
      <c r="R75" s="582"/>
    </row>
    <row r="76" spans="2:37" x14ac:dyDescent="0.35">
      <c r="B76" s="1809"/>
      <c r="C76" s="1796"/>
      <c r="D76" s="1796"/>
      <c r="E76" s="1796"/>
      <c r="F76" s="1796"/>
      <c r="G76" s="1796"/>
      <c r="H76" s="1796"/>
      <c r="I76" s="1796"/>
      <c r="J76" s="1796"/>
      <c r="K76" s="1796"/>
      <c r="L76" s="1796"/>
      <c r="M76" s="1796"/>
      <c r="N76" s="1796"/>
      <c r="O76" s="1796"/>
      <c r="P76" s="582"/>
      <c r="R76" s="582"/>
    </row>
    <row r="77" spans="2:37" x14ac:dyDescent="0.35">
      <c r="B77" s="1809"/>
      <c r="C77" s="1809"/>
      <c r="D77" s="1809"/>
      <c r="E77" s="1809"/>
      <c r="F77" s="241"/>
      <c r="G77" s="241"/>
      <c r="H77" s="1809"/>
      <c r="I77" s="1809"/>
      <c r="J77" s="1809"/>
      <c r="K77" s="1809"/>
      <c r="L77" s="1809"/>
      <c r="M77" s="1809"/>
      <c r="N77" s="1809"/>
      <c r="O77" s="1809"/>
      <c r="P77" s="582"/>
      <c r="R77" s="582"/>
    </row>
    <row r="78" spans="2:37" x14ac:dyDescent="0.35">
      <c r="B78" s="1809"/>
      <c r="C78" s="1809"/>
      <c r="D78" s="1809"/>
      <c r="E78" s="1809"/>
      <c r="F78" s="241"/>
      <c r="G78" s="241"/>
      <c r="H78" s="1809"/>
      <c r="I78" s="1809"/>
      <c r="J78" s="1809"/>
      <c r="K78" s="1809"/>
      <c r="L78" s="1809"/>
      <c r="M78" s="1809"/>
      <c r="N78" s="1809"/>
      <c r="O78" s="1809"/>
      <c r="P78" s="582"/>
      <c r="R78" s="582"/>
    </row>
    <row r="79" spans="2:37" x14ac:dyDescent="0.35">
      <c r="B79" s="1809"/>
      <c r="C79" s="1809"/>
      <c r="D79" s="1809"/>
      <c r="E79" s="1809"/>
      <c r="F79" s="241"/>
      <c r="G79" s="241"/>
      <c r="H79" s="1809"/>
      <c r="I79" s="1809"/>
      <c r="J79" s="1809"/>
      <c r="K79" s="1809"/>
      <c r="L79" s="1809"/>
      <c r="M79" s="1809"/>
      <c r="N79" s="1809"/>
      <c r="O79" s="1809"/>
      <c r="P79" s="582"/>
      <c r="R79" s="582"/>
    </row>
    <row r="80" spans="2:37" x14ac:dyDescent="0.35">
      <c r="B80" s="1809"/>
      <c r="C80" s="1810"/>
      <c r="D80" s="1810"/>
      <c r="E80" s="1810"/>
      <c r="F80" s="1810"/>
      <c r="G80" s="1810"/>
      <c r="H80" s="1810"/>
      <c r="I80" s="1810"/>
      <c r="J80" s="1810"/>
      <c r="K80" s="1810"/>
      <c r="L80" s="1810"/>
      <c r="M80" s="1810"/>
      <c r="N80" s="1810"/>
      <c r="O80" s="1810"/>
      <c r="P80" s="582"/>
      <c r="R80" s="582"/>
    </row>
    <row r="81" spans="2:18" x14ac:dyDescent="0.35">
      <c r="B81" s="1809"/>
      <c r="C81" s="1810"/>
      <c r="D81" s="1810"/>
      <c r="E81" s="1810"/>
      <c r="F81" s="1810"/>
      <c r="G81" s="1810"/>
      <c r="H81" s="1810"/>
      <c r="I81" s="1810"/>
      <c r="J81" s="1810"/>
      <c r="K81" s="1810"/>
      <c r="L81" s="1810"/>
      <c r="M81" s="1810"/>
      <c r="N81" s="1810"/>
      <c r="O81" s="1810"/>
      <c r="P81" s="582"/>
      <c r="R81" s="582"/>
    </row>
    <row r="82" spans="2:18" x14ac:dyDescent="0.35">
      <c r="B82" s="1809"/>
      <c r="C82" s="1809"/>
      <c r="D82" s="1809"/>
      <c r="E82" s="1809"/>
      <c r="F82" s="241"/>
      <c r="G82" s="241"/>
      <c r="H82" s="1809"/>
      <c r="I82" s="1809"/>
      <c r="J82" s="1809"/>
      <c r="K82" s="1809"/>
      <c r="L82" s="1809"/>
      <c r="M82" s="1809"/>
      <c r="N82" s="1809"/>
      <c r="O82" s="1809"/>
      <c r="P82" s="582"/>
      <c r="R82" s="582"/>
    </row>
    <row r="83" spans="2:18" x14ac:dyDescent="0.35">
      <c r="B83" s="1809"/>
      <c r="C83" s="1809"/>
      <c r="D83" s="1809"/>
      <c r="E83" s="1809"/>
      <c r="F83" s="241"/>
      <c r="G83" s="241"/>
      <c r="H83" s="1809"/>
      <c r="I83" s="1809"/>
      <c r="J83" s="1809"/>
      <c r="K83" s="1809"/>
      <c r="L83" s="1809"/>
      <c r="M83" s="1809"/>
      <c r="N83" s="1809"/>
      <c r="O83" s="1809"/>
      <c r="P83" s="582"/>
      <c r="R83" s="582"/>
    </row>
    <row r="84" spans="2:18" x14ac:dyDescent="0.35">
      <c r="B84" s="1809"/>
      <c r="C84" s="1810"/>
      <c r="D84" s="1810"/>
      <c r="E84" s="1810"/>
      <c r="F84" s="1810"/>
      <c r="G84" s="1810"/>
      <c r="H84" s="1810"/>
      <c r="I84" s="1810"/>
      <c r="J84" s="1810"/>
      <c r="K84" s="1810"/>
      <c r="L84" s="1810"/>
      <c r="M84" s="1810"/>
      <c r="N84" s="1810"/>
      <c r="O84" s="1810"/>
    </row>
    <row r="85" spans="2:18" x14ac:dyDescent="0.35">
      <c r="B85" s="1809"/>
      <c r="C85" s="1810"/>
      <c r="D85" s="1810"/>
      <c r="E85" s="1810"/>
      <c r="F85" s="1810"/>
      <c r="G85" s="1810"/>
      <c r="H85" s="1810"/>
      <c r="I85" s="1810"/>
      <c r="J85" s="1810"/>
      <c r="K85" s="1810"/>
      <c r="L85" s="1810"/>
      <c r="M85" s="1810"/>
      <c r="N85" s="1810"/>
      <c r="O85" s="1810"/>
    </row>
    <row r="88" spans="2:18" x14ac:dyDescent="0.35">
      <c r="D88" s="1561"/>
      <c r="E88" s="1561"/>
      <c r="F88" s="1561"/>
      <c r="G88" s="1561"/>
    </row>
    <row r="89" spans="2:18" s="582" customFormat="1" x14ac:dyDescent="0.35"/>
    <row r="90" spans="2:18" s="582" customFormat="1" x14ac:dyDescent="0.35"/>
    <row r="91" spans="2:18" s="582" customFormat="1" x14ac:dyDescent="0.35"/>
    <row r="92" spans="2:18" s="582" customFormat="1" x14ac:dyDescent="0.35"/>
    <row r="93" spans="2:18" s="582" customFormat="1" x14ac:dyDescent="0.35"/>
    <row r="94" spans="2:18" s="582" customFormat="1" x14ac:dyDescent="0.35"/>
    <row r="95" spans="2:18" s="582" customFormat="1" x14ac:dyDescent="0.35"/>
    <row r="96" spans="2:18" s="582" customFormat="1" x14ac:dyDescent="0.35"/>
    <row r="97" s="582" customFormat="1" x14ac:dyDescent="0.35"/>
    <row r="98" s="582" customFormat="1" x14ac:dyDescent="0.35"/>
    <row r="99" s="582" customFormat="1" x14ac:dyDescent="0.35"/>
    <row r="100" s="582" customFormat="1" x14ac:dyDescent="0.35"/>
    <row r="101" s="582" customFormat="1" x14ac:dyDescent="0.35"/>
    <row r="102" s="582" customFormat="1" x14ac:dyDescent="0.35"/>
    <row r="103" s="582" customFormat="1" x14ac:dyDescent="0.35"/>
    <row r="104" s="582" customFormat="1" x14ac:dyDescent="0.35"/>
    <row r="105" s="582" customFormat="1" x14ac:dyDescent="0.35"/>
    <row r="106" s="582" customFormat="1" x14ac:dyDescent="0.35"/>
    <row r="107" s="582" customFormat="1" x14ac:dyDescent="0.35"/>
    <row r="108" s="582" customFormat="1" x14ac:dyDescent="0.35"/>
    <row r="109" s="582" customFormat="1" x14ac:dyDescent="0.35"/>
    <row r="110" s="582" customFormat="1" x14ac:dyDescent="0.35"/>
    <row r="111" s="582" customFormat="1" x14ac:dyDescent="0.35"/>
    <row r="112" s="582" customFormat="1" x14ac:dyDescent="0.35"/>
    <row r="113" s="582" customFormat="1" x14ac:dyDescent="0.35"/>
    <row r="114" s="582" customFormat="1" x14ac:dyDescent="0.35"/>
    <row r="115" s="582" customFormat="1" x14ac:dyDescent="0.35"/>
    <row r="116" s="582" customFormat="1" x14ac:dyDescent="0.35"/>
    <row r="117" s="582" customFormat="1" x14ac:dyDescent="0.35"/>
    <row r="118" s="582" customFormat="1" outlineLevel="1" x14ac:dyDescent="0.35"/>
    <row r="119" s="582" customFormat="1" outlineLevel="1" x14ac:dyDescent="0.35"/>
    <row r="120" outlineLevel="1" x14ac:dyDescent="0.35"/>
    <row r="121" outlineLevel="1" x14ac:dyDescent="0.35"/>
    <row r="122" outlineLevel="1" x14ac:dyDescent="0.35"/>
    <row r="123" outlineLevel="1" x14ac:dyDescent="0.35"/>
    <row r="124" outlineLevel="1" x14ac:dyDescent="0.35"/>
    <row r="125" outlineLevel="1" x14ac:dyDescent="0.35"/>
    <row r="126" outlineLevel="1" x14ac:dyDescent="0.35"/>
    <row r="127" outlineLevel="1" x14ac:dyDescent="0.35"/>
    <row r="128" outlineLevel="1" x14ac:dyDescent="0.35"/>
    <row r="129" outlineLevel="1" x14ac:dyDescent="0.35"/>
    <row r="130" outlineLevel="1" x14ac:dyDescent="0.35"/>
    <row r="131" outlineLevel="1" x14ac:dyDescent="0.35"/>
    <row r="132" outlineLevel="1" x14ac:dyDescent="0.35"/>
    <row r="133" outlineLevel="1" x14ac:dyDescent="0.35"/>
    <row r="134" outlineLevel="1" x14ac:dyDescent="0.35"/>
    <row r="135" outlineLevel="1" x14ac:dyDescent="0.35"/>
    <row r="136" outlineLevel="1" x14ac:dyDescent="0.35"/>
    <row r="137" outlineLevel="1" x14ac:dyDescent="0.35"/>
    <row r="138" outlineLevel="1" x14ac:dyDescent="0.35"/>
    <row r="139" outlineLevel="1" x14ac:dyDescent="0.35"/>
    <row r="140" outlineLevel="1" x14ac:dyDescent="0.35"/>
    <row r="141" outlineLevel="1" x14ac:dyDescent="0.35"/>
    <row r="142" outlineLevel="1" x14ac:dyDescent="0.35"/>
    <row r="143" outlineLevel="1" x14ac:dyDescent="0.35"/>
    <row r="144" outlineLevel="1" x14ac:dyDescent="0.35"/>
    <row r="145" outlineLevel="1" x14ac:dyDescent="0.35"/>
    <row r="146" outlineLevel="1" x14ac:dyDescent="0.35"/>
    <row r="147" outlineLevel="1" x14ac:dyDescent="0.35"/>
    <row r="148" outlineLevel="1" x14ac:dyDescent="0.35"/>
    <row r="149" outlineLevel="1" x14ac:dyDescent="0.35"/>
    <row r="150" outlineLevel="1" x14ac:dyDescent="0.35"/>
    <row r="151" outlineLevel="1" x14ac:dyDescent="0.35"/>
    <row r="152" outlineLevel="1" x14ac:dyDescent="0.35"/>
    <row r="153" outlineLevel="1" x14ac:dyDescent="0.35"/>
    <row r="154" outlineLevel="1" x14ac:dyDescent="0.35"/>
    <row r="155" outlineLevel="1" x14ac:dyDescent="0.35"/>
    <row r="156" outlineLevel="1" x14ac:dyDescent="0.35"/>
    <row r="157" outlineLevel="1" x14ac:dyDescent="0.35"/>
    <row r="158" outlineLevel="1" x14ac:dyDescent="0.35"/>
    <row r="159" outlineLevel="1" x14ac:dyDescent="0.35"/>
    <row r="160" outlineLevel="1" x14ac:dyDescent="0.35"/>
    <row r="161" outlineLevel="1" x14ac:dyDescent="0.35"/>
    <row r="162" outlineLevel="1" x14ac:dyDescent="0.35"/>
    <row r="163" outlineLevel="1" x14ac:dyDescent="0.35"/>
    <row r="164" outlineLevel="1" x14ac:dyDescent="0.35"/>
    <row r="165" outlineLevel="1" x14ac:dyDescent="0.35"/>
    <row r="166" outlineLevel="1" x14ac:dyDescent="0.35"/>
    <row r="167" outlineLevel="1" x14ac:dyDescent="0.35"/>
    <row r="168" outlineLevel="1" x14ac:dyDescent="0.35"/>
    <row r="169" outlineLevel="1" x14ac:dyDescent="0.35"/>
    <row r="170" outlineLevel="1" x14ac:dyDescent="0.35"/>
    <row r="171" outlineLevel="1" x14ac:dyDescent="0.35"/>
    <row r="172" outlineLevel="1" x14ac:dyDescent="0.35"/>
    <row r="173" outlineLevel="1" x14ac:dyDescent="0.35"/>
    <row r="174" outlineLevel="1" x14ac:dyDescent="0.35"/>
    <row r="175" outlineLevel="1" x14ac:dyDescent="0.35"/>
    <row r="176" outlineLevel="1" x14ac:dyDescent="0.35"/>
    <row r="177" outlineLevel="1" x14ac:dyDescent="0.35"/>
    <row r="178" outlineLevel="1" x14ac:dyDescent="0.35"/>
    <row r="179" outlineLevel="1" x14ac:dyDescent="0.35"/>
    <row r="180" outlineLevel="1" x14ac:dyDescent="0.35"/>
    <row r="181" outlineLevel="1" x14ac:dyDescent="0.35"/>
    <row r="182" outlineLevel="1" x14ac:dyDescent="0.35"/>
    <row r="183" outlineLevel="1" x14ac:dyDescent="0.35"/>
    <row r="184" outlineLevel="1" x14ac:dyDescent="0.35"/>
    <row r="185" outlineLevel="1" x14ac:dyDescent="0.35"/>
    <row r="186" outlineLevel="1" x14ac:dyDescent="0.35"/>
    <row r="187" outlineLevel="1" x14ac:dyDescent="0.35"/>
    <row r="188" outlineLevel="1" x14ac:dyDescent="0.35"/>
    <row r="189" outlineLevel="1" x14ac:dyDescent="0.35"/>
    <row r="190" outlineLevel="1" x14ac:dyDescent="0.35"/>
    <row r="191" outlineLevel="1" x14ac:dyDescent="0.35"/>
    <row r="192" outlineLevel="1" x14ac:dyDescent="0.35"/>
    <row r="193" outlineLevel="1" x14ac:dyDescent="0.35"/>
    <row r="194" outlineLevel="1" x14ac:dyDescent="0.35"/>
    <row r="195" outlineLevel="1" x14ac:dyDescent="0.35"/>
    <row r="196" outlineLevel="1" x14ac:dyDescent="0.35"/>
    <row r="197" outlineLevel="1" x14ac:dyDescent="0.35"/>
    <row r="198" outlineLevel="1" x14ac:dyDescent="0.35"/>
    <row r="199" outlineLevel="1" x14ac:dyDescent="0.35"/>
    <row r="200" outlineLevel="1" x14ac:dyDescent="0.35"/>
    <row r="201" outlineLevel="1" x14ac:dyDescent="0.35"/>
    <row r="202" outlineLevel="1" x14ac:dyDescent="0.35"/>
    <row r="203" outlineLevel="1" x14ac:dyDescent="0.35"/>
    <row r="204" outlineLevel="1" x14ac:dyDescent="0.35"/>
    <row r="205" outlineLevel="1" x14ac:dyDescent="0.35"/>
    <row r="206" outlineLevel="1" x14ac:dyDescent="0.35"/>
    <row r="207" outlineLevel="1" x14ac:dyDescent="0.35"/>
    <row r="208" outlineLevel="1" x14ac:dyDescent="0.35"/>
    <row r="209" outlineLevel="1" x14ac:dyDescent="0.35"/>
    <row r="210" outlineLevel="1" x14ac:dyDescent="0.35"/>
    <row r="211" outlineLevel="1" x14ac:dyDescent="0.35"/>
    <row r="212" outlineLevel="1" x14ac:dyDescent="0.35"/>
    <row r="213" outlineLevel="1" x14ac:dyDescent="0.35"/>
    <row r="214" outlineLevel="1" x14ac:dyDescent="0.35"/>
    <row r="215" outlineLevel="1" x14ac:dyDescent="0.35"/>
    <row r="216" outlineLevel="1" x14ac:dyDescent="0.35"/>
    <row r="217" outlineLevel="1" x14ac:dyDescent="0.35"/>
    <row r="218" outlineLevel="1" x14ac:dyDescent="0.35"/>
    <row r="219" outlineLevel="1" x14ac:dyDescent="0.35"/>
    <row r="220" outlineLevel="1" x14ac:dyDescent="0.35"/>
    <row r="221" outlineLevel="1" x14ac:dyDescent="0.35"/>
    <row r="222" outlineLevel="1" x14ac:dyDescent="0.35"/>
    <row r="223" outlineLevel="1" x14ac:dyDescent="0.35"/>
    <row r="224" outlineLevel="1" x14ac:dyDescent="0.35"/>
    <row r="225" outlineLevel="1" x14ac:dyDescent="0.35"/>
    <row r="226" outlineLevel="1" x14ac:dyDescent="0.35"/>
    <row r="227" outlineLevel="1" x14ac:dyDescent="0.35"/>
    <row r="228" outlineLevel="1" x14ac:dyDescent="0.35"/>
    <row r="229" outlineLevel="1" x14ac:dyDescent="0.35"/>
    <row r="230" outlineLevel="1" x14ac:dyDescent="0.35"/>
    <row r="231" outlineLevel="1" x14ac:dyDescent="0.35"/>
    <row r="232" outlineLevel="1" x14ac:dyDescent="0.35"/>
    <row r="233" outlineLevel="1" x14ac:dyDescent="0.35"/>
    <row r="234" outlineLevel="1" x14ac:dyDescent="0.35"/>
    <row r="235" outlineLevel="1" x14ac:dyDescent="0.35"/>
    <row r="236" outlineLevel="1" x14ac:dyDescent="0.35"/>
    <row r="237" outlineLevel="1" x14ac:dyDescent="0.35"/>
    <row r="238" outlineLevel="1" x14ac:dyDescent="0.35"/>
    <row r="239" outlineLevel="1" x14ac:dyDescent="0.35"/>
    <row r="240" outlineLevel="1" x14ac:dyDescent="0.35"/>
    <row r="241" outlineLevel="1" x14ac:dyDescent="0.35"/>
    <row r="242" outlineLevel="1" x14ac:dyDescent="0.35"/>
    <row r="243" outlineLevel="1" x14ac:dyDescent="0.35"/>
    <row r="244" outlineLevel="1" x14ac:dyDescent="0.35"/>
    <row r="245" outlineLevel="1" x14ac:dyDescent="0.35"/>
    <row r="246" outlineLevel="1" x14ac:dyDescent="0.35"/>
    <row r="247" outlineLevel="1" x14ac:dyDescent="0.35"/>
    <row r="263" spans="3:3" x14ac:dyDescent="0.35">
      <c r="C263"/>
    </row>
    <row r="264" spans="3:3" x14ac:dyDescent="0.35">
      <c r="C264"/>
    </row>
    <row r="265" spans="3:3" x14ac:dyDescent="0.35">
      <c r="C265"/>
    </row>
    <row r="266" spans="3:3" x14ac:dyDescent="0.35">
      <c r="C266"/>
    </row>
    <row r="267" spans="3:3" x14ac:dyDescent="0.35">
      <c r="C267"/>
    </row>
    <row r="268" spans="3:3" x14ac:dyDescent="0.35">
      <c r="C268"/>
    </row>
    <row r="269" spans="3:3" x14ac:dyDescent="0.35">
      <c r="C269"/>
    </row>
    <row r="270" spans="3:3" x14ac:dyDescent="0.35">
      <c r="C270"/>
    </row>
    <row r="271" spans="3:3" x14ac:dyDescent="0.35">
      <c r="C271"/>
    </row>
    <row r="272" spans="3:3" x14ac:dyDescent="0.35">
      <c r="C272"/>
    </row>
    <row r="273" spans="3:3" x14ac:dyDescent="0.35">
      <c r="C273"/>
    </row>
    <row r="274" spans="3:3" x14ac:dyDescent="0.35">
      <c r="C274"/>
    </row>
    <row r="275" spans="3:3" x14ac:dyDescent="0.35">
      <c r="C275"/>
    </row>
    <row r="276" spans="3:3" x14ac:dyDescent="0.35">
      <c r="C276"/>
    </row>
    <row r="277" spans="3:3" x14ac:dyDescent="0.35">
      <c r="C277"/>
    </row>
    <row r="278" spans="3:3" x14ac:dyDescent="0.35">
      <c r="C278"/>
    </row>
    <row r="279" spans="3:3" x14ac:dyDescent="0.35">
      <c r="C279"/>
    </row>
    <row r="280" spans="3:3" x14ac:dyDescent="0.35">
      <c r="C280"/>
    </row>
    <row r="281" spans="3:3" x14ac:dyDescent="0.35">
      <c r="C281"/>
    </row>
    <row r="282" spans="3:3" x14ac:dyDescent="0.35">
      <c r="C282"/>
    </row>
    <row r="283" spans="3:3" x14ac:dyDescent="0.35">
      <c r="C283"/>
    </row>
    <row r="284" spans="3:3" x14ac:dyDescent="0.35">
      <c r="C284"/>
    </row>
    <row r="285" spans="3:3" x14ac:dyDescent="0.35">
      <c r="C285"/>
    </row>
    <row r="286" spans="3:3" x14ac:dyDescent="0.35">
      <c r="C286"/>
    </row>
    <row r="287" spans="3:3" x14ac:dyDescent="0.35">
      <c r="C287"/>
    </row>
    <row r="288" spans="3:3" x14ac:dyDescent="0.35">
      <c r="C288"/>
    </row>
    <row r="289" spans="3:3" x14ac:dyDescent="0.35">
      <c r="C289"/>
    </row>
    <row r="290" spans="3:3" x14ac:dyDescent="0.35">
      <c r="C290"/>
    </row>
    <row r="291" spans="3:3" x14ac:dyDescent="0.35">
      <c r="C291"/>
    </row>
    <row r="292" spans="3:3" x14ac:dyDescent="0.35">
      <c r="C292"/>
    </row>
    <row r="293" spans="3:3" x14ac:dyDescent="0.35">
      <c r="C293"/>
    </row>
    <row r="294" spans="3:3" x14ac:dyDescent="0.35">
      <c r="C294"/>
    </row>
    <row r="295" spans="3:3" x14ac:dyDescent="0.35">
      <c r="C295"/>
    </row>
    <row r="296" spans="3:3" x14ac:dyDescent="0.35">
      <c r="C296"/>
    </row>
    <row r="297" spans="3:3" x14ac:dyDescent="0.35">
      <c r="C297"/>
    </row>
    <row r="298" spans="3:3" x14ac:dyDescent="0.35">
      <c r="C298"/>
    </row>
    <row r="299" spans="3:3" x14ac:dyDescent="0.35">
      <c r="C299"/>
    </row>
    <row r="300" spans="3:3" x14ac:dyDescent="0.35">
      <c r="C300"/>
    </row>
    <row r="301" spans="3:3" x14ac:dyDescent="0.35">
      <c r="C301"/>
    </row>
    <row r="302" spans="3:3" x14ac:dyDescent="0.35">
      <c r="C302"/>
    </row>
    <row r="303" spans="3:3" x14ac:dyDescent="0.35">
      <c r="C303"/>
    </row>
    <row r="304" spans="3:3" x14ac:dyDescent="0.35">
      <c r="C304"/>
    </row>
    <row r="305" spans="3:3" x14ac:dyDescent="0.35">
      <c r="C305"/>
    </row>
    <row r="306" spans="3:3" x14ac:dyDescent="0.35">
      <c r="C306"/>
    </row>
    <row r="307" spans="3:3" x14ac:dyDescent="0.35">
      <c r="C307"/>
    </row>
    <row r="308" spans="3:3" x14ac:dyDescent="0.35">
      <c r="C308"/>
    </row>
    <row r="309" spans="3:3" x14ac:dyDescent="0.35">
      <c r="C309"/>
    </row>
    <row r="310" spans="3:3" x14ac:dyDescent="0.35">
      <c r="C310"/>
    </row>
    <row r="311" spans="3:3" x14ac:dyDescent="0.35">
      <c r="C311"/>
    </row>
    <row r="312" spans="3:3" x14ac:dyDescent="0.35">
      <c r="C312"/>
    </row>
    <row r="313" spans="3:3" x14ac:dyDescent="0.35">
      <c r="C313"/>
    </row>
    <row r="314" spans="3:3" x14ac:dyDescent="0.35">
      <c r="C314"/>
    </row>
    <row r="315" spans="3:3" x14ac:dyDescent="0.35">
      <c r="C315"/>
    </row>
    <row r="316" spans="3:3" x14ac:dyDescent="0.35">
      <c r="C316"/>
    </row>
    <row r="317" spans="3:3" x14ac:dyDescent="0.35">
      <c r="C317"/>
    </row>
    <row r="318" spans="3:3" x14ac:dyDescent="0.35">
      <c r="C318"/>
    </row>
    <row r="319" spans="3:3" x14ac:dyDescent="0.35">
      <c r="C319"/>
    </row>
    <row r="320" spans="3:3" x14ac:dyDescent="0.35">
      <c r="C320"/>
    </row>
    <row r="321" spans="3:3" x14ac:dyDescent="0.35">
      <c r="C321"/>
    </row>
    <row r="322" spans="3:3" x14ac:dyDescent="0.35">
      <c r="C322"/>
    </row>
    <row r="323" spans="3:3" x14ac:dyDescent="0.35">
      <c r="C323"/>
    </row>
    <row r="324" spans="3:3" x14ac:dyDescent="0.35">
      <c r="C324"/>
    </row>
    <row r="325" spans="3:3" x14ac:dyDescent="0.35">
      <c r="C325"/>
    </row>
    <row r="326" spans="3:3" x14ac:dyDescent="0.35">
      <c r="C326"/>
    </row>
    <row r="327" spans="3:3" x14ac:dyDescent="0.35">
      <c r="C327"/>
    </row>
    <row r="328" spans="3:3" x14ac:dyDescent="0.35">
      <c r="C328"/>
    </row>
    <row r="329" spans="3:3" x14ac:dyDescent="0.35">
      <c r="C329"/>
    </row>
    <row r="330" spans="3:3" x14ac:dyDescent="0.35">
      <c r="C330"/>
    </row>
    <row r="331" spans="3:3" x14ac:dyDescent="0.35">
      <c r="C331"/>
    </row>
    <row r="332" spans="3:3" x14ac:dyDescent="0.35">
      <c r="C332"/>
    </row>
    <row r="333" spans="3:3" x14ac:dyDescent="0.35">
      <c r="C333"/>
    </row>
    <row r="334" spans="3:3" x14ac:dyDescent="0.35">
      <c r="C334"/>
    </row>
    <row r="335" spans="3:3" x14ac:dyDescent="0.35">
      <c r="C335"/>
    </row>
    <row r="336" spans="3:3" x14ac:dyDescent="0.35">
      <c r="C336"/>
    </row>
    <row r="337" spans="3:3" x14ac:dyDescent="0.35">
      <c r="C337"/>
    </row>
    <row r="338" spans="3:3" x14ac:dyDescent="0.35">
      <c r="C338"/>
    </row>
    <row r="339" spans="3:3" x14ac:dyDescent="0.35">
      <c r="C339"/>
    </row>
    <row r="340" spans="3:3" x14ac:dyDescent="0.35">
      <c r="C340"/>
    </row>
    <row r="341" spans="3:3" x14ac:dyDescent="0.35">
      <c r="C341"/>
    </row>
    <row r="342" spans="3:3" x14ac:dyDescent="0.35">
      <c r="C342"/>
    </row>
    <row r="343" spans="3:3" x14ac:dyDescent="0.35">
      <c r="C343"/>
    </row>
    <row r="344" spans="3:3" x14ac:dyDescent="0.35">
      <c r="C344"/>
    </row>
    <row r="345" spans="3:3" x14ac:dyDescent="0.35">
      <c r="C345"/>
    </row>
    <row r="346" spans="3:3" x14ac:dyDescent="0.35">
      <c r="C346"/>
    </row>
    <row r="347" spans="3:3" x14ac:dyDescent="0.35">
      <c r="C347"/>
    </row>
    <row r="348" spans="3:3" x14ac:dyDescent="0.35">
      <c r="C348"/>
    </row>
    <row r="349" spans="3:3" x14ac:dyDescent="0.35">
      <c r="C349"/>
    </row>
    <row r="350" spans="3:3" x14ac:dyDescent="0.35">
      <c r="C350"/>
    </row>
    <row r="351" spans="3:3" x14ac:dyDescent="0.35">
      <c r="C351"/>
    </row>
    <row r="352" spans="3:3" x14ac:dyDescent="0.35">
      <c r="C352"/>
    </row>
    <row r="353" spans="3:3" x14ac:dyDescent="0.35">
      <c r="C353"/>
    </row>
    <row r="354" spans="3:3" x14ac:dyDescent="0.35">
      <c r="C354"/>
    </row>
    <row r="355" spans="3:3" x14ac:dyDescent="0.35">
      <c r="C355"/>
    </row>
    <row r="356" spans="3:3" x14ac:dyDescent="0.35">
      <c r="C356"/>
    </row>
    <row r="357" spans="3:3" x14ac:dyDescent="0.35">
      <c r="C357"/>
    </row>
    <row r="358" spans="3:3" x14ac:dyDescent="0.35">
      <c r="C358"/>
    </row>
    <row r="359" spans="3:3" x14ac:dyDescent="0.35">
      <c r="C359"/>
    </row>
    <row r="360" spans="3:3" x14ac:dyDescent="0.35">
      <c r="C360"/>
    </row>
    <row r="361" spans="3:3" x14ac:dyDescent="0.35">
      <c r="C361"/>
    </row>
    <row r="362" spans="3:3" x14ac:dyDescent="0.35">
      <c r="C362"/>
    </row>
    <row r="363" spans="3:3" x14ac:dyDescent="0.35">
      <c r="C363"/>
    </row>
    <row r="364" spans="3:3" x14ac:dyDescent="0.35">
      <c r="C364"/>
    </row>
    <row r="365" spans="3:3" x14ac:dyDescent="0.35">
      <c r="C365"/>
    </row>
    <row r="366" spans="3:3" x14ac:dyDescent="0.35">
      <c r="C366"/>
    </row>
    <row r="367" spans="3:3" x14ac:dyDescent="0.35">
      <c r="C367"/>
    </row>
    <row r="368" spans="3:3" x14ac:dyDescent="0.35">
      <c r="C368"/>
    </row>
    <row r="369" spans="3:3" x14ac:dyDescent="0.35">
      <c r="C369"/>
    </row>
    <row r="370" spans="3:3" x14ac:dyDescent="0.35">
      <c r="C370"/>
    </row>
    <row r="371" spans="3:3" x14ac:dyDescent="0.35">
      <c r="C371"/>
    </row>
    <row r="372" spans="3:3" x14ac:dyDescent="0.35">
      <c r="C372"/>
    </row>
    <row r="373" spans="3:3" x14ac:dyDescent="0.35">
      <c r="C373"/>
    </row>
    <row r="374" spans="3:3" x14ac:dyDescent="0.35">
      <c r="C374"/>
    </row>
  </sheetData>
  <conditionalFormatting sqref="C27:E27 H58:Q59 E51:G51 E29:G29 E49:P50 H64:Q64 E31:P43 E65:P66 E60:P60 E52:P57 E63:P63 E30:H30 C61:H61 E8:Q28">
    <cfRule type="cellIs" dxfId="43" priority="43" operator="lessThan">
      <formula>0</formula>
    </cfRule>
  </conditionalFormatting>
  <conditionalFormatting sqref="D16:D17">
    <cfRule type="cellIs" dxfId="42" priority="42" operator="lessThan">
      <formula>0</formula>
    </cfRule>
  </conditionalFormatting>
  <conditionalFormatting sqref="D32">
    <cfRule type="cellIs" dxfId="41" priority="41" operator="lessThan">
      <formula>0</formula>
    </cfRule>
  </conditionalFormatting>
  <conditionalFormatting sqref="D33">
    <cfRule type="cellIs" dxfId="40" priority="40" operator="lessThan">
      <formula>0</formula>
    </cfRule>
  </conditionalFormatting>
  <conditionalFormatting sqref="D40">
    <cfRule type="cellIs" dxfId="39" priority="39" operator="lessThan">
      <formula>0</formula>
    </cfRule>
  </conditionalFormatting>
  <conditionalFormatting sqref="D53">
    <cfRule type="cellIs" dxfId="38" priority="38" operator="lessThan">
      <formula>0</formula>
    </cfRule>
  </conditionalFormatting>
  <conditionalFormatting sqref="D60">
    <cfRule type="cellIs" dxfId="37" priority="37" operator="lessThan">
      <formula>0</formula>
    </cfRule>
  </conditionalFormatting>
  <conditionalFormatting sqref="C60">
    <cfRule type="cellIs" dxfId="36" priority="36" operator="lessThan">
      <formula>0</formula>
    </cfRule>
  </conditionalFormatting>
  <conditionalFormatting sqref="D65">
    <cfRule type="cellIs" dxfId="35" priority="35" operator="lessThan">
      <formula>0</formula>
    </cfRule>
  </conditionalFormatting>
  <conditionalFormatting sqref="C16:C17">
    <cfRule type="cellIs" dxfId="34" priority="34" operator="lessThan">
      <formula>0</formula>
    </cfRule>
  </conditionalFormatting>
  <conditionalFormatting sqref="C32">
    <cfRule type="cellIs" dxfId="33" priority="33" operator="lessThan">
      <formula>0</formula>
    </cfRule>
  </conditionalFormatting>
  <conditionalFormatting sqref="C33">
    <cfRule type="cellIs" dxfId="32" priority="32" operator="lessThan">
      <formula>0</formula>
    </cfRule>
  </conditionalFormatting>
  <conditionalFormatting sqref="C40">
    <cfRule type="cellIs" dxfId="31" priority="31" operator="lessThan">
      <formula>0</formula>
    </cfRule>
  </conditionalFormatting>
  <conditionalFormatting sqref="D43">
    <cfRule type="cellIs" dxfId="30" priority="30" operator="lessThan">
      <formula>0</formula>
    </cfRule>
  </conditionalFormatting>
  <conditionalFormatting sqref="C43">
    <cfRule type="cellIs" dxfId="29" priority="29" operator="lessThan">
      <formula>0</formula>
    </cfRule>
  </conditionalFormatting>
  <conditionalFormatting sqref="C53">
    <cfRule type="cellIs" dxfId="28" priority="28" operator="lessThan">
      <formula>0</formula>
    </cfRule>
  </conditionalFormatting>
  <conditionalFormatting sqref="C65">
    <cfRule type="cellIs" dxfId="27" priority="27" operator="lessThan">
      <formula>0</formula>
    </cfRule>
  </conditionalFormatting>
  <conditionalFormatting sqref="D20">
    <cfRule type="cellIs" dxfId="26" priority="26" operator="lessThan">
      <formula>0</formula>
    </cfRule>
  </conditionalFormatting>
  <conditionalFormatting sqref="C20">
    <cfRule type="cellIs" dxfId="25" priority="25" operator="lessThan">
      <formula>0</formula>
    </cfRule>
  </conditionalFormatting>
  <conditionalFormatting sqref="D22">
    <cfRule type="cellIs" dxfId="24" priority="24" operator="lessThan">
      <formula>0</formula>
    </cfRule>
  </conditionalFormatting>
  <conditionalFormatting sqref="C23:D23">
    <cfRule type="cellIs" dxfId="23" priority="23" operator="lessThan">
      <formula>0</formula>
    </cfRule>
  </conditionalFormatting>
  <conditionalFormatting sqref="C31">
    <cfRule type="cellIs" dxfId="22" priority="20" operator="lessThan">
      <formula>0</formula>
    </cfRule>
  </conditionalFormatting>
  <conditionalFormatting sqref="C30:D30">
    <cfRule type="cellIs" dxfId="21" priority="22" operator="lessThan">
      <formula>0</formula>
    </cfRule>
  </conditionalFormatting>
  <conditionalFormatting sqref="D31">
    <cfRule type="cellIs" dxfId="20" priority="21" operator="lessThan">
      <formula>0</formula>
    </cfRule>
  </conditionalFormatting>
  <conditionalFormatting sqref="C22">
    <cfRule type="cellIs" dxfId="19" priority="19" operator="lessThan">
      <formula>0</formula>
    </cfRule>
  </conditionalFormatting>
  <conditionalFormatting sqref="C13">
    <cfRule type="cellIs" dxfId="18" priority="18" operator="lessThan">
      <formula>0</formula>
    </cfRule>
  </conditionalFormatting>
  <conditionalFormatting sqref="D13">
    <cfRule type="cellIs" dxfId="17" priority="17" operator="lessThan">
      <formula>0</formula>
    </cfRule>
  </conditionalFormatting>
  <conditionalFormatting sqref="Q49:Q50 Q63 Q43 Q60 Q65:Q66 Q52:Q56 Q31:Q41">
    <cfRule type="cellIs" dxfId="16" priority="15" operator="lessThan">
      <formula>0</formula>
    </cfRule>
  </conditionalFormatting>
  <conditionalFormatting sqref="Q42">
    <cfRule type="cellIs" dxfId="15" priority="14" operator="lessThan">
      <formula>0</formula>
    </cfRule>
  </conditionalFormatting>
  <conditionalFormatting sqref="Q57">
    <cfRule type="cellIs" dxfId="14" priority="13" operator="lessThan">
      <formula>0</formula>
    </cfRule>
  </conditionalFormatting>
  <conditionalFormatting sqref="C58:C59">
    <cfRule type="cellIs" dxfId="13" priority="11" operator="lessThan">
      <formula>0</formula>
    </cfRule>
  </conditionalFormatting>
  <conditionalFormatting sqref="D58:G59">
    <cfRule type="cellIs" dxfId="12" priority="10" operator="lessThan">
      <formula>0</formula>
    </cfRule>
  </conditionalFormatting>
  <conditionalFormatting sqref="C64:G64">
    <cfRule type="cellIs" dxfId="11" priority="9" operator="lessThan">
      <formula>0</formula>
    </cfRule>
  </conditionalFormatting>
  <conditionalFormatting sqref="H51:Q51">
    <cfRule type="cellIs" dxfId="10" priority="8" operator="lessThan">
      <formula>0</formula>
    </cfRule>
  </conditionalFormatting>
  <conditionalFormatting sqref="D29">
    <cfRule type="cellIs" dxfId="9" priority="7" operator="lessThan">
      <formula>0</formula>
    </cfRule>
  </conditionalFormatting>
  <conditionalFormatting sqref="C29">
    <cfRule type="cellIs" dxfId="8" priority="6" operator="lessThan">
      <formula>0</formula>
    </cfRule>
  </conditionalFormatting>
  <conditionalFormatting sqref="H29:Q29">
    <cfRule type="cellIs" dxfId="7" priority="4" operator="lessThan">
      <formula>0</formula>
    </cfRule>
  </conditionalFormatting>
  <conditionalFormatting sqref="G46">
    <cfRule type="cellIs" dxfId="6" priority="3" operator="lessThan">
      <formula>0</formula>
    </cfRule>
  </conditionalFormatting>
  <conditionalFormatting sqref="I30:Q30">
    <cfRule type="cellIs" dxfId="5" priority="2" operator="lessThan">
      <formula>0</formula>
    </cfRule>
  </conditionalFormatting>
  <conditionalFormatting sqref="I61:Q61">
    <cfRule type="cellIs" dxfId="4" priority="1" operator="lessThan">
      <formula>0</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2:W1491"/>
  <sheetViews>
    <sheetView showGridLines="0" zoomScale="80" zoomScaleNormal="80" workbookViewId="0">
      <pane xSplit="2" ySplit="4" topLeftCell="D5" activePane="bottomRight" state="frozen"/>
      <selection pane="topRight" activeCell="C1" sqref="C1"/>
      <selection pane="bottomLeft" activeCell="A5" sqref="A5"/>
      <selection pane="bottomRight" activeCell="L127" sqref="L127"/>
    </sheetView>
  </sheetViews>
  <sheetFormatPr defaultColWidth="8.54296875" defaultRowHeight="14.5" x14ac:dyDescent="0.35"/>
  <cols>
    <col min="1" max="1" width="8.54296875" style="213"/>
    <col min="2" max="2" width="56.453125" style="213" customWidth="1"/>
    <col min="3" max="3" width="17" style="213" customWidth="1"/>
    <col min="4" max="4" width="15.453125" style="213" bestFit="1" customWidth="1"/>
    <col min="5" max="7" width="13.54296875" style="213" bestFit="1" customWidth="1"/>
    <col min="8" max="8" width="15.453125" style="213" bestFit="1" customWidth="1"/>
    <col min="9" max="9" width="15.453125" style="213" customWidth="1"/>
    <col min="10" max="10" width="13.54296875" style="213" bestFit="1" customWidth="1"/>
    <col min="11" max="11" width="11.453125" style="213" customWidth="1"/>
    <col min="12" max="12" width="12.453125" style="213" bestFit="1" customWidth="1"/>
    <col min="13" max="14" width="10.81640625" style="213" customWidth="1"/>
    <col min="15" max="15" width="10.81640625" style="213" bestFit="1" customWidth="1"/>
    <col min="16" max="16" width="8.54296875" style="213"/>
    <col min="17" max="17" width="8.54296875" style="213" bestFit="1" customWidth="1"/>
    <col min="18" max="18" width="9.81640625" style="213" bestFit="1" customWidth="1"/>
    <col min="19" max="19" width="10.54296875" style="213" bestFit="1" customWidth="1"/>
    <col min="20" max="20" width="9.81640625" style="213" bestFit="1" customWidth="1"/>
    <col min="21" max="21" width="10.54296875" style="213" bestFit="1" customWidth="1"/>
    <col min="22" max="22" width="5.1796875" style="213" customWidth="1"/>
    <col min="23" max="16384" width="8.54296875" style="213"/>
  </cols>
  <sheetData>
    <row r="2" spans="1:10" x14ac:dyDescent="0.35">
      <c r="B2" s="134" t="s">
        <v>0</v>
      </c>
    </row>
    <row r="4" spans="1:10" x14ac:dyDescent="0.35">
      <c r="B4" s="410" t="s">
        <v>251</v>
      </c>
      <c r="C4" s="410"/>
      <c r="D4" s="410">
        <f>EOMONTH(E4,-12)</f>
        <v>42460</v>
      </c>
      <c r="E4" s="410">
        <v>42825</v>
      </c>
      <c r="F4" s="410">
        <f>EOMONTH(E4,12)</f>
        <v>43190</v>
      </c>
      <c r="G4" s="410">
        <f>EOMONTH(F4,12)</f>
        <v>43555</v>
      </c>
      <c r="H4" s="410">
        <f>EOMONTH(G4,12)</f>
        <v>43921</v>
      </c>
      <c r="I4" s="410">
        <f>EOMONTH(H4,12)</f>
        <v>44286</v>
      </c>
      <c r="J4" s="410">
        <f>EOMONTH(I4,12)</f>
        <v>44651</v>
      </c>
    </row>
    <row r="5" spans="1:10" s="217" customFormat="1" x14ac:dyDescent="0.35">
      <c r="A5" s="544" t="s">
        <v>836</v>
      </c>
      <c r="B5" s="541" t="s">
        <v>13</v>
      </c>
      <c r="C5" s="542"/>
      <c r="D5" s="542"/>
      <c r="E5" s="542"/>
      <c r="F5" s="542"/>
      <c r="G5" s="542"/>
      <c r="H5" s="542"/>
      <c r="I5" s="542"/>
      <c r="J5" s="542"/>
    </row>
    <row r="6" spans="1:10" x14ac:dyDescent="0.35">
      <c r="B6" s="411" t="s">
        <v>629</v>
      </c>
      <c r="C6" s="412"/>
      <c r="D6" s="412"/>
      <c r="E6" s="412"/>
      <c r="F6" s="412"/>
      <c r="G6" s="412"/>
      <c r="H6" s="412"/>
      <c r="I6" s="412"/>
      <c r="J6" s="412"/>
    </row>
    <row r="7" spans="1:10" x14ac:dyDescent="0.35">
      <c r="B7" s="199" t="s">
        <v>664</v>
      </c>
      <c r="C7" s="199" t="s">
        <v>369</v>
      </c>
      <c r="D7" s="198"/>
      <c r="E7" s="198"/>
      <c r="F7" s="198"/>
      <c r="G7" s="198"/>
      <c r="H7" s="198"/>
      <c r="I7" s="198"/>
      <c r="J7" s="198"/>
    </row>
    <row r="8" spans="1:10" x14ac:dyDescent="0.35">
      <c r="B8" s="199" t="s">
        <v>630</v>
      </c>
      <c r="C8" s="199"/>
      <c r="D8" s="198"/>
      <c r="E8" s="198"/>
      <c r="F8" s="198"/>
      <c r="G8" s="198"/>
      <c r="H8" s="198"/>
      <c r="I8" s="198"/>
      <c r="J8" s="198"/>
    </row>
    <row r="9" spans="1:10" s="254" customFormat="1" x14ac:dyDescent="0.35">
      <c r="B9" s="279" t="s">
        <v>631</v>
      </c>
      <c r="C9" s="279" t="s">
        <v>890</v>
      </c>
      <c r="D9" s="422">
        <v>120000</v>
      </c>
      <c r="E9" s="422">
        <v>120000</v>
      </c>
      <c r="F9" s="422">
        <v>120000</v>
      </c>
      <c r="G9" s="422">
        <v>120000</v>
      </c>
      <c r="H9" s="422">
        <v>120000</v>
      </c>
      <c r="I9" s="422">
        <v>120000</v>
      </c>
      <c r="J9" s="422">
        <v>120000</v>
      </c>
    </row>
    <row r="10" spans="1:10" s="254" customFormat="1" x14ac:dyDescent="0.35">
      <c r="B10" s="279" t="s">
        <v>632</v>
      </c>
      <c r="C10" s="279" t="s">
        <v>890</v>
      </c>
      <c r="D10" s="422">
        <v>90000</v>
      </c>
      <c r="E10" s="422">
        <v>90000</v>
      </c>
      <c r="F10" s="422">
        <v>90000</v>
      </c>
      <c r="G10" s="422">
        <v>90000</v>
      </c>
      <c r="H10" s="422">
        <v>90000</v>
      </c>
      <c r="I10" s="422">
        <v>90000</v>
      </c>
      <c r="J10" s="422">
        <v>90000</v>
      </c>
    </row>
    <row r="11" spans="1:10" s="254" customFormat="1" x14ac:dyDescent="0.35">
      <c r="B11" s="279" t="s">
        <v>633</v>
      </c>
      <c r="C11" s="279" t="s">
        <v>890</v>
      </c>
      <c r="D11" s="422">
        <v>90000</v>
      </c>
      <c r="E11" s="422">
        <v>90000</v>
      </c>
      <c r="F11" s="422">
        <v>90000</v>
      </c>
      <c r="G11" s="422">
        <v>90000</v>
      </c>
      <c r="H11" s="422">
        <v>90000</v>
      </c>
      <c r="I11" s="422">
        <v>90000</v>
      </c>
      <c r="J11" s="422">
        <v>90000</v>
      </c>
    </row>
    <row r="12" spans="1:10" s="254" customFormat="1" x14ac:dyDescent="0.35">
      <c r="B12" s="279" t="s">
        <v>634</v>
      </c>
      <c r="C12" s="279" t="s">
        <v>890</v>
      </c>
      <c r="D12" s="422">
        <v>90000</v>
      </c>
      <c r="E12" s="422">
        <v>90000</v>
      </c>
      <c r="F12" s="422">
        <v>90000</v>
      </c>
      <c r="G12" s="422">
        <v>90000</v>
      </c>
      <c r="H12" s="422">
        <v>90000</v>
      </c>
      <c r="I12" s="422">
        <v>90000</v>
      </c>
      <c r="J12" s="422">
        <v>90000</v>
      </c>
    </row>
    <row r="13" spans="1:10" s="254" customFormat="1" x14ac:dyDescent="0.35">
      <c r="B13" s="279" t="s">
        <v>635</v>
      </c>
      <c r="C13" s="279" t="s">
        <v>890</v>
      </c>
      <c r="D13" s="422">
        <v>90000</v>
      </c>
      <c r="E13" s="422">
        <v>90000</v>
      </c>
      <c r="F13" s="422">
        <v>90000</v>
      </c>
      <c r="G13" s="422">
        <v>90000</v>
      </c>
      <c r="H13" s="422">
        <v>90000</v>
      </c>
      <c r="I13" s="422">
        <v>90000</v>
      </c>
      <c r="J13" s="422">
        <v>90000</v>
      </c>
    </row>
    <row r="14" spans="1:10" s="254" customFormat="1" x14ac:dyDescent="0.35">
      <c r="B14" s="289" t="s">
        <v>636</v>
      </c>
      <c r="C14" s="279" t="s">
        <v>890</v>
      </c>
      <c r="D14" s="423">
        <f t="shared" ref="D14:I14" si="0">SUM(D9:D13)</f>
        <v>480000</v>
      </c>
      <c r="E14" s="423">
        <f t="shared" si="0"/>
        <v>480000</v>
      </c>
      <c r="F14" s="423">
        <f t="shared" si="0"/>
        <v>480000</v>
      </c>
      <c r="G14" s="423">
        <f t="shared" si="0"/>
        <v>480000</v>
      </c>
      <c r="H14" s="423">
        <f t="shared" si="0"/>
        <v>480000</v>
      </c>
      <c r="I14" s="423">
        <f t="shared" si="0"/>
        <v>480000</v>
      </c>
      <c r="J14" s="423">
        <f t="shared" ref="J14" si="1">SUM(J9:J13)</f>
        <v>480000</v>
      </c>
    </row>
    <row r="15" spans="1:10" s="254" customFormat="1" x14ac:dyDescent="0.35">
      <c r="B15" s="289" t="s">
        <v>637</v>
      </c>
      <c r="C15" s="279" t="s">
        <v>890</v>
      </c>
      <c r="D15" s="422"/>
      <c r="E15" s="422"/>
      <c r="F15" s="422"/>
      <c r="G15" s="422"/>
      <c r="H15" s="422"/>
      <c r="I15" s="422"/>
      <c r="J15" s="422"/>
    </row>
    <row r="16" spans="1:10" s="254" customFormat="1" x14ac:dyDescent="0.35">
      <c r="B16" s="279" t="s">
        <v>638</v>
      </c>
      <c r="C16" s="279" t="s">
        <v>890</v>
      </c>
      <c r="D16" s="422">
        <v>130000</v>
      </c>
      <c r="E16" s="422">
        <v>130000</v>
      </c>
      <c r="F16" s="422">
        <v>130000</v>
      </c>
      <c r="G16" s="422">
        <v>130000</v>
      </c>
      <c r="H16" s="422">
        <v>130000</v>
      </c>
      <c r="I16" s="422">
        <v>130000</v>
      </c>
      <c r="J16" s="422">
        <v>130000</v>
      </c>
    </row>
    <row r="17" spans="2:10" s="254" customFormat="1" x14ac:dyDescent="0.35">
      <c r="B17" s="279" t="s">
        <v>639</v>
      </c>
      <c r="C17" s="279" t="s">
        <v>890</v>
      </c>
      <c r="D17" s="422">
        <v>110000</v>
      </c>
      <c r="E17" s="422">
        <v>110000</v>
      </c>
      <c r="F17" s="422">
        <v>110000</v>
      </c>
      <c r="G17" s="422">
        <v>110000</v>
      </c>
      <c r="H17" s="422">
        <v>110000</v>
      </c>
      <c r="I17" s="422">
        <v>110000</v>
      </c>
      <c r="J17" s="422">
        <v>110000</v>
      </c>
    </row>
    <row r="18" spans="2:10" s="254" customFormat="1" x14ac:dyDescent="0.35">
      <c r="B18" s="279" t="s">
        <v>640</v>
      </c>
      <c r="C18" s="279" t="s">
        <v>890</v>
      </c>
      <c r="D18" s="422">
        <v>100000</v>
      </c>
      <c r="E18" s="422">
        <v>100000</v>
      </c>
      <c r="F18" s="422">
        <v>100000</v>
      </c>
      <c r="G18" s="422">
        <v>100000</v>
      </c>
      <c r="H18" s="422">
        <v>100000</v>
      </c>
      <c r="I18" s="422">
        <v>100000</v>
      </c>
      <c r="J18" s="422">
        <v>100000</v>
      </c>
    </row>
    <row r="19" spans="2:10" s="254" customFormat="1" x14ac:dyDescent="0.35">
      <c r="B19" s="279" t="s">
        <v>641</v>
      </c>
      <c r="C19" s="279" t="s">
        <v>890</v>
      </c>
      <c r="D19" s="422">
        <v>70000</v>
      </c>
      <c r="E19" s="422">
        <v>70000</v>
      </c>
      <c r="F19" s="422">
        <v>70000</v>
      </c>
      <c r="G19" s="422">
        <v>70000</v>
      </c>
      <c r="H19" s="422">
        <v>70000</v>
      </c>
      <c r="I19" s="422">
        <v>70000</v>
      </c>
      <c r="J19" s="422">
        <v>70000</v>
      </c>
    </row>
    <row r="20" spans="2:10" s="254" customFormat="1" x14ac:dyDescent="0.35">
      <c r="B20" s="279" t="s">
        <v>642</v>
      </c>
      <c r="C20" s="279" t="s">
        <v>890</v>
      </c>
      <c r="D20" s="422">
        <v>70000</v>
      </c>
      <c r="E20" s="422">
        <v>70000</v>
      </c>
      <c r="F20" s="422">
        <v>70000</v>
      </c>
      <c r="G20" s="422">
        <v>70000</v>
      </c>
      <c r="H20" s="422">
        <v>70000</v>
      </c>
      <c r="I20" s="422">
        <v>70000</v>
      </c>
      <c r="J20" s="422">
        <v>70000</v>
      </c>
    </row>
    <row r="21" spans="2:10" s="254" customFormat="1" x14ac:dyDescent="0.35">
      <c r="B21" s="289" t="s">
        <v>643</v>
      </c>
      <c r="C21" s="279" t="s">
        <v>890</v>
      </c>
      <c r="D21" s="423">
        <f t="shared" ref="D21:I21" si="2">SUM(D16:D20)</f>
        <v>480000</v>
      </c>
      <c r="E21" s="423">
        <f t="shared" si="2"/>
        <v>480000</v>
      </c>
      <c r="F21" s="423">
        <f t="shared" si="2"/>
        <v>480000</v>
      </c>
      <c r="G21" s="423">
        <f t="shared" si="2"/>
        <v>480000</v>
      </c>
      <c r="H21" s="423">
        <f t="shared" si="2"/>
        <v>480000</v>
      </c>
      <c r="I21" s="423">
        <f t="shared" si="2"/>
        <v>480000</v>
      </c>
      <c r="J21" s="423">
        <f t="shared" ref="J21" si="3">SUM(J16:J20)</f>
        <v>480000</v>
      </c>
    </row>
    <row r="22" spans="2:10" s="254" customFormat="1" x14ac:dyDescent="0.35">
      <c r="B22" s="289" t="s">
        <v>644</v>
      </c>
      <c r="C22" s="279" t="s">
        <v>890</v>
      </c>
      <c r="D22" s="422"/>
      <c r="E22" s="422"/>
      <c r="F22" s="422"/>
      <c r="G22" s="422"/>
      <c r="H22" s="422"/>
      <c r="I22" s="422"/>
      <c r="J22" s="422"/>
    </row>
    <row r="23" spans="2:10" s="254" customFormat="1" x14ac:dyDescent="0.35">
      <c r="B23" s="279" t="s">
        <v>645</v>
      </c>
      <c r="C23" s="279" t="s">
        <v>890</v>
      </c>
      <c r="D23" s="422">
        <v>60000</v>
      </c>
      <c r="E23" s="422">
        <v>60000</v>
      </c>
      <c r="F23" s="422">
        <v>60000</v>
      </c>
      <c r="G23" s="422">
        <v>60000</v>
      </c>
      <c r="H23" s="422">
        <v>60000</v>
      </c>
      <c r="I23" s="422">
        <v>60000</v>
      </c>
      <c r="J23" s="422">
        <v>60000</v>
      </c>
    </row>
    <row r="24" spans="2:10" s="254" customFormat="1" x14ac:dyDescent="0.35">
      <c r="B24" s="279" t="s">
        <v>646</v>
      </c>
      <c r="C24" s="279" t="s">
        <v>890</v>
      </c>
      <c r="D24" s="422">
        <v>70000</v>
      </c>
      <c r="E24" s="422">
        <v>70000</v>
      </c>
      <c r="F24" s="422">
        <v>70000</v>
      </c>
      <c r="G24" s="422">
        <v>70000</v>
      </c>
      <c r="H24" s="422">
        <v>70000</v>
      </c>
      <c r="I24" s="422">
        <v>70000</v>
      </c>
      <c r="J24" s="422">
        <v>70000</v>
      </c>
    </row>
    <row r="25" spans="2:10" s="254" customFormat="1" x14ac:dyDescent="0.35">
      <c r="B25" s="279" t="s">
        <v>647</v>
      </c>
      <c r="C25" s="279" t="s">
        <v>890</v>
      </c>
      <c r="D25" s="422">
        <v>120000</v>
      </c>
      <c r="E25" s="422">
        <v>120000</v>
      </c>
      <c r="F25" s="422">
        <v>120000</v>
      </c>
      <c r="G25" s="422">
        <v>120000</v>
      </c>
      <c r="H25" s="422">
        <v>120000</v>
      </c>
      <c r="I25" s="422">
        <v>120000</v>
      </c>
      <c r="J25" s="422">
        <v>120000</v>
      </c>
    </row>
    <row r="26" spans="2:10" s="254" customFormat="1" x14ac:dyDescent="0.35">
      <c r="B26" s="279" t="s">
        <v>648</v>
      </c>
      <c r="C26" s="279" t="s">
        <v>890</v>
      </c>
      <c r="D26" s="422">
        <v>150000</v>
      </c>
      <c r="E26" s="422">
        <v>150000</v>
      </c>
      <c r="F26" s="422">
        <v>150000</v>
      </c>
      <c r="G26" s="422">
        <v>150000</v>
      </c>
      <c r="H26" s="422">
        <v>150000</v>
      </c>
      <c r="I26" s="422">
        <v>150000</v>
      </c>
      <c r="J26" s="422">
        <v>150000</v>
      </c>
    </row>
    <row r="27" spans="2:10" s="254" customFormat="1" x14ac:dyDescent="0.35">
      <c r="B27" s="289" t="s">
        <v>649</v>
      </c>
      <c r="C27" s="279" t="s">
        <v>890</v>
      </c>
      <c r="D27" s="423">
        <f t="shared" ref="D27:I27" si="4">SUM(D23:D26)</f>
        <v>400000</v>
      </c>
      <c r="E27" s="423">
        <f t="shared" si="4"/>
        <v>400000</v>
      </c>
      <c r="F27" s="423">
        <f t="shared" si="4"/>
        <v>400000</v>
      </c>
      <c r="G27" s="423">
        <f t="shared" si="4"/>
        <v>400000</v>
      </c>
      <c r="H27" s="423">
        <f t="shared" si="4"/>
        <v>400000</v>
      </c>
      <c r="I27" s="423">
        <f t="shared" si="4"/>
        <v>400000</v>
      </c>
      <c r="J27" s="423">
        <f t="shared" ref="J27" si="5">SUM(J23:J26)</f>
        <v>400000</v>
      </c>
    </row>
    <row r="28" spans="2:10" s="254" customFormat="1" x14ac:dyDescent="0.35">
      <c r="B28" s="289" t="s">
        <v>36</v>
      </c>
      <c r="C28" s="279" t="s">
        <v>890</v>
      </c>
      <c r="D28" s="425">
        <f t="shared" ref="D28:I28" si="6">D27+D21+D14</f>
        <v>1360000</v>
      </c>
      <c r="E28" s="425">
        <f t="shared" si="6"/>
        <v>1360000</v>
      </c>
      <c r="F28" s="425">
        <f t="shared" si="6"/>
        <v>1360000</v>
      </c>
      <c r="G28" s="425">
        <f t="shared" si="6"/>
        <v>1360000</v>
      </c>
      <c r="H28" s="425">
        <f t="shared" si="6"/>
        <v>1360000</v>
      </c>
      <c r="I28" s="425">
        <f t="shared" si="6"/>
        <v>1360000</v>
      </c>
      <c r="J28" s="425">
        <f t="shared" ref="J28" si="7">J27+J21+J14</f>
        <v>1360000</v>
      </c>
    </row>
    <row r="29" spans="2:10" s="254" customFormat="1" x14ac:dyDescent="0.35">
      <c r="B29" s="289"/>
      <c r="C29" s="279"/>
      <c r="D29" s="425"/>
      <c r="E29" s="425"/>
      <c r="F29" s="425"/>
      <c r="G29" s="425"/>
      <c r="H29" s="425"/>
      <c r="I29" s="425"/>
      <c r="J29" s="425"/>
    </row>
    <row r="30" spans="2:10" x14ac:dyDescent="0.35">
      <c r="B30" s="411" t="s">
        <v>360</v>
      </c>
      <c r="C30" s="412"/>
      <c r="D30" s="412"/>
      <c r="E30" s="412"/>
      <c r="F30" s="412"/>
      <c r="G30" s="412"/>
      <c r="H30" s="412"/>
      <c r="I30" s="412"/>
      <c r="J30" s="412"/>
    </row>
    <row r="31" spans="2:10" x14ac:dyDescent="0.35">
      <c r="B31" s="199" t="s">
        <v>664</v>
      </c>
      <c r="C31" s="199" t="s">
        <v>369</v>
      </c>
      <c r="D31" s="198"/>
      <c r="E31" s="198"/>
      <c r="F31" s="198"/>
      <c r="G31" s="198"/>
      <c r="H31" s="198"/>
      <c r="I31" s="198"/>
      <c r="J31" s="198"/>
    </row>
    <row r="32" spans="2:10" x14ac:dyDescent="0.35">
      <c r="B32" s="199" t="s">
        <v>630</v>
      </c>
      <c r="C32" s="199"/>
      <c r="D32" s="244"/>
      <c r="E32" s="244"/>
      <c r="F32" s="244"/>
      <c r="G32" s="244"/>
      <c r="H32" s="244"/>
      <c r="I32" s="244"/>
      <c r="J32" s="244"/>
    </row>
    <row r="33" spans="2:10" s="254" customFormat="1" x14ac:dyDescent="0.35">
      <c r="B33" s="279" t="s">
        <v>631</v>
      </c>
      <c r="C33" s="279" t="s">
        <v>225</v>
      </c>
      <c r="D33" s="496">
        <v>158</v>
      </c>
      <c r="E33" s="496">
        <v>148</v>
      </c>
      <c r="F33" s="496">
        <v>161</v>
      </c>
      <c r="G33" s="496">
        <v>183</v>
      </c>
      <c r="H33" s="496">
        <v>178</v>
      </c>
      <c r="I33" s="496">
        <v>194</v>
      </c>
      <c r="J33" s="496">
        <v>185</v>
      </c>
    </row>
    <row r="34" spans="2:10" s="254" customFormat="1" x14ac:dyDescent="0.35">
      <c r="B34" s="279" t="s">
        <v>632</v>
      </c>
      <c r="C34" s="279" t="s">
        <v>225</v>
      </c>
      <c r="D34" s="496">
        <v>133</v>
      </c>
      <c r="E34" s="496">
        <v>149</v>
      </c>
      <c r="F34" s="496">
        <v>166</v>
      </c>
      <c r="G34" s="496">
        <v>194</v>
      </c>
      <c r="H34" s="496">
        <v>191</v>
      </c>
      <c r="I34" s="496">
        <v>211</v>
      </c>
      <c r="J34" s="496">
        <v>176</v>
      </c>
    </row>
    <row r="35" spans="2:10" s="254" customFormat="1" x14ac:dyDescent="0.35">
      <c r="B35" s="279" t="s">
        <v>633</v>
      </c>
      <c r="C35" s="279" t="s">
        <v>225</v>
      </c>
      <c r="D35" s="496">
        <v>161</v>
      </c>
      <c r="E35" s="496">
        <v>155</v>
      </c>
      <c r="F35" s="496">
        <v>171</v>
      </c>
      <c r="G35" s="496">
        <v>183</v>
      </c>
      <c r="H35" s="496">
        <v>190</v>
      </c>
      <c r="I35" s="496">
        <v>205</v>
      </c>
      <c r="J35" s="496">
        <v>175</v>
      </c>
    </row>
    <row r="36" spans="2:10" s="254" customFormat="1" x14ac:dyDescent="0.35">
      <c r="B36" s="279" t="s">
        <v>634</v>
      </c>
      <c r="C36" s="279" t="s">
        <v>225</v>
      </c>
      <c r="D36" s="496">
        <v>152</v>
      </c>
      <c r="E36" s="496">
        <v>152</v>
      </c>
      <c r="F36" s="496">
        <v>159</v>
      </c>
      <c r="G36" s="496">
        <v>179</v>
      </c>
      <c r="H36" s="496">
        <v>179</v>
      </c>
      <c r="I36" s="496">
        <v>206</v>
      </c>
      <c r="J36" s="496">
        <v>179</v>
      </c>
    </row>
    <row r="37" spans="2:10" s="254" customFormat="1" x14ac:dyDescent="0.35">
      <c r="B37" s="279" t="s">
        <v>635</v>
      </c>
      <c r="C37" s="279" t="s">
        <v>225</v>
      </c>
      <c r="D37" s="496">
        <v>103</v>
      </c>
      <c r="E37" s="496">
        <v>148</v>
      </c>
      <c r="F37" s="496">
        <v>151</v>
      </c>
      <c r="G37" s="496">
        <v>163</v>
      </c>
      <c r="H37" s="496">
        <v>174</v>
      </c>
      <c r="I37" s="496">
        <v>180</v>
      </c>
      <c r="J37" s="496">
        <v>146</v>
      </c>
    </row>
    <row r="38" spans="2:10" s="254" customFormat="1" x14ac:dyDescent="0.35">
      <c r="B38" s="289" t="s">
        <v>637</v>
      </c>
      <c r="C38" s="279" t="s">
        <v>225</v>
      </c>
      <c r="D38" s="496"/>
      <c r="E38" s="496"/>
      <c r="F38" s="496"/>
      <c r="G38" s="496"/>
      <c r="H38" s="496"/>
      <c r="I38" s="496"/>
      <c r="J38" s="496"/>
    </row>
    <row r="39" spans="2:10" s="254" customFormat="1" x14ac:dyDescent="0.35">
      <c r="B39" s="279" t="s">
        <v>638</v>
      </c>
      <c r="C39" s="279" t="s">
        <v>225</v>
      </c>
      <c r="D39" s="496">
        <v>132</v>
      </c>
      <c r="E39" s="496">
        <v>145</v>
      </c>
      <c r="F39" s="496">
        <v>146</v>
      </c>
      <c r="G39" s="496">
        <v>208</v>
      </c>
      <c r="H39" s="496">
        <v>172</v>
      </c>
      <c r="I39" s="496">
        <v>170</v>
      </c>
      <c r="J39" s="496">
        <v>140</v>
      </c>
    </row>
    <row r="40" spans="2:10" s="254" customFormat="1" x14ac:dyDescent="0.35">
      <c r="B40" s="279" t="s">
        <v>639</v>
      </c>
      <c r="C40" s="279" t="s">
        <v>225</v>
      </c>
      <c r="D40" s="496">
        <v>117</v>
      </c>
      <c r="E40" s="496">
        <v>138</v>
      </c>
      <c r="F40" s="496">
        <v>146</v>
      </c>
      <c r="G40" s="496">
        <v>163</v>
      </c>
      <c r="H40" s="496">
        <v>161</v>
      </c>
      <c r="I40" s="496">
        <v>160</v>
      </c>
      <c r="J40" s="496">
        <v>106</v>
      </c>
    </row>
    <row r="41" spans="2:10" s="254" customFormat="1" x14ac:dyDescent="0.35">
      <c r="B41" s="279" t="s">
        <v>640</v>
      </c>
      <c r="C41" s="279" t="s">
        <v>225</v>
      </c>
      <c r="D41" s="496">
        <v>133</v>
      </c>
      <c r="E41" s="496">
        <v>145</v>
      </c>
      <c r="F41" s="496">
        <v>146</v>
      </c>
      <c r="G41" s="496">
        <v>188</v>
      </c>
      <c r="H41" s="496">
        <v>182</v>
      </c>
      <c r="I41" s="496">
        <v>169</v>
      </c>
      <c r="J41" s="496">
        <v>113</v>
      </c>
    </row>
    <row r="42" spans="2:10" s="254" customFormat="1" x14ac:dyDescent="0.35">
      <c r="B42" s="279" t="s">
        <v>641</v>
      </c>
      <c r="C42" s="279" t="s">
        <v>225</v>
      </c>
      <c r="D42" s="496">
        <v>87</v>
      </c>
      <c r="E42" s="496">
        <v>119</v>
      </c>
      <c r="F42" s="496">
        <v>146</v>
      </c>
      <c r="G42" s="496">
        <v>169</v>
      </c>
      <c r="H42" s="496">
        <v>156</v>
      </c>
      <c r="I42" s="496">
        <v>167</v>
      </c>
      <c r="J42" s="496">
        <v>141</v>
      </c>
    </row>
    <row r="43" spans="2:10" s="254" customFormat="1" x14ac:dyDescent="0.35">
      <c r="B43" s="279" t="s">
        <v>642</v>
      </c>
      <c r="C43" s="279" t="s">
        <v>225</v>
      </c>
      <c r="D43" s="496">
        <v>86</v>
      </c>
      <c r="E43" s="496">
        <v>128</v>
      </c>
      <c r="F43" s="496">
        <v>146</v>
      </c>
      <c r="G43" s="496">
        <v>217</v>
      </c>
      <c r="H43" s="496">
        <v>161</v>
      </c>
      <c r="I43" s="496">
        <v>138</v>
      </c>
      <c r="J43" s="496">
        <v>106</v>
      </c>
    </row>
    <row r="44" spans="2:10" s="254" customFormat="1" x14ac:dyDescent="0.35">
      <c r="B44" s="289" t="s">
        <v>644</v>
      </c>
      <c r="C44" s="279" t="s">
        <v>225</v>
      </c>
      <c r="D44" s="496"/>
      <c r="E44" s="496"/>
      <c r="F44" s="496"/>
      <c r="G44" s="496"/>
      <c r="H44" s="496"/>
      <c r="I44" s="496"/>
      <c r="J44" s="496"/>
    </row>
    <row r="45" spans="2:10" s="254" customFormat="1" x14ac:dyDescent="0.35">
      <c r="B45" s="279" t="s">
        <v>645</v>
      </c>
      <c r="C45" s="279" t="s">
        <v>225</v>
      </c>
      <c r="D45" s="496">
        <v>45</v>
      </c>
      <c r="E45" s="496">
        <v>42</v>
      </c>
      <c r="F45" s="496">
        <v>69</v>
      </c>
      <c r="G45" s="496">
        <v>88</v>
      </c>
      <c r="H45" s="496">
        <v>89</v>
      </c>
      <c r="I45" s="496">
        <v>54</v>
      </c>
      <c r="J45" s="496">
        <v>55</v>
      </c>
    </row>
    <row r="46" spans="2:10" s="254" customFormat="1" x14ac:dyDescent="0.35">
      <c r="B46" s="279" t="s">
        <v>646</v>
      </c>
      <c r="C46" s="279" t="s">
        <v>225</v>
      </c>
      <c r="D46" s="496">
        <v>78</v>
      </c>
      <c r="E46" s="496">
        <v>79</v>
      </c>
      <c r="F46" s="496">
        <v>117</v>
      </c>
      <c r="G46" s="496">
        <v>124</v>
      </c>
      <c r="H46" s="496">
        <v>130</v>
      </c>
      <c r="I46" s="496">
        <v>64</v>
      </c>
      <c r="J46" s="496">
        <v>87</v>
      </c>
    </row>
    <row r="47" spans="2:10" s="254" customFormat="1" x14ac:dyDescent="0.35">
      <c r="B47" s="279" t="s">
        <v>647</v>
      </c>
      <c r="C47" s="279" t="s">
        <v>225</v>
      </c>
      <c r="D47" s="496">
        <v>80</v>
      </c>
      <c r="E47" s="496">
        <v>86</v>
      </c>
      <c r="F47" s="496">
        <v>109</v>
      </c>
      <c r="G47" s="496">
        <v>127</v>
      </c>
      <c r="H47" s="496">
        <v>126</v>
      </c>
      <c r="I47" s="496">
        <v>85</v>
      </c>
      <c r="J47" s="496">
        <v>80</v>
      </c>
    </row>
    <row r="48" spans="2:10" s="254" customFormat="1" x14ac:dyDescent="0.35">
      <c r="B48" s="279" t="s">
        <v>648</v>
      </c>
      <c r="C48" s="279" t="s">
        <v>225</v>
      </c>
      <c r="D48" s="496">
        <v>79</v>
      </c>
      <c r="E48" s="496">
        <v>83</v>
      </c>
      <c r="F48" s="496">
        <v>126</v>
      </c>
      <c r="G48" s="496">
        <v>127</v>
      </c>
      <c r="H48" s="496">
        <v>121</v>
      </c>
      <c r="I48" s="496">
        <v>91</v>
      </c>
      <c r="J48" s="496">
        <v>84</v>
      </c>
    </row>
    <row r="49" spans="2:11" s="254" customFormat="1" x14ac:dyDescent="0.35">
      <c r="B49" s="289" t="s">
        <v>888</v>
      </c>
      <c r="C49" s="289"/>
      <c r="D49" s="546">
        <f t="shared" ref="D49:I49" si="8">AVERAGE(D33:D48)</f>
        <v>110.28571428571429</v>
      </c>
      <c r="E49" s="546">
        <f t="shared" si="8"/>
        <v>122.64285714285714</v>
      </c>
      <c r="F49" s="546">
        <f t="shared" si="8"/>
        <v>139.92857142857142</v>
      </c>
      <c r="G49" s="546">
        <f t="shared" si="8"/>
        <v>165.21428571428572</v>
      </c>
      <c r="H49" s="546">
        <f t="shared" si="8"/>
        <v>157.85714285714286</v>
      </c>
      <c r="I49" s="546">
        <f t="shared" si="8"/>
        <v>149.57142857142858</v>
      </c>
      <c r="J49" s="546">
        <f t="shared" ref="J49" si="9">AVERAGE(J33:J48)</f>
        <v>126.64285714285714</v>
      </c>
    </row>
    <row r="50" spans="2:11" s="254" customFormat="1" x14ac:dyDescent="0.35">
      <c r="B50" s="289"/>
      <c r="C50" s="289"/>
      <c r="D50" s="546"/>
      <c r="E50" s="546"/>
      <c r="F50" s="546"/>
      <c r="G50" s="546"/>
      <c r="H50" s="546"/>
      <c r="I50" s="546"/>
      <c r="J50" s="546"/>
    </row>
    <row r="51" spans="2:11" s="254" customFormat="1" x14ac:dyDescent="0.35">
      <c r="B51" s="411" t="s">
        <v>889</v>
      </c>
      <c r="C51" s="412"/>
      <c r="D51" s="412"/>
      <c r="E51" s="412"/>
      <c r="F51" s="412"/>
      <c r="G51" s="412"/>
      <c r="H51" s="412"/>
      <c r="I51" s="412"/>
      <c r="J51" s="412"/>
    </row>
    <row r="52" spans="2:11" s="254" customFormat="1" x14ac:dyDescent="0.35">
      <c r="B52" s="199" t="s">
        <v>664</v>
      </c>
      <c r="C52" s="199"/>
      <c r="D52" s="198"/>
      <c r="E52" s="198"/>
      <c r="F52" s="198"/>
      <c r="G52" s="198"/>
      <c r="H52" s="198"/>
      <c r="I52" s="198"/>
    </row>
    <row r="53" spans="2:11" s="254" customFormat="1" x14ac:dyDescent="0.35">
      <c r="B53" s="199" t="s">
        <v>630</v>
      </c>
      <c r="C53" s="199"/>
      <c r="D53" s="244"/>
      <c r="E53" s="244"/>
      <c r="F53" s="244"/>
      <c r="G53" s="244"/>
      <c r="H53" s="244"/>
      <c r="I53" s="244"/>
    </row>
    <row r="54" spans="2:11" s="254" customFormat="1" x14ac:dyDescent="0.35">
      <c r="B54" s="279" t="s">
        <v>631</v>
      </c>
      <c r="C54" s="592" t="s">
        <v>5</v>
      </c>
      <c r="D54" s="596">
        <f t="shared" ref="D54:I54" si="10">D9*D33</f>
        <v>18960000</v>
      </c>
      <c r="E54" s="596">
        <f t="shared" si="10"/>
        <v>17760000</v>
      </c>
      <c r="F54" s="596">
        <f t="shared" si="10"/>
        <v>19320000</v>
      </c>
      <c r="G54" s="596">
        <f t="shared" si="10"/>
        <v>21960000</v>
      </c>
      <c r="H54" s="596">
        <f t="shared" si="10"/>
        <v>21360000</v>
      </c>
      <c r="I54" s="596">
        <f t="shared" si="10"/>
        <v>23280000</v>
      </c>
      <c r="J54" s="596">
        <f t="shared" ref="J54" si="11">J9*J33</f>
        <v>22200000</v>
      </c>
      <c r="K54" s="569"/>
    </row>
    <row r="55" spans="2:11" s="254" customFormat="1" x14ac:dyDescent="0.35">
      <c r="B55" s="279" t="s">
        <v>632</v>
      </c>
      <c r="C55" s="592" t="s">
        <v>5</v>
      </c>
      <c r="D55" s="596">
        <f t="shared" ref="D55:I55" si="12">D10*D34</f>
        <v>11970000</v>
      </c>
      <c r="E55" s="596">
        <f t="shared" si="12"/>
        <v>13410000</v>
      </c>
      <c r="F55" s="596">
        <f t="shared" si="12"/>
        <v>14940000</v>
      </c>
      <c r="G55" s="596">
        <f t="shared" si="12"/>
        <v>17460000</v>
      </c>
      <c r="H55" s="596">
        <f t="shared" si="12"/>
        <v>17190000</v>
      </c>
      <c r="I55" s="596">
        <f t="shared" si="12"/>
        <v>18990000</v>
      </c>
      <c r="J55" s="596">
        <f t="shared" ref="J55" si="13">J10*J34</f>
        <v>15840000</v>
      </c>
    </row>
    <row r="56" spans="2:11" s="254" customFormat="1" x14ac:dyDescent="0.35">
      <c r="B56" s="279" t="s">
        <v>633</v>
      </c>
      <c r="C56" s="592" t="s">
        <v>5</v>
      </c>
      <c r="D56" s="596">
        <f t="shared" ref="D56:I56" si="14">D11*D35</f>
        <v>14490000</v>
      </c>
      <c r="E56" s="596">
        <f t="shared" si="14"/>
        <v>13950000</v>
      </c>
      <c r="F56" s="596">
        <f t="shared" si="14"/>
        <v>15390000</v>
      </c>
      <c r="G56" s="596">
        <f t="shared" si="14"/>
        <v>16470000</v>
      </c>
      <c r="H56" s="596">
        <f t="shared" si="14"/>
        <v>17100000</v>
      </c>
      <c r="I56" s="596">
        <f t="shared" si="14"/>
        <v>18450000</v>
      </c>
      <c r="J56" s="596">
        <f t="shared" ref="J56" si="15">J11*J35</f>
        <v>15750000</v>
      </c>
    </row>
    <row r="57" spans="2:11" s="254" customFormat="1" x14ac:dyDescent="0.35">
      <c r="B57" s="279" t="s">
        <v>634</v>
      </c>
      <c r="C57" s="592" t="s">
        <v>5</v>
      </c>
      <c r="D57" s="596">
        <f t="shared" ref="D57:I57" si="16">D12*D36</f>
        <v>13680000</v>
      </c>
      <c r="E57" s="596">
        <f t="shared" si="16"/>
        <v>13680000</v>
      </c>
      <c r="F57" s="596">
        <f t="shared" si="16"/>
        <v>14310000</v>
      </c>
      <c r="G57" s="596">
        <f t="shared" si="16"/>
        <v>16110000</v>
      </c>
      <c r="H57" s="596">
        <f t="shared" si="16"/>
        <v>16110000</v>
      </c>
      <c r="I57" s="596">
        <f t="shared" si="16"/>
        <v>18540000</v>
      </c>
      <c r="J57" s="596">
        <f t="shared" ref="J57" si="17">J12*J36</f>
        <v>16110000</v>
      </c>
    </row>
    <row r="58" spans="2:11" s="254" customFormat="1" x14ac:dyDescent="0.35">
      <c r="B58" s="279" t="s">
        <v>635</v>
      </c>
      <c r="C58" s="592" t="s">
        <v>5</v>
      </c>
      <c r="D58" s="596">
        <f t="shared" ref="D58:I58" si="18">D13*D37</f>
        <v>9270000</v>
      </c>
      <c r="E58" s="596">
        <f t="shared" si="18"/>
        <v>13320000</v>
      </c>
      <c r="F58" s="596">
        <f t="shared" si="18"/>
        <v>13590000</v>
      </c>
      <c r="G58" s="596">
        <f t="shared" si="18"/>
        <v>14670000</v>
      </c>
      <c r="H58" s="596">
        <f t="shared" si="18"/>
        <v>15660000</v>
      </c>
      <c r="I58" s="596">
        <f t="shared" si="18"/>
        <v>16200000</v>
      </c>
      <c r="J58" s="596">
        <f t="shared" ref="J58" si="19">J13*J37</f>
        <v>13140000</v>
      </c>
    </row>
    <row r="59" spans="2:11" s="254" customFormat="1" x14ac:dyDescent="0.35">
      <c r="B59" s="289" t="s">
        <v>636</v>
      </c>
      <c r="C59" s="592" t="s">
        <v>5</v>
      </c>
      <c r="D59" s="546">
        <f t="shared" ref="D59:I59" si="20">SUM(D54:D58)</f>
        <v>68370000</v>
      </c>
      <c r="E59" s="546">
        <f t="shared" si="20"/>
        <v>72120000</v>
      </c>
      <c r="F59" s="546">
        <f t="shared" si="20"/>
        <v>77550000</v>
      </c>
      <c r="G59" s="546">
        <f t="shared" si="20"/>
        <v>86670000</v>
      </c>
      <c r="H59" s="546">
        <f t="shared" si="20"/>
        <v>87420000</v>
      </c>
      <c r="I59" s="546">
        <f t="shared" si="20"/>
        <v>95460000</v>
      </c>
      <c r="J59" s="546">
        <f t="shared" ref="J59" si="21">SUM(J54:J58)</f>
        <v>83040000</v>
      </c>
    </row>
    <row r="60" spans="2:11" s="254" customFormat="1" x14ac:dyDescent="0.35">
      <c r="B60" s="289" t="s">
        <v>637</v>
      </c>
      <c r="C60" s="592"/>
      <c r="D60" s="597"/>
      <c r="E60" s="597"/>
      <c r="F60" s="597"/>
      <c r="G60" s="597"/>
      <c r="H60" s="597"/>
      <c r="I60" s="597"/>
      <c r="J60" s="597"/>
    </row>
    <row r="61" spans="2:11" s="254" customFormat="1" x14ac:dyDescent="0.35">
      <c r="B61" s="279" t="s">
        <v>638</v>
      </c>
      <c r="C61" s="592" t="s">
        <v>5</v>
      </c>
      <c r="D61" s="596">
        <f t="shared" ref="D61:I61" si="22">D16*D39</f>
        <v>17160000</v>
      </c>
      <c r="E61" s="596">
        <f t="shared" si="22"/>
        <v>18850000</v>
      </c>
      <c r="F61" s="596">
        <f t="shared" si="22"/>
        <v>18980000</v>
      </c>
      <c r="G61" s="596">
        <f t="shared" si="22"/>
        <v>27040000</v>
      </c>
      <c r="H61" s="596">
        <f t="shared" si="22"/>
        <v>22360000</v>
      </c>
      <c r="I61" s="596">
        <f t="shared" si="22"/>
        <v>22100000</v>
      </c>
      <c r="J61" s="596">
        <f t="shared" ref="J61" si="23">J16*J39</f>
        <v>18200000</v>
      </c>
    </row>
    <row r="62" spans="2:11" s="254" customFormat="1" x14ac:dyDescent="0.35">
      <c r="B62" s="279" t="s">
        <v>639</v>
      </c>
      <c r="C62" s="592" t="s">
        <v>5</v>
      </c>
      <c r="D62" s="596">
        <f t="shared" ref="D62:I62" si="24">D17*D40</f>
        <v>12870000</v>
      </c>
      <c r="E62" s="596">
        <f t="shared" si="24"/>
        <v>15180000</v>
      </c>
      <c r="F62" s="596">
        <f t="shared" si="24"/>
        <v>16060000</v>
      </c>
      <c r="G62" s="596">
        <f t="shared" si="24"/>
        <v>17930000</v>
      </c>
      <c r="H62" s="596">
        <f t="shared" si="24"/>
        <v>17710000</v>
      </c>
      <c r="I62" s="596">
        <f t="shared" si="24"/>
        <v>17600000</v>
      </c>
      <c r="J62" s="596">
        <f t="shared" ref="J62" si="25">J17*J40</f>
        <v>11660000</v>
      </c>
    </row>
    <row r="63" spans="2:11" s="254" customFormat="1" x14ac:dyDescent="0.35">
      <c r="B63" s="279" t="s">
        <v>640</v>
      </c>
      <c r="C63" s="592" t="s">
        <v>5</v>
      </c>
      <c r="D63" s="596">
        <f t="shared" ref="D63:I63" si="26">D18*D41</f>
        <v>13300000</v>
      </c>
      <c r="E63" s="596">
        <f t="shared" si="26"/>
        <v>14500000</v>
      </c>
      <c r="F63" s="596">
        <f t="shared" si="26"/>
        <v>14600000</v>
      </c>
      <c r="G63" s="596">
        <f t="shared" si="26"/>
        <v>18800000</v>
      </c>
      <c r="H63" s="596">
        <f t="shared" si="26"/>
        <v>18200000</v>
      </c>
      <c r="I63" s="596">
        <f t="shared" si="26"/>
        <v>16900000</v>
      </c>
      <c r="J63" s="596">
        <f t="shared" ref="J63" si="27">J18*J41</f>
        <v>11300000</v>
      </c>
    </row>
    <row r="64" spans="2:11" s="254" customFormat="1" x14ac:dyDescent="0.35">
      <c r="B64" s="279" t="s">
        <v>641</v>
      </c>
      <c r="C64" s="592" t="s">
        <v>5</v>
      </c>
      <c r="D64" s="596">
        <f t="shared" ref="D64:I64" si="28">D19*D42</f>
        <v>6090000</v>
      </c>
      <c r="E64" s="596">
        <f t="shared" si="28"/>
        <v>8330000</v>
      </c>
      <c r="F64" s="596">
        <f t="shared" si="28"/>
        <v>10220000</v>
      </c>
      <c r="G64" s="596">
        <f t="shared" si="28"/>
        <v>11830000</v>
      </c>
      <c r="H64" s="596">
        <f t="shared" si="28"/>
        <v>10920000</v>
      </c>
      <c r="I64" s="596">
        <f t="shared" si="28"/>
        <v>11690000</v>
      </c>
      <c r="J64" s="596">
        <f t="shared" ref="J64" si="29">J19*J42</f>
        <v>9870000</v>
      </c>
    </row>
    <row r="65" spans="2:17" s="254" customFormat="1" x14ac:dyDescent="0.35">
      <c r="B65" s="279" t="s">
        <v>642</v>
      </c>
      <c r="C65" s="592" t="s">
        <v>5</v>
      </c>
      <c r="D65" s="596">
        <f t="shared" ref="D65:I65" si="30">D20*D43</f>
        <v>6020000</v>
      </c>
      <c r="E65" s="596">
        <f t="shared" si="30"/>
        <v>8960000</v>
      </c>
      <c r="F65" s="596">
        <f t="shared" si="30"/>
        <v>10220000</v>
      </c>
      <c r="G65" s="596">
        <f t="shared" si="30"/>
        <v>15190000</v>
      </c>
      <c r="H65" s="596">
        <f t="shared" si="30"/>
        <v>11270000</v>
      </c>
      <c r="I65" s="596">
        <f t="shared" si="30"/>
        <v>9660000</v>
      </c>
      <c r="J65" s="596">
        <f t="shared" ref="J65" si="31">J20*J43</f>
        <v>7420000</v>
      </c>
    </row>
    <row r="66" spans="2:17" s="254" customFormat="1" x14ac:dyDescent="0.35">
      <c r="B66" s="289" t="s">
        <v>643</v>
      </c>
      <c r="C66" s="592" t="s">
        <v>5</v>
      </c>
      <c r="D66" s="546">
        <f t="shared" ref="D66:I66" si="32">SUM(D61:D65)</f>
        <v>55440000</v>
      </c>
      <c r="E66" s="546">
        <f t="shared" si="32"/>
        <v>65820000</v>
      </c>
      <c r="F66" s="546">
        <f t="shared" si="32"/>
        <v>70080000</v>
      </c>
      <c r="G66" s="546">
        <f t="shared" si="32"/>
        <v>90790000</v>
      </c>
      <c r="H66" s="546">
        <f t="shared" si="32"/>
        <v>80460000</v>
      </c>
      <c r="I66" s="546">
        <f t="shared" si="32"/>
        <v>77950000</v>
      </c>
      <c r="J66" s="546">
        <f t="shared" ref="J66" si="33">SUM(J61:J65)</f>
        <v>58450000</v>
      </c>
    </row>
    <row r="67" spans="2:17" s="254" customFormat="1" x14ac:dyDescent="0.35">
      <c r="B67" s="289" t="s">
        <v>644</v>
      </c>
      <c r="C67" s="592"/>
      <c r="D67" s="597"/>
      <c r="E67" s="597"/>
      <c r="F67" s="597"/>
      <c r="G67" s="597"/>
      <c r="H67" s="597"/>
      <c r="I67" s="597"/>
      <c r="J67" s="597"/>
    </row>
    <row r="68" spans="2:17" s="254" customFormat="1" x14ac:dyDescent="0.35">
      <c r="B68" s="279" t="s">
        <v>645</v>
      </c>
      <c r="C68" s="592" t="s">
        <v>5</v>
      </c>
      <c r="D68" s="596">
        <f t="shared" ref="D68:I68" si="34">D23*D45</f>
        <v>2700000</v>
      </c>
      <c r="E68" s="596">
        <f t="shared" si="34"/>
        <v>2520000</v>
      </c>
      <c r="F68" s="596">
        <f t="shared" si="34"/>
        <v>4140000</v>
      </c>
      <c r="G68" s="596">
        <f t="shared" si="34"/>
        <v>5280000</v>
      </c>
      <c r="H68" s="596">
        <f t="shared" si="34"/>
        <v>5340000</v>
      </c>
      <c r="I68" s="596">
        <f t="shared" si="34"/>
        <v>3240000</v>
      </c>
      <c r="J68" s="596">
        <f t="shared" ref="J68" si="35">J23*J45</f>
        <v>3300000</v>
      </c>
    </row>
    <row r="69" spans="2:17" s="254" customFormat="1" x14ac:dyDescent="0.35">
      <c r="B69" s="279" t="s">
        <v>646</v>
      </c>
      <c r="C69" s="592" t="s">
        <v>5</v>
      </c>
      <c r="D69" s="596">
        <f t="shared" ref="D69:I69" si="36">D24*D46</f>
        <v>5460000</v>
      </c>
      <c r="E69" s="596">
        <f t="shared" si="36"/>
        <v>5530000</v>
      </c>
      <c r="F69" s="596">
        <f t="shared" si="36"/>
        <v>8190000</v>
      </c>
      <c r="G69" s="596">
        <f t="shared" si="36"/>
        <v>8680000</v>
      </c>
      <c r="H69" s="596">
        <f t="shared" si="36"/>
        <v>9100000</v>
      </c>
      <c r="I69" s="596">
        <f t="shared" si="36"/>
        <v>4480000</v>
      </c>
      <c r="J69" s="596">
        <f t="shared" ref="J69" si="37">J24*J46</f>
        <v>6090000</v>
      </c>
    </row>
    <row r="70" spans="2:17" s="254" customFormat="1" x14ac:dyDescent="0.35">
      <c r="B70" s="279" t="s">
        <v>647</v>
      </c>
      <c r="C70" s="592" t="s">
        <v>5</v>
      </c>
      <c r="D70" s="596">
        <f t="shared" ref="D70:I70" si="38">D25*D47</f>
        <v>9600000</v>
      </c>
      <c r="E70" s="596">
        <f t="shared" si="38"/>
        <v>10320000</v>
      </c>
      <c r="F70" s="596">
        <f t="shared" si="38"/>
        <v>13080000</v>
      </c>
      <c r="G70" s="596">
        <f t="shared" si="38"/>
        <v>15240000</v>
      </c>
      <c r="H70" s="596">
        <f t="shared" si="38"/>
        <v>15120000</v>
      </c>
      <c r="I70" s="596">
        <f t="shared" si="38"/>
        <v>10200000</v>
      </c>
      <c r="J70" s="596">
        <f t="shared" ref="J70" si="39">J25*J47</f>
        <v>9600000</v>
      </c>
    </row>
    <row r="71" spans="2:17" s="254" customFormat="1" x14ac:dyDescent="0.35">
      <c r="B71" s="279" t="s">
        <v>648</v>
      </c>
      <c r="C71" s="592" t="s">
        <v>5</v>
      </c>
      <c r="D71" s="596">
        <f t="shared" ref="D71:I71" si="40">D26*D48</f>
        <v>11850000</v>
      </c>
      <c r="E71" s="596">
        <f t="shared" si="40"/>
        <v>12450000</v>
      </c>
      <c r="F71" s="596">
        <f t="shared" si="40"/>
        <v>18900000</v>
      </c>
      <c r="G71" s="596">
        <f t="shared" si="40"/>
        <v>19050000</v>
      </c>
      <c r="H71" s="596">
        <f t="shared" si="40"/>
        <v>18150000</v>
      </c>
      <c r="I71" s="596">
        <f t="shared" si="40"/>
        <v>13650000</v>
      </c>
      <c r="J71" s="596">
        <f t="shared" ref="J71" si="41">J26*J48</f>
        <v>12600000</v>
      </c>
    </row>
    <row r="72" spans="2:17" s="254" customFormat="1" x14ac:dyDescent="0.35">
      <c r="B72" s="289" t="s">
        <v>649</v>
      </c>
      <c r="C72" s="592" t="s">
        <v>5</v>
      </c>
      <c r="D72" s="546">
        <f t="shared" ref="D72:I72" si="42">SUM(D68:D71)</f>
        <v>29610000</v>
      </c>
      <c r="E72" s="546">
        <f t="shared" si="42"/>
        <v>30820000</v>
      </c>
      <c r="F72" s="546">
        <f t="shared" si="42"/>
        <v>44310000</v>
      </c>
      <c r="G72" s="546">
        <f t="shared" si="42"/>
        <v>48250000</v>
      </c>
      <c r="H72" s="546">
        <f t="shared" si="42"/>
        <v>47710000</v>
      </c>
      <c r="I72" s="546">
        <f t="shared" si="42"/>
        <v>31570000</v>
      </c>
      <c r="J72" s="546">
        <f t="shared" ref="J72" si="43">SUM(J68:J71)</f>
        <v>31590000</v>
      </c>
    </row>
    <row r="73" spans="2:17" s="254" customFormat="1" x14ac:dyDescent="0.35">
      <c r="B73" s="289" t="s">
        <v>889</v>
      </c>
      <c r="C73" s="592" t="s">
        <v>5</v>
      </c>
      <c r="D73" s="546">
        <f t="shared" ref="D73:I73" si="44">D72+D66+D59</f>
        <v>153420000</v>
      </c>
      <c r="E73" s="546">
        <f t="shared" si="44"/>
        <v>168760000</v>
      </c>
      <c r="F73" s="546">
        <f t="shared" si="44"/>
        <v>191940000</v>
      </c>
      <c r="G73" s="546">
        <f t="shared" si="44"/>
        <v>225710000</v>
      </c>
      <c r="H73" s="546">
        <f t="shared" si="44"/>
        <v>215590000</v>
      </c>
      <c r="I73" s="546">
        <f t="shared" si="44"/>
        <v>204980000</v>
      </c>
      <c r="J73" s="546">
        <f t="shared" ref="J73" si="45">J72+J66+J59</f>
        <v>173080000</v>
      </c>
    </row>
    <row r="74" spans="2:17" s="254" customFormat="1" x14ac:dyDescent="0.35">
      <c r="B74" s="289"/>
      <c r="C74" s="289"/>
      <c r="D74" s="546"/>
      <c r="E74" s="546"/>
      <c r="F74" s="546"/>
      <c r="G74" s="546"/>
      <c r="H74" s="546"/>
      <c r="I74" s="546"/>
    </row>
    <row r="75" spans="2:17" x14ac:dyDescent="0.35">
      <c r="B75" s="411" t="s">
        <v>650</v>
      </c>
      <c r="C75" s="412"/>
      <c r="D75" s="412"/>
      <c r="E75" s="412"/>
      <c r="F75" s="412"/>
      <c r="G75" s="412"/>
      <c r="H75" s="412"/>
      <c r="I75" s="412"/>
      <c r="J75" s="412"/>
    </row>
    <row r="76" spans="2:17" s="254" customFormat="1" x14ac:dyDescent="0.35">
      <c r="B76" s="289" t="s">
        <v>664</v>
      </c>
      <c r="C76" s="289" t="s">
        <v>369</v>
      </c>
      <c r="D76" s="279"/>
      <c r="E76" s="279"/>
      <c r="F76" s="279"/>
      <c r="G76" s="279"/>
      <c r="H76" s="279"/>
      <c r="I76" s="279"/>
      <c r="J76" s="279"/>
    </row>
    <row r="77" spans="2:17" s="254" customFormat="1" x14ac:dyDescent="0.35">
      <c r="B77" s="289" t="s">
        <v>630</v>
      </c>
      <c r="C77" s="289"/>
      <c r="D77" s="279"/>
      <c r="E77" s="279"/>
      <c r="F77" s="279"/>
      <c r="G77" s="279"/>
      <c r="H77" s="279"/>
      <c r="I77" s="279"/>
      <c r="J77" s="279"/>
    </row>
    <row r="78" spans="2:17" s="254" customFormat="1" x14ac:dyDescent="0.35">
      <c r="B78" s="279" t="s">
        <v>631</v>
      </c>
      <c r="C78" s="279" t="s">
        <v>651</v>
      </c>
      <c r="D78" s="497">
        <f>'Plant wise cane details'!D351*10^5</f>
        <v>14766964.310000001</v>
      </c>
      <c r="E78" s="497">
        <f>'Plant wise cane details'!E351*10^5</f>
        <v>13328500</v>
      </c>
      <c r="F78" s="497">
        <f>'Plant wise cane details'!F351*10^5</f>
        <v>15472134.049999997</v>
      </c>
      <c r="G78" s="497">
        <f>'Plant wise cane details'!G351*10^5</f>
        <v>17477325.879999999</v>
      </c>
      <c r="H78" s="497">
        <f>'Plant wise cane details'!H351*10^5</f>
        <v>17153322.079999994</v>
      </c>
      <c r="I78" s="497">
        <f>'Plant wise cane details'!I351*10^5</f>
        <v>18752138.460000001</v>
      </c>
      <c r="J78" s="497">
        <f>'Plant wise cane details'!J351*10^5</f>
        <v>17917690.240000002</v>
      </c>
      <c r="Q78" s="568"/>
    </row>
    <row r="79" spans="2:17" s="254" customFormat="1" x14ac:dyDescent="0.35">
      <c r="B79" s="279" t="s">
        <v>632</v>
      </c>
      <c r="C79" s="279" t="s">
        <v>651</v>
      </c>
      <c r="D79" s="497">
        <f>'Plant wise cane details'!D352*10^5</f>
        <v>8035179.8099999996</v>
      </c>
      <c r="E79" s="497">
        <f>'Plant wise cane details'!E352*10^5</f>
        <v>10240400.02</v>
      </c>
      <c r="F79" s="497">
        <f>'Plant wise cane details'!F352*10^5</f>
        <v>12445265.140000004</v>
      </c>
      <c r="G79" s="497">
        <f>'Plant wise cane details'!G352*10^5</f>
        <v>14247413.819999995</v>
      </c>
      <c r="H79" s="497">
        <f>'Plant wise cane details'!H352*10^5</f>
        <v>13797648.939999999</v>
      </c>
      <c r="I79" s="497">
        <f>'Plant wise cane details'!I352*10^5</f>
        <v>15577833.690000003</v>
      </c>
      <c r="J79" s="497">
        <f>'Plant wise cane details'!J352*10^5</f>
        <v>12938682.120000001</v>
      </c>
      <c r="Q79" s="568"/>
    </row>
    <row r="80" spans="2:17" s="254" customFormat="1" x14ac:dyDescent="0.35">
      <c r="B80" s="279" t="s">
        <v>633</v>
      </c>
      <c r="C80" s="279" t="s">
        <v>651</v>
      </c>
      <c r="D80" s="497">
        <f>'Plant wise cane details'!D353*10^5</f>
        <v>12184060.189999999</v>
      </c>
      <c r="E80" s="497">
        <f>'Plant wise cane details'!E353*10^5</f>
        <v>12064194.530000001</v>
      </c>
      <c r="F80" s="497">
        <f>'Plant wise cane details'!F353*10^5</f>
        <v>13519198.779999999</v>
      </c>
      <c r="G80" s="497">
        <f>'Plant wise cane details'!G353*10^5</f>
        <v>13846833.57</v>
      </c>
      <c r="H80" s="497">
        <f>'Plant wise cane details'!H353*10^5</f>
        <v>13962477.310000001</v>
      </c>
      <c r="I80" s="497">
        <f>'Plant wise cane details'!I353*10^5</f>
        <v>14902456.49</v>
      </c>
      <c r="J80" s="497">
        <f>'Plant wise cane details'!J353*10^5</f>
        <v>13390909.360000001</v>
      </c>
      <c r="Q80" s="568"/>
    </row>
    <row r="81" spans="2:17" s="254" customFormat="1" x14ac:dyDescent="0.35">
      <c r="B81" s="279" t="s">
        <v>634</v>
      </c>
      <c r="C81" s="279" t="s">
        <v>651</v>
      </c>
      <c r="D81" s="497">
        <f>'Plant wise cane details'!D354*10^5</f>
        <v>10825699.560000001</v>
      </c>
      <c r="E81" s="497">
        <f>'Plant wise cane details'!E354*10^5</f>
        <v>10688937.859999999</v>
      </c>
      <c r="F81" s="497">
        <f>'Plant wise cane details'!F354*10^5</f>
        <v>11468630.289999995</v>
      </c>
      <c r="G81" s="497">
        <f>'Plant wise cane details'!G354*10^5</f>
        <v>12464062.520000001</v>
      </c>
      <c r="H81" s="497">
        <f>'Plant wise cane details'!H354*10^5</f>
        <v>12586267.35</v>
      </c>
      <c r="I81" s="497">
        <f>'Plant wise cane details'!I354*10^5</f>
        <v>15134196.070000002</v>
      </c>
      <c r="J81" s="497">
        <f>'Plant wise cane details'!J354*10^5</f>
        <v>13176943.550000001</v>
      </c>
      <c r="Q81" s="568"/>
    </row>
    <row r="82" spans="2:17" s="254" customFormat="1" x14ac:dyDescent="0.35">
      <c r="B82" s="279" t="s">
        <v>635</v>
      </c>
      <c r="C82" s="279" t="s">
        <v>651</v>
      </c>
      <c r="D82" s="497">
        <f>'Plant wise cane details'!D355*10^5</f>
        <v>3228727.0899999994</v>
      </c>
      <c r="E82" s="497">
        <f>'Plant wise cane details'!E355*10^5</f>
        <v>6203500</v>
      </c>
      <c r="F82" s="497">
        <f>'Plant wise cane details'!F355*10^5</f>
        <v>8348285.9899999993</v>
      </c>
      <c r="G82" s="497">
        <f>'Plant wise cane details'!G355*10^5</f>
        <v>8702062.3600000013</v>
      </c>
      <c r="H82" s="497">
        <f>'Plant wise cane details'!H355*10^5</f>
        <v>8854950</v>
      </c>
      <c r="I82" s="497">
        <f>'Plant wise cane details'!I355*10^5</f>
        <v>11037548.770000001</v>
      </c>
      <c r="J82" s="497">
        <f>'Plant wise cane details'!J355*10^5</f>
        <v>9297271.9700000007</v>
      </c>
      <c r="Q82" s="568"/>
    </row>
    <row r="83" spans="2:17" s="254" customFormat="1" x14ac:dyDescent="0.35">
      <c r="B83" s="289" t="s">
        <v>636</v>
      </c>
      <c r="C83" s="279" t="s">
        <v>651</v>
      </c>
      <c r="D83" s="423">
        <f t="shared" ref="D83:I83" si="46">SUM(D78:D82)</f>
        <v>49040630.960000001</v>
      </c>
      <c r="E83" s="423">
        <f t="shared" si="46"/>
        <v>52525532.409999996</v>
      </c>
      <c r="F83" s="423">
        <f t="shared" si="46"/>
        <v>61253514.249999993</v>
      </c>
      <c r="G83" s="423">
        <f t="shared" si="46"/>
        <v>66737698.149999999</v>
      </c>
      <c r="H83" s="423">
        <f t="shared" si="46"/>
        <v>66354665.68</v>
      </c>
      <c r="I83" s="423">
        <f t="shared" si="46"/>
        <v>75404173.480000004</v>
      </c>
      <c r="J83" s="423">
        <f t="shared" ref="J83" si="47">SUM(J78:J82)</f>
        <v>66721497.24000001</v>
      </c>
      <c r="Q83" s="568"/>
    </row>
    <row r="84" spans="2:17" s="254" customFormat="1" x14ac:dyDescent="0.35">
      <c r="B84" s="289" t="s">
        <v>637</v>
      </c>
      <c r="C84" s="279" t="s">
        <v>651</v>
      </c>
      <c r="D84" s="279"/>
      <c r="E84" s="279"/>
      <c r="F84" s="279"/>
      <c r="G84" s="279"/>
      <c r="H84" s="279"/>
      <c r="I84" s="279"/>
      <c r="J84" s="279"/>
      <c r="Q84" s="568"/>
    </row>
    <row r="85" spans="2:17" s="254" customFormat="1" x14ac:dyDescent="0.35">
      <c r="B85" s="279" t="s">
        <v>638</v>
      </c>
      <c r="C85" s="279" t="s">
        <v>651</v>
      </c>
      <c r="D85" s="497">
        <f>'Plant wise cane details'!D358*10^5</f>
        <v>13901693.440000003</v>
      </c>
      <c r="E85" s="497">
        <f>'Plant wise cane details'!E358*10^5</f>
        <v>16617300</v>
      </c>
      <c r="F85" s="497">
        <f>'Plant wise cane details'!F358*10^5</f>
        <v>18953078.93</v>
      </c>
      <c r="G85" s="497">
        <f>'Plant wise cane details'!G358*10^5</f>
        <v>24476497.949999999</v>
      </c>
      <c r="H85" s="497">
        <f>'Plant wise cane details'!H358*10^5</f>
        <v>19775606</v>
      </c>
      <c r="I85" s="497">
        <f>'Plant wise cane details'!I358*10^5</f>
        <v>19431872.530000001</v>
      </c>
      <c r="J85" s="497">
        <f>'Plant wise cane details'!J358*10^5</f>
        <v>13744061.869999995</v>
      </c>
      <c r="Q85" s="568"/>
    </row>
    <row r="86" spans="2:17" s="254" customFormat="1" x14ac:dyDescent="0.35">
      <c r="B86" s="279" t="s">
        <v>639</v>
      </c>
      <c r="C86" s="279" t="s">
        <v>651</v>
      </c>
      <c r="D86" s="497">
        <f>'Plant wise cane details'!D359*10^5</f>
        <v>10807204.809999999</v>
      </c>
      <c r="E86" s="497">
        <f>'Plant wise cane details'!E359*10^5</f>
        <v>12380679.279999999</v>
      </c>
      <c r="F86" s="497">
        <f>'Plant wise cane details'!F359*10^5</f>
        <v>13830643.560000004</v>
      </c>
      <c r="G86" s="497">
        <f>'Plant wise cane details'!G359*10^5</f>
        <v>14942340.66</v>
      </c>
      <c r="H86" s="497">
        <f>'Plant wise cane details'!H359*10^5</f>
        <v>14732496.390000001</v>
      </c>
      <c r="I86" s="497">
        <f>'Plant wise cane details'!I359*10^5</f>
        <v>14322732.049999999</v>
      </c>
      <c r="J86" s="497">
        <f>'Plant wise cane details'!J359*10^5</f>
        <v>9500920.0899999999</v>
      </c>
      <c r="Q86" s="568"/>
    </row>
    <row r="87" spans="2:17" s="254" customFormat="1" x14ac:dyDescent="0.35">
      <c r="B87" s="279" t="s">
        <v>640</v>
      </c>
      <c r="C87" s="279" t="s">
        <v>651</v>
      </c>
      <c r="D87" s="497">
        <f>'Plant wise cane details'!D360*10^5</f>
        <v>10603589.51</v>
      </c>
      <c r="E87" s="497">
        <f>'Plant wise cane details'!E360*10^5</f>
        <v>11920295.109999999</v>
      </c>
      <c r="F87" s="497">
        <f>'Plant wise cane details'!F360*10^5</f>
        <v>12157500</v>
      </c>
      <c r="G87" s="497">
        <f>'Plant wise cane details'!G360*10^5</f>
        <v>14335955.340000004</v>
      </c>
      <c r="H87" s="497">
        <f>'Plant wise cane details'!H360*10^5</f>
        <v>14240573.960000001</v>
      </c>
      <c r="I87" s="497">
        <f>'Plant wise cane details'!I360*10^5</f>
        <v>12782519.789999997</v>
      </c>
      <c r="J87" s="497">
        <f>'Plant wise cane details'!J360*10^5</f>
        <v>8651379.339999998</v>
      </c>
      <c r="Q87" s="568"/>
    </row>
    <row r="88" spans="2:17" s="254" customFormat="1" x14ac:dyDescent="0.35">
      <c r="B88" s="279" t="s">
        <v>641</v>
      </c>
      <c r="C88" s="279" t="s">
        <v>651</v>
      </c>
      <c r="D88" s="497">
        <f>'Plant wise cane details'!D361*10^5</f>
        <v>4754076.76</v>
      </c>
      <c r="E88" s="497">
        <f>'Plant wise cane details'!E361*10^5</f>
        <v>7111957.2299999986</v>
      </c>
      <c r="F88" s="497">
        <f>'Plant wise cane details'!F361*10^5</f>
        <v>9392300.0000000019</v>
      </c>
      <c r="G88" s="497">
        <f>'Plant wise cane details'!G361*10^5</f>
        <v>10518215.460000001</v>
      </c>
      <c r="H88" s="497">
        <f>'Plant wise cane details'!H361*10^5</f>
        <v>9780643.3200000003</v>
      </c>
      <c r="I88" s="497">
        <f>'Plant wise cane details'!I361*10^5</f>
        <v>10594652.609999999</v>
      </c>
      <c r="J88" s="497">
        <f>'Plant wise cane details'!J361*10^5</f>
        <v>8820650.8499999996</v>
      </c>
      <c r="Q88" s="568"/>
    </row>
    <row r="89" spans="2:17" s="254" customFormat="1" x14ac:dyDescent="0.35">
      <c r="B89" s="279" t="s">
        <v>642</v>
      </c>
      <c r="C89" s="279" t="s">
        <v>651</v>
      </c>
      <c r="D89" s="497">
        <f>'Plant wise cane details'!D362*10^5</f>
        <v>4223738.7699999996</v>
      </c>
      <c r="E89" s="497">
        <f>'Plant wise cane details'!E362*10^5</f>
        <v>6826140.0499999998</v>
      </c>
      <c r="F89" s="497">
        <f>'Plant wise cane details'!F362*10^5</f>
        <v>8273699.9999999991</v>
      </c>
      <c r="G89" s="497">
        <f>'Plant wise cane details'!G362*10^5</f>
        <v>11211484.109999996</v>
      </c>
      <c r="H89" s="497">
        <f>'Plant wise cane details'!H362*10^5</f>
        <v>8840758.1799999997</v>
      </c>
      <c r="I89" s="497">
        <f>'Plant wise cane details'!I362*10^5</f>
        <v>7312609.7700000005</v>
      </c>
      <c r="J89" s="497">
        <f>'Plant wise cane details'!J362*10^5</f>
        <v>5825838.96</v>
      </c>
      <c r="Q89" s="568"/>
    </row>
    <row r="90" spans="2:17" s="254" customFormat="1" x14ac:dyDescent="0.35">
      <c r="B90" s="289" t="s">
        <v>643</v>
      </c>
      <c r="C90" s="279" t="s">
        <v>651</v>
      </c>
      <c r="D90" s="425">
        <f t="shared" ref="D90:I90" si="48">SUM(D85:D89)</f>
        <v>44290303.289999992</v>
      </c>
      <c r="E90" s="425">
        <f t="shared" si="48"/>
        <v>54856371.669999994</v>
      </c>
      <c r="F90" s="425">
        <f t="shared" si="48"/>
        <v>62607222.490000002</v>
      </c>
      <c r="G90" s="425">
        <f t="shared" si="48"/>
        <v>75484493.519999996</v>
      </c>
      <c r="H90" s="425">
        <f t="shared" si="48"/>
        <v>67370077.849999994</v>
      </c>
      <c r="I90" s="425">
        <f t="shared" si="48"/>
        <v>64444386.75</v>
      </c>
      <c r="J90" s="425">
        <f t="shared" ref="J90" si="49">SUM(J85:J89)</f>
        <v>46542851.109999992</v>
      </c>
      <c r="Q90" s="568"/>
    </row>
    <row r="91" spans="2:17" s="254" customFormat="1" x14ac:dyDescent="0.35">
      <c r="B91" s="289" t="s">
        <v>644</v>
      </c>
      <c r="C91" s="279" t="s">
        <v>651</v>
      </c>
      <c r="D91" s="424"/>
      <c r="E91" s="424"/>
      <c r="F91" s="424"/>
      <c r="G91" s="424"/>
      <c r="H91" s="424"/>
      <c r="I91" s="424"/>
      <c r="J91" s="424"/>
      <c r="Q91" s="568"/>
    </row>
    <row r="92" spans="2:17" s="254" customFormat="1" x14ac:dyDescent="0.35">
      <c r="B92" s="279" t="s">
        <v>645</v>
      </c>
      <c r="C92" s="279" t="s">
        <v>651</v>
      </c>
      <c r="D92" s="497">
        <f>'Plant wise cane details'!D365*10^5</f>
        <v>1319907.4799999997</v>
      </c>
      <c r="E92" s="497">
        <f>'Plant wise cane details'!E365*10^5</f>
        <v>1090374.5</v>
      </c>
      <c r="F92" s="497">
        <f>'Plant wise cane details'!F365*10^5</f>
        <v>1845149.98</v>
      </c>
      <c r="G92" s="497">
        <f>'Plant wise cane details'!G365*10^5</f>
        <v>2456821.83</v>
      </c>
      <c r="H92" s="497">
        <f>'Plant wise cane details'!H365*10^5</f>
        <v>2583721.4200000004</v>
      </c>
      <c r="I92" s="497">
        <f>'Plant wise cane details'!I365*10^5</f>
        <v>1474324.2200000002</v>
      </c>
      <c r="J92" s="497">
        <f>'Plant wise cane details'!J365*10^5</f>
        <v>1130075.27</v>
      </c>
      <c r="L92" s="569"/>
      <c r="Q92" s="568"/>
    </row>
    <row r="93" spans="2:17" s="254" customFormat="1" x14ac:dyDescent="0.35">
      <c r="B93" s="279" t="s">
        <v>646</v>
      </c>
      <c r="C93" s="279" t="s">
        <v>651</v>
      </c>
      <c r="D93" s="497">
        <f>'Plant wise cane details'!D366*10^5</f>
        <v>3572874.43</v>
      </c>
      <c r="E93" s="497">
        <f>'Plant wise cane details'!E366*10^5</f>
        <v>3758439.37</v>
      </c>
      <c r="F93" s="497">
        <f>'Plant wise cane details'!F366*10^5</f>
        <v>5086158.7799999993</v>
      </c>
      <c r="G93" s="497">
        <f>'Plant wise cane details'!G366*10^5</f>
        <v>5592999.9799999995</v>
      </c>
      <c r="H93" s="497">
        <f>'Plant wise cane details'!H366*10^5</f>
        <v>4955010.74</v>
      </c>
      <c r="I93" s="497">
        <f>'Plant wise cane details'!I366*10^5</f>
        <v>1990772.34</v>
      </c>
      <c r="J93" s="497">
        <f>'Plant wise cane details'!J366*10^5</f>
        <v>1808115.4000000001</v>
      </c>
      <c r="L93" s="569"/>
      <c r="Q93" s="568"/>
    </row>
    <row r="94" spans="2:17" s="254" customFormat="1" x14ac:dyDescent="0.35">
      <c r="B94" s="279" t="s">
        <v>647</v>
      </c>
      <c r="C94" s="279" t="s">
        <v>651</v>
      </c>
      <c r="D94" s="497">
        <f>'Plant wise cane details'!D367*10^5</f>
        <v>4549002.780000004</v>
      </c>
      <c r="E94" s="497">
        <f>'Plant wise cane details'!E367*10^5</f>
        <v>5555246.6300000018</v>
      </c>
      <c r="F94" s="497">
        <f>'Plant wise cane details'!F367*10^5</f>
        <v>6541205.120000001</v>
      </c>
      <c r="G94" s="497">
        <f>'Plant wise cane details'!G367*10^5</f>
        <v>6780300.0000000009</v>
      </c>
      <c r="H94" s="497">
        <f>'Plant wise cane details'!H367*10^5</f>
        <v>6635424.2600000007</v>
      </c>
      <c r="I94" s="497">
        <f>'Plant wise cane details'!I367*10^5</f>
        <v>4409102.7300000004</v>
      </c>
      <c r="J94" s="497">
        <f>'Plant wise cane details'!J367*10^5</f>
        <v>3196906.8099999996</v>
      </c>
      <c r="Q94" s="568"/>
    </row>
    <row r="95" spans="2:17" s="254" customFormat="1" x14ac:dyDescent="0.35">
      <c r="B95" s="279" t="s">
        <v>648</v>
      </c>
      <c r="C95" s="279" t="s">
        <v>651</v>
      </c>
      <c r="D95" s="497">
        <f>'Plant wise cane details'!D368*10^5</f>
        <v>6454324.580000001</v>
      </c>
      <c r="E95" s="497">
        <f>'Plant wise cane details'!E368*10^5</f>
        <v>7302026.7999999998</v>
      </c>
      <c r="F95" s="497">
        <f>'Plant wise cane details'!F368*10^5</f>
        <v>10308600</v>
      </c>
      <c r="G95" s="497">
        <f>'Plant wise cane details'!G368*10^5</f>
        <v>10563598.250000002</v>
      </c>
      <c r="H95" s="497">
        <f>'Plant wise cane details'!H368*10^5</f>
        <v>10560967.279999999</v>
      </c>
      <c r="I95" s="497">
        <f>'Plant wise cane details'!I368*10^5</f>
        <v>8311179.370000001</v>
      </c>
      <c r="J95" s="497">
        <f>'Plant wise cane details'!J368*10^5</f>
        <v>6495035.4800000014</v>
      </c>
      <c r="L95" s="569"/>
      <c r="Q95" s="568"/>
    </row>
    <row r="96" spans="2:17" s="254" customFormat="1" x14ac:dyDescent="0.35">
      <c r="B96" s="289" t="s">
        <v>649</v>
      </c>
      <c r="C96" s="279" t="s">
        <v>651</v>
      </c>
      <c r="D96" s="425">
        <f t="shared" ref="D96:I96" si="50">SUM(D92:D95)</f>
        <v>15896109.270000007</v>
      </c>
      <c r="E96" s="425">
        <f t="shared" si="50"/>
        <v>17706087.300000001</v>
      </c>
      <c r="F96" s="425">
        <f t="shared" si="50"/>
        <v>23781113.880000003</v>
      </c>
      <c r="G96" s="425">
        <f t="shared" si="50"/>
        <v>25393720.060000002</v>
      </c>
      <c r="H96" s="425">
        <f t="shared" si="50"/>
        <v>24735123.700000003</v>
      </c>
      <c r="I96" s="425">
        <f t="shared" si="50"/>
        <v>16185378.660000002</v>
      </c>
      <c r="J96" s="425">
        <f t="shared" ref="J96" si="51">SUM(J92:J95)</f>
        <v>12630132.960000001</v>
      </c>
      <c r="L96" s="569"/>
      <c r="Q96" s="568"/>
    </row>
    <row r="97" spans="2:17" s="254" customFormat="1" x14ac:dyDescent="0.35">
      <c r="B97" s="289" t="s">
        <v>36</v>
      </c>
      <c r="C97" s="279" t="s">
        <v>651</v>
      </c>
      <c r="D97" s="425">
        <f t="shared" ref="D97:I97" si="52">D96+D90+D83</f>
        <v>109227043.52000001</v>
      </c>
      <c r="E97" s="425">
        <f t="shared" si="52"/>
        <v>125087991.38</v>
      </c>
      <c r="F97" s="425">
        <f t="shared" si="52"/>
        <v>147641850.62</v>
      </c>
      <c r="G97" s="425">
        <f t="shared" si="52"/>
        <v>167615911.72999999</v>
      </c>
      <c r="H97" s="425">
        <f t="shared" si="52"/>
        <v>158459867.22999999</v>
      </c>
      <c r="I97" s="425">
        <f t="shared" si="52"/>
        <v>156033938.88999999</v>
      </c>
      <c r="J97" s="425">
        <f t="shared" ref="J97" si="53">J96+J90+J83</f>
        <v>125894481.31</v>
      </c>
      <c r="L97" s="1769"/>
      <c r="Q97" s="568"/>
    </row>
    <row r="98" spans="2:17" s="254" customFormat="1" x14ac:dyDescent="0.35">
      <c r="B98" s="289"/>
      <c r="C98" s="279"/>
      <c r="D98" s="424"/>
      <c r="E98" s="424"/>
      <c r="F98" s="424"/>
      <c r="G98" s="424"/>
      <c r="H98" s="424"/>
      <c r="I98" s="424"/>
      <c r="J98" s="424"/>
    </row>
    <row r="99" spans="2:17" s="254" customFormat="1" x14ac:dyDescent="0.35">
      <c r="B99" s="411" t="s">
        <v>354</v>
      </c>
      <c r="C99" s="412"/>
      <c r="D99" s="412"/>
      <c r="E99" s="412"/>
      <c r="F99" s="412"/>
      <c r="G99" s="412"/>
      <c r="H99" s="412"/>
      <c r="I99" s="412"/>
      <c r="J99" s="412"/>
    </row>
    <row r="100" spans="2:17" s="254" customFormat="1" x14ac:dyDescent="0.35">
      <c r="B100" s="199" t="s">
        <v>664</v>
      </c>
      <c r="C100" s="199"/>
      <c r="D100" s="198"/>
      <c r="E100" s="198"/>
      <c r="F100" s="198"/>
      <c r="G100" s="198"/>
      <c r="H100" s="198"/>
      <c r="I100" s="198"/>
      <c r="J100" s="198"/>
    </row>
    <row r="101" spans="2:17" s="254" customFormat="1" x14ac:dyDescent="0.35">
      <c r="B101" s="199" t="s">
        <v>630</v>
      </c>
      <c r="C101" s="199"/>
      <c r="D101" s="198"/>
      <c r="E101" s="198"/>
      <c r="F101" s="198"/>
      <c r="G101" s="198"/>
      <c r="H101" s="198"/>
      <c r="I101" s="198"/>
      <c r="J101" s="198"/>
    </row>
    <row r="102" spans="2:17" s="254" customFormat="1" x14ac:dyDescent="0.35">
      <c r="B102" s="279" t="s">
        <v>631</v>
      </c>
      <c r="C102" s="279"/>
      <c r="D102" s="353">
        <f t="shared" ref="D102:I107" si="54">D78/D54</f>
        <v>0.77884832858649788</v>
      </c>
      <c r="E102" s="353">
        <f t="shared" si="54"/>
        <v>0.75047860360360363</v>
      </c>
      <c r="F102" s="353">
        <f t="shared" si="54"/>
        <v>0.80083509575569345</v>
      </c>
      <c r="G102" s="353">
        <f t="shared" si="54"/>
        <v>0.79587094171220396</v>
      </c>
      <c r="H102" s="353">
        <f t="shared" si="54"/>
        <v>0.80305814981273382</v>
      </c>
      <c r="I102" s="352">
        <f t="shared" si="54"/>
        <v>0.80550422938144328</v>
      </c>
      <c r="J102" s="352">
        <f t="shared" ref="J102" si="55">J78/J54</f>
        <v>0.80710316396396409</v>
      </c>
    </row>
    <row r="103" spans="2:17" s="254" customFormat="1" x14ac:dyDescent="0.35">
      <c r="B103" s="279" t="s">
        <v>632</v>
      </c>
      <c r="C103" s="279"/>
      <c r="D103" s="353">
        <f t="shared" si="54"/>
        <v>0.67127650877192979</v>
      </c>
      <c r="E103" s="353">
        <f t="shared" si="54"/>
        <v>0.76363907680835197</v>
      </c>
      <c r="F103" s="353">
        <f t="shared" si="54"/>
        <v>0.83301640829986645</v>
      </c>
      <c r="G103" s="353">
        <f t="shared" si="54"/>
        <v>0.81600308247422648</v>
      </c>
      <c r="H103" s="353">
        <f t="shared" si="54"/>
        <v>0.80265555206515415</v>
      </c>
      <c r="I103" s="352">
        <f t="shared" si="54"/>
        <v>0.82031772985782003</v>
      </c>
      <c r="J103" s="352">
        <f t="shared" ref="J103" si="56">J79/J55</f>
        <v>0.81683599242424254</v>
      </c>
    </row>
    <row r="104" spans="2:17" s="254" customFormat="1" x14ac:dyDescent="0.35">
      <c r="B104" s="279" t="s">
        <v>633</v>
      </c>
      <c r="C104" s="279"/>
      <c r="D104" s="353">
        <f t="shared" si="54"/>
        <v>0.84085991649413383</v>
      </c>
      <c r="E104" s="353">
        <f t="shared" si="54"/>
        <v>0.86481681218638007</v>
      </c>
      <c r="F104" s="353">
        <f t="shared" si="54"/>
        <v>0.87844046653671215</v>
      </c>
      <c r="G104" s="353">
        <f t="shared" si="54"/>
        <v>0.84073063570127504</v>
      </c>
      <c r="H104" s="353">
        <f t="shared" si="54"/>
        <v>0.81651914093567257</v>
      </c>
      <c r="I104" s="352">
        <f t="shared" si="54"/>
        <v>0.80772121897018967</v>
      </c>
      <c r="J104" s="352">
        <f t="shared" ref="J104" si="57">J80/J56</f>
        <v>0.8502164673015874</v>
      </c>
    </row>
    <row r="105" spans="2:17" s="254" customFormat="1" x14ac:dyDescent="0.35">
      <c r="B105" s="279" t="s">
        <v>634</v>
      </c>
      <c r="C105" s="279"/>
      <c r="D105" s="353">
        <f t="shared" si="54"/>
        <v>0.79135230701754389</v>
      </c>
      <c r="E105" s="353">
        <f t="shared" si="54"/>
        <v>0.78135510672514619</v>
      </c>
      <c r="F105" s="353">
        <f t="shared" si="54"/>
        <v>0.80144166946191442</v>
      </c>
      <c r="G105" s="353">
        <f t="shared" si="54"/>
        <v>0.77368482433271268</v>
      </c>
      <c r="H105" s="353">
        <f t="shared" si="54"/>
        <v>0.78127047486033518</v>
      </c>
      <c r="I105" s="352">
        <f t="shared" si="54"/>
        <v>0.81629968015102494</v>
      </c>
      <c r="J105" s="352">
        <f t="shared" ref="J105" si="58">J81/J57</f>
        <v>0.81793566418373687</v>
      </c>
    </row>
    <row r="106" spans="2:17" s="254" customFormat="1" x14ac:dyDescent="0.35">
      <c r="B106" s="279" t="s">
        <v>635</v>
      </c>
      <c r="C106" s="279"/>
      <c r="D106" s="353">
        <f t="shared" si="54"/>
        <v>0.34829849946062563</v>
      </c>
      <c r="E106" s="353">
        <f t="shared" si="54"/>
        <v>0.46572822822822824</v>
      </c>
      <c r="F106" s="353">
        <f t="shared" si="54"/>
        <v>0.61429624650478287</v>
      </c>
      <c r="G106" s="353">
        <f t="shared" si="54"/>
        <v>0.59318761826857536</v>
      </c>
      <c r="H106" s="353">
        <f t="shared" si="54"/>
        <v>0.56545019157088128</v>
      </c>
      <c r="I106" s="352">
        <f t="shared" si="54"/>
        <v>0.68133017098765436</v>
      </c>
      <c r="J106" s="352">
        <f t="shared" ref="J106" si="59">J82/J58</f>
        <v>0.70755494444444444</v>
      </c>
    </row>
    <row r="107" spans="2:17" s="254" customFormat="1" x14ac:dyDescent="0.35">
      <c r="B107" s="289" t="s">
        <v>636</v>
      </c>
      <c r="C107" s="279"/>
      <c r="D107" s="598">
        <f t="shared" si="54"/>
        <v>0.71728288664618989</v>
      </c>
      <c r="E107" s="598">
        <f t="shared" si="54"/>
        <v>0.72830743774265105</v>
      </c>
      <c r="F107" s="598">
        <f t="shared" si="54"/>
        <v>0.78985833978078646</v>
      </c>
      <c r="G107" s="598">
        <f t="shared" si="54"/>
        <v>0.77002074708665047</v>
      </c>
      <c r="H107" s="598">
        <f t="shared" si="54"/>
        <v>0.75903300938000462</v>
      </c>
      <c r="I107" s="1768">
        <f t="shared" si="54"/>
        <v>0.78990334674209095</v>
      </c>
      <c r="J107" s="1768">
        <f t="shared" ref="J107" si="60">J83/J59</f>
        <v>0.80348623843930644</v>
      </c>
    </row>
    <row r="108" spans="2:17" s="254" customFormat="1" x14ac:dyDescent="0.35">
      <c r="B108" s="289" t="s">
        <v>637</v>
      </c>
      <c r="C108" s="279"/>
      <c r="D108" s="353"/>
      <c r="E108" s="353"/>
      <c r="F108" s="353"/>
      <c r="G108" s="353"/>
      <c r="H108" s="353"/>
      <c r="I108" s="352"/>
      <c r="J108" s="352"/>
    </row>
    <row r="109" spans="2:17" s="254" customFormat="1" x14ac:dyDescent="0.35">
      <c r="B109" s="279" t="s">
        <v>638</v>
      </c>
      <c r="C109" s="279"/>
      <c r="D109" s="353">
        <f t="shared" ref="D109:I114" si="61">D85/D61</f>
        <v>0.81012199533799556</v>
      </c>
      <c r="E109" s="353">
        <f t="shared" si="61"/>
        <v>0.88155437665782488</v>
      </c>
      <c r="F109" s="353">
        <f t="shared" si="61"/>
        <v>0.99858160853530031</v>
      </c>
      <c r="G109" s="353">
        <f t="shared" si="61"/>
        <v>0.90519593010355026</v>
      </c>
      <c r="H109" s="353">
        <f t="shared" si="61"/>
        <v>0.88441887298747768</v>
      </c>
      <c r="I109" s="352">
        <f t="shared" si="61"/>
        <v>0.87927025022624439</v>
      </c>
      <c r="J109" s="352">
        <f t="shared" ref="J109" si="62">J85/J61</f>
        <v>0.7551682346153844</v>
      </c>
    </row>
    <row r="110" spans="2:17" s="254" customFormat="1" x14ac:dyDescent="0.35">
      <c r="B110" s="279" t="s">
        <v>639</v>
      </c>
      <c r="C110" s="279"/>
      <c r="D110" s="353">
        <f t="shared" si="61"/>
        <v>0.83972065345765334</v>
      </c>
      <c r="E110" s="353">
        <f t="shared" si="61"/>
        <v>0.81559152042160732</v>
      </c>
      <c r="F110" s="353">
        <f t="shared" si="61"/>
        <v>0.86118577584059808</v>
      </c>
      <c r="G110" s="353">
        <f t="shared" si="61"/>
        <v>0.83337092359174569</v>
      </c>
      <c r="H110" s="353">
        <f t="shared" si="61"/>
        <v>0.83187444325239979</v>
      </c>
      <c r="I110" s="352">
        <f t="shared" si="61"/>
        <v>0.81379159374999999</v>
      </c>
      <c r="J110" s="352">
        <f t="shared" ref="J110" si="63">J86/J62</f>
        <v>0.81483019639794163</v>
      </c>
    </row>
    <row r="111" spans="2:17" s="254" customFormat="1" x14ac:dyDescent="0.35">
      <c r="B111" s="279" t="s">
        <v>640</v>
      </c>
      <c r="C111" s="279"/>
      <c r="D111" s="353">
        <f t="shared" si="61"/>
        <v>0.79726236917293236</v>
      </c>
      <c r="E111" s="353">
        <f t="shared" si="61"/>
        <v>0.82208931793103446</v>
      </c>
      <c r="F111" s="353">
        <f t="shared" si="61"/>
        <v>0.83270547945205475</v>
      </c>
      <c r="G111" s="353">
        <f t="shared" si="61"/>
        <v>0.762550815957447</v>
      </c>
      <c r="H111" s="353">
        <f t="shared" si="61"/>
        <v>0.78244911868131872</v>
      </c>
      <c r="I111" s="352">
        <f t="shared" si="61"/>
        <v>0.7563621177514791</v>
      </c>
      <c r="J111" s="352">
        <f t="shared" ref="J111" si="64">J87/J63</f>
        <v>0.76560879115044234</v>
      </c>
    </row>
    <row r="112" spans="2:17" s="254" customFormat="1" x14ac:dyDescent="0.35">
      <c r="B112" s="279" t="s">
        <v>641</v>
      </c>
      <c r="C112" s="279"/>
      <c r="D112" s="353">
        <f t="shared" si="61"/>
        <v>0.78063657799671593</v>
      </c>
      <c r="E112" s="353">
        <f t="shared" si="61"/>
        <v>0.85377637815126028</v>
      </c>
      <c r="F112" s="353">
        <f t="shared" si="61"/>
        <v>0.91901174168297473</v>
      </c>
      <c r="G112" s="353">
        <f t="shared" si="61"/>
        <v>0.88911373288250217</v>
      </c>
      <c r="H112" s="353">
        <f t="shared" si="61"/>
        <v>0.89566330769230773</v>
      </c>
      <c r="I112" s="352">
        <f t="shared" si="61"/>
        <v>0.90630047989734808</v>
      </c>
      <c r="J112" s="352">
        <f t="shared" ref="J112" si="65">J88/J64</f>
        <v>0.89368296352583587</v>
      </c>
    </row>
    <row r="113" spans="2:10" s="254" customFormat="1" x14ac:dyDescent="0.35">
      <c r="B113" s="279" t="s">
        <v>642</v>
      </c>
      <c r="C113" s="279"/>
      <c r="D113" s="353">
        <f t="shared" si="61"/>
        <v>0.70161773588039855</v>
      </c>
      <c r="E113" s="353">
        <f t="shared" si="61"/>
        <v>0.76184598772321421</v>
      </c>
      <c r="F113" s="353">
        <f t="shared" si="61"/>
        <v>0.80955968688845392</v>
      </c>
      <c r="G113" s="353">
        <f t="shared" si="61"/>
        <v>0.73808321988150072</v>
      </c>
      <c r="H113" s="353">
        <f t="shared" si="61"/>
        <v>0.78445059272404616</v>
      </c>
      <c r="I113" s="352">
        <f t="shared" si="61"/>
        <v>0.75699894099378884</v>
      </c>
      <c r="J113" s="352">
        <f t="shared" ref="J113" si="66">J89/J65</f>
        <v>0.78515349865229112</v>
      </c>
    </row>
    <row r="114" spans="2:10" s="254" customFormat="1" x14ac:dyDescent="0.35">
      <c r="B114" s="289" t="s">
        <v>643</v>
      </c>
      <c r="C114" s="279"/>
      <c r="D114" s="598">
        <f t="shared" si="61"/>
        <v>0.79888714448051934</v>
      </c>
      <c r="E114" s="598">
        <f t="shared" si="61"/>
        <v>0.8334301378000607</v>
      </c>
      <c r="F114" s="598">
        <f t="shared" si="61"/>
        <v>0.89336790082762563</v>
      </c>
      <c r="G114" s="598">
        <f t="shared" si="61"/>
        <v>0.83141858706906047</v>
      </c>
      <c r="H114" s="598">
        <f t="shared" si="61"/>
        <v>0.83731143238876449</v>
      </c>
      <c r="I114" s="1768">
        <f t="shared" si="61"/>
        <v>0.82674004810776136</v>
      </c>
      <c r="J114" s="1768">
        <f t="shared" ref="J114" si="67">J90/J66</f>
        <v>0.79628487784431123</v>
      </c>
    </row>
    <row r="115" spans="2:10" s="254" customFormat="1" x14ac:dyDescent="0.35">
      <c r="B115" s="289" t="s">
        <v>644</v>
      </c>
      <c r="C115" s="279"/>
      <c r="D115" s="353"/>
      <c r="E115" s="353"/>
      <c r="F115" s="353"/>
      <c r="G115" s="353"/>
      <c r="H115" s="353"/>
      <c r="I115" s="352"/>
      <c r="J115" s="352"/>
    </row>
    <row r="116" spans="2:10" s="254" customFormat="1" x14ac:dyDescent="0.35">
      <c r="B116" s="279" t="s">
        <v>645</v>
      </c>
      <c r="C116" s="279"/>
      <c r="D116" s="353">
        <f t="shared" ref="D116:I121" si="68">D92/D68</f>
        <v>0.48885462222222215</v>
      </c>
      <c r="E116" s="353">
        <f t="shared" si="68"/>
        <v>0.43268829365079364</v>
      </c>
      <c r="F116" s="353">
        <f t="shared" si="68"/>
        <v>0.44568840096618356</v>
      </c>
      <c r="G116" s="353">
        <f t="shared" si="68"/>
        <v>0.46530716477272727</v>
      </c>
      <c r="H116" s="353">
        <f t="shared" si="68"/>
        <v>0.48384296254681658</v>
      </c>
      <c r="I116" s="352">
        <f t="shared" si="68"/>
        <v>0.4550383395061729</v>
      </c>
      <c r="J116" s="352">
        <f t="shared" ref="J116" si="69">J92/J68</f>
        <v>0.34244705151515153</v>
      </c>
    </row>
    <row r="117" spans="2:10" s="254" customFormat="1" x14ac:dyDescent="0.35">
      <c r="B117" s="279" t="s">
        <v>646</v>
      </c>
      <c r="C117" s="279"/>
      <c r="D117" s="353">
        <f t="shared" si="68"/>
        <v>0.65437260622710625</v>
      </c>
      <c r="E117" s="353">
        <f t="shared" si="68"/>
        <v>0.67964545569620261</v>
      </c>
      <c r="F117" s="353">
        <f t="shared" si="68"/>
        <v>0.62102060805860793</v>
      </c>
      <c r="G117" s="353">
        <f t="shared" si="68"/>
        <v>0.64435483640552993</v>
      </c>
      <c r="H117" s="353">
        <f t="shared" si="68"/>
        <v>0.5445066747252747</v>
      </c>
      <c r="I117" s="352">
        <f t="shared" si="68"/>
        <v>0.44436882589285714</v>
      </c>
      <c r="J117" s="352">
        <f t="shared" ref="J117" si="70">J93/J69</f>
        <v>0.29689908045977015</v>
      </c>
    </row>
    <row r="118" spans="2:10" s="254" customFormat="1" x14ac:dyDescent="0.35">
      <c r="B118" s="279" t="s">
        <v>647</v>
      </c>
      <c r="C118" s="279"/>
      <c r="D118" s="353">
        <f t="shared" si="68"/>
        <v>0.47385445625000039</v>
      </c>
      <c r="E118" s="353">
        <f t="shared" si="68"/>
        <v>0.53829909205426374</v>
      </c>
      <c r="F118" s="353">
        <f t="shared" si="68"/>
        <v>0.50009213455657497</v>
      </c>
      <c r="G118" s="353">
        <f t="shared" si="68"/>
        <v>0.44490157480314968</v>
      </c>
      <c r="H118" s="353">
        <f t="shared" si="68"/>
        <v>0.43885081084656091</v>
      </c>
      <c r="I118" s="352">
        <f t="shared" si="68"/>
        <v>0.43226497352941179</v>
      </c>
      <c r="J118" s="352">
        <f t="shared" ref="J118" si="71">J94/J70</f>
        <v>0.33301112604166661</v>
      </c>
    </row>
    <row r="119" spans="2:10" s="254" customFormat="1" x14ac:dyDescent="0.35">
      <c r="B119" s="279" t="s">
        <v>648</v>
      </c>
      <c r="C119" s="279"/>
      <c r="D119" s="353">
        <f t="shared" si="68"/>
        <v>0.54466874092827011</v>
      </c>
      <c r="E119" s="353">
        <f t="shared" si="68"/>
        <v>0.58650817670682731</v>
      </c>
      <c r="F119" s="353">
        <f t="shared" si="68"/>
        <v>0.54542857142857137</v>
      </c>
      <c r="G119" s="353">
        <f t="shared" si="68"/>
        <v>0.55451959317585309</v>
      </c>
      <c r="H119" s="353">
        <f t="shared" si="68"/>
        <v>0.58187147548209361</v>
      </c>
      <c r="I119" s="352">
        <f t="shared" si="68"/>
        <v>0.60887760952380965</v>
      </c>
      <c r="J119" s="352">
        <f t="shared" ref="J119" si="72">J95/J71</f>
        <v>0.5154790063492064</v>
      </c>
    </row>
    <row r="120" spans="2:10" s="254" customFormat="1" x14ac:dyDescent="0.35">
      <c r="B120" s="289" t="s">
        <v>649</v>
      </c>
      <c r="C120" s="279"/>
      <c r="D120" s="598">
        <f t="shared" si="68"/>
        <v>0.53684935055724436</v>
      </c>
      <c r="E120" s="598">
        <f t="shared" si="68"/>
        <v>0.57449991239454901</v>
      </c>
      <c r="F120" s="598">
        <f t="shared" si="68"/>
        <v>0.53669857549085986</v>
      </c>
      <c r="G120" s="598">
        <f t="shared" si="68"/>
        <v>0.52629471626943014</v>
      </c>
      <c r="H120" s="598">
        <f t="shared" si="68"/>
        <v>0.51844736323621887</v>
      </c>
      <c r="I120" s="1768">
        <f t="shared" si="68"/>
        <v>0.51268225087108021</v>
      </c>
      <c r="J120" s="1768">
        <f t="shared" ref="J120" si="73">J96/J72</f>
        <v>0.39981427540360875</v>
      </c>
    </row>
    <row r="121" spans="2:10" s="254" customFormat="1" x14ac:dyDescent="0.35">
      <c r="B121" s="289" t="s">
        <v>36</v>
      </c>
      <c r="C121" s="279"/>
      <c r="D121" s="598">
        <f t="shared" si="68"/>
        <v>0.71194787850345465</v>
      </c>
      <c r="E121" s="598">
        <f t="shared" si="68"/>
        <v>0.74121824709646833</v>
      </c>
      <c r="F121" s="598">
        <f t="shared" si="68"/>
        <v>0.76920834958841311</v>
      </c>
      <c r="G121" s="598">
        <f t="shared" si="68"/>
        <v>0.74261624088432054</v>
      </c>
      <c r="H121" s="598">
        <f t="shared" si="68"/>
        <v>0.73500564604109653</v>
      </c>
      <c r="I121" s="1768">
        <f t="shared" si="68"/>
        <v>0.76121543023709626</v>
      </c>
      <c r="J121" s="1768">
        <f t="shared" ref="J121" si="74">J97/J73</f>
        <v>0.72737740530390571</v>
      </c>
    </row>
    <row r="122" spans="2:10" s="254" customFormat="1" x14ac:dyDescent="0.35">
      <c r="B122" s="289"/>
      <c r="C122" s="279"/>
      <c r="D122" s="425"/>
      <c r="E122" s="425"/>
      <c r="F122" s="425"/>
      <c r="G122" s="425"/>
      <c r="H122" s="425"/>
      <c r="I122" s="425"/>
      <c r="J122" s="425"/>
    </row>
    <row r="123" spans="2:10" s="254" customFormat="1" x14ac:dyDescent="0.35">
      <c r="B123" s="498" t="s">
        <v>652</v>
      </c>
      <c r="C123" s="280" t="s">
        <v>373</v>
      </c>
      <c r="D123" s="599">
        <f t="shared" ref="D123:I123" si="75">(D170+D302-D280)/D97</f>
        <v>0.10324100732375109</v>
      </c>
      <c r="E123" s="599">
        <f t="shared" si="75"/>
        <v>0.10227863489416918</v>
      </c>
      <c r="F123" s="599">
        <f t="shared" si="75"/>
        <v>0.10621321078100694</v>
      </c>
      <c r="G123" s="599">
        <f t="shared" si="75"/>
        <v>0.11394252969708797</v>
      </c>
      <c r="H123" s="599">
        <f t="shared" si="75"/>
        <v>0.11645030008271073</v>
      </c>
      <c r="I123" s="599">
        <f t="shared" si="75"/>
        <v>0.11061574951439079</v>
      </c>
      <c r="J123" s="599">
        <f>(J170+J302-J280)/(J97-J93)</f>
        <v>0.10363161718610443</v>
      </c>
    </row>
    <row r="124" spans="2:10" s="254" customFormat="1" x14ac:dyDescent="0.35">
      <c r="B124" s="498" t="s">
        <v>653</v>
      </c>
      <c r="C124" s="280" t="s">
        <v>373</v>
      </c>
      <c r="D124" s="599">
        <f t="shared" ref="D124:I124" si="76">D258/D170</f>
        <v>0.46366697715228411</v>
      </c>
      <c r="E124" s="599">
        <f t="shared" si="76"/>
        <v>0.59157657154609744</v>
      </c>
      <c r="F124" s="599">
        <f t="shared" si="76"/>
        <v>0.54485368326152661</v>
      </c>
      <c r="G124" s="599">
        <f t="shared" si="76"/>
        <v>0.42210345433616653</v>
      </c>
      <c r="H124" s="599">
        <f t="shared" si="76"/>
        <v>0.42242499000869316</v>
      </c>
      <c r="I124" s="599">
        <f t="shared" si="76"/>
        <v>0.38193970940766131</v>
      </c>
      <c r="J124" s="599">
        <f t="shared" ref="J124" si="77">J258/J170</f>
        <v>0.50013440770253415</v>
      </c>
    </row>
    <row r="125" spans="2:10" s="254" customFormat="1" x14ac:dyDescent="0.35">
      <c r="B125" s="289"/>
      <c r="C125" s="279"/>
      <c r="D125" s="424"/>
      <c r="E125" s="424"/>
      <c r="F125" s="424"/>
      <c r="G125" s="424"/>
      <c r="H125" s="424"/>
      <c r="I125" s="424"/>
    </row>
    <row r="126" spans="2:10" s="254" customFormat="1" x14ac:dyDescent="0.35">
      <c r="B126" s="248" t="s">
        <v>853</v>
      </c>
      <c r="C126" s="250"/>
      <c r="D126" s="535"/>
      <c r="E126" s="535"/>
      <c r="F126" s="535"/>
      <c r="G126" s="535"/>
      <c r="H126" s="535"/>
      <c r="I126" s="535"/>
      <c r="J126" s="535"/>
    </row>
    <row r="127" spans="2:10" s="254" customFormat="1" x14ac:dyDescent="0.35">
      <c r="B127" s="289" t="s">
        <v>664</v>
      </c>
      <c r="C127" s="289" t="s">
        <v>369</v>
      </c>
      <c r="D127" s="424"/>
      <c r="E127" s="424"/>
      <c r="F127" s="424"/>
      <c r="G127" s="424"/>
      <c r="H127" s="424"/>
      <c r="I127" s="424"/>
      <c r="J127" s="424"/>
    </row>
    <row r="128" spans="2:10" s="254" customFormat="1" x14ac:dyDescent="0.35">
      <c r="B128" s="289" t="s">
        <v>630</v>
      </c>
      <c r="C128" s="289"/>
      <c r="D128" s="424"/>
      <c r="E128" s="424"/>
      <c r="F128" s="424"/>
      <c r="G128" s="424"/>
      <c r="H128" s="424"/>
      <c r="I128" s="424"/>
      <c r="J128" s="424"/>
    </row>
    <row r="129" spans="2:10" s="254" customFormat="1" x14ac:dyDescent="0.35">
      <c r="B129" s="279" t="s">
        <v>631</v>
      </c>
      <c r="C129" s="279" t="s">
        <v>651</v>
      </c>
      <c r="D129" s="422">
        <v>684815</v>
      </c>
      <c r="E129" s="497">
        <f t="shared" ref="E129:G133" si="78">D239</f>
        <v>819940</v>
      </c>
      <c r="F129" s="497">
        <f t="shared" si="78"/>
        <v>791290</v>
      </c>
      <c r="G129" s="497">
        <f t="shared" si="78"/>
        <v>863533</v>
      </c>
      <c r="H129" s="497">
        <f t="shared" ref="H129:J133" si="79">G239</f>
        <v>920034</v>
      </c>
      <c r="I129" s="497">
        <f t="shared" si="79"/>
        <v>875954</v>
      </c>
      <c r="J129" s="497">
        <f t="shared" si="79"/>
        <v>1011266</v>
      </c>
    </row>
    <row r="130" spans="2:10" s="254" customFormat="1" x14ac:dyDescent="0.35">
      <c r="B130" s="279" t="s">
        <v>632</v>
      </c>
      <c r="C130" s="279" t="s">
        <v>651</v>
      </c>
      <c r="D130" s="422">
        <v>528238</v>
      </c>
      <c r="E130" s="497">
        <f t="shared" si="78"/>
        <v>351878</v>
      </c>
      <c r="F130" s="497">
        <f t="shared" si="78"/>
        <v>605874</v>
      </c>
      <c r="G130" s="497">
        <f t="shared" si="78"/>
        <v>700413</v>
      </c>
      <c r="H130" s="497">
        <f t="shared" si="79"/>
        <v>790597</v>
      </c>
      <c r="I130" s="497">
        <f t="shared" si="79"/>
        <v>643280</v>
      </c>
      <c r="J130" s="497">
        <f t="shared" si="79"/>
        <v>627774</v>
      </c>
    </row>
    <row r="131" spans="2:10" s="254" customFormat="1" x14ac:dyDescent="0.35">
      <c r="B131" s="279" t="s">
        <v>633</v>
      </c>
      <c r="C131" s="279" t="s">
        <v>651</v>
      </c>
      <c r="D131" s="422">
        <v>636747</v>
      </c>
      <c r="E131" s="497">
        <f t="shared" si="78"/>
        <v>554252</v>
      </c>
      <c r="F131" s="497">
        <f t="shared" si="78"/>
        <v>753753</v>
      </c>
      <c r="G131" s="497">
        <f t="shared" si="78"/>
        <v>765672</v>
      </c>
      <c r="H131" s="497">
        <f t="shared" si="79"/>
        <v>756267</v>
      </c>
      <c r="I131" s="497">
        <f t="shared" si="79"/>
        <v>651006</v>
      </c>
      <c r="J131" s="497">
        <f t="shared" si="79"/>
        <v>778369</v>
      </c>
    </row>
    <row r="132" spans="2:10" s="254" customFormat="1" x14ac:dyDescent="0.35">
      <c r="B132" s="279" t="s">
        <v>634</v>
      </c>
      <c r="C132" s="279" t="s">
        <v>651</v>
      </c>
      <c r="D132" s="422">
        <v>599211</v>
      </c>
      <c r="E132" s="497">
        <f t="shared" si="78"/>
        <v>537872</v>
      </c>
      <c r="F132" s="497">
        <f t="shared" si="78"/>
        <v>627748</v>
      </c>
      <c r="G132" s="497">
        <f t="shared" si="78"/>
        <v>575761</v>
      </c>
      <c r="H132" s="497">
        <f t="shared" si="79"/>
        <v>668911</v>
      </c>
      <c r="I132" s="497">
        <f t="shared" si="79"/>
        <v>639499</v>
      </c>
      <c r="J132" s="497">
        <f t="shared" si="79"/>
        <v>794333</v>
      </c>
    </row>
    <row r="133" spans="2:10" s="254" customFormat="1" x14ac:dyDescent="0.35">
      <c r="B133" s="279" t="s">
        <v>635</v>
      </c>
      <c r="C133" s="279" t="s">
        <v>651</v>
      </c>
      <c r="D133" s="422">
        <v>225120</v>
      </c>
      <c r="E133" s="497">
        <f t="shared" si="78"/>
        <v>164814</v>
      </c>
      <c r="F133" s="497">
        <f t="shared" si="78"/>
        <v>390727</v>
      </c>
      <c r="G133" s="497">
        <f t="shared" si="78"/>
        <v>508304</v>
      </c>
      <c r="H133" s="497">
        <f t="shared" si="79"/>
        <v>375276</v>
      </c>
      <c r="I133" s="497">
        <f t="shared" si="79"/>
        <v>353552</v>
      </c>
      <c r="J133" s="497">
        <f t="shared" si="79"/>
        <v>440374</v>
      </c>
    </row>
    <row r="134" spans="2:10" s="254" customFormat="1" x14ac:dyDescent="0.35">
      <c r="B134" s="289" t="s">
        <v>636</v>
      </c>
      <c r="C134" s="279" t="s">
        <v>651</v>
      </c>
      <c r="D134" s="425">
        <f t="shared" ref="D134:I134" si="80">SUM(D129:D133)</f>
        <v>2674131</v>
      </c>
      <c r="E134" s="425">
        <f t="shared" si="80"/>
        <v>2428756</v>
      </c>
      <c r="F134" s="425">
        <f t="shared" si="80"/>
        <v>3169392</v>
      </c>
      <c r="G134" s="425">
        <f t="shared" si="80"/>
        <v>3413683</v>
      </c>
      <c r="H134" s="425">
        <f t="shared" si="80"/>
        <v>3511085</v>
      </c>
      <c r="I134" s="425">
        <f t="shared" si="80"/>
        <v>3163291</v>
      </c>
      <c r="J134" s="425">
        <f t="shared" ref="J134" si="81">SUM(J129:J133)</f>
        <v>3652116</v>
      </c>
    </row>
    <row r="135" spans="2:10" s="254" customFormat="1" x14ac:dyDescent="0.35">
      <c r="B135" s="289" t="s">
        <v>637</v>
      </c>
      <c r="C135" s="279" t="s">
        <v>651</v>
      </c>
      <c r="D135" s="424"/>
      <c r="E135" s="424"/>
      <c r="F135" s="424"/>
      <c r="G135" s="424"/>
      <c r="H135" s="424"/>
      <c r="I135" s="424"/>
      <c r="J135" s="424"/>
    </row>
    <row r="136" spans="2:10" s="254" customFormat="1" x14ac:dyDescent="0.35">
      <c r="B136" s="279" t="s">
        <v>638</v>
      </c>
      <c r="C136" s="279" t="s">
        <v>651</v>
      </c>
      <c r="D136" s="422">
        <v>754779</v>
      </c>
      <c r="E136" s="497">
        <f t="shared" ref="E136:J140" si="82">D246</f>
        <v>795449</v>
      </c>
      <c r="F136" s="497">
        <f t="shared" si="82"/>
        <v>1066374</v>
      </c>
      <c r="G136" s="497">
        <f t="shared" si="82"/>
        <v>1055513</v>
      </c>
      <c r="H136" s="497">
        <f t="shared" si="82"/>
        <v>1022248</v>
      </c>
      <c r="I136" s="497">
        <f t="shared" si="82"/>
        <v>1009707</v>
      </c>
      <c r="J136" s="497">
        <f t="shared" si="82"/>
        <v>678232</v>
      </c>
    </row>
    <row r="137" spans="2:10" s="254" customFormat="1" x14ac:dyDescent="0.35">
      <c r="B137" s="279" t="s">
        <v>639</v>
      </c>
      <c r="C137" s="279" t="s">
        <v>651</v>
      </c>
      <c r="D137" s="422">
        <v>730782</v>
      </c>
      <c r="E137" s="497">
        <f t="shared" si="82"/>
        <v>476230</v>
      </c>
      <c r="F137" s="497">
        <f t="shared" si="82"/>
        <v>588270</v>
      </c>
      <c r="G137" s="497">
        <f t="shared" si="82"/>
        <v>827614</v>
      </c>
      <c r="H137" s="497">
        <f t="shared" si="82"/>
        <v>600702</v>
      </c>
      <c r="I137" s="497">
        <f t="shared" si="82"/>
        <v>585184</v>
      </c>
      <c r="J137" s="497">
        <f t="shared" si="82"/>
        <v>381663</v>
      </c>
    </row>
    <row r="138" spans="2:10" s="254" customFormat="1" x14ac:dyDescent="0.35">
      <c r="B138" s="279" t="s">
        <v>640</v>
      </c>
      <c r="C138" s="279" t="s">
        <v>651</v>
      </c>
      <c r="D138" s="422">
        <v>712057</v>
      </c>
      <c r="E138" s="497">
        <f t="shared" si="82"/>
        <v>510952</v>
      </c>
      <c r="F138" s="497">
        <f t="shared" si="82"/>
        <v>843063</v>
      </c>
      <c r="G138" s="497">
        <f t="shared" si="82"/>
        <v>856907</v>
      </c>
      <c r="H138" s="497">
        <f t="shared" si="82"/>
        <v>752209</v>
      </c>
      <c r="I138" s="497">
        <f t="shared" si="82"/>
        <v>722490</v>
      </c>
      <c r="J138" s="497">
        <f t="shared" si="82"/>
        <v>435267</v>
      </c>
    </row>
    <row r="139" spans="2:10" s="254" customFormat="1" x14ac:dyDescent="0.35">
      <c r="B139" s="279" t="s">
        <v>641</v>
      </c>
      <c r="C139" s="279" t="s">
        <v>651</v>
      </c>
      <c r="D139" s="422">
        <v>397115.5</v>
      </c>
      <c r="E139" s="497">
        <f t="shared" si="82"/>
        <v>124966.5</v>
      </c>
      <c r="F139" s="497">
        <f t="shared" si="82"/>
        <v>347429.5</v>
      </c>
      <c r="G139" s="497">
        <f t="shared" si="82"/>
        <v>528072</v>
      </c>
      <c r="H139" s="497">
        <f t="shared" si="82"/>
        <v>424526</v>
      </c>
      <c r="I139" s="497">
        <f t="shared" si="82"/>
        <v>558875</v>
      </c>
      <c r="J139" s="497">
        <f t="shared" si="82"/>
        <v>669244</v>
      </c>
    </row>
    <row r="140" spans="2:10" s="254" customFormat="1" x14ac:dyDescent="0.35">
      <c r="B140" s="279" t="s">
        <v>642</v>
      </c>
      <c r="C140" s="279" t="s">
        <v>651</v>
      </c>
      <c r="D140" s="422">
        <v>224740</v>
      </c>
      <c r="E140" s="497">
        <f t="shared" si="82"/>
        <v>147121</v>
      </c>
      <c r="F140" s="497">
        <f t="shared" si="82"/>
        <v>398768</v>
      </c>
      <c r="G140" s="497">
        <f t="shared" si="82"/>
        <v>473358</v>
      </c>
      <c r="H140" s="497">
        <f t="shared" si="82"/>
        <v>308701</v>
      </c>
      <c r="I140" s="497">
        <f t="shared" si="82"/>
        <v>374162</v>
      </c>
      <c r="J140" s="497">
        <f t="shared" si="82"/>
        <v>331806</v>
      </c>
    </row>
    <row r="141" spans="2:10" s="254" customFormat="1" x14ac:dyDescent="0.35">
      <c r="B141" s="289" t="s">
        <v>643</v>
      </c>
      <c r="C141" s="279" t="s">
        <v>651</v>
      </c>
      <c r="D141" s="425">
        <f t="shared" ref="D141:I141" si="83">SUM(D136:D140)</f>
        <v>2819473.5</v>
      </c>
      <c r="E141" s="425">
        <f t="shared" si="83"/>
        <v>2054718.5</v>
      </c>
      <c r="F141" s="425">
        <f t="shared" si="83"/>
        <v>3243904.5</v>
      </c>
      <c r="G141" s="425">
        <f t="shared" si="83"/>
        <v>3741464</v>
      </c>
      <c r="H141" s="425">
        <f t="shared" si="83"/>
        <v>3108386</v>
      </c>
      <c r="I141" s="425">
        <f t="shared" si="83"/>
        <v>3250418</v>
      </c>
      <c r="J141" s="425">
        <f t="shared" ref="J141" si="84">SUM(J136:J140)</f>
        <v>2496212</v>
      </c>
    </row>
    <row r="142" spans="2:10" s="254" customFormat="1" x14ac:dyDescent="0.35">
      <c r="B142" s="289" t="s">
        <v>644</v>
      </c>
      <c r="C142" s="279" t="s">
        <v>651</v>
      </c>
      <c r="D142" s="424"/>
      <c r="E142" s="424"/>
      <c r="F142" s="424"/>
      <c r="G142" s="424"/>
      <c r="H142" s="424"/>
      <c r="I142" s="424"/>
      <c r="J142" s="424"/>
    </row>
    <row r="143" spans="2:10" s="254" customFormat="1" x14ac:dyDescent="0.35">
      <c r="B143" s="279" t="s">
        <v>645</v>
      </c>
      <c r="C143" s="279" t="s">
        <v>651</v>
      </c>
      <c r="D143" s="422">
        <v>97506</v>
      </c>
      <c r="E143" s="497">
        <f t="shared" ref="E143:G146" si="85">D253</f>
        <v>72728</v>
      </c>
      <c r="F143" s="497">
        <f t="shared" si="85"/>
        <v>63494</v>
      </c>
      <c r="G143" s="497">
        <f t="shared" si="85"/>
        <v>115297</v>
      </c>
      <c r="H143" s="497">
        <f t="shared" ref="H143:J146" si="86">G253</f>
        <v>179628</v>
      </c>
      <c r="I143" s="497">
        <f t="shared" si="86"/>
        <v>164351</v>
      </c>
      <c r="J143" s="497">
        <f t="shared" si="86"/>
        <v>44866</v>
      </c>
    </row>
    <row r="144" spans="2:10" s="254" customFormat="1" x14ac:dyDescent="0.35">
      <c r="B144" s="279" t="s">
        <v>646</v>
      </c>
      <c r="C144" s="279" t="s">
        <v>651</v>
      </c>
      <c r="D144" s="422">
        <v>138307</v>
      </c>
      <c r="E144" s="497">
        <f t="shared" si="85"/>
        <v>172600</v>
      </c>
      <c r="F144" s="497">
        <f t="shared" si="85"/>
        <v>176819</v>
      </c>
      <c r="G144" s="497">
        <f t="shared" si="85"/>
        <v>316762</v>
      </c>
      <c r="H144" s="497">
        <f t="shared" si="86"/>
        <v>247480</v>
      </c>
      <c r="I144" s="497">
        <f t="shared" si="86"/>
        <v>110300</v>
      </c>
      <c r="J144" s="497">
        <f t="shared" si="86"/>
        <v>8540</v>
      </c>
    </row>
    <row r="145" spans="2:10" s="254" customFormat="1" x14ac:dyDescent="0.35">
      <c r="B145" s="279" t="s">
        <v>647</v>
      </c>
      <c r="C145" s="279" t="s">
        <v>651</v>
      </c>
      <c r="D145" s="422">
        <v>440031</v>
      </c>
      <c r="E145" s="497">
        <f t="shared" si="85"/>
        <v>318076</v>
      </c>
      <c r="F145" s="497">
        <f t="shared" si="85"/>
        <v>364281</v>
      </c>
      <c r="G145" s="497">
        <f t="shared" si="85"/>
        <v>324333</v>
      </c>
      <c r="H145" s="497">
        <f t="shared" si="86"/>
        <v>400973</v>
      </c>
      <c r="I145" s="497">
        <f t="shared" si="86"/>
        <v>403642</v>
      </c>
      <c r="J145" s="497">
        <f t="shared" si="86"/>
        <v>85948</v>
      </c>
    </row>
    <row r="146" spans="2:10" s="254" customFormat="1" x14ac:dyDescent="0.35">
      <c r="B146" s="279" t="s">
        <v>648</v>
      </c>
      <c r="C146" s="279" t="s">
        <v>651</v>
      </c>
      <c r="D146" s="422">
        <v>707641</v>
      </c>
      <c r="E146" s="497">
        <f t="shared" si="85"/>
        <v>220702</v>
      </c>
      <c r="F146" s="497">
        <f t="shared" si="85"/>
        <v>509470</v>
      </c>
      <c r="G146" s="497">
        <f t="shared" si="85"/>
        <v>588677</v>
      </c>
      <c r="H146" s="497">
        <f t="shared" si="86"/>
        <v>615098</v>
      </c>
      <c r="I146" s="497">
        <f t="shared" si="86"/>
        <v>695551</v>
      </c>
      <c r="J146" s="497">
        <f t="shared" si="86"/>
        <v>349550</v>
      </c>
    </row>
    <row r="147" spans="2:10" s="254" customFormat="1" x14ac:dyDescent="0.35">
      <c r="B147" s="289" t="s">
        <v>649</v>
      </c>
      <c r="C147" s="279" t="s">
        <v>651</v>
      </c>
      <c r="D147" s="425">
        <f t="shared" ref="D147:I147" si="87">SUM(D143:D146)</f>
        <v>1383485</v>
      </c>
      <c r="E147" s="425">
        <f t="shared" si="87"/>
        <v>784106</v>
      </c>
      <c r="F147" s="425">
        <f t="shared" si="87"/>
        <v>1114064</v>
      </c>
      <c r="G147" s="425">
        <f t="shared" si="87"/>
        <v>1345069</v>
      </c>
      <c r="H147" s="425">
        <f t="shared" si="87"/>
        <v>1443179</v>
      </c>
      <c r="I147" s="425">
        <f t="shared" si="87"/>
        <v>1373844</v>
      </c>
      <c r="J147" s="425">
        <f t="shared" ref="J147" si="88">SUM(J143:J146)</f>
        <v>488904</v>
      </c>
    </row>
    <row r="148" spans="2:10" s="254" customFormat="1" x14ac:dyDescent="0.35">
      <c r="B148" s="289" t="s">
        <v>36</v>
      </c>
      <c r="C148" s="279" t="s">
        <v>651</v>
      </c>
      <c r="D148" s="425">
        <f t="shared" ref="D148:I148" si="89">D134+D141+D147</f>
        <v>6877089.5</v>
      </c>
      <c r="E148" s="425">
        <f t="shared" si="89"/>
        <v>5267580.5</v>
      </c>
      <c r="F148" s="425">
        <f t="shared" si="89"/>
        <v>7527360.5</v>
      </c>
      <c r="G148" s="425">
        <f t="shared" si="89"/>
        <v>8500216</v>
      </c>
      <c r="H148" s="425">
        <f t="shared" si="89"/>
        <v>8062650</v>
      </c>
      <c r="I148" s="425">
        <f t="shared" si="89"/>
        <v>7787553</v>
      </c>
      <c r="J148" s="425">
        <f t="shared" ref="J148" si="90">J134+J141+J147</f>
        <v>6637232</v>
      </c>
    </row>
    <row r="149" spans="2:10" s="254" customFormat="1" x14ac:dyDescent="0.35">
      <c r="B149" s="289"/>
      <c r="C149" s="279"/>
      <c r="D149" s="424"/>
      <c r="E149" s="424"/>
      <c r="F149" s="424"/>
      <c r="G149" s="424"/>
      <c r="H149" s="424"/>
      <c r="I149" s="424"/>
    </row>
    <row r="150" spans="2:10" s="254" customFormat="1" x14ac:dyDescent="0.35">
      <c r="B150" s="248" t="s">
        <v>765</v>
      </c>
      <c r="C150" s="250"/>
      <c r="D150" s="535"/>
      <c r="E150" s="535"/>
      <c r="F150" s="535"/>
      <c r="G150" s="535"/>
      <c r="H150" s="535"/>
      <c r="I150" s="535"/>
      <c r="J150" s="535"/>
    </row>
    <row r="151" spans="2:10" s="254" customFormat="1" x14ac:dyDescent="0.35">
      <c r="B151" s="279" t="s">
        <v>631</v>
      </c>
      <c r="C151" s="279" t="s">
        <v>651</v>
      </c>
      <c r="D151" s="422">
        <v>1452421</v>
      </c>
      <c r="E151" s="422">
        <v>1247081</v>
      </c>
      <c r="F151" s="422">
        <v>1611617</v>
      </c>
      <c r="G151" s="422">
        <v>1992996</v>
      </c>
      <c r="H151" s="422">
        <v>2042130</v>
      </c>
      <c r="I151" s="422">
        <v>2212897</v>
      </c>
      <c r="J151" s="422">
        <v>2058245</v>
      </c>
    </row>
    <row r="152" spans="2:10" s="254" customFormat="1" x14ac:dyDescent="0.35">
      <c r="B152" s="279" t="s">
        <v>632</v>
      </c>
      <c r="C152" s="279" t="s">
        <v>651</v>
      </c>
      <c r="D152" s="422">
        <v>789118</v>
      </c>
      <c r="E152" s="422">
        <v>1020783</v>
      </c>
      <c r="F152" s="422">
        <v>1347827</v>
      </c>
      <c r="G152" s="422">
        <v>1626633</v>
      </c>
      <c r="H152" s="422">
        <v>1610964</v>
      </c>
      <c r="I152" s="422">
        <v>1694718</v>
      </c>
      <c r="J152" s="422">
        <v>1304376</v>
      </c>
    </row>
    <row r="153" spans="2:10" s="254" customFormat="1" x14ac:dyDescent="0.35">
      <c r="B153" s="279" t="s">
        <v>633</v>
      </c>
      <c r="C153" s="279" t="s">
        <v>651</v>
      </c>
      <c r="D153" s="422">
        <v>1208283</v>
      </c>
      <c r="E153" s="422">
        <v>1207563</v>
      </c>
      <c r="F153" s="422">
        <v>1502044</v>
      </c>
      <c r="G153" s="422">
        <v>1610860</v>
      </c>
      <c r="H153" s="422">
        <v>1641878</v>
      </c>
      <c r="I153" s="422">
        <v>1740684</v>
      </c>
      <c r="J153" s="422">
        <v>1554392</v>
      </c>
    </row>
    <row r="154" spans="2:10" s="254" customFormat="1" x14ac:dyDescent="0.35">
      <c r="B154" s="279" t="s">
        <v>634</v>
      </c>
      <c r="C154" s="279" t="s">
        <v>651</v>
      </c>
      <c r="D154" s="422">
        <v>1169240</v>
      </c>
      <c r="E154" s="422">
        <v>1170101</v>
      </c>
      <c r="F154" s="422">
        <v>1304080</v>
      </c>
      <c r="G154" s="422">
        <v>1521872</v>
      </c>
      <c r="H154" s="422">
        <v>1554189.06</v>
      </c>
      <c r="I154" s="422">
        <v>1868615.58</v>
      </c>
      <c r="J154" s="422">
        <v>1607941</v>
      </c>
    </row>
    <row r="155" spans="2:10" s="254" customFormat="1" x14ac:dyDescent="0.35">
      <c r="B155" s="279" t="s">
        <v>635</v>
      </c>
      <c r="C155" s="279" t="s">
        <v>651</v>
      </c>
      <c r="D155" s="422">
        <v>321878</v>
      </c>
      <c r="E155" s="422">
        <v>594137</v>
      </c>
      <c r="F155" s="422">
        <v>865767</v>
      </c>
      <c r="G155" s="422">
        <v>940295</v>
      </c>
      <c r="H155" s="422">
        <v>997253</v>
      </c>
      <c r="I155" s="422">
        <v>1147337</v>
      </c>
      <c r="J155" s="422">
        <v>909550</v>
      </c>
    </row>
    <row r="156" spans="2:10" s="254" customFormat="1" x14ac:dyDescent="0.35">
      <c r="B156" s="289" t="s">
        <v>636</v>
      </c>
      <c r="C156" s="279" t="s">
        <v>651</v>
      </c>
      <c r="D156" s="425">
        <f t="shared" ref="D156:I156" si="91">SUM(D151:D155)</f>
        <v>4940940</v>
      </c>
      <c r="E156" s="425">
        <f t="shared" si="91"/>
        <v>5239665</v>
      </c>
      <c r="F156" s="425">
        <f t="shared" si="91"/>
        <v>6631335</v>
      </c>
      <c r="G156" s="425">
        <f t="shared" si="91"/>
        <v>7692656</v>
      </c>
      <c r="H156" s="425">
        <f t="shared" si="91"/>
        <v>7846414.0600000005</v>
      </c>
      <c r="I156" s="425">
        <f t="shared" si="91"/>
        <v>8664251.5800000001</v>
      </c>
      <c r="J156" s="425">
        <f t="shared" ref="J156" si="92">SUM(J151:J155)</f>
        <v>7434504</v>
      </c>
    </row>
    <row r="157" spans="2:10" s="254" customFormat="1" x14ac:dyDescent="0.35">
      <c r="B157" s="289" t="s">
        <v>637</v>
      </c>
      <c r="C157" s="279" t="s">
        <v>651</v>
      </c>
      <c r="D157" s="424"/>
      <c r="E157" s="424"/>
      <c r="F157" s="424"/>
      <c r="G157" s="424"/>
      <c r="H157" s="424"/>
      <c r="I157" s="424"/>
      <c r="J157" s="424"/>
    </row>
    <row r="158" spans="2:10" s="254" customFormat="1" x14ac:dyDescent="0.35">
      <c r="B158" s="279" t="s">
        <v>638</v>
      </c>
      <c r="C158" s="279" t="s">
        <v>651</v>
      </c>
      <c r="D158" s="422">
        <v>1552468</v>
      </c>
      <c r="E158" s="422">
        <v>1859643</v>
      </c>
      <c r="F158" s="422">
        <v>2141621</v>
      </c>
      <c r="G158" s="422">
        <v>2877218</v>
      </c>
      <c r="H158" s="422">
        <v>2355424</v>
      </c>
      <c r="I158" s="422">
        <v>2144591</v>
      </c>
      <c r="J158" s="422">
        <v>1258509</v>
      </c>
    </row>
    <row r="159" spans="2:10" s="254" customFormat="1" x14ac:dyDescent="0.35">
      <c r="B159" s="279" t="s">
        <v>639</v>
      </c>
      <c r="C159" s="279" t="s">
        <v>651</v>
      </c>
      <c r="D159" s="422">
        <v>1061226</v>
      </c>
      <c r="E159" s="422">
        <v>1186974</v>
      </c>
      <c r="F159" s="422">
        <v>1339357</v>
      </c>
      <c r="G159" s="422">
        <v>1594413</v>
      </c>
      <c r="H159" s="422">
        <v>1608050</v>
      </c>
      <c r="I159" s="422">
        <v>1602241</v>
      </c>
      <c r="J159" s="422">
        <v>864932</v>
      </c>
    </row>
    <row r="160" spans="2:10" s="254" customFormat="1" x14ac:dyDescent="0.35">
      <c r="B160" s="279" t="s">
        <v>640</v>
      </c>
      <c r="C160" s="279" t="s">
        <v>651</v>
      </c>
      <c r="D160" s="422">
        <v>1184780</v>
      </c>
      <c r="E160" s="422">
        <v>1319674</v>
      </c>
      <c r="F160" s="422">
        <v>1357660</v>
      </c>
      <c r="G160" s="422">
        <v>1710426</v>
      </c>
      <c r="H160" s="422">
        <v>1692844</v>
      </c>
      <c r="I160" s="422">
        <v>1323906</v>
      </c>
      <c r="J160" s="422">
        <v>831635</v>
      </c>
    </row>
    <row r="161" spans="2:10" s="254" customFormat="1" x14ac:dyDescent="0.35">
      <c r="B161" s="279" t="s">
        <v>641</v>
      </c>
      <c r="C161" s="279" t="s">
        <v>651</v>
      </c>
      <c r="D161" s="422">
        <v>476750</v>
      </c>
      <c r="E161" s="422">
        <v>725070</v>
      </c>
      <c r="F161" s="422">
        <v>1003690</v>
      </c>
      <c r="G161" s="422">
        <v>1251770</v>
      </c>
      <c r="H161" s="422">
        <v>1192020</v>
      </c>
      <c r="I161" s="422">
        <v>1246718</v>
      </c>
      <c r="J161" s="422">
        <v>885222</v>
      </c>
    </row>
    <row r="162" spans="2:10" s="254" customFormat="1" x14ac:dyDescent="0.35">
      <c r="B162" s="279" t="s">
        <v>642</v>
      </c>
      <c r="C162" s="279" t="s">
        <v>651</v>
      </c>
      <c r="D162" s="422">
        <v>484079</v>
      </c>
      <c r="E162" s="422">
        <v>736361</v>
      </c>
      <c r="F162" s="422">
        <v>883597</v>
      </c>
      <c r="G162" s="422">
        <v>1259534</v>
      </c>
      <c r="H162" s="422">
        <v>1052784</v>
      </c>
      <c r="I162" s="422">
        <v>843186</v>
      </c>
      <c r="J162" s="422">
        <v>593440</v>
      </c>
    </row>
    <row r="163" spans="2:10" s="254" customFormat="1" x14ac:dyDescent="0.35">
      <c r="B163" s="289" t="s">
        <v>643</v>
      </c>
      <c r="C163" s="279" t="s">
        <v>651</v>
      </c>
      <c r="D163" s="425">
        <f t="shared" ref="D163:I163" si="93">SUM(D158:D162)</f>
        <v>4759303</v>
      </c>
      <c r="E163" s="425">
        <f t="shared" si="93"/>
        <v>5827722</v>
      </c>
      <c r="F163" s="425">
        <f t="shared" si="93"/>
        <v>6725925</v>
      </c>
      <c r="G163" s="425">
        <f t="shared" si="93"/>
        <v>8693361</v>
      </c>
      <c r="H163" s="425">
        <f t="shared" si="93"/>
        <v>7901122</v>
      </c>
      <c r="I163" s="425">
        <f t="shared" si="93"/>
        <v>7160642</v>
      </c>
      <c r="J163" s="425">
        <f t="shared" ref="J163" si="94">SUM(J158:J162)</f>
        <v>4433738</v>
      </c>
    </row>
    <row r="164" spans="2:10" s="254" customFormat="1" x14ac:dyDescent="0.35">
      <c r="B164" s="289" t="s">
        <v>644</v>
      </c>
      <c r="C164" s="279" t="s">
        <v>651</v>
      </c>
      <c r="D164" s="424"/>
      <c r="E164" s="424"/>
      <c r="F164" s="424"/>
      <c r="G164" s="424"/>
      <c r="H164" s="424"/>
      <c r="I164" s="424"/>
      <c r="J164" s="424"/>
    </row>
    <row r="165" spans="2:10" s="254" customFormat="1" x14ac:dyDescent="0.35">
      <c r="B165" s="279" t="s">
        <v>645</v>
      </c>
      <c r="C165" s="279" t="s">
        <v>651</v>
      </c>
      <c r="D165" s="422">
        <v>133868</v>
      </c>
      <c r="E165" s="422">
        <v>96661</v>
      </c>
      <c r="F165" s="422">
        <v>164225</v>
      </c>
      <c r="G165" s="422">
        <v>247469</v>
      </c>
      <c r="H165" s="422">
        <v>264456</v>
      </c>
      <c r="I165" s="422">
        <v>143179</v>
      </c>
      <c r="J165" s="422">
        <v>86057</v>
      </c>
    </row>
    <row r="166" spans="2:10" s="254" customFormat="1" x14ac:dyDescent="0.35">
      <c r="B166" s="279" t="s">
        <v>646</v>
      </c>
      <c r="C166" s="279" t="s">
        <v>651</v>
      </c>
      <c r="D166" s="422">
        <v>371991</v>
      </c>
      <c r="E166" s="422">
        <v>347837</v>
      </c>
      <c r="F166" s="422">
        <v>480994</v>
      </c>
      <c r="G166" s="422">
        <v>559768</v>
      </c>
      <c r="H166" s="422">
        <v>483591</v>
      </c>
      <c r="I166" s="422">
        <v>146245</v>
      </c>
      <c r="J166" s="422">
        <v>0</v>
      </c>
    </row>
    <row r="167" spans="2:10" s="254" customFormat="1" x14ac:dyDescent="0.35">
      <c r="B167" s="279" t="s">
        <v>647</v>
      </c>
      <c r="C167" s="279" t="s">
        <v>651</v>
      </c>
      <c r="D167" s="422">
        <v>480138</v>
      </c>
      <c r="E167" s="422">
        <v>523626</v>
      </c>
      <c r="F167" s="422">
        <v>621805</v>
      </c>
      <c r="G167" s="422">
        <v>731665</v>
      </c>
      <c r="H167" s="422">
        <v>741900</v>
      </c>
      <c r="I167" s="422">
        <v>402669</v>
      </c>
      <c r="J167" s="422">
        <v>293489</v>
      </c>
    </row>
    <row r="168" spans="2:10" s="254" customFormat="1" x14ac:dyDescent="0.35">
      <c r="B168" s="279" t="s">
        <v>648</v>
      </c>
      <c r="C168" s="279" t="s">
        <v>651</v>
      </c>
      <c r="D168" s="422">
        <v>674458</v>
      </c>
      <c r="E168" s="422">
        <v>688726</v>
      </c>
      <c r="F168" s="422">
        <v>976631</v>
      </c>
      <c r="G168" s="422">
        <v>1176204</v>
      </c>
      <c r="H168" s="422">
        <v>1197868.03</v>
      </c>
      <c r="I168" s="422">
        <v>860709</v>
      </c>
      <c r="J168" s="422">
        <v>601178</v>
      </c>
    </row>
    <row r="169" spans="2:10" s="254" customFormat="1" x14ac:dyDescent="0.35">
      <c r="B169" s="289" t="s">
        <v>649</v>
      </c>
      <c r="C169" s="279" t="s">
        <v>651</v>
      </c>
      <c r="D169" s="425">
        <f t="shared" ref="D169:I169" si="95">SUM(D165:D168)</f>
        <v>1660455</v>
      </c>
      <c r="E169" s="425">
        <f t="shared" si="95"/>
        <v>1656850</v>
      </c>
      <c r="F169" s="425">
        <f t="shared" si="95"/>
        <v>2243655</v>
      </c>
      <c r="G169" s="425">
        <f t="shared" si="95"/>
        <v>2715106</v>
      </c>
      <c r="H169" s="425">
        <f t="shared" si="95"/>
        <v>2687815.0300000003</v>
      </c>
      <c r="I169" s="425">
        <f t="shared" si="95"/>
        <v>1552802</v>
      </c>
      <c r="J169" s="425">
        <f t="shared" ref="J169" si="96">SUM(J165:J168)</f>
        <v>980724</v>
      </c>
    </row>
    <row r="170" spans="2:10" s="254" customFormat="1" x14ac:dyDescent="0.35">
      <c r="B170" s="289" t="s">
        <v>36</v>
      </c>
      <c r="C170" s="279" t="s">
        <v>651</v>
      </c>
      <c r="D170" s="425">
        <f t="shared" ref="D170:I170" si="97">D156+D163+D169</f>
        <v>11360698</v>
      </c>
      <c r="E170" s="425">
        <f t="shared" si="97"/>
        <v>12724237</v>
      </c>
      <c r="F170" s="425">
        <f t="shared" si="97"/>
        <v>15600915</v>
      </c>
      <c r="G170" s="425">
        <f t="shared" si="97"/>
        <v>19101123</v>
      </c>
      <c r="H170" s="425">
        <f t="shared" si="97"/>
        <v>18435351.09</v>
      </c>
      <c r="I170" s="425">
        <f t="shared" si="97"/>
        <v>17377695.579999998</v>
      </c>
      <c r="J170" s="425">
        <f t="shared" ref="J170" si="98">J156+J163+J169</f>
        <v>12848966</v>
      </c>
    </row>
    <row r="171" spans="2:10" s="254" customFormat="1" x14ac:dyDescent="0.35">
      <c r="B171" s="289"/>
      <c r="C171" s="279"/>
      <c r="D171" s="424"/>
      <c r="E171" s="424"/>
      <c r="F171" s="424"/>
      <c r="G171" s="424"/>
      <c r="H171" s="424"/>
      <c r="I171" s="424"/>
      <c r="J171" s="424"/>
    </row>
    <row r="172" spans="2:10" s="254" customFormat="1" x14ac:dyDescent="0.35">
      <c r="B172" s="289" t="s">
        <v>766</v>
      </c>
      <c r="C172" s="279"/>
      <c r="D172" s="424"/>
      <c r="E172" s="424"/>
      <c r="F172" s="424"/>
      <c r="G172" s="424"/>
      <c r="H172" s="424"/>
      <c r="I172" s="424"/>
      <c r="J172" s="424"/>
    </row>
    <row r="173" spans="2:10" s="254" customFormat="1" x14ac:dyDescent="0.35">
      <c r="B173" s="279" t="s">
        <v>631</v>
      </c>
      <c r="C173" s="279" t="s">
        <v>651</v>
      </c>
      <c r="D173" s="422">
        <v>721</v>
      </c>
      <c r="E173" s="422">
        <v>546</v>
      </c>
      <c r="F173" s="422">
        <v>677</v>
      </c>
      <c r="G173" s="422">
        <v>816</v>
      </c>
      <c r="H173" s="422">
        <v>770</v>
      </c>
      <c r="I173" s="422">
        <v>92</v>
      </c>
      <c r="J173" s="422">
        <v>895</v>
      </c>
    </row>
    <row r="174" spans="2:10" s="254" customFormat="1" x14ac:dyDescent="0.35">
      <c r="B174" s="279" t="s">
        <v>632</v>
      </c>
      <c r="C174" s="279" t="s">
        <v>651</v>
      </c>
      <c r="D174" s="422">
        <v>439</v>
      </c>
      <c r="E174" s="422">
        <v>292</v>
      </c>
      <c r="F174" s="422">
        <v>357</v>
      </c>
      <c r="G174" s="422">
        <v>623</v>
      </c>
      <c r="H174" s="422">
        <v>664</v>
      </c>
      <c r="I174" s="422">
        <v>101</v>
      </c>
      <c r="J174" s="422">
        <v>0</v>
      </c>
    </row>
    <row r="175" spans="2:10" s="254" customFormat="1" x14ac:dyDescent="0.35">
      <c r="B175" s="279" t="s">
        <v>633</v>
      </c>
      <c r="C175" s="279" t="s">
        <v>651</v>
      </c>
      <c r="D175" s="422">
        <v>343</v>
      </c>
      <c r="E175" s="422">
        <v>301</v>
      </c>
      <c r="F175" s="422">
        <v>334</v>
      </c>
      <c r="G175" s="422">
        <v>460</v>
      </c>
      <c r="H175" s="422">
        <v>328</v>
      </c>
      <c r="I175" s="422">
        <v>31</v>
      </c>
      <c r="J175" s="422">
        <v>352</v>
      </c>
    </row>
    <row r="176" spans="2:10" s="254" customFormat="1" x14ac:dyDescent="0.35">
      <c r="B176" s="279" t="s">
        <v>634</v>
      </c>
      <c r="C176" s="279" t="s">
        <v>651</v>
      </c>
      <c r="D176" s="422">
        <v>430</v>
      </c>
      <c r="E176" s="422">
        <v>287</v>
      </c>
      <c r="F176" s="422">
        <v>460</v>
      </c>
      <c r="G176" s="422">
        <v>512</v>
      </c>
      <c r="H176" s="422">
        <v>639.05999999999995</v>
      </c>
      <c r="I176" s="422">
        <v>126.58</v>
      </c>
      <c r="J176" s="422">
        <v>566</v>
      </c>
    </row>
    <row r="177" spans="2:10" s="254" customFormat="1" x14ac:dyDescent="0.35">
      <c r="B177" s="279" t="s">
        <v>635</v>
      </c>
      <c r="C177" s="279" t="s">
        <v>651</v>
      </c>
      <c r="D177" s="422">
        <v>0</v>
      </c>
      <c r="E177" s="422">
        <v>15</v>
      </c>
      <c r="F177" s="422">
        <v>337</v>
      </c>
      <c r="G177" s="422">
        <v>460</v>
      </c>
      <c r="H177" s="422">
        <v>478</v>
      </c>
      <c r="I177" s="422">
        <v>153</v>
      </c>
      <c r="J177" s="422">
        <v>0</v>
      </c>
    </row>
    <row r="178" spans="2:10" s="254" customFormat="1" x14ac:dyDescent="0.35">
      <c r="B178" s="289" t="s">
        <v>636</v>
      </c>
      <c r="C178" s="279" t="s">
        <v>651</v>
      </c>
      <c r="D178" s="425">
        <f t="shared" ref="D178:I178" si="99">SUM(D173:D177)</f>
        <v>1933</v>
      </c>
      <c r="E178" s="425">
        <f t="shared" si="99"/>
        <v>1441</v>
      </c>
      <c r="F178" s="425">
        <f t="shared" si="99"/>
        <v>2165</v>
      </c>
      <c r="G178" s="425">
        <f t="shared" si="99"/>
        <v>2871</v>
      </c>
      <c r="H178" s="425">
        <f t="shared" si="99"/>
        <v>2879.06</v>
      </c>
      <c r="I178" s="425">
        <f t="shared" si="99"/>
        <v>503.58</v>
      </c>
      <c r="J178" s="425">
        <f t="shared" ref="J178" si="100">SUM(J173:J177)</f>
        <v>1813</v>
      </c>
    </row>
    <row r="179" spans="2:10" s="254" customFormat="1" x14ac:dyDescent="0.35">
      <c r="B179" s="289" t="s">
        <v>637</v>
      </c>
      <c r="C179" s="279" t="s">
        <v>651</v>
      </c>
      <c r="D179" s="424"/>
      <c r="E179" s="424"/>
      <c r="F179" s="424"/>
      <c r="G179" s="424"/>
      <c r="H179" s="424"/>
      <c r="I179" s="424"/>
      <c r="J179" s="424"/>
    </row>
    <row r="180" spans="2:10" s="254" customFormat="1" x14ac:dyDescent="0.35">
      <c r="B180" s="279" t="s">
        <v>638</v>
      </c>
      <c r="C180" s="279" t="s">
        <v>651</v>
      </c>
      <c r="D180" s="422">
        <v>618</v>
      </c>
      <c r="E180" s="422">
        <v>578</v>
      </c>
      <c r="F180" s="422">
        <v>599</v>
      </c>
      <c r="G180" s="422">
        <v>658</v>
      </c>
      <c r="H180" s="422">
        <v>640</v>
      </c>
      <c r="I180" s="422">
        <v>244</v>
      </c>
      <c r="J180" s="422">
        <v>230</v>
      </c>
    </row>
    <row r="181" spans="2:10" s="254" customFormat="1" x14ac:dyDescent="0.35">
      <c r="B181" s="279" t="s">
        <v>639</v>
      </c>
      <c r="C181" s="279" t="s">
        <v>651</v>
      </c>
      <c r="D181" s="422">
        <v>531</v>
      </c>
      <c r="E181" s="422">
        <v>298</v>
      </c>
      <c r="F181" s="422">
        <v>412</v>
      </c>
      <c r="G181" s="422">
        <v>420</v>
      </c>
      <c r="H181" s="422">
        <v>360</v>
      </c>
      <c r="I181" s="422">
        <v>81</v>
      </c>
      <c r="J181" s="422">
        <f>269</f>
        <v>269</v>
      </c>
    </row>
    <row r="182" spans="2:10" s="254" customFormat="1" x14ac:dyDescent="0.35">
      <c r="B182" s="279" t="s">
        <v>640</v>
      </c>
      <c r="C182" s="279" t="s">
        <v>651</v>
      </c>
      <c r="D182" s="422">
        <v>495</v>
      </c>
      <c r="E182" s="422">
        <v>308</v>
      </c>
      <c r="F182" s="422">
        <v>509</v>
      </c>
      <c r="G182" s="422">
        <v>575</v>
      </c>
      <c r="H182" s="422">
        <v>533</v>
      </c>
      <c r="I182" s="422">
        <v>169</v>
      </c>
      <c r="J182" s="422">
        <v>290</v>
      </c>
    </row>
    <row r="183" spans="2:10" s="254" customFormat="1" x14ac:dyDescent="0.35">
      <c r="B183" s="279" t="s">
        <v>641</v>
      </c>
      <c r="C183" s="279" t="s">
        <v>651</v>
      </c>
      <c r="D183" s="422">
        <v>745</v>
      </c>
      <c r="E183" s="422">
        <v>0</v>
      </c>
      <c r="F183" s="422">
        <v>380</v>
      </c>
      <c r="G183" s="422">
        <v>700</v>
      </c>
      <c r="H183" s="422">
        <v>480</v>
      </c>
      <c r="I183" s="422">
        <v>39</v>
      </c>
      <c r="J183" s="422">
        <v>322</v>
      </c>
    </row>
    <row r="184" spans="2:10" s="254" customFormat="1" x14ac:dyDescent="0.35">
      <c r="B184" s="279" t="s">
        <v>642</v>
      </c>
      <c r="C184" s="279" t="s">
        <v>651</v>
      </c>
      <c r="D184" s="422">
        <v>252</v>
      </c>
      <c r="E184" s="422">
        <v>147</v>
      </c>
      <c r="F184" s="422">
        <v>401</v>
      </c>
      <c r="G184" s="422">
        <v>564</v>
      </c>
      <c r="H184" s="422">
        <v>464</v>
      </c>
      <c r="I184" s="422">
        <v>44</v>
      </c>
      <c r="J184" s="422">
        <v>4</v>
      </c>
    </row>
    <row r="185" spans="2:10" s="254" customFormat="1" x14ac:dyDescent="0.35">
      <c r="B185" s="289" t="s">
        <v>643</v>
      </c>
      <c r="C185" s="279" t="s">
        <v>651</v>
      </c>
      <c r="D185" s="425">
        <f t="shared" ref="D185:I185" si="101">SUM(D180:D184)</f>
        <v>2641</v>
      </c>
      <c r="E185" s="425">
        <f t="shared" si="101"/>
        <v>1331</v>
      </c>
      <c r="F185" s="425">
        <f t="shared" si="101"/>
        <v>2301</v>
      </c>
      <c r="G185" s="425">
        <f t="shared" si="101"/>
        <v>2917</v>
      </c>
      <c r="H185" s="425">
        <f t="shared" si="101"/>
        <v>2477</v>
      </c>
      <c r="I185" s="425">
        <f t="shared" si="101"/>
        <v>577</v>
      </c>
      <c r="J185" s="425">
        <f t="shared" ref="J185" si="102">SUM(J180:J184)</f>
        <v>1115</v>
      </c>
    </row>
    <row r="186" spans="2:10" s="254" customFormat="1" x14ac:dyDescent="0.35">
      <c r="B186" s="289" t="s">
        <v>644</v>
      </c>
      <c r="C186" s="279" t="s">
        <v>651</v>
      </c>
      <c r="D186" s="424"/>
      <c r="E186" s="424"/>
      <c r="F186" s="424"/>
      <c r="G186" s="424"/>
      <c r="H186" s="424"/>
      <c r="I186" s="424"/>
      <c r="J186" s="424"/>
    </row>
    <row r="187" spans="2:10" s="254" customFormat="1" x14ac:dyDescent="0.35">
      <c r="B187" s="279" t="s">
        <v>645</v>
      </c>
      <c r="C187" s="279" t="s">
        <v>651</v>
      </c>
      <c r="D187" s="422">
        <v>0</v>
      </c>
      <c r="E187" s="422">
        <v>0</v>
      </c>
      <c r="F187" s="422">
        <v>394</v>
      </c>
      <c r="G187" s="422">
        <v>378</v>
      </c>
      <c r="H187" s="422">
        <v>393</v>
      </c>
      <c r="I187" s="422">
        <v>76</v>
      </c>
      <c r="J187" s="422">
        <v>2199</v>
      </c>
    </row>
    <row r="188" spans="2:10" s="254" customFormat="1" x14ac:dyDescent="0.35">
      <c r="B188" s="279" t="s">
        <v>646</v>
      </c>
      <c r="C188" s="279" t="s">
        <v>651</v>
      </c>
      <c r="D188" s="422">
        <v>466</v>
      </c>
      <c r="E188" s="422">
        <v>168</v>
      </c>
      <c r="F188" s="422">
        <v>352</v>
      </c>
      <c r="G188" s="422">
        <v>269</v>
      </c>
      <c r="H188" s="422">
        <v>274</v>
      </c>
      <c r="I188" s="422">
        <v>74</v>
      </c>
      <c r="J188" s="422">
        <v>0</v>
      </c>
    </row>
    <row r="189" spans="2:10" s="254" customFormat="1" x14ac:dyDescent="0.35">
      <c r="B189" s="279" t="s">
        <v>647</v>
      </c>
      <c r="C189" s="279" t="s">
        <v>651</v>
      </c>
      <c r="D189" s="422">
        <v>232</v>
      </c>
      <c r="E189" s="422">
        <v>163</v>
      </c>
      <c r="F189" s="422">
        <v>667</v>
      </c>
      <c r="G189" s="422">
        <v>283</v>
      </c>
      <c r="H189" s="422">
        <v>480</v>
      </c>
      <c r="I189" s="422">
        <v>188</v>
      </c>
      <c r="J189" s="422">
        <v>223</v>
      </c>
    </row>
    <row r="190" spans="2:10" s="254" customFormat="1" x14ac:dyDescent="0.35">
      <c r="B190" s="279" t="s">
        <v>648</v>
      </c>
      <c r="C190" s="279" t="s">
        <v>651</v>
      </c>
      <c r="D190" s="422">
        <v>277</v>
      </c>
      <c r="E190" s="422">
        <v>136</v>
      </c>
      <c r="F190" s="422">
        <v>197</v>
      </c>
      <c r="G190" s="422">
        <v>239</v>
      </c>
      <c r="H190" s="422">
        <v>285.02999999999997</v>
      </c>
      <c r="I190" s="422">
        <v>0</v>
      </c>
      <c r="J190" s="422">
        <v>0</v>
      </c>
    </row>
    <row r="191" spans="2:10" s="254" customFormat="1" x14ac:dyDescent="0.35">
      <c r="B191" s="289" t="s">
        <v>649</v>
      </c>
      <c r="C191" s="279" t="s">
        <v>651</v>
      </c>
      <c r="D191" s="425">
        <f t="shared" ref="D191:I191" si="103">SUM(D187:D190)</f>
        <v>975</v>
      </c>
      <c r="E191" s="425">
        <f t="shared" si="103"/>
        <v>467</v>
      </c>
      <c r="F191" s="425">
        <f t="shared" si="103"/>
        <v>1610</v>
      </c>
      <c r="G191" s="425">
        <f t="shared" si="103"/>
        <v>1169</v>
      </c>
      <c r="H191" s="425">
        <f t="shared" si="103"/>
        <v>1432.03</v>
      </c>
      <c r="I191" s="425">
        <f t="shared" si="103"/>
        <v>338</v>
      </c>
      <c r="J191" s="425">
        <f t="shared" ref="J191" si="104">SUM(J187:J190)</f>
        <v>2422</v>
      </c>
    </row>
    <row r="192" spans="2:10" s="254" customFormat="1" x14ac:dyDescent="0.35">
      <c r="B192" s="289" t="s">
        <v>36</v>
      </c>
      <c r="C192" s="279" t="s">
        <v>651</v>
      </c>
      <c r="D192" s="425">
        <f t="shared" ref="D192:I192" si="105">D178+D185+D191</f>
        <v>5549</v>
      </c>
      <c r="E192" s="425">
        <f t="shared" si="105"/>
        <v>3239</v>
      </c>
      <c r="F192" s="425">
        <f t="shared" si="105"/>
        <v>6076</v>
      </c>
      <c r="G192" s="425">
        <f t="shared" si="105"/>
        <v>6957</v>
      </c>
      <c r="H192" s="425">
        <f t="shared" si="105"/>
        <v>6788.0899999999992</v>
      </c>
      <c r="I192" s="425">
        <f t="shared" si="105"/>
        <v>1418.58</v>
      </c>
      <c r="J192" s="425">
        <f t="shared" ref="J192" si="106">J178+J185+J191</f>
        <v>5350</v>
      </c>
    </row>
    <row r="193" spans="2:10" s="254" customFormat="1" x14ac:dyDescent="0.35">
      <c r="B193" s="289"/>
      <c r="C193" s="279"/>
      <c r="D193" s="424"/>
      <c r="E193" s="424"/>
      <c r="F193" s="424"/>
      <c r="G193" s="424"/>
      <c r="H193" s="424"/>
      <c r="I193" s="424"/>
      <c r="J193" s="424"/>
    </row>
    <row r="194" spans="2:10" s="254" customFormat="1" x14ac:dyDescent="0.35">
      <c r="B194" s="248" t="s">
        <v>852</v>
      </c>
      <c r="C194" s="250"/>
      <c r="D194" s="535"/>
      <c r="E194" s="535"/>
      <c r="F194" s="535"/>
      <c r="G194" s="535"/>
      <c r="H194" s="535"/>
      <c r="I194" s="535"/>
      <c r="J194" s="535"/>
    </row>
    <row r="195" spans="2:10" s="254" customFormat="1" x14ac:dyDescent="0.35">
      <c r="B195" s="279" t="s">
        <v>631</v>
      </c>
      <c r="C195" s="279" t="s">
        <v>651</v>
      </c>
      <c r="D195" s="422">
        <v>1316575</v>
      </c>
      <c r="E195" s="422">
        <v>1275185</v>
      </c>
      <c r="F195" s="422">
        <v>1538697</v>
      </c>
      <c r="G195" s="422">
        <v>1935679</v>
      </c>
      <c r="H195" s="422">
        <v>2085440</v>
      </c>
      <c r="I195" s="422">
        <v>2077493</v>
      </c>
      <c r="J195" s="422">
        <v>2190579</v>
      </c>
    </row>
    <row r="196" spans="2:10" s="254" customFormat="1" x14ac:dyDescent="0.35">
      <c r="B196" s="279" t="s">
        <v>632</v>
      </c>
      <c r="C196" s="279" t="s">
        <v>651</v>
      </c>
      <c r="D196" s="422">
        <v>965039</v>
      </c>
      <c r="E196" s="422">
        <v>766495</v>
      </c>
      <c r="F196" s="422">
        <v>1252931</v>
      </c>
      <c r="G196" s="422">
        <v>1535826</v>
      </c>
      <c r="H196" s="422">
        <v>1757617</v>
      </c>
      <c r="I196" s="422">
        <v>1710123</v>
      </c>
      <c r="J196" s="422">
        <v>1294817</v>
      </c>
    </row>
    <row r="197" spans="2:10" s="254" customFormat="1" x14ac:dyDescent="0.35">
      <c r="B197" s="279" t="s">
        <v>633</v>
      </c>
      <c r="C197" s="279" t="s">
        <v>651</v>
      </c>
      <c r="D197" s="422">
        <v>1290435</v>
      </c>
      <c r="E197" s="422">
        <v>1007761</v>
      </c>
      <c r="F197" s="422">
        <v>1489791</v>
      </c>
      <c r="G197" s="422">
        <v>1619805</v>
      </c>
      <c r="H197" s="422">
        <v>1746811</v>
      </c>
      <c r="I197" s="422">
        <v>1613290</v>
      </c>
      <c r="J197" s="422">
        <v>1546623</v>
      </c>
    </row>
    <row r="198" spans="2:10" s="254" customFormat="1" x14ac:dyDescent="0.35">
      <c r="B198" s="279" t="s">
        <v>634</v>
      </c>
      <c r="C198" s="279" t="s">
        <v>651</v>
      </c>
      <c r="D198" s="422">
        <v>1230149</v>
      </c>
      <c r="E198" s="422">
        <v>1079938</v>
      </c>
      <c r="F198" s="422">
        <v>1355607</v>
      </c>
      <c r="G198" s="422">
        <v>1428210</v>
      </c>
      <c r="H198" s="422">
        <v>1582962</v>
      </c>
      <c r="I198" s="422">
        <v>1713655</v>
      </c>
      <c r="J198" s="422">
        <v>1599773</v>
      </c>
    </row>
    <row r="199" spans="2:10" s="254" customFormat="1" x14ac:dyDescent="0.35">
      <c r="B199" s="279" t="s">
        <v>635</v>
      </c>
      <c r="C199" s="279" t="s">
        <v>651</v>
      </c>
      <c r="D199" s="422">
        <v>382184</v>
      </c>
      <c r="E199" s="422">
        <v>368209</v>
      </c>
      <c r="F199" s="422">
        <v>747853</v>
      </c>
      <c r="G199" s="422">
        <v>1072863</v>
      </c>
      <c r="H199" s="422">
        <v>1018499</v>
      </c>
      <c r="I199" s="422">
        <v>1060362</v>
      </c>
      <c r="J199" s="422">
        <v>823538</v>
      </c>
    </row>
    <row r="200" spans="2:10" s="254" customFormat="1" x14ac:dyDescent="0.35">
      <c r="B200" s="289" t="s">
        <v>636</v>
      </c>
      <c r="C200" s="279" t="s">
        <v>651</v>
      </c>
      <c r="D200" s="425">
        <f t="shared" ref="D200:I200" si="107">SUM(D195:D199)</f>
        <v>5184382</v>
      </c>
      <c r="E200" s="425">
        <f t="shared" si="107"/>
        <v>4497588</v>
      </c>
      <c r="F200" s="425">
        <f t="shared" si="107"/>
        <v>6384879</v>
      </c>
      <c r="G200" s="425">
        <f t="shared" si="107"/>
        <v>7592383</v>
      </c>
      <c r="H200" s="425">
        <f t="shared" si="107"/>
        <v>8191329</v>
      </c>
      <c r="I200" s="425">
        <f t="shared" si="107"/>
        <v>8174923</v>
      </c>
      <c r="J200" s="425">
        <f t="shared" ref="J200" si="108">SUM(J195:J199)</f>
        <v>7455330</v>
      </c>
    </row>
    <row r="201" spans="2:10" s="254" customFormat="1" x14ac:dyDescent="0.35">
      <c r="B201" s="289" t="s">
        <v>637</v>
      </c>
      <c r="C201" s="279" t="s">
        <v>651</v>
      </c>
      <c r="D201" s="424"/>
      <c r="E201" s="424"/>
      <c r="F201" s="424"/>
      <c r="G201" s="424"/>
      <c r="H201" s="424"/>
      <c r="I201" s="424"/>
      <c r="J201" s="424"/>
    </row>
    <row r="202" spans="2:10" s="254" customFormat="1" x14ac:dyDescent="0.35">
      <c r="B202" s="279" t="s">
        <v>638</v>
      </c>
      <c r="C202" s="279" t="s">
        <v>651</v>
      </c>
      <c r="D202" s="422">
        <v>1511180</v>
      </c>
      <c r="E202" s="422">
        <v>1588140</v>
      </c>
      <c r="F202" s="422">
        <v>2151883</v>
      </c>
      <c r="G202" s="422">
        <v>2909825</v>
      </c>
      <c r="H202" s="422">
        <v>2367325</v>
      </c>
      <c r="I202" s="422">
        <v>2475822</v>
      </c>
      <c r="J202" s="422">
        <v>1341086</v>
      </c>
    </row>
    <row r="203" spans="2:10" s="254" customFormat="1" x14ac:dyDescent="0.35">
      <c r="B203" s="279" t="s">
        <v>639</v>
      </c>
      <c r="C203" s="279" t="s">
        <v>651</v>
      </c>
      <c r="D203" s="422">
        <v>1315247</v>
      </c>
      <c r="E203" s="422">
        <v>1074636</v>
      </c>
      <c r="F203" s="422">
        <v>1099601</v>
      </c>
      <c r="G203" s="422">
        <v>1820772</v>
      </c>
      <c r="H203" s="422">
        <v>1623165</v>
      </c>
      <c r="I203" s="422">
        <v>1805681</v>
      </c>
      <c r="J203" s="422">
        <v>820620</v>
      </c>
    </row>
    <row r="204" spans="2:10" s="254" customFormat="1" x14ac:dyDescent="0.35">
      <c r="B204" s="279" t="s">
        <v>640</v>
      </c>
      <c r="C204" s="279" t="s">
        <v>651</v>
      </c>
      <c r="D204" s="422">
        <v>1385390</v>
      </c>
      <c r="E204" s="422">
        <v>987255</v>
      </c>
      <c r="F204" s="422">
        <v>1343307</v>
      </c>
      <c r="G204" s="422">
        <v>1814549</v>
      </c>
      <c r="H204" s="422">
        <v>1722030</v>
      </c>
      <c r="I204" s="422">
        <v>1610960</v>
      </c>
      <c r="J204" s="422">
        <v>817657</v>
      </c>
    </row>
    <row r="205" spans="2:10" s="254" customFormat="1" x14ac:dyDescent="0.35">
      <c r="B205" s="279" t="s">
        <v>641</v>
      </c>
      <c r="C205" s="279" t="s">
        <v>651</v>
      </c>
      <c r="D205" s="422">
        <v>748154</v>
      </c>
      <c r="E205" s="422">
        <v>502607</v>
      </c>
      <c r="F205" s="422">
        <v>822667.5</v>
      </c>
      <c r="G205" s="422">
        <v>1354616</v>
      </c>
      <c r="H205" s="422">
        <v>1057191</v>
      </c>
      <c r="I205" s="422">
        <v>1136310</v>
      </c>
      <c r="J205" s="422">
        <v>1026661</v>
      </c>
    </row>
    <row r="206" spans="2:10" s="254" customFormat="1" x14ac:dyDescent="0.35">
      <c r="B206" s="279" t="s">
        <v>642</v>
      </c>
      <c r="C206" s="279" t="s">
        <v>651</v>
      </c>
      <c r="D206" s="422">
        <v>561446</v>
      </c>
      <c r="E206" s="422">
        <v>484567</v>
      </c>
      <c r="F206" s="422">
        <v>808606</v>
      </c>
      <c r="G206" s="422">
        <v>1423627</v>
      </c>
      <c r="H206" s="422">
        <v>986859</v>
      </c>
      <c r="I206" s="422">
        <v>885498</v>
      </c>
      <c r="J206" s="422">
        <v>604849</v>
      </c>
    </row>
    <row r="207" spans="2:10" s="254" customFormat="1" x14ac:dyDescent="0.35">
      <c r="B207" s="289" t="s">
        <v>643</v>
      </c>
      <c r="C207" s="279" t="s">
        <v>651</v>
      </c>
      <c r="D207" s="425">
        <f t="shared" ref="D207:I207" si="109">SUM(D202:D206)</f>
        <v>5521417</v>
      </c>
      <c r="E207" s="425">
        <f t="shared" si="109"/>
        <v>4637205</v>
      </c>
      <c r="F207" s="425">
        <f t="shared" si="109"/>
        <v>6226064.5</v>
      </c>
      <c r="G207" s="425">
        <f t="shared" si="109"/>
        <v>9323389</v>
      </c>
      <c r="H207" s="425">
        <f t="shared" si="109"/>
        <v>7756570</v>
      </c>
      <c r="I207" s="425">
        <f t="shared" si="109"/>
        <v>7914271</v>
      </c>
      <c r="J207" s="425">
        <f t="shared" ref="J207" si="110">SUM(J202:J206)</f>
        <v>4610873</v>
      </c>
    </row>
    <row r="208" spans="2:10" s="254" customFormat="1" x14ac:dyDescent="0.35">
      <c r="B208" s="289" t="s">
        <v>644</v>
      </c>
      <c r="C208" s="279" t="s">
        <v>651</v>
      </c>
      <c r="D208" s="424"/>
      <c r="E208" s="424"/>
      <c r="F208" s="424"/>
      <c r="G208" s="424"/>
      <c r="H208" s="424"/>
      <c r="I208" s="424"/>
      <c r="J208" s="424"/>
    </row>
    <row r="209" spans="2:10" s="254" customFormat="1" x14ac:dyDescent="0.35">
      <c r="B209" s="279" t="s">
        <v>645</v>
      </c>
      <c r="C209" s="279" t="s">
        <v>651</v>
      </c>
      <c r="D209" s="422">
        <v>158646</v>
      </c>
      <c r="E209" s="422">
        <v>105895</v>
      </c>
      <c r="F209" s="422">
        <v>112028</v>
      </c>
      <c r="G209" s="422">
        <v>182760</v>
      </c>
      <c r="H209" s="422">
        <v>279340</v>
      </c>
      <c r="I209" s="422">
        <v>262588</v>
      </c>
      <c r="J209" s="422">
        <v>75335</v>
      </c>
    </row>
    <row r="210" spans="2:10" s="254" customFormat="1" x14ac:dyDescent="0.35">
      <c r="B210" s="279" t="s">
        <v>646</v>
      </c>
      <c r="C210" s="279" t="s">
        <v>651</v>
      </c>
      <c r="D210" s="422">
        <v>337232</v>
      </c>
      <c r="E210" s="422">
        <v>343450</v>
      </c>
      <c r="F210" s="422">
        <v>340699</v>
      </c>
      <c r="G210" s="422">
        <v>628781</v>
      </c>
      <c r="H210" s="422">
        <v>620497</v>
      </c>
      <c r="I210" s="422">
        <v>247931</v>
      </c>
      <c r="J210" s="422">
        <v>7242</v>
      </c>
    </row>
    <row r="211" spans="2:10" s="254" customFormat="1" x14ac:dyDescent="0.35">
      <c r="B211" s="279" t="s">
        <v>647</v>
      </c>
      <c r="C211" s="279" t="s">
        <v>651</v>
      </c>
      <c r="D211" s="422">
        <v>601861</v>
      </c>
      <c r="E211" s="422">
        <v>477258</v>
      </c>
      <c r="F211" s="422">
        <v>661086</v>
      </c>
      <c r="G211" s="422">
        <v>654742</v>
      </c>
      <c r="H211" s="422">
        <v>738751</v>
      </c>
      <c r="I211" s="422">
        <v>720175</v>
      </c>
      <c r="J211" s="422">
        <v>256792</v>
      </c>
    </row>
    <row r="212" spans="2:10" s="254" customFormat="1" x14ac:dyDescent="0.35">
      <c r="B212" s="279" t="s">
        <v>648</v>
      </c>
      <c r="C212" s="279" t="s">
        <v>651</v>
      </c>
      <c r="D212" s="422">
        <v>1161120</v>
      </c>
      <c r="E212" s="422">
        <v>399822</v>
      </c>
      <c r="F212" s="422">
        <v>897227</v>
      </c>
      <c r="G212" s="422">
        <v>1149544</v>
      </c>
      <c r="H212" s="422">
        <v>1117130</v>
      </c>
      <c r="I212" s="422">
        <v>1206710</v>
      </c>
      <c r="J212" s="422">
        <v>646966</v>
      </c>
    </row>
    <row r="213" spans="2:10" s="254" customFormat="1" x14ac:dyDescent="0.35">
      <c r="B213" s="289" t="s">
        <v>649</v>
      </c>
      <c r="C213" s="279" t="s">
        <v>651</v>
      </c>
      <c r="D213" s="425">
        <f t="shared" ref="D213:I213" si="111">SUM(D209:D212)</f>
        <v>2258859</v>
      </c>
      <c r="E213" s="425">
        <f t="shared" si="111"/>
        <v>1326425</v>
      </c>
      <c r="F213" s="425">
        <f t="shared" si="111"/>
        <v>2011040</v>
      </c>
      <c r="G213" s="425">
        <f t="shared" si="111"/>
        <v>2615827</v>
      </c>
      <c r="H213" s="425">
        <f t="shared" si="111"/>
        <v>2755718</v>
      </c>
      <c r="I213" s="425">
        <f t="shared" si="111"/>
        <v>2437404</v>
      </c>
      <c r="J213" s="425">
        <f t="shared" ref="J213" si="112">SUM(J209:J212)</f>
        <v>986335</v>
      </c>
    </row>
    <row r="214" spans="2:10" s="254" customFormat="1" x14ac:dyDescent="0.35">
      <c r="B214" s="289" t="s">
        <v>36</v>
      </c>
      <c r="C214" s="279" t="s">
        <v>651</v>
      </c>
      <c r="D214" s="425">
        <f t="shared" ref="D214:I214" si="113">D200+D207+D213</f>
        <v>12964658</v>
      </c>
      <c r="E214" s="425">
        <f t="shared" si="113"/>
        <v>10461218</v>
      </c>
      <c r="F214" s="425">
        <f t="shared" si="113"/>
        <v>14621983.5</v>
      </c>
      <c r="G214" s="425">
        <f t="shared" si="113"/>
        <v>19531599</v>
      </c>
      <c r="H214" s="425">
        <f t="shared" si="113"/>
        <v>18703617</v>
      </c>
      <c r="I214" s="425">
        <f t="shared" si="113"/>
        <v>18526598</v>
      </c>
      <c r="J214" s="425">
        <f t="shared" ref="J214" si="114">J200+J207+J213</f>
        <v>13052538</v>
      </c>
    </row>
    <row r="215" spans="2:10" s="254" customFormat="1" x14ac:dyDescent="0.35">
      <c r="B215" s="289"/>
      <c r="C215" s="279"/>
      <c r="D215" s="424"/>
      <c r="E215" s="424"/>
      <c r="F215" s="424"/>
      <c r="G215" s="424"/>
      <c r="H215" s="424"/>
      <c r="I215" s="424"/>
      <c r="J215" s="424"/>
    </row>
    <row r="216" spans="2:10" s="254" customFormat="1" x14ac:dyDescent="0.35">
      <c r="B216" s="248" t="s">
        <v>769</v>
      </c>
      <c r="C216" s="250"/>
      <c r="D216" s="535"/>
      <c r="E216" s="535"/>
      <c r="F216" s="535"/>
      <c r="G216" s="535"/>
      <c r="H216" s="535"/>
      <c r="I216" s="535"/>
      <c r="J216" s="535"/>
    </row>
    <row r="217" spans="2:10" s="254" customFormat="1" x14ac:dyDescent="0.35">
      <c r="B217" s="279" t="s">
        <v>631</v>
      </c>
      <c r="C217" s="279" t="s">
        <v>651</v>
      </c>
      <c r="D217" s="424">
        <v>0</v>
      </c>
      <c r="E217" s="424">
        <v>0</v>
      </c>
      <c r="F217" s="424">
        <v>0</v>
      </c>
      <c r="G217" s="424">
        <v>0</v>
      </c>
      <c r="H217" s="424">
        <v>0</v>
      </c>
      <c r="I217" s="424">
        <v>0</v>
      </c>
      <c r="J217" s="424">
        <v>0</v>
      </c>
    </row>
    <row r="218" spans="2:10" s="254" customFormat="1" x14ac:dyDescent="0.35">
      <c r="B218" s="279" t="s">
        <v>632</v>
      </c>
      <c r="C218" s="279" t="s">
        <v>651</v>
      </c>
      <c r="D218" s="424">
        <v>0</v>
      </c>
      <c r="E218" s="424">
        <v>0</v>
      </c>
      <c r="F218" s="424">
        <v>0</v>
      </c>
      <c r="G218" s="424">
        <v>0</v>
      </c>
      <c r="H218" s="424">
        <v>0</v>
      </c>
      <c r="I218" s="424">
        <v>0</v>
      </c>
      <c r="J218" s="424">
        <v>0</v>
      </c>
    </row>
    <row r="219" spans="2:10" s="254" customFormat="1" x14ac:dyDescent="0.35">
      <c r="B219" s="279" t="s">
        <v>633</v>
      </c>
      <c r="C219" s="279" t="s">
        <v>651</v>
      </c>
      <c r="D219" s="424">
        <v>0</v>
      </c>
      <c r="E219" s="424">
        <v>0</v>
      </c>
      <c r="F219" s="424">
        <v>0</v>
      </c>
      <c r="G219" s="424">
        <v>0</v>
      </c>
      <c r="H219" s="424">
        <v>0</v>
      </c>
      <c r="I219" s="424">
        <v>0</v>
      </c>
      <c r="J219" s="424">
        <v>0</v>
      </c>
    </row>
    <row r="220" spans="2:10" s="254" customFormat="1" x14ac:dyDescent="0.35">
      <c r="B220" s="279" t="s">
        <v>634</v>
      </c>
      <c r="C220" s="279" t="s">
        <v>651</v>
      </c>
      <c r="D220" s="424">
        <v>0</v>
      </c>
      <c r="E220" s="424">
        <v>0</v>
      </c>
      <c r="F220" s="424">
        <v>0</v>
      </c>
      <c r="G220" s="424">
        <v>0</v>
      </c>
      <c r="H220" s="424">
        <v>0</v>
      </c>
      <c r="I220" s="424">
        <v>0</v>
      </c>
      <c r="J220" s="424">
        <v>0</v>
      </c>
    </row>
    <row r="221" spans="2:10" s="254" customFormat="1" x14ac:dyDescent="0.35">
      <c r="B221" s="279" t="s">
        <v>635</v>
      </c>
      <c r="C221" s="279" t="s">
        <v>651</v>
      </c>
      <c r="D221" s="424">
        <v>0</v>
      </c>
      <c r="E221" s="424">
        <v>0</v>
      </c>
      <c r="F221" s="424">
        <v>0</v>
      </c>
      <c r="G221" s="424">
        <v>0</v>
      </c>
      <c r="H221" s="424">
        <v>0</v>
      </c>
      <c r="I221" s="424">
        <v>0</v>
      </c>
      <c r="J221" s="424">
        <v>0</v>
      </c>
    </row>
    <row r="222" spans="2:10" s="254" customFormat="1" x14ac:dyDescent="0.35">
      <c r="B222" s="289" t="s">
        <v>636</v>
      </c>
      <c r="C222" s="279" t="s">
        <v>651</v>
      </c>
      <c r="D222" s="425">
        <f t="shared" ref="D222:I222" si="115">SUM(D217:D221)</f>
        <v>0</v>
      </c>
      <c r="E222" s="425">
        <f t="shared" si="115"/>
        <v>0</v>
      </c>
      <c r="F222" s="425">
        <f t="shared" si="115"/>
        <v>0</v>
      </c>
      <c r="G222" s="425">
        <f t="shared" si="115"/>
        <v>0</v>
      </c>
      <c r="H222" s="425">
        <f t="shared" si="115"/>
        <v>0</v>
      </c>
      <c r="I222" s="425">
        <f t="shared" si="115"/>
        <v>0</v>
      </c>
      <c r="J222" s="425">
        <f t="shared" ref="J222" si="116">SUM(J217:J221)</f>
        <v>0</v>
      </c>
    </row>
    <row r="223" spans="2:10" s="254" customFormat="1" x14ac:dyDescent="0.35">
      <c r="B223" s="289" t="s">
        <v>637</v>
      </c>
      <c r="C223" s="279" t="s">
        <v>651</v>
      </c>
      <c r="D223" s="424"/>
      <c r="E223" s="424"/>
      <c r="F223" s="424"/>
      <c r="G223" s="424"/>
      <c r="H223" s="424"/>
      <c r="I223" s="424"/>
      <c r="J223" s="424"/>
    </row>
    <row r="224" spans="2:10" s="254" customFormat="1" x14ac:dyDescent="0.35">
      <c r="B224" s="279" t="s">
        <v>638</v>
      </c>
      <c r="C224" s="279" t="s">
        <v>651</v>
      </c>
      <c r="D224" s="422">
        <v>0</v>
      </c>
      <c r="E224" s="422">
        <v>0</v>
      </c>
      <c r="F224" s="422">
        <v>0</v>
      </c>
      <c r="G224" s="422">
        <v>0</v>
      </c>
      <c r="H224" s="422">
        <v>0</v>
      </c>
      <c r="I224" s="422">
        <v>0</v>
      </c>
      <c r="J224" s="422">
        <v>0</v>
      </c>
    </row>
    <row r="225" spans="2:10" s="254" customFormat="1" x14ac:dyDescent="0.35">
      <c r="B225" s="279" t="s">
        <v>639</v>
      </c>
      <c r="C225" s="279" t="s">
        <v>651</v>
      </c>
      <c r="D225" s="422">
        <v>0</v>
      </c>
      <c r="E225" s="422">
        <v>0</v>
      </c>
      <c r="F225" s="422">
        <v>0</v>
      </c>
      <c r="G225" s="422">
        <v>-133</v>
      </c>
      <c r="H225" s="422">
        <v>-43</v>
      </c>
      <c r="I225" s="422">
        <v>0</v>
      </c>
      <c r="J225" s="422">
        <v>-2100</v>
      </c>
    </row>
    <row r="226" spans="2:10" s="254" customFormat="1" x14ac:dyDescent="0.35">
      <c r="B226" s="279" t="s">
        <v>640</v>
      </c>
      <c r="C226" s="279" t="s">
        <v>651</v>
      </c>
      <c r="D226" s="422">
        <v>0</v>
      </c>
      <c r="E226" s="422">
        <v>0</v>
      </c>
      <c r="F226" s="422">
        <v>0</v>
      </c>
      <c r="G226" s="422">
        <v>0</v>
      </c>
      <c r="H226" s="422">
        <v>0</v>
      </c>
      <c r="I226" s="422">
        <v>0</v>
      </c>
      <c r="J226" s="422">
        <v>0</v>
      </c>
    </row>
    <row r="227" spans="2:10" s="254" customFormat="1" x14ac:dyDescent="0.35">
      <c r="B227" s="279" t="s">
        <v>641</v>
      </c>
      <c r="C227" s="279" t="s">
        <v>651</v>
      </c>
      <c r="D227" s="422">
        <v>0</v>
      </c>
      <c r="E227" s="422">
        <v>0</v>
      </c>
      <c r="F227" s="422">
        <v>0</v>
      </c>
      <c r="G227" s="422">
        <v>0</v>
      </c>
      <c r="H227" s="422">
        <v>0</v>
      </c>
      <c r="I227" s="422">
        <v>0</v>
      </c>
      <c r="J227" s="422">
        <v>0</v>
      </c>
    </row>
    <row r="228" spans="2:10" s="254" customFormat="1" x14ac:dyDescent="0.35">
      <c r="B228" s="279" t="s">
        <v>642</v>
      </c>
      <c r="C228" s="279" t="s">
        <v>651</v>
      </c>
      <c r="D228" s="422">
        <v>0</v>
      </c>
      <c r="E228" s="422">
        <v>0</v>
      </c>
      <c r="F228" s="422">
        <v>0</v>
      </c>
      <c r="G228" s="422">
        <v>0</v>
      </c>
      <c r="H228" s="422">
        <v>0</v>
      </c>
      <c r="I228" s="422">
        <v>0</v>
      </c>
      <c r="J228" s="422">
        <v>0</v>
      </c>
    </row>
    <row r="229" spans="2:10" s="254" customFormat="1" x14ac:dyDescent="0.35">
      <c r="B229" s="289" t="s">
        <v>643</v>
      </c>
      <c r="C229" s="279" t="s">
        <v>651</v>
      </c>
      <c r="D229" s="425">
        <f t="shared" ref="D229:I229" si="117">SUM(D224:D228)</f>
        <v>0</v>
      </c>
      <c r="E229" s="425">
        <f t="shared" si="117"/>
        <v>0</v>
      </c>
      <c r="F229" s="425">
        <f t="shared" si="117"/>
        <v>0</v>
      </c>
      <c r="G229" s="425">
        <f t="shared" si="117"/>
        <v>-133</v>
      </c>
      <c r="H229" s="425">
        <f t="shared" si="117"/>
        <v>-43</v>
      </c>
      <c r="I229" s="425">
        <f t="shared" si="117"/>
        <v>0</v>
      </c>
      <c r="J229" s="425">
        <f t="shared" ref="J229" si="118">SUM(J224:J228)</f>
        <v>-2100</v>
      </c>
    </row>
    <row r="230" spans="2:10" s="254" customFormat="1" x14ac:dyDescent="0.35">
      <c r="B230" s="289" t="s">
        <v>644</v>
      </c>
      <c r="C230" s="279" t="s">
        <v>651</v>
      </c>
      <c r="D230" s="424"/>
      <c r="E230" s="424"/>
      <c r="F230" s="424"/>
      <c r="G230" s="424"/>
      <c r="H230" s="424"/>
      <c r="I230" s="424"/>
      <c r="J230" s="424"/>
    </row>
    <row r="231" spans="2:10" s="254" customFormat="1" x14ac:dyDescent="0.35">
      <c r="B231" s="279" t="s">
        <v>645</v>
      </c>
      <c r="C231" s="279" t="s">
        <v>651</v>
      </c>
      <c r="D231" s="424">
        <v>0</v>
      </c>
      <c r="E231" s="424">
        <v>0</v>
      </c>
      <c r="F231" s="424">
        <v>0</v>
      </c>
      <c r="G231" s="424">
        <v>0</v>
      </c>
      <c r="H231" s="424">
        <v>0</v>
      </c>
      <c r="I231" s="424">
        <v>0</v>
      </c>
      <c r="J231" s="424">
        <v>0</v>
      </c>
    </row>
    <row r="232" spans="2:10" s="254" customFormat="1" x14ac:dyDescent="0.35">
      <c r="B232" s="279" t="s">
        <v>646</v>
      </c>
      <c r="C232" s="279" t="s">
        <v>651</v>
      </c>
      <c r="D232" s="424">
        <v>0</v>
      </c>
      <c r="E232" s="424">
        <v>0</v>
      </c>
      <c r="F232" s="424">
        <v>0</v>
      </c>
      <c r="G232" s="424">
        <v>0</v>
      </c>
      <c r="H232" s="424">
        <v>0</v>
      </c>
      <c r="I232" s="424">
        <v>0</v>
      </c>
      <c r="J232" s="424">
        <v>0</v>
      </c>
    </row>
    <row r="233" spans="2:10" s="254" customFormat="1" x14ac:dyDescent="0.35">
      <c r="B233" s="279" t="s">
        <v>647</v>
      </c>
      <c r="C233" s="279" t="s">
        <v>651</v>
      </c>
      <c r="D233" s="424">
        <v>0</v>
      </c>
      <c r="E233" s="424">
        <v>0</v>
      </c>
      <c r="F233" s="424">
        <v>0</v>
      </c>
      <c r="G233" s="424">
        <v>0</v>
      </c>
      <c r="H233" s="424">
        <v>0</v>
      </c>
      <c r="I233" s="424">
        <v>0</v>
      </c>
      <c r="J233" s="424">
        <v>0</v>
      </c>
    </row>
    <row r="234" spans="2:10" s="254" customFormat="1" x14ac:dyDescent="0.35">
      <c r="B234" s="279" t="s">
        <v>648</v>
      </c>
      <c r="C234" s="279" t="s">
        <v>651</v>
      </c>
      <c r="D234" s="424">
        <v>0</v>
      </c>
      <c r="E234" s="424">
        <v>0</v>
      </c>
      <c r="F234" s="424">
        <v>0</v>
      </c>
      <c r="G234" s="424">
        <v>0</v>
      </c>
      <c r="H234" s="424">
        <v>0</v>
      </c>
      <c r="I234" s="424">
        <v>0</v>
      </c>
      <c r="J234" s="424">
        <v>0</v>
      </c>
    </row>
    <row r="235" spans="2:10" s="254" customFormat="1" x14ac:dyDescent="0.35">
      <c r="B235" s="289" t="s">
        <v>649</v>
      </c>
      <c r="C235" s="279" t="s">
        <v>651</v>
      </c>
      <c r="D235" s="425">
        <f t="shared" ref="D235:I235" si="119">SUM(D231:D234)</f>
        <v>0</v>
      </c>
      <c r="E235" s="425">
        <f t="shared" si="119"/>
        <v>0</v>
      </c>
      <c r="F235" s="425">
        <f t="shared" si="119"/>
        <v>0</v>
      </c>
      <c r="G235" s="425">
        <f t="shared" si="119"/>
        <v>0</v>
      </c>
      <c r="H235" s="425">
        <f t="shared" si="119"/>
        <v>0</v>
      </c>
      <c r="I235" s="425">
        <f t="shared" si="119"/>
        <v>0</v>
      </c>
      <c r="J235" s="425">
        <f t="shared" ref="J235" si="120">SUM(J231:J234)</f>
        <v>0</v>
      </c>
    </row>
    <row r="236" spans="2:10" s="254" customFormat="1" x14ac:dyDescent="0.35">
      <c r="B236" s="289" t="s">
        <v>36</v>
      </c>
      <c r="C236" s="279" t="s">
        <v>651</v>
      </c>
      <c r="D236" s="425">
        <f t="shared" ref="D236:I236" si="121">D222+D229+D235</f>
        <v>0</v>
      </c>
      <c r="E236" s="425">
        <f t="shared" si="121"/>
        <v>0</v>
      </c>
      <c r="F236" s="425">
        <f t="shared" si="121"/>
        <v>0</v>
      </c>
      <c r="G236" s="425">
        <f t="shared" si="121"/>
        <v>-133</v>
      </c>
      <c r="H236" s="425">
        <f t="shared" si="121"/>
        <v>-43</v>
      </c>
      <c r="I236" s="425">
        <f t="shared" si="121"/>
        <v>0</v>
      </c>
      <c r="J236" s="425">
        <f t="shared" ref="J236" si="122">J222+J229+J235</f>
        <v>-2100</v>
      </c>
    </row>
    <row r="237" spans="2:10" s="254" customFormat="1" x14ac:dyDescent="0.35">
      <c r="B237" s="289"/>
      <c r="C237" s="279"/>
      <c r="D237" s="424"/>
      <c r="E237" s="424"/>
      <c r="F237" s="424"/>
      <c r="G237" s="424"/>
      <c r="H237" s="424"/>
      <c r="I237" s="424"/>
    </row>
    <row r="238" spans="2:10" s="254" customFormat="1" x14ac:dyDescent="0.35">
      <c r="B238" s="248" t="s">
        <v>854</v>
      </c>
      <c r="C238" s="250"/>
      <c r="D238" s="535"/>
      <c r="E238" s="535"/>
      <c r="F238" s="535"/>
      <c r="G238" s="535"/>
      <c r="H238" s="535"/>
      <c r="I238" s="535"/>
      <c r="J238" s="535"/>
    </row>
    <row r="239" spans="2:10" s="254" customFormat="1" x14ac:dyDescent="0.35">
      <c r="B239" s="279" t="s">
        <v>631</v>
      </c>
      <c r="C239" s="279" t="s">
        <v>651</v>
      </c>
      <c r="D239" s="424">
        <f t="shared" ref="D239:I243" si="123">D129+D151-D173-D195+D217</f>
        <v>819940</v>
      </c>
      <c r="E239" s="424">
        <f t="shared" si="123"/>
        <v>791290</v>
      </c>
      <c r="F239" s="424">
        <f t="shared" si="123"/>
        <v>863533</v>
      </c>
      <c r="G239" s="424">
        <f t="shared" si="123"/>
        <v>920034</v>
      </c>
      <c r="H239" s="424">
        <f t="shared" si="123"/>
        <v>875954</v>
      </c>
      <c r="I239" s="424">
        <f t="shared" si="123"/>
        <v>1011266</v>
      </c>
      <c r="J239" s="424">
        <f t="shared" ref="J239" si="124">J129+J151-J173-J195+J217</f>
        <v>878037</v>
      </c>
    </row>
    <row r="240" spans="2:10" s="254" customFormat="1" x14ac:dyDescent="0.35">
      <c r="B240" s="279" t="s">
        <v>632</v>
      </c>
      <c r="C240" s="279" t="s">
        <v>651</v>
      </c>
      <c r="D240" s="424">
        <f t="shared" si="123"/>
        <v>351878</v>
      </c>
      <c r="E240" s="424">
        <f t="shared" si="123"/>
        <v>605874</v>
      </c>
      <c r="F240" s="424">
        <f t="shared" si="123"/>
        <v>700413</v>
      </c>
      <c r="G240" s="424">
        <f t="shared" si="123"/>
        <v>790597</v>
      </c>
      <c r="H240" s="424">
        <f t="shared" si="123"/>
        <v>643280</v>
      </c>
      <c r="I240" s="424">
        <f t="shared" si="123"/>
        <v>627774</v>
      </c>
      <c r="J240" s="424">
        <f t="shared" ref="J240" si="125">J130+J152-J174-J196+J218</f>
        <v>637333</v>
      </c>
    </row>
    <row r="241" spans="2:10" s="254" customFormat="1" x14ac:dyDescent="0.35">
      <c r="B241" s="279" t="s">
        <v>633</v>
      </c>
      <c r="C241" s="279" t="s">
        <v>651</v>
      </c>
      <c r="D241" s="424">
        <f t="shared" si="123"/>
        <v>554252</v>
      </c>
      <c r="E241" s="424">
        <f t="shared" si="123"/>
        <v>753753</v>
      </c>
      <c r="F241" s="424">
        <f t="shared" si="123"/>
        <v>765672</v>
      </c>
      <c r="G241" s="424">
        <f t="shared" si="123"/>
        <v>756267</v>
      </c>
      <c r="H241" s="424">
        <f t="shared" si="123"/>
        <v>651006</v>
      </c>
      <c r="I241" s="424">
        <f t="shared" si="123"/>
        <v>778369</v>
      </c>
      <c r="J241" s="424">
        <f t="shared" ref="J241" si="126">J131+J153-J175-J197+J219</f>
        <v>785786</v>
      </c>
    </row>
    <row r="242" spans="2:10" s="254" customFormat="1" x14ac:dyDescent="0.35">
      <c r="B242" s="279" t="s">
        <v>634</v>
      </c>
      <c r="C242" s="279" t="s">
        <v>651</v>
      </c>
      <c r="D242" s="424">
        <f t="shared" si="123"/>
        <v>537872</v>
      </c>
      <c r="E242" s="424">
        <f t="shared" si="123"/>
        <v>627748</v>
      </c>
      <c r="F242" s="424">
        <f t="shared" si="123"/>
        <v>575761</v>
      </c>
      <c r="G242" s="424">
        <f t="shared" si="123"/>
        <v>668911</v>
      </c>
      <c r="H242" s="424">
        <f t="shared" si="123"/>
        <v>639499</v>
      </c>
      <c r="I242" s="424">
        <f t="shared" si="123"/>
        <v>794333</v>
      </c>
      <c r="J242" s="424">
        <f t="shared" ref="J242" si="127">J132+J154-J176-J198+J220</f>
        <v>801935</v>
      </c>
    </row>
    <row r="243" spans="2:10" s="254" customFormat="1" x14ac:dyDescent="0.35">
      <c r="B243" s="279" t="s">
        <v>635</v>
      </c>
      <c r="C243" s="279" t="s">
        <v>651</v>
      </c>
      <c r="D243" s="424">
        <f t="shared" si="123"/>
        <v>164814</v>
      </c>
      <c r="E243" s="424">
        <f t="shared" si="123"/>
        <v>390727</v>
      </c>
      <c r="F243" s="424">
        <f t="shared" si="123"/>
        <v>508304</v>
      </c>
      <c r="G243" s="424">
        <f t="shared" si="123"/>
        <v>375276</v>
      </c>
      <c r="H243" s="424">
        <f t="shared" si="123"/>
        <v>353552</v>
      </c>
      <c r="I243" s="424">
        <f t="shared" si="123"/>
        <v>440374</v>
      </c>
      <c r="J243" s="424">
        <f t="shared" ref="J243" si="128">J133+J155-J177-J199+J221</f>
        <v>526386</v>
      </c>
    </row>
    <row r="244" spans="2:10" s="254" customFormat="1" x14ac:dyDescent="0.35">
      <c r="B244" s="289" t="s">
        <v>636</v>
      </c>
      <c r="C244" s="279" t="s">
        <v>651</v>
      </c>
      <c r="D244" s="425">
        <f t="shared" ref="D244:I244" si="129">SUM(D239:D243)</f>
        <v>2428756</v>
      </c>
      <c r="E244" s="425">
        <f t="shared" si="129"/>
        <v>3169392</v>
      </c>
      <c r="F244" s="425">
        <f t="shared" si="129"/>
        <v>3413683</v>
      </c>
      <c r="G244" s="425">
        <f t="shared" si="129"/>
        <v>3511085</v>
      </c>
      <c r="H244" s="425">
        <f t="shared" si="129"/>
        <v>3163291</v>
      </c>
      <c r="I244" s="425">
        <f t="shared" si="129"/>
        <v>3652116</v>
      </c>
      <c r="J244" s="425">
        <f t="shared" ref="J244" si="130">SUM(J239:J243)</f>
        <v>3629477</v>
      </c>
    </row>
    <row r="245" spans="2:10" s="254" customFormat="1" x14ac:dyDescent="0.35">
      <c r="B245" s="289" t="s">
        <v>637</v>
      </c>
      <c r="C245" s="279" t="s">
        <v>651</v>
      </c>
      <c r="D245" s="424"/>
      <c r="E245" s="424"/>
      <c r="F245" s="424"/>
      <c r="G245" s="424"/>
      <c r="H245" s="424"/>
      <c r="I245" s="424"/>
      <c r="J245" s="424"/>
    </row>
    <row r="246" spans="2:10" s="254" customFormat="1" x14ac:dyDescent="0.35">
      <c r="B246" s="279" t="s">
        <v>638</v>
      </c>
      <c r="C246" s="279" t="s">
        <v>651</v>
      </c>
      <c r="D246" s="424">
        <f t="shared" ref="D246:I250" si="131">D136+D158-D180-D202+D224</f>
        <v>795449</v>
      </c>
      <c r="E246" s="424">
        <f t="shared" si="131"/>
        <v>1066374</v>
      </c>
      <c r="F246" s="424">
        <f t="shared" si="131"/>
        <v>1055513</v>
      </c>
      <c r="G246" s="424">
        <f t="shared" si="131"/>
        <v>1022248</v>
      </c>
      <c r="H246" s="424">
        <f t="shared" si="131"/>
        <v>1009707</v>
      </c>
      <c r="I246" s="424">
        <f t="shared" si="131"/>
        <v>678232</v>
      </c>
      <c r="J246" s="424">
        <f t="shared" ref="J246" si="132">J136+J158-J180-J202+J224</f>
        <v>595425</v>
      </c>
    </row>
    <row r="247" spans="2:10" s="254" customFormat="1" x14ac:dyDescent="0.35">
      <c r="B247" s="279" t="s">
        <v>639</v>
      </c>
      <c r="C247" s="279" t="s">
        <v>651</v>
      </c>
      <c r="D247" s="424">
        <f t="shared" si="131"/>
        <v>476230</v>
      </c>
      <c r="E247" s="424">
        <f t="shared" si="131"/>
        <v>588270</v>
      </c>
      <c r="F247" s="424">
        <f t="shared" si="131"/>
        <v>827614</v>
      </c>
      <c r="G247" s="424">
        <f t="shared" si="131"/>
        <v>600702</v>
      </c>
      <c r="H247" s="424">
        <f t="shared" si="131"/>
        <v>585184</v>
      </c>
      <c r="I247" s="424">
        <f t="shared" si="131"/>
        <v>381663</v>
      </c>
      <c r="J247" s="424">
        <f t="shared" ref="J247" si="133">J137+J159-J181-J203+J225</f>
        <v>423606</v>
      </c>
    </row>
    <row r="248" spans="2:10" s="254" customFormat="1" x14ac:dyDescent="0.35">
      <c r="B248" s="279" t="s">
        <v>640</v>
      </c>
      <c r="C248" s="279" t="s">
        <v>651</v>
      </c>
      <c r="D248" s="424">
        <f t="shared" si="131"/>
        <v>510952</v>
      </c>
      <c r="E248" s="424">
        <f t="shared" si="131"/>
        <v>843063</v>
      </c>
      <c r="F248" s="424">
        <f t="shared" si="131"/>
        <v>856907</v>
      </c>
      <c r="G248" s="424">
        <f t="shared" si="131"/>
        <v>752209</v>
      </c>
      <c r="H248" s="424">
        <f t="shared" si="131"/>
        <v>722490</v>
      </c>
      <c r="I248" s="424">
        <f t="shared" si="131"/>
        <v>435267</v>
      </c>
      <c r="J248" s="424">
        <f t="shared" ref="J248" si="134">J138+J160-J182-J204+J226</f>
        <v>448955</v>
      </c>
    </row>
    <row r="249" spans="2:10" s="254" customFormat="1" x14ac:dyDescent="0.35">
      <c r="B249" s="279" t="s">
        <v>641</v>
      </c>
      <c r="C249" s="279" t="s">
        <v>651</v>
      </c>
      <c r="D249" s="424">
        <f t="shared" si="131"/>
        <v>124966.5</v>
      </c>
      <c r="E249" s="424">
        <f t="shared" si="131"/>
        <v>347429.5</v>
      </c>
      <c r="F249" s="424">
        <f t="shared" si="131"/>
        <v>528072</v>
      </c>
      <c r="G249" s="424">
        <f t="shared" si="131"/>
        <v>424526</v>
      </c>
      <c r="H249" s="424">
        <f t="shared" si="131"/>
        <v>558875</v>
      </c>
      <c r="I249" s="424">
        <f t="shared" si="131"/>
        <v>669244</v>
      </c>
      <c r="J249" s="424">
        <f t="shared" ref="J249" si="135">J139+J161-J183-J205+J227</f>
        <v>527483</v>
      </c>
    </row>
    <row r="250" spans="2:10" s="254" customFormat="1" x14ac:dyDescent="0.35">
      <c r="B250" s="279" t="s">
        <v>642</v>
      </c>
      <c r="C250" s="279" t="s">
        <v>651</v>
      </c>
      <c r="D250" s="424">
        <f t="shared" si="131"/>
        <v>147121</v>
      </c>
      <c r="E250" s="424">
        <f t="shared" si="131"/>
        <v>398768</v>
      </c>
      <c r="F250" s="424">
        <f t="shared" si="131"/>
        <v>473358</v>
      </c>
      <c r="G250" s="424">
        <f t="shared" si="131"/>
        <v>308701</v>
      </c>
      <c r="H250" s="424">
        <f t="shared" si="131"/>
        <v>374162</v>
      </c>
      <c r="I250" s="424">
        <f t="shared" si="131"/>
        <v>331806</v>
      </c>
      <c r="J250" s="424">
        <f t="shared" ref="J250" si="136">J140+J162-J184-J206+J228</f>
        <v>320393</v>
      </c>
    </row>
    <row r="251" spans="2:10" s="254" customFormat="1" x14ac:dyDescent="0.35">
      <c r="B251" s="289" t="s">
        <v>643</v>
      </c>
      <c r="C251" s="279" t="s">
        <v>651</v>
      </c>
      <c r="D251" s="425">
        <f t="shared" ref="D251:I251" si="137">SUM(D246:D250)</f>
        <v>2054718.5</v>
      </c>
      <c r="E251" s="425">
        <f t="shared" si="137"/>
        <v>3243904.5</v>
      </c>
      <c r="F251" s="425">
        <f t="shared" si="137"/>
        <v>3741464</v>
      </c>
      <c r="G251" s="425">
        <f t="shared" si="137"/>
        <v>3108386</v>
      </c>
      <c r="H251" s="425">
        <f t="shared" si="137"/>
        <v>3250418</v>
      </c>
      <c r="I251" s="425">
        <f t="shared" si="137"/>
        <v>2496212</v>
      </c>
      <c r="J251" s="425">
        <f t="shared" ref="J251" si="138">SUM(J246:J250)</f>
        <v>2315862</v>
      </c>
    </row>
    <row r="252" spans="2:10" s="254" customFormat="1" x14ac:dyDescent="0.35">
      <c r="B252" s="289" t="s">
        <v>644</v>
      </c>
      <c r="C252" s="279" t="s">
        <v>651</v>
      </c>
      <c r="D252" s="424"/>
      <c r="E252" s="424"/>
      <c r="F252" s="424"/>
      <c r="G252" s="424"/>
      <c r="H252" s="424"/>
      <c r="I252" s="424"/>
      <c r="J252" s="424"/>
    </row>
    <row r="253" spans="2:10" s="254" customFormat="1" x14ac:dyDescent="0.35">
      <c r="B253" s="279" t="s">
        <v>645</v>
      </c>
      <c r="C253" s="279" t="s">
        <v>651</v>
      </c>
      <c r="D253" s="424">
        <f t="shared" ref="D253:I256" si="139">D143+D165-D187-D209+D231</f>
        <v>72728</v>
      </c>
      <c r="E253" s="424">
        <f t="shared" si="139"/>
        <v>63494</v>
      </c>
      <c r="F253" s="424">
        <f t="shared" si="139"/>
        <v>115297</v>
      </c>
      <c r="G253" s="424">
        <f t="shared" si="139"/>
        <v>179628</v>
      </c>
      <c r="H253" s="424">
        <f t="shared" si="139"/>
        <v>164351</v>
      </c>
      <c r="I253" s="424">
        <f t="shared" si="139"/>
        <v>44866</v>
      </c>
      <c r="J253" s="424">
        <f t="shared" ref="J253" si="140">J143+J165-J187-J209+J231</f>
        <v>53389</v>
      </c>
    </row>
    <row r="254" spans="2:10" s="254" customFormat="1" x14ac:dyDescent="0.35">
      <c r="B254" s="279" t="s">
        <v>646</v>
      </c>
      <c r="C254" s="279" t="s">
        <v>651</v>
      </c>
      <c r="D254" s="424">
        <f t="shared" si="139"/>
        <v>172600</v>
      </c>
      <c r="E254" s="424">
        <f t="shared" si="139"/>
        <v>176819</v>
      </c>
      <c r="F254" s="424">
        <f t="shared" si="139"/>
        <v>316762</v>
      </c>
      <c r="G254" s="424">
        <f t="shared" si="139"/>
        <v>247480</v>
      </c>
      <c r="H254" s="424">
        <f t="shared" si="139"/>
        <v>110300</v>
      </c>
      <c r="I254" s="424">
        <f t="shared" si="139"/>
        <v>8540</v>
      </c>
      <c r="J254" s="424">
        <f t="shared" ref="J254" si="141">J144+J166-J188-J210+J232</f>
        <v>1298</v>
      </c>
    </row>
    <row r="255" spans="2:10" s="254" customFormat="1" x14ac:dyDescent="0.35">
      <c r="B255" s="279" t="s">
        <v>647</v>
      </c>
      <c r="C255" s="279" t="s">
        <v>651</v>
      </c>
      <c r="D255" s="424">
        <f t="shared" si="139"/>
        <v>318076</v>
      </c>
      <c r="E255" s="424">
        <f t="shared" si="139"/>
        <v>364281</v>
      </c>
      <c r="F255" s="424">
        <f t="shared" si="139"/>
        <v>324333</v>
      </c>
      <c r="G255" s="424">
        <f t="shared" si="139"/>
        <v>400973</v>
      </c>
      <c r="H255" s="424">
        <f t="shared" si="139"/>
        <v>403642</v>
      </c>
      <c r="I255" s="424">
        <f t="shared" si="139"/>
        <v>85948</v>
      </c>
      <c r="J255" s="424">
        <f t="shared" ref="J255" si="142">J145+J167-J189-J211+J233</f>
        <v>122422</v>
      </c>
    </row>
    <row r="256" spans="2:10" s="254" customFormat="1" x14ac:dyDescent="0.35">
      <c r="B256" s="279" t="s">
        <v>648</v>
      </c>
      <c r="C256" s="279" t="s">
        <v>651</v>
      </c>
      <c r="D256" s="424">
        <f>D146+D168-D190-D212+D234</f>
        <v>220702</v>
      </c>
      <c r="E256" s="424">
        <f t="shared" si="139"/>
        <v>509470</v>
      </c>
      <c r="F256" s="424">
        <f t="shared" si="139"/>
        <v>588677</v>
      </c>
      <c r="G256" s="424">
        <f t="shared" si="139"/>
        <v>615098</v>
      </c>
      <c r="H256" s="424">
        <f t="shared" si="139"/>
        <v>695551</v>
      </c>
      <c r="I256" s="424">
        <f t="shared" si="139"/>
        <v>349550</v>
      </c>
      <c r="J256" s="424">
        <f t="shared" ref="J256" si="143">J146+J168-J190-J212+J234</f>
        <v>303762</v>
      </c>
    </row>
    <row r="257" spans="2:10" s="254" customFormat="1" x14ac:dyDescent="0.35">
      <c r="B257" s="289" t="s">
        <v>649</v>
      </c>
      <c r="C257" s="279" t="s">
        <v>651</v>
      </c>
      <c r="D257" s="425">
        <f t="shared" ref="D257:I257" si="144">SUM(D253:D256)</f>
        <v>784106</v>
      </c>
      <c r="E257" s="425">
        <f t="shared" si="144"/>
        <v>1114064</v>
      </c>
      <c r="F257" s="425">
        <f t="shared" si="144"/>
        <v>1345069</v>
      </c>
      <c r="G257" s="425">
        <f t="shared" si="144"/>
        <v>1443179</v>
      </c>
      <c r="H257" s="425">
        <f t="shared" si="144"/>
        <v>1373844</v>
      </c>
      <c r="I257" s="425">
        <f t="shared" si="144"/>
        <v>488904</v>
      </c>
      <c r="J257" s="425">
        <f t="shared" ref="J257" si="145">SUM(J253:J256)</f>
        <v>480871</v>
      </c>
    </row>
    <row r="258" spans="2:10" s="254" customFormat="1" x14ac:dyDescent="0.35">
      <c r="B258" s="289" t="s">
        <v>36</v>
      </c>
      <c r="C258" s="279" t="s">
        <v>651</v>
      </c>
      <c r="D258" s="425">
        <f t="shared" ref="D258:I258" si="146">D244+D251+D257</f>
        <v>5267580.5</v>
      </c>
      <c r="E258" s="425">
        <f t="shared" si="146"/>
        <v>7527360.5</v>
      </c>
      <c r="F258" s="425">
        <f t="shared" si="146"/>
        <v>8500216</v>
      </c>
      <c r="G258" s="425">
        <f t="shared" si="146"/>
        <v>8062650</v>
      </c>
      <c r="H258" s="425">
        <f t="shared" si="146"/>
        <v>7787553</v>
      </c>
      <c r="I258" s="425">
        <f t="shared" si="146"/>
        <v>6637232</v>
      </c>
      <c r="J258" s="425">
        <f t="shared" ref="J258" si="147">J244+J251+J257</f>
        <v>6426210</v>
      </c>
    </row>
    <row r="259" spans="2:10" s="254" customFormat="1" x14ac:dyDescent="0.35">
      <c r="B259" s="289"/>
      <c r="C259" s="279"/>
      <c r="D259" s="424"/>
      <c r="E259" s="424"/>
      <c r="F259" s="424"/>
      <c r="G259" s="424"/>
      <c r="H259" s="424"/>
      <c r="I259" s="424"/>
      <c r="J259" s="424"/>
    </row>
    <row r="260" spans="2:10" s="254" customFormat="1" x14ac:dyDescent="0.35">
      <c r="B260" s="248" t="s">
        <v>767</v>
      </c>
      <c r="C260" s="250"/>
      <c r="D260" s="535"/>
      <c r="E260" s="535"/>
      <c r="F260" s="535"/>
      <c r="G260" s="535"/>
      <c r="H260" s="535"/>
      <c r="I260" s="535"/>
      <c r="J260" s="535"/>
    </row>
    <row r="261" spans="2:10" s="254" customFormat="1" x14ac:dyDescent="0.35">
      <c r="B261" s="279" t="s">
        <v>631</v>
      </c>
      <c r="C261" s="279" t="s">
        <v>651</v>
      </c>
      <c r="D261" s="422">
        <v>20170</v>
      </c>
      <c r="E261" s="424">
        <f t="shared" ref="E261:J261" si="148">D283</f>
        <v>7359</v>
      </c>
      <c r="F261" s="424">
        <f t="shared" si="148"/>
        <v>20216</v>
      </c>
      <c r="G261" s="424">
        <f t="shared" si="148"/>
        <v>20276</v>
      </c>
      <c r="H261" s="424">
        <f t="shared" si="148"/>
        <v>20371</v>
      </c>
      <c r="I261" s="424">
        <f t="shared" si="148"/>
        <v>23734</v>
      </c>
      <c r="J261" s="424">
        <f t="shared" si="148"/>
        <v>22733</v>
      </c>
    </row>
    <row r="262" spans="2:10" s="254" customFormat="1" x14ac:dyDescent="0.35">
      <c r="B262" s="279" t="s">
        <v>632</v>
      </c>
      <c r="C262" s="279" t="s">
        <v>651</v>
      </c>
      <c r="D262" s="422">
        <v>11594</v>
      </c>
      <c r="E262" s="424">
        <f t="shared" ref="E262:F264" si="149">D284</f>
        <v>0</v>
      </c>
      <c r="F262" s="424">
        <f t="shared" si="149"/>
        <v>13136</v>
      </c>
      <c r="G262" s="424">
        <f t="shared" ref="G262:J265" si="150">F284</f>
        <v>13615</v>
      </c>
      <c r="H262" s="424">
        <f t="shared" si="150"/>
        <v>13909</v>
      </c>
      <c r="I262" s="424">
        <f t="shared" si="150"/>
        <v>19735</v>
      </c>
      <c r="J262" s="424">
        <f t="shared" si="150"/>
        <v>7008</v>
      </c>
    </row>
    <row r="263" spans="2:10" s="254" customFormat="1" x14ac:dyDescent="0.35">
      <c r="B263" s="279" t="s">
        <v>633</v>
      </c>
      <c r="C263" s="279" t="s">
        <v>651</v>
      </c>
      <c r="D263" s="422">
        <v>12506</v>
      </c>
      <c r="E263" s="424">
        <f t="shared" si="149"/>
        <v>11110</v>
      </c>
      <c r="F263" s="424">
        <f t="shared" si="149"/>
        <v>14082</v>
      </c>
      <c r="G263" s="424">
        <f t="shared" si="150"/>
        <v>14071</v>
      </c>
      <c r="H263" s="424">
        <f t="shared" si="150"/>
        <v>13397</v>
      </c>
      <c r="I263" s="424">
        <f t="shared" si="150"/>
        <v>18564</v>
      </c>
      <c r="J263" s="424">
        <f t="shared" si="150"/>
        <v>14667.95</v>
      </c>
    </row>
    <row r="264" spans="2:10" s="254" customFormat="1" x14ac:dyDescent="0.35">
      <c r="B264" s="279" t="s">
        <v>634</v>
      </c>
      <c r="C264" s="279" t="s">
        <v>651</v>
      </c>
      <c r="D264" s="422">
        <v>13184</v>
      </c>
      <c r="E264" s="424">
        <f t="shared" si="149"/>
        <v>11772</v>
      </c>
      <c r="F264" s="424">
        <f t="shared" si="149"/>
        <v>13929</v>
      </c>
      <c r="G264" s="424">
        <f t="shared" si="150"/>
        <v>13998</v>
      </c>
      <c r="H264" s="424">
        <f t="shared" si="150"/>
        <v>13283</v>
      </c>
      <c r="I264" s="424">
        <f t="shared" si="150"/>
        <v>15059</v>
      </c>
      <c r="J264" s="424">
        <f t="shared" si="150"/>
        <v>13062.01</v>
      </c>
    </row>
    <row r="265" spans="2:10" s="254" customFormat="1" x14ac:dyDescent="0.35">
      <c r="B265" s="279" t="s">
        <v>635</v>
      </c>
      <c r="C265" s="279" t="s">
        <v>651</v>
      </c>
      <c r="D265" s="422">
        <v>0</v>
      </c>
      <c r="E265" s="424">
        <v>0</v>
      </c>
      <c r="F265" s="424">
        <f>E287</f>
        <v>7391</v>
      </c>
      <c r="G265" s="424">
        <f t="shared" si="150"/>
        <v>10684</v>
      </c>
      <c r="H265" s="424">
        <f t="shared" si="150"/>
        <v>10411</v>
      </c>
      <c r="I265" s="424">
        <f t="shared" si="150"/>
        <v>11310</v>
      </c>
      <c r="J265" s="424">
        <f t="shared" si="150"/>
        <v>6642</v>
      </c>
    </row>
    <row r="266" spans="2:10" s="254" customFormat="1" x14ac:dyDescent="0.35">
      <c r="B266" s="289" t="s">
        <v>636</v>
      </c>
      <c r="C266" s="279" t="s">
        <v>651</v>
      </c>
      <c r="D266" s="425">
        <f t="shared" ref="D266:I266" si="151">SUM(D261:D265)</f>
        <v>57454</v>
      </c>
      <c r="E266" s="425">
        <f t="shared" si="151"/>
        <v>30241</v>
      </c>
      <c r="F266" s="425">
        <f t="shared" si="151"/>
        <v>68754</v>
      </c>
      <c r="G266" s="425">
        <f t="shared" si="151"/>
        <v>72644</v>
      </c>
      <c r="H266" s="425">
        <f t="shared" si="151"/>
        <v>71371</v>
      </c>
      <c r="I266" s="425">
        <f t="shared" si="151"/>
        <v>88402</v>
      </c>
      <c r="J266" s="425">
        <f t="shared" ref="J266" si="152">SUM(J261:J265)</f>
        <v>64112.959999999999</v>
      </c>
    </row>
    <row r="267" spans="2:10" s="254" customFormat="1" x14ac:dyDescent="0.35">
      <c r="B267" s="289" t="s">
        <v>637</v>
      </c>
      <c r="C267" s="279" t="s">
        <v>651</v>
      </c>
      <c r="D267" s="424"/>
      <c r="E267" s="424"/>
      <c r="F267" s="424"/>
      <c r="G267" s="424"/>
      <c r="H267" s="424"/>
      <c r="I267" s="424"/>
      <c r="J267" s="424"/>
    </row>
    <row r="268" spans="2:10" s="254" customFormat="1" x14ac:dyDescent="0.35">
      <c r="B268" s="279" t="s">
        <v>638</v>
      </c>
      <c r="C268" s="279" t="s">
        <v>651</v>
      </c>
      <c r="D268" s="422">
        <v>19831</v>
      </c>
      <c r="E268" s="424">
        <f t="shared" ref="E268:F272" si="153">D290</f>
        <v>0</v>
      </c>
      <c r="F268" s="424">
        <f t="shared" si="153"/>
        <v>18124</v>
      </c>
      <c r="G268" s="424">
        <f t="shared" ref="G268:J272" si="154">F290</f>
        <v>24538</v>
      </c>
      <c r="H268" s="424">
        <f t="shared" si="154"/>
        <v>23602</v>
      </c>
      <c r="I268" s="424">
        <f t="shared" si="154"/>
        <v>26358</v>
      </c>
      <c r="J268" s="424">
        <f t="shared" si="154"/>
        <v>289</v>
      </c>
    </row>
    <row r="269" spans="2:10" s="254" customFormat="1" x14ac:dyDescent="0.35">
      <c r="B269" s="279" t="s">
        <v>639</v>
      </c>
      <c r="C269" s="279" t="s">
        <v>651</v>
      </c>
      <c r="D269" s="422">
        <v>20055</v>
      </c>
      <c r="E269" s="424">
        <f t="shared" si="153"/>
        <v>0</v>
      </c>
      <c r="F269" s="424">
        <f t="shared" si="153"/>
        <v>465</v>
      </c>
      <c r="G269" s="424">
        <f t="shared" si="154"/>
        <v>18670</v>
      </c>
      <c r="H269" s="424">
        <f t="shared" si="154"/>
        <v>21272</v>
      </c>
      <c r="I269" s="424">
        <f t="shared" si="154"/>
        <v>24154</v>
      </c>
      <c r="J269" s="424">
        <f t="shared" si="154"/>
        <v>1617</v>
      </c>
    </row>
    <row r="270" spans="2:10" s="254" customFormat="1" x14ac:dyDescent="0.35">
      <c r="B270" s="279" t="s">
        <v>640</v>
      </c>
      <c r="C270" s="279" t="s">
        <v>651</v>
      </c>
      <c r="D270" s="422">
        <v>17079</v>
      </c>
      <c r="E270" s="424">
        <f t="shared" si="153"/>
        <v>0</v>
      </c>
      <c r="F270" s="424">
        <f t="shared" si="153"/>
        <v>12680</v>
      </c>
      <c r="G270" s="424">
        <f t="shared" si="154"/>
        <v>20369</v>
      </c>
      <c r="H270" s="424">
        <f t="shared" si="154"/>
        <v>15556</v>
      </c>
      <c r="I270" s="424">
        <f t="shared" si="154"/>
        <v>22340</v>
      </c>
      <c r="J270" s="424">
        <f t="shared" si="154"/>
        <v>0</v>
      </c>
    </row>
    <row r="271" spans="2:10" s="254" customFormat="1" x14ac:dyDescent="0.35">
      <c r="B271" s="279" t="s">
        <v>641</v>
      </c>
      <c r="C271" s="279" t="s">
        <v>651</v>
      </c>
      <c r="D271" s="422">
        <v>0</v>
      </c>
      <c r="E271" s="424">
        <f t="shared" si="153"/>
        <v>0</v>
      </c>
      <c r="F271" s="424">
        <f t="shared" si="153"/>
        <v>0</v>
      </c>
      <c r="G271" s="424">
        <f t="shared" si="154"/>
        <v>12157</v>
      </c>
      <c r="H271" s="424">
        <f t="shared" si="154"/>
        <v>13582</v>
      </c>
      <c r="I271" s="424">
        <f t="shared" si="154"/>
        <v>12609</v>
      </c>
      <c r="J271" s="424">
        <f t="shared" si="154"/>
        <v>11525.56</v>
      </c>
    </row>
    <row r="272" spans="2:10" s="254" customFormat="1" x14ac:dyDescent="0.35">
      <c r="B272" s="279" t="s">
        <v>642</v>
      </c>
      <c r="C272" s="279" t="s">
        <v>651</v>
      </c>
      <c r="D272" s="422">
        <v>0</v>
      </c>
      <c r="E272" s="424">
        <f t="shared" si="153"/>
        <v>0</v>
      </c>
      <c r="F272" s="424">
        <f t="shared" si="153"/>
        <v>0</v>
      </c>
      <c r="G272" s="424">
        <f t="shared" si="154"/>
        <v>15469</v>
      </c>
      <c r="H272" s="424">
        <f t="shared" si="154"/>
        <v>12293</v>
      </c>
      <c r="I272" s="424">
        <f t="shared" si="154"/>
        <v>11952</v>
      </c>
      <c r="J272" s="424">
        <f t="shared" si="154"/>
        <v>0</v>
      </c>
    </row>
    <row r="273" spans="2:10" s="254" customFormat="1" x14ac:dyDescent="0.35">
      <c r="B273" s="289" t="s">
        <v>643</v>
      </c>
      <c r="C273" s="279" t="s">
        <v>651</v>
      </c>
      <c r="D273" s="425">
        <f t="shared" ref="D273:I273" si="155">SUM(D268:D272)</f>
        <v>56965</v>
      </c>
      <c r="E273" s="425">
        <f t="shared" si="155"/>
        <v>0</v>
      </c>
      <c r="F273" s="425">
        <f t="shared" si="155"/>
        <v>31269</v>
      </c>
      <c r="G273" s="425">
        <f t="shared" si="155"/>
        <v>91203</v>
      </c>
      <c r="H273" s="425">
        <f t="shared" si="155"/>
        <v>86305</v>
      </c>
      <c r="I273" s="425">
        <f t="shared" si="155"/>
        <v>97413</v>
      </c>
      <c r="J273" s="425">
        <f t="shared" ref="J273" si="156">SUM(J268:J272)</f>
        <v>13431.56</v>
      </c>
    </row>
    <row r="274" spans="2:10" s="254" customFormat="1" x14ac:dyDescent="0.35">
      <c r="B274" s="289" t="s">
        <v>644</v>
      </c>
      <c r="C274" s="279" t="s">
        <v>651</v>
      </c>
      <c r="D274" s="424"/>
      <c r="E274" s="424"/>
      <c r="F274" s="424"/>
      <c r="G274" s="424"/>
      <c r="H274" s="424"/>
      <c r="I274" s="424"/>
      <c r="J274" s="424"/>
    </row>
    <row r="275" spans="2:10" s="254" customFormat="1" x14ac:dyDescent="0.35">
      <c r="B275" s="279" t="s">
        <v>645</v>
      </c>
      <c r="C275" s="279" t="s">
        <v>651</v>
      </c>
      <c r="D275" s="424">
        <v>0</v>
      </c>
      <c r="E275" s="424">
        <f t="shared" ref="E275:F278" si="157">D297</f>
        <v>190</v>
      </c>
      <c r="F275" s="424">
        <f t="shared" si="157"/>
        <v>0</v>
      </c>
      <c r="G275" s="424">
        <f t="shared" ref="G275:J278" si="158">F297</f>
        <v>821</v>
      </c>
      <c r="H275" s="424">
        <f t="shared" si="158"/>
        <v>0</v>
      </c>
      <c r="I275" s="424">
        <f t="shared" si="158"/>
        <v>511</v>
      </c>
      <c r="J275" s="424">
        <f t="shared" si="158"/>
        <v>0</v>
      </c>
    </row>
    <row r="276" spans="2:10" s="254" customFormat="1" x14ac:dyDescent="0.35">
      <c r="B276" s="279" t="s">
        <v>646</v>
      </c>
      <c r="C276" s="279" t="s">
        <v>651</v>
      </c>
      <c r="D276" s="424">
        <v>0</v>
      </c>
      <c r="E276" s="424">
        <f t="shared" si="157"/>
        <v>0</v>
      </c>
      <c r="F276" s="424">
        <f t="shared" si="157"/>
        <v>0</v>
      </c>
      <c r="G276" s="424">
        <f t="shared" si="158"/>
        <v>0</v>
      </c>
      <c r="H276" s="424">
        <f t="shared" si="158"/>
        <v>10159</v>
      </c>
      <c r="I276" s="424">
        <f t="shared" si="158"/>
        <v>0</v>
      </c>
      <c r="J276" s="424">
        <f t="shared" si="158"/>
        <v>0</v>
      </c>
    </row>
    <row r="277" spans="2:10" s="254" customFormat="1" x14ac:dyDescent="0.35">
      <c r="B277" s="279" t="s">
        <v>647</v>
      </c>
      <c r="C277" s="279" t="s">
        <v>651</v>
      </c>
      <c r="D277" s="424">
        <v>0</v>
      </c>
      <c r="E277" s="424">
        <f t="shared" si="157"/>
        <v>0</v>
      </c>
      <c r="F277" s="424">
        <f t="shared" si="157"/>
        <v>0</v>
      </c>
      <c r="G277" s="424">
        <f t="shared" si="158"/>
        <v>0</v>
      </c>
      <c r="H277" s="424">
        <f t="shared" si="158"/>
        <v>9544</v>
      </c>
      <c r="I277" s="424">
        <f t="shared" si="158"/>
        <v>9103</v>
      </c>
      <c r="J277" s="424">
        <f t="shared" si="158"/>
        <v>0</v>
      </c>
    </row>
    <row r="278" spans="2:10" s="254" customFormat="1" x14ac:dyDescent="0.35">
      <c r="B278" s="279" t="s">
        <v>648</v>
      </c>
      <c r="C278" s="279" t="s">
        <v>651</v>
      </c>
      <c r="D278" s="424">
        <v>0</v>
      </c>
      <c r="E278" s="424">
        <f t="shared" si="157"/>
        <v>0</v>
      </c>
      <c r="F278" s="424">
        <f t="shared" si="157"/>
        <v>0</v>
      </c>
      <c r="G278" s="424">
        <f t="shared" si="158"/>
        <v>15955</v>
      </c>
      <c r="H278" s="424">
        <f t="shared" si="158"/>
        <v>702</v>
      </c>
      <c r="I278" s="424">
        <f t="shared" si="158"/>
        <v>0</v>
      </c>
      <c r="J278" s="424">
        <f t="shared" si="158"/>
        <v>0</v>
      </c>
    </row>
    <row r="279" spans="2:10" s="254" customFormat="1" x14ac:dyDescent="0.35">
      <c r="B279" s="289" t="s">
        <v>649</v>
      </c>
      <c r="C279" s="279" t="s">
        <v>651</v>
      </c>
      <c r="D279" s="425">
        <f t="shared" ref="D279:I279" si="159">SUM(D275:D278)</f>
        <v>0</v>
      </c>
      <c r="E279" s="425">
        <f t="shared" si="159"/>
        <v>190</v>
      </c>
      <c r="F279" s="425">
        <f t="shared" si="159"/>
        <v>0</v>
      </c>
      <c r="G279" s="425">
        <f t="shared" si="159"/>
        <v>16776</v>
      </c>
      <c r="H279" s="425">
        <f t="shared" si="159"/>
        <v>20405</v>
      </c>
      <c r="I279" s="425">
        <f t="shared" si="159"/>
        <v>9614</v>
      </c>
      <c r="J279" s="425">
        <f t="shared" ref="J279" si="160">SUM(J275:J278)</f>
        <v>0</v>
      </c>
    </row>
    <row r="280" spans="2:10" s="254" customFormat="1" x14ac:dyDescent="0.35">
      <c r="B280" s="289" t="s">
        <v>36</v>
      </c>
      <c r="C280" s="279" t="s">
        <v>651</v>
      </c>
      <c r="D280" s="425">
        <f t="shared" ref="D280:I280" si="161">D266+D273+D279</f>
        <v>114419</v>
      </c>
      <c r="E280" s="425">
        <f t="shared" si="161"/>
        <v>30431</v>
      </c>
      <c r="F280" s="425">
        <f t="shared" si="161"/>
        <v>100023</v>
      </c>
      <c r="G280" s="425">
        <f t="shared" si="161"/>
        <v>180623</v>
      </c>
      <c r="H280" s="425">
        <f t="shared" si="161"/>
        <v>178081</v>
      </c>
      <c r="I280" s="425">
        <f t="shared" si="161"/>
        <v>195429</v>
      </c>
      <c r="J280" s="425">
        <f t="shared" ref="J280" si="162">J266+J273+J279</f>
        <v>77544.52</v>
      </c>
    </row>
    <row r="281" spans="2:10" s="254" customFormat="1" x14ac:dyDescent="0.35">
      <c r="B281" s="289"/>
      <c r="C281" s="279"/>
      <c r="D281" s="424"/>
      <c r="E281" s="424"/>
      <c r="F281" s="424"/>
      <c r="G281" s="424"/>
      <c r="H281" s="424"/>
      <c r="I281" s="424"/>
      <c r="J281" s="424"/>
    </row>
    <row r="282" spans="2:10" s="254" customFormat="1" x14ac:dyDescent="0.35">
      <c r="B282" s="248" t="s">
        <v>768</v>
      </c>
      <c r="C282" s="250"/>
      <c r="D282" s="535"/>
      <c r="E282" s="535"/>
      <c r="F282" s="535"/>
      <c r="G282" s="535"/>
      <c r="H282" s="535"/>
      <c r="I282" s="535"/>
      <c r="J282" s="535"/>
    </row>
    <row r="283" spans="2:10" s="254" customFormat="1" x14ac:dyDescent="0.35">
      <c r="B283" s="279" t="s">
        <v>631</v>
      </c>
      <c r="C283" s="279" t="s">
        <v>651</v>
      </c>
      <c r="D283" s="422">
        <v>7359</v>
      </c>
      <c r="E283" s="422">
        <v>20216</v>
      </c>
      <c r="F283" s="422">
        <v>20276</v>
      </c>
      <c r="G283" s="422">
        <v>20371</v>
      </c>
      <c r="H283" s="422">
        <v>23734</v>
      </c>
      <c r="I283" s="422">
        <v>22733</v>
      </c>
      <c r="J283" s="422">
        <v>17699</v>
      </c>
    </row>
    <row r="284" spans="2:10" s="254" customFormat="1" x14ac:dyDescent="0.35">
      <c r="B284" s="279" t="s">
        <v>632</v>
      </c>
      <c r="C284" s="279" t="s">
        <v>651</v>
      </c>
      <c r="D284" s="422">
        <v>0</v>
      </c>
      <c r="E284" s="422">
        <v>13136</v>
      </c>
      <c r="F284" s="422">
        <v>13615</v>
      </c>
      <c r="G284" s="422">
        <v>13909</v>
      </c>
      <c r="H284" s="422">
        <v>19735</v>
      </c>
      <c r="I284" s="422">
        <v>7008</v>
      </c>
      <c r="J284" s="422">
        <v>6976</v>
      </c>
    </row>
    <row r="285" spans="2:10" s="254" customFormat="1" x14ac:dyDescent="0.35">
      <c r="B285" s="279" t="s">
        <v>633</v>
      </c>
      <c r="C285" s="279" t="s">
        <v>651</v>
      </c>
      <c r="D285" s="422">
        <v>11110</v>
      </c>
      <c r="E285" s="422">
        <v>14082</v>
      </c>
      <c r="F285" s="422">
        <v>14071</v>
      </c>
      <c r="G285" s="422">
        <v>13397</v>
      </c>
      <c r="H285" s="422">
        <v>18564</v>
      </c>
      <c r="I285" s="422">
        <v>14667.95</v>
      </c>
      <c r="J285" s="422">
        <v>12378</v>
      </c>
    </row>
    <row r="286" spans="2:10" s="254" customFormat="1" x14ac:dyDescent="0.35">
      <c r="B286" s="279" t="s">
        <v>634</v>
      </c>
      <c r="C286" s="279" t="s">
        <v>651</v>
      </c>
      <c r="D286" s="422">
        <v>11772</v>
      </c>
      <c r="E286" s="422">
        <v>13929</v>
      </c>
      <c r="F286" s="422">
        <v>13998</v>
      </c>
      <c r="G286" s="422">
        <v>13283</v>
      </c>
      <c r="H286" s="422">
        <v>15059</v>
      </c>
      <c r="I286" s="422">
        <v>13062.01</v>
      </c>
      <c r="J286" s="422">
        <v>9119.2900000000009</v>
      </c>
    </row>
    <row r="287" spans="2:10" s="254" customFormat="1" x14ac:dyDescent="0.35">
      <c r="B287" s="279" t="s">
        <v>635</v>
      </c>
      <c r="C287" s="279" t="s">
        <v>651</v>
      </c>
      <c r="D287" s="422">
        <v>0</v>
      </c>
      <c r="E287" s="422">
        <v>7391</v>
      </c>
      <c r="F287" s="422">
        <v>10684</v>
      </c>
      <c r="G287" s="422">
        <v>10411</v>
      </c>
      <c r="H287" s="422">
        <v>11310</v>
      </c>
      <c r="I287" s="422">
        <v>6642</v>
      </c>
      <c r="J287" s="422">
        <v>6656</v>
      </c>
    </row>
    <row r="288" spans="2:10" s="254" customFormat="1" x14ac:dyDescent="0.35">
      <c r="B288" s="289" t="s">
        <v>636</v>
      </c>
      <c r="C288" s="279" t="s">
        <v>651</v>
      </c>
      <c r="D288" s="425">
        <f t="shared" ref="D288:I288" si="163">SUM(D283:D287)</f>
        <v>30241</v>
      </c>
      <c r="E288" s="425">
        <f t="shared" si="163"/>
        <v>68754</v>
      </c>
      <c r="F288" s="425">
        <f t="shared" si="163"/>
        <v>72644</v>
      </c>
      <c r="G288" s="425">
        <f t="shared" si="163"/>
        <v>71371</v>
      </c>
      <c r="H288" s="425">
        <f t="shared" si="163"/>
        <v>88402</v>
      </c>
      <c r="I288" s="425">
        <f t="shared" si="163"/>
        <v>64112.959999999999</v>
      </c>
      <c r="J288" s="425">
        <f t="shared" ref="J288" si="164">SUM(J283:J287)</f>
        <v>52828.29</v>
      </c>
    </row>
    <row r="289" spans="2:10" s="254" customFormat="1" x14ac:dyDescent="0.35">
      <c r="B289" s="289" t="s">
        <v>637</v>
      </c>
      <c r="C289" s="279" t="s">
        <v>651</v>
      </c>
      <c r="D289" s="424"/>
      <c r="E289" s="424"/>
      <c r="F289" s="424"/>
      <c r="G289" s="424"/>
      <c r="H289" s="424"/>
      <c r="I289" s="424"/>
      <c r="J289" s="424"/>
    </row>
    <row r="290" spans="2:10" s="254" customFormat="1" x14ac:dyDescent="0.35">
      <c r="B290" s="279" t="s">
        <v>638</v>
      </c>
      <c r="C290" s="279" t="s">
        <v>651</v>
      </c>
      <c r="D290" s="422">
        <v>0</v>
      </c>
      <c r="E290" s="422">
        <v>18124</v>
      </c>
      <c r="F290" s="422">
        <v>24538</v>
      </c>
      <c r="G290" s="422">
        <v>23602</v>
      </c>
      <c r="H290" s="422">
        <v>26358</v>
      </c>
      <c r="I290" s="422">
        <v>289</v>
      </c>
      <c r="J290" s="422">
        <v>9370</v>
      </c>
    </row>
    <row r="291" spans="2:10" s="254" customFormat="1" x14ac:dyDescent="0.35">
      <c r="B291" s="279" t="s">
        <v>639</v>
      </c>
      <c r="C291" s="279" t="s">
        <v>651</v>
      </c>
      <c r="D291" s="422">
        <v>0</v>
      </c>
      <c r="E291" s="422">
        <v>465</v>
      </c>
      <c r="F291" s="422">
        <v>18670</v>
      </c>
      <c r="G291" s="422">
        <v>21272</v>
      </c>
      <c r="H291" s="422">
        <v>24154</v>
      </c>
      <c r="I291" s="422">
        <v>1617</v>
      </c>
      <c r="J291" s="422">
        <v>14353</v>
      </c>
    </row>
    <row r="292" spans="2:10" s="254" customFormat="1" x14ac:dyDescent="0.35">
      <c r="B292" s="279" t="s">
        <v>640</v>
      </c>
      <c r="C292" s="279" t="s">
        <v>651</v>
      </c>
      <c r="D292" s="422">
        <v>0</v>
      </c>
      <c r="E292" s="422">
        <v>12680</v>
      </c>
      <c r="F292" s="422">
        <v>20369</v>
      </c>
      <c r="G292" s="422">
        <v>15556</v>
      </c>
      <c r="H292" s="422">
        <v>22340</v>
      </c>
      <c r="I292" s="422">
        <v>0</v>
      </c>
      <c r="J292" s="422">
        <v>0</v>
      </c>
    </row>
    <row r="293" spans="2:10" s="254" customFormat="1" x14ac:dyDescent="0.35">
      <c r="B293" s="279" t="s">
        <v>641</v>
      </c>
      <c r="C293" s="279" t="s">
        <v>651</v>
      </c>
      <c r="D293" s="422">
        <v>0</v>
      </c>
      <c r="E293" s="422"/>
      <c r="F293" s="422">
        <v>12157</v>
      </c>
      <c r="G293" s="422">
        <v>13582</v>
      </c>
      <c r="H293" s="422">
        <v>12609</v>
      </c>
      <c r="I293" s="422">
        <v>11525.56</v>
      </c>
      <c r="J293" s="422">
        <v>11298</v>
      </c>
    </row>
    <row r="294" spans="2:10" s="254" customFormat="1" x14ac:dyDescent="0.35">
      <c r="B294" s="279" t="s">
        <v>642</v>
      </c>
      <c r="C294" s="279" t="s">
        <v>651</v>
      </c>
      <c r="D294" s="422">
        <v>0</v>
      </c>
      <c r="E294" s="422"/>
      <c r="F294" s="422">
        <v>15469</v>
      </c>
      <c r="G294" s="422">
        <v>12293</v>
      </c>
      <c r="H294" s="422">
        <v>11952</v>
      </c>
      <c r="I294" s="422">
        <v>0</v>
      </c>
      <c r="J294" s="422">
        <v>0</v>
      </c>
    </row>
    <row r="295" spans="2:10" s="254" customFormat="1" x14ac:dyDescent="0.35">
      <c r="B295" s="289" t="s">
        <v>643</v>
      </c>
      <c r="C295" s="279" t="s">
        <v>651</v>
      </c>
      <c r="D295" s="425">
        <f t="shared" ref="D295:I295" si="165">SUM(D290:D294)</f>
        <v>0</v>
      </c>
      <c r="E295" s="425">
        <f t="shared" si="165"/>
        <v>31269</v>
      </c>
      <c r="F295" s="425">
        <f t="shared" si="165"/>
        <v>91203</v>
      </c>
      <c r="G295" s="425">
        <f t="shared" si="165"/>
        <v>86305</v>
      </c>
      <c r="H295" s="425">
        <f t="shared" si="165"/>
        <v>97413</v>
      </c>
      <c r="I295" s="425">
        <f t="shared" si="165"/>
        <v>13431.56</v>
      </c>
      <c r="J295" s="425">
        <f t="shared" ref="J295" si="166">SUM(J290:J294)</f>
        <v>35021</v>
      </c>
    </row>
    <row r="296" spans="2:10" s="254" customFormat="1" x14ac:dyDescent="0.35">
      <c r="B296" s="289" t="s">
        <v>644</v>
      </c>
      <c r="C296" s="279" t="s">
        <v>651</v>
      </c>
      <c r="D296" s="424"/>
      <c r="E296" s="424"/>
      <c r="F296" s="424"/>
      <c r="G296" s="424"/>
      <c r="H296" s="424"/>
      <c r="I296" s="424"/>
      <c r="J296" s="424"/>
    </row>
    <row r="297" spans="2:10" s="254" customFormat="1" x14ac:dyDescent="0.35">
      <c r="B297" s="279" t="s">
        <v>645</v>
      </c>
      <c r="C297" s="279" t="s">
        <v>651</v>
      </c>
      <c r="D297" s="422">
        <v>190</v>
      </c>
      <c r="E297" s="422"/>
      <c r="F297" s="422">
        <v>821</v>
      </c>
      <c r="G297" s="422">
        <v>0</v>
      </c>
      <c r="H297" s="422">
        <v>511</v>
      </c>
      <c r="I297" s="422">
        <v>0</v>
      </c>
      <c r="J297" s="422">
        <v>0</v>
      </c>
    </row>
    <row r="298" spans="2:10" s="254" customFormat="1" x14ac:dyDescent="0.35">
      <c r="B298" s="279" t="s">
        <v>646</v>
      </c>
      <c r="C298" s="279" t="s">
        <v>651</v>
      </c>
      <c r="D298" s="422"/>
      <c r="E298" s="422"/>
      <c r="F298" s="422">
        <v>0</v>
      </c>
      <c r="G298" s="422">
        <v>10159</v>
      </c>
      <c r="H298" s="422">
        <v>0</v>
      </c>
      <c r="I298" s="422">
        <v>0</v>
      </c>
      <c r="J298" s="422">
        <v>0</v>
      </c>
    </row>
    <row r="299" spans="2:10" s="254" customFormat="1" x14ac:dyDescent="0.35">
      <c r="B299" s="279" t="s">
        <v>647</v>
      </c>
      <c r="C299" s="279" t="s">
        <v>651</v>
      </c>
      <c r="D299" s="422"/>
      <c r="E299" s="422"/>
      <c r="F299" s="422">
        <v>0</v>
      </c>
      <c r="G299" s="422">
        <v>9544</v>
      </c>
      <c r="H299" s="422">
        <v>9103</v>
      </c>
      <c r="I299" s="422">
        <v>0</v>
      </c>
      <c r="J299" s="422">
        <v>0</v>
      </c>
    </row>
    <row r="300" spans="2:10" s="254" customFormat="1" x14ac:dyDescent="0.35">
      <c r="B300" s="279" t="s">
        <v>648</v>
      </c>
      <c r="C300" s="279" t="s">
        <v>651</v>
      </c>
      <c r="D300" s="422"/>
      <c r="E300" s="422"/>
      <c r="F300" s="422">
        <v>15955</v>
      </c>
      <c r="G300" s="422">
        <v>702</v>
      </c>
      <c r="H300" s="422">
        <v>0</v>
      </c>
      <c r="I300" s="422">
        <v>0</v>
      </c>
      <c r="J300" s="422">
        <v>0</v>
      </c>
    </row>
    <row r="301" spans="2:10" s="254" customFormat="1" x14ac:dyDescent="0.35">
      <c r="B301" s="289" t="s">
        <v>649</v>
      </c>
      <c r="C301" s="279" t="s">
        <v>651</v>
      </c>
      <c r="D301" s="423">
        <f t="shared" ref="D301:I301" si="167">SUM(D297:D300)</f>
        <v>190</v>
      </c>
      <c r="E301" s="423">
        <f t="shared" si="167"/>
        <v>0</v>
      </c>
      <c r="F301" s="423">
        <f t="shared" si="167"/>
        <v>16776</v>
      </c>
      <c r="G301" s="423">
        <f t="shared" si="167"/>
        <v>20405</v>
      </c>
      <c r="H301" s="423">
        <f t="shared" si="167"/>
        <v>9614</v>
      </c>
      <c r="I301" s="423">
        <f t="shared" si="167"/>
        <v>0</v>
      </c>
      <c r="J301" s="423">
        <f t="shared" ref="J301" si="168">SUM(J297:J300)</f>
        <v>0</v>
      </c>
    </row>
    <row r="302" spans="2:10" s="254" customFormat="1" x14ac:dyDescent="0.35">
      <c r="B302" s="289" t="s">
        <v>36</v>
      </c>
      <c r="C302" s="279" t="s">
        <v>651</v>
      </c>
      <c r="D302" s="425">
        <f t="shared" ref="D302:I302" si="169">D288+D295+D301</f>
        <v>30431</v>
      </c>
      <c r="E302" s="425">
        <f t="shared" si="169"/>
        <v>100023</v>
      </c>
      <c r="F302" s="425">
        <f t="shared" si="169"/>
        <v>180623</v>
      </c>
      <c r="G302" s="425">
        <f t="shared" si="169"/>
        <v>178081</v>
      </c>
      <c r="H302" s="425">
        <f t="shared" si="169"/>
        <v>195429</v>
      </c>
      <c r="I302" s="425">
        <f t="shared" si="169"/>
        <v>77544.52</v>
      </c>
      <c r="J302" s="425">
        <f t="shared" ref="J302" si="170">J288+J295+J301</f>
        <v>87849.290000000008</v>
      </c>
    </row>
    <row r="303" spans="2:10" x14ac:dyDescent="0.35">
      <c r="B303" s="199"/>
      <c r="C303" s="198"/>
      <c r="D303" s="274"/>
      <c r="E303" s="274"/>
      <c r="F303" s="274"/>
      <c r="G303" s="274"/>
      <c r="H303" s="274"/>
      <c r="I303" s="274"/>
      <c r="J303" s="274"/>
    </row>
    <row r="304" spans="2:10" x14ac:dyDescent="0.35">
      <c r="B304" s="283" t="s">
        <v>24</v>
      </c>
      <c r="C304" s="286"/>
      <c r="D304" s="415"/>
      <c r="E304" s="415"/>
      <c r="F304" s="415"/>
      <c r="G304" s="415"/>
      <c r="H304" s="415"/>
      <c r="I304" s="415"/>
      <c r="J304" s="415"/>
    </row>
    <row r="305" spans="2:10" x14ac:dyDescent="0.35">
      <c r="B305" s="411" t="s">
        <v>654</v>
      </c>
      <c r="C305" s="412"/>
      <c r="D305" s="412"/>
      <c r="E305" s="412"/>
      <c r="F305" s="412"/>
      <c r="G305" s="412"/>
      <c r="H305" s="412"/>
      <c r="I305" s="412"/>
      <c r="J305" s="412"/>
    </row>
    <row r="306" spans="2:10" x14ac:dyDescent="0.35">
      <c r="B306" s="199" t="s">
        <v>664</v>
      </c>
      <c r="C306" s="199" t="s">
        <v>369</v>
      </c>
      <c r="D306" s="198"/>
      <c r="E306" s="198"/>
      <c r="F306" s="198"/>
      <c r="G306" s="198"/>
      <c r="H306" s="198"/>
      <c r="I306" s="198"/>
      <c r="J306" s="198"/>
    </row>
    <row r="307" spans="2:10" x14ac:dyDescent="0.35">
      <c r="B307" s="199" t="s">
        <v>630</v>
      </c>
      <c r="C307" s="199"/>
      <c r="D307" s="198"/>
      <c r="E307" s="198"/>
      <c r="F307" s="198"/>
      <c r="G307" s="198"/>
      <c r="H307" s="198"/>
      <c r="I307" s="198"/>
      <c r="J307" s="198"/>
    </row>
    <row r="308" spans="2:10" s="254" customFormat="1" x14ac:dyDescent="0.35">
      <c r="B308" s="279" t="s">
        <v>631</v>
      </c>
      <c r="C308" s="279" t="s">
        <v>651</v>
      </c>
      <c r="D308" s="422">
        <v>701600</v>
      </c>
      <c r="E308" s="422">
        <v>641009.87</v>
      </c>
      <c r="F308" s="422">
        <v>730050</v>
      </c>
      <c r="G308" s="422">
        <v>779720</v>
      </c>
      <c r="H308" s="422">
        <v>721960</v>
      </c>
      <c r="I308" s="422">
        <v>809350</v>
      </c>
      <c r="J308" s="422">
        <v>667195</v>
      </c>
    </row>
    <row r="309" spans="2:10" s="254" customFormat="1" x14ac:dyDescent="0.35">
      <c r="B309" s="279" t="s">
        <v>632</v>
      </c>
      <c r="C309" s="279" t="s">
        <v>651</v>
      </c>
      <c r="D309" s="422">
        <v>421722</v>
      </c>
      <c r="E309" s="422">
        <v>493492</v>
      </c>
      <c r="F309" s="422">
        <v>581529</v>
      </c>
      <c r="G309" s="422">
        <v>670884</v>
      </c>
      <c r="H309" s="422">
        <v>626212</v>
      </c>
      <c r="I309" s="422">
        <v>499017</v>
      </c>
      <c r="J309" s="422">
        <v>0</v>
      </c>
    </row>
    <row r="310" spans="2:10" s="254" customFormat="1" x14ac:dyDescent="0.35">
      <c r="B310" s="279" t="s">
        <v>633</v>
      </c>
      <c r="C310" s="279" t="s">
        <v>651</v>
      </c>
      <c r="D310" s="422">
        <v>601807</v>
      </c>
      <c r="E310" s="422">
        <v>601536</v>
      </c>
      <c r="F310" s="422">
        <v>631264</v>
      </c>
      <c r="G310" s="422">
        <v>624192</v>
      </c>
      <c r="H310" s="422">
        <v>609970</v>
      </c>
      <c r="I310" s="422">
        <v>669946</v>
      </c>
      <c r="J310" s="422">
        <v>568265</v>
      </c>
    </row>
    <row r="311" spans="2:10" s="254" customFormat="1" x14ac:dyDescent="0.35">
      <c r="B311" s="279" t="s">
        <v>634</v>
      </c>
      <c r="C311" s="279" t="s">
        <v>651</v>
      </c>
      <c r="D311" s="422">
        <v>537890</v>
      </c>
      <c r="E311" s="422">
        <v>493115</v>
      </c>
      <c r="F311" s="422">
        <v>507270</v>
      </c>
      <c r="G311" s="422">
        <v>541500</v>
      </c>
      <c r="H311" s="422">
        <v>528645</v>
      </c>
      <c r="I311" s="422">
        <v>674130</v>
      </c>
      <c r="J311" s="422">
        <v>571210</v>
      </c>
    </row>
    <row r="312" spans="2:10" s="254" customFormat="1" x14ac:dyDescent="0.35">
      <c r="B312" s="279" t="s">
        <v>635</v>
      </c>
      <c r="C312" s="279" t="s">
        <v>651</v>
      </c>
      <c r="D312" s="422">
        <v>157560</v>
      </c>
      <c r="E312" s="422">
        <v>304049</v>
      </c>
      <c r="F312" s="422">
        <v>385112</v>
      </c>
      <c r="G312" s="422">
        <v>390190</v>
      </c>
      <c r="H312" s="422">
        <v>388300</v>
      </c>
      <c r="I312" s="422">
        <v>66900</v>
      </c>
      <c r="J312" s="422">
        <v>0</v>
      </c>
    </row>
    <row r="313" spans="2:10" s="254" customFormat="1" x14ac:dyDescent="0.35">
      <c r="B313" s="289" t="s">
        <v>636</v>
      </c>
      <c r="C313" s="279" t="s">
        <v>651</v>
      </c>
      <c r="D313" s="425">
        <f t="shared" ref="D313:I313" si="171">SUM(D308:D312)</f>
        <v>2420579</v>
      </c>
      <c r="E313" s="425">
        <f t="shared" si="171"/>
        <v>2533201.87</v>
      </c>
      <c r="F313" s="425">
        <f t="shared" si="171"/>
        <v>2835225</v>
      </c>
      <c r="G313" s="425">
        <f t="shared" si="171"/>
        <v>3006486</v>
      </c>
      <c r="H313" s="425">
        <f t="shared" si="171"/>
        <v>2875087</v>
      </c>
      <c r="I313" s="425">
        <f t="shared" si="171"/>
        <v>2719343</v>
      </c>
      <c r="J313" s="425">
        <f t="shared" ref="J313" si="172">SUM(J308:J312)</f>
        <v>1806670</v>
      </c>
    </row>
    <row r="314" spans="2:10" s="254" customFormat="1" x14ac:dyDescent="0.35">
      <c r="B314" s="289" t="s">
        <v>637</v>
      </c>
      <c r="C314" s="279" t="s">
        <v>651</v>
      </c>
      <c r="D314" s="424"/>
      <c r="E314" s="424"/>
      <c r="F314" s="424"/>
      <c r="G314" s="424"/>
      <c r="H314" s="424"/>
      <c r="I314" s="424"/>
      <c r="J314" s="424"/>
    </row>
    <row r="315" spans="2:10" s="254" customFormat="1" x14ac:dyDescent="0.35">
      <c r="B315" s="279" t="s">
        <v>638</v>
      </c>
      <c r="C315" s="279" t="s">
        <v>651</v>
      </c>
      <c r="D315" s="422">
        <v>668970</v>
      </c>
      <c r="E315" s="422">
        <v>733090</v>
      </c>
      <c r="F315" s="422">
        <v>830430</v>
      </c>
      <c r="G315" s="422">
        <v>1093196</v>
      </c>
      <c r="H315" s="422">
        <v>846957</v>
      </c>
      <c r="I315" s="422">
        <v>743016</v>
      </c>
      <c r="J315" s="422">
        <v>0</v>
      </c>
    </row>
    <row r="316" spans="2:10" s="254" customFormat="1" x14ac:dyDescent="0.35">
      <c r="B316" s="279" t="s">
        <v>639</v>
      </c>
      <c r="C316" s="279" t="s">
        <v>651</v>
      </c>
      <c r="D316" s="422">
        <v>529250</v>
      </c>
      <c r="E316" s="422">
        <v>611420</v>
      </c>
      <c r="F316" s="422">
        <v>621690</v>
      </c>
      <c r="G316" s="422">
        <v>678210</v>
      </c>
      <c r="H316" s="422">
        <v>679600</v>
      </c>
      <c r="I316" s="422">
        <v>691540</v>
      </c>
      <c r="J316" s="422">
        <v>0</v>
      </c>
    </row>
    <row r="317" spans="2:10" s="254" customFormat="1" x14ac:dyDescent="0.35">
      <c r="B317" s="279" t="s">
        <v>640</v>
      </c>
      <c r="C317" s="279" t="s">
        <v>651</v>
      </c>
      <c r="D317" s="422">
        <v>499800</v>
      </c>
      <c r="E317" s="422">
        <v>526700</v>
      </c>
      <c r="F317" s="422">
        <v>542500</v>
      </c>
      <c r="G317" s="422">
        <v>668400</v>
      </c>
      <c r="H317" s="422">
        <v>630700</v>
      </c>
      <c r="I317" s="422">
        <v>163000</v>
      </c>
      <c r="J317" s="422">
        <v>0</v>
      </c>
    </row>
    <row r="318" spans="2:10" s="254" customFormat="1" x14ac:dyDescent="0.35">
      <c r="B318" s="279" t="s">
        <v>641</v>
      </c>
      <c r="C318" s="279" t="s">
        <v>651</v>
      </c>
      <c r="D318" s="422">
        <v>219300</v>
      </c>
      <c r="E318" s="422">
        <v>337500</v>
      </c>
      <c r="F318" s="422">
        <v>433800</v>
      </c>
      <c r="G318" s="422">
        <v>480350</v>
      </c>
      <c r="H318" s="422">
        <v>427150</v>
      </c>
      <c r="I318" s="422">
        <v>481930</v>
      </c>
      <c r="J318" s="422">
        <v>205670</v>
      </c>
    </row>
    <row r="319" spans="2:10" s="254" customFormat="1" x14ac:dyDescent="0.35">
      <c r="B319" s="279" t="s">
        <v>642</v>
      </c>
      <c r="C319" s="279" t="s">
        <v>651</v>
      </c>
      <c r="D319" s="422">
        <v>180826</v>
      </c>
      <c r="E319" s="422">
        <v>311667</v>
      </c>
      <c r="F319" s="422">
        <v>369425</v>
      </c>
      <c r="G319" s="422">
        <v>559249</v>
      </c>
      <c r="H319" s="422">
        <v>421163</v>
      </c>
      <c r="I319" s="422">
        <v>333376</v>
      </c>
      <c r="J319" s="422">
        <v>141498</v>
      </c>
    </row>
    <row r="320" spans="2:10" s="254" customFormat="1" x14ac:dyDescent="0.35">
      <c r="B320" s="289" t="s">
        <v>643</v>
      </c>
      <c r="C320" s="279" t="s">
        <v>651</v>
      </c>
      <c r="D320" s="425">
        <f t="shared" ref="D320:I320" si="173">SUM(D315:D319)</f>
        <v>2098146</v>
      </c>
      <c r="E320" s="425">
        <f t="shared" si="173"/>
        <v>2520377</v>
      </c>
      <c r="F320" s="425">
        <f t="shared" si="173"/>
        <v>2797845</v>
      </c>
      <c r="G320" s="425">
        <f t="shared" si="173"/>
        <v>3479405</v>
      </c>
      <c r="H320" s="425">
        <f t="shared" si="173"/>
        <v>3005570</v>
      </c>
      <c r="I320" s="425">
        <f t="shared" si="173"/>
        <v>2412862</v>
      </c>
      <c r="J320" s="425">
        <f t="shared" ref="J320" si="174">SUM(J315:J319)</f>
        <v>347168</v>
      </c>
    </row>
    <row r="321" spans="2:10" s="254" customFormat="1" x14ac:dyDescent="0.35">
      <c r="B321" s="289" t="s">
        <v>644</v>
      </c>
      <c r="C321" s="279" t="s">
        <v>651</v>
      </c>
      <c r="D321" s="424"/>
      <c r="E321" s="424"/>
      <c r="F321" s="424"/>
      <c r="G321" s="424"/>
      <c r="H321" s="424"/>
      <c r="I321" s="424"/>
      <c r="J321" s="424"/>
    </row>
    <row r="322" spans="2:10" s="254" customFormat="1" x14ac:dyDescent="0.35">
      <c r="B322" s="279" t="s">
        <v>645</v>
      </c>
      <c r="C322" s="279" t="s">
        <v>651</v>
      </c>
      <c r="D322" s="422">
        <v>67638</v>
      </c>
      <c r="E322" s="422">
        <v>56007</v>
      </c>
      <c r="F322" s="422">
        <v>95865</v>
      </c>
      <c r="G322" s="422">
        <v>125912</v>
      </c>
      <c r="H322" s="422">
        <v>128038</v>
      </c>
      <c r="I322" s="422">
        <v>66645</v>
      </c>
      <c r="J322" s="422">
        <v>0</v>
      </c>
    </row>
    <row r="323" spans="2:10" s="254" customFormat="1" x14ac:dyDescent="0.35">
      <c r="B323" s="279" t="s">
        <v>646</v>
      </c>
      <c r="C323" s="279" t="s">
        <v>651</v>
      </c>
      <c r="D323" s="422">
        <v>183114</v>
      </c>
      <c r="E323" s="422">
        <v>194075</v>
      </c>
      <c r="F323" s="422">
        <v>265033</v>
      </c>
      <c r="G323" s="422">
        <v>264905</v>
      </c>
      <c r="H323" s="422">
        <v>271366</v>
      </c>
      <c r="I323" s="422">
        <v>0</v>
      </c>
      <c r="J323" s="422">
        <v>0</v>
      </c>
    </row>
    <row r="324" spans="2:10" s="254" customFormat="1" x14ac:dyDescent="0.35">
      <c r="B324" s="279" t="s">
        <v>647</v>
      </c>
      <c r="C324" s="279" t="s">
        <v>651</v>
      </c>
      <c r="D324" s="422">
        <v>239190</v>
      </c>
      <c r="E324" s="422">
        <v>298465</v>
      </c>
      <c r="F324" s="422">
        <v>373292</v>
      </c>
      <c r="G324" s="422">
        <v>333400</v>
      </c>
      <c r="H324" s="422">
        <v>310967</v>
      </c>
      <c r="I324" s="422">
        <v>1344</v>
      </c>
      <c r="J324" s="422">
        <v>0</v>
      </c>
    </row>
    <row r="325" spans="2:10" s="254" customFormat="1" x14ac:dyDescent="0.35">
      <c r="B325" s="279" t="s">
        <v>648</v>
      </c>
      <c r="C325" s="279" t="s">
        <v>651</v>
      </c>
      <c r="D325" s="422">
        <v>323525</v>
      </c>
      <c r="E325" s="422">
        <v>347459</v>
      </c>
      <c r="F325" s="422">
        <v>534580</v>
      </c>
      <c r="G325" s="422">
        <v>549232</v>
      </c>
      <c r="H325" s="422">
        <v>526140</v>
      </c>
      <c r="I325" s="422">
        <v>227004</v>
      </c>
      <c r="J325" s="422">
        <v>0</v>
      </c>
    </row>
    <row r="326" spans="2:10" s="254" customFormat="1" x14ac:dyDescent="0.35">
      <c r="B326" s="289" t="s">
        <v>649</v>
      </c>
      <c r="C326" s="279" t="s">
        <v>651</v>
      </c>
      <c r="D326" s="425">
        <f t="shared" ref="D326:I326" si="175">SUM(D322:D325)</f>
        <v>813467</v>
      </c>
      <c r="E326" s="425">
        <f t="shared" si="175"/>
        <v>896006</v>
      </c>
      <c r="F326" s="425">
        <f t="shared" si="175"/>
        <v>1268770</v>
      </c>
      <c r="G326" s="425">
        <f t="shared" si="175"/>
        <v>1273449</v>
      </c>
      <c r="H326" s="425">
        <f t="shared" si="175"/>
        <v>1236511</v>
      </c>
      <c r="I326" s="425">
        <f t="shared" si="175"/>
        <v>294993</v>
      </c>
      <c r="J326" s="425">
        <f t="shared" ref="J326" si="176">SUM(J322:J325)</f>
        <v>0</v>
      </c>
    </row>
    <row r="327" spans="2:10" s="254" customFormat="1" x14ac:dyDescent="0.35">
      <c r="B327" s="289" t="s">
        <v>36</v>
      </c>
      <c r="C327" s="279" t="s">
        <v>651</v>
      </c>
      <c r="D327" s="425">
        <f t="shared" ref="D327:I327" si="177">D326+D320+D313</f>
        <v>5332192</v>
      </c>
      <c r="E327" s="425">
        <f t="shared" si="177"/>
        <v>5949584.8700000001</v>
      </c>
      <c r="F327" s="425">
        <f t="shared" si="177"/>
        <v>6901840</v>
      </c>
      <c r="G327" s="425">
        <f t="shared" si="177"/>
        <v>7759340</v>
      </c>
      <c r="H327" s="425">
        <f t="shared" si="177"/>
        <v>7117168</v>
      </c>
      <c r="I327" s="425">
        <f t="shared" si="177"/>
        <v>5427198</v>
      </c>
      <c r="J327" s="425">
        <f t="shared" ref="J327" si="178">J326+J320+J313</f>
        <v>2153838</v>
      </c>
    </row>
    <row r="328" spans="2:10" s="254" customFormat="1" x14ac:dyDescent="0.35">
      <c r="B328" s="289"/>
      <c r="C328" s="279"/>
      <c r="D328" s="424"/>
      <c r="E328" s="424"/>
      <c r="F328" s="424"/>
      <c r="G328" s="424"/>
      <c r="H328" s="424"/>
      <c r="I328" s="424"/>
    </row>
    <row r="329" spans="2:10" s="254" customFormat="1" x14ac:dyDescent="0.35">
      <c r="B329" s="498" t="s">
        <v>655</v>
      </c>
      <c r="C329" s="280" t="s">
        <v>373</v>
      </c>
      <c r="D329" s="499">
        <f>(D327+D497-D473)/D97</f>
        <v>4.8113029801431353E-2</v>
      </c>
      <c r="E329" s="499">
        <f>(E327+E497-E473)/E97</f>
        <v>4.806210255416446E-2</v>
      </c>
      <c r="F329" s="499">
        <f>(F327+F497-F473)/F97</f>
        <v>4.7219199506942616E-2</v>
      </c>
      <c r="G329" s="499">
        <f>(G327+G497-G473)/G97</f>
        <v>4.6244947272584339E-2</v>
      </c>
      <c r="H329" s="499">
        <f>(H327+H497-H473)/H97</f>
        <v>4.4933202674374097E-2</v>
      </c>
      <c r="I329" s="538">
        <f>(I327+I497-I473+I521+I665)/I97</f>
        <v>5.0243107978750333E-2</v>
      </c>
      <c r="J329" s="538">
        <f>(J327+J497-J473+J521+J665-J641)/J97</f>
        <v>5.4587062343725852E-2</v>
      </c>
    </row>
    <row r="330" spans="2:10" s="254" customFormat="1" x14ac:dyDescent="0.35">
      <c r="B330" s="498" t="s">
        <v>656</v>
      </c>
      <c r="C330" s="280" t="s">
        <v>373</v>
      </c>
      <c r="D330" s="499">
        <f t="shared" ref="D330:I330" si="179">D379/D327</f>
        <v>0.35302775106372764</v>
      </c>
      <c r="E330" s="499">
        <f t="shared" si="179"/>
        <v>0.52317065274505437</v>
      </c>
      <c r="F330" s="499">
        <f t="shared" si="179"/>
        <v>0.5280457211410291</v>
      </c>
      <c r="G330" s="499">
        <f t="shared" si="179"/>
        <v>0.44094013923864667</v>
      </c>
      <c r="H330" s="499">
        <f t="shared" si="179"/>
        <v>0.45902797292406194</v>
      </c>
      <c r="I330" s="499">
        <f t="shared" si="179"/>
        <v>0.39419554989517619</v>
      </c>
      <c r="J330" s="499">
        <f>J379/J327</f>
        <v>0.23996711916123664</v>
      </c>
    </row>
    <row r="331" spans="2:10" s="254" customFormat="1" x14ac:dyDescent="0.35">
      <c r="B331" s="498" t="s">
        <v>657</v>
      </c>
      <c r="C331" s="280" t="s">
        <v>373</v>
      </c>
      <c r="D331" s="499">
        <f t="shared" ref="D331:J331" si="180">D402/D327</f>
        <v>0.2212378699041595</v>
      </c>
      <c r="E331" s="499">
        <f t="shared" si="180"/>
        <v>1.6905902209610805E-2</v>
      </c>
      <c r="F331" s="499">
        <f t="shared" si="180"/>
        <v>0.17551206634752475</v>
      </c>
      <c r="G331" s="499">
        <f t="shared" si="180"/>
        <v>0.42348896942265707</v>
      </c>
      <c r="H331" s="499">
        <f t="shared" si="180"/>
        <v>0.65414730971644897</v>
      </c>
      <c r="I331" s="499">
        <f t="shared" si="180"/>
        <v>0.78014002805867788</v>
      </c>
      <c r="J331" s="499">
        <f t="shared" si="180"/>
        <v>0.55266069221547776</v>
      </c>
    </row>
    <row r="332" spans="2:10" x14ac:dyDescent="0.35">
      <c r="B332" s="413"/>
      <c r="C332" s="272"/>
      <c r="D332" s="416"/>
      <c r="E332" s="416"/>
      <c r="F332" s="416"/>
      <c r="G332" s="416"/>
      <c r="H332" s="416"/>
      <c r="I332" s="416"/>
      <c r="J332" s="416"/>
    </row>
    <row r="333" spans="2:10" x14ac:dyDescent="0.35">
      <c r="B333" s="411" t="s">
        <v>859</v>
      </c>
      <c r="C333" s="412"/>
      <c r="D333" s="412"/>
      <c r="E333" s="412"/>
      <c r="F333" s="412"/>
      <c r="G333" s="412"/>
      <c r="H333" s="412"/>
      <c r="I333" s="412"/>
      <c r="J333" s="412"/>
    </row>
    <row r="334" spans="2:10" x14ac:dyDescent="0.35">
      <c r="B334" s="199" t="s">
        <v>664</v>
      </c>
      <c r="C334" s="199" t="s">
        <v>369</v>
      </c>
      <c r="D334" s="198"/>
      <c r="E334" s="198"/>
      <c r="F334" s="198"/>
      <c r="G334" s="198"/>
      <c r="H334" s="198"/>
      <c r="I334" s="198"/>
      <c r="J334" s="198"/>
    </row>
    <row r="335" spans="2:10" x14ac:dyDescent="0.35">
      <c r="B335" s="199" t="s">
        <v>630</v>
      </c>
      <c r="C335" s="199"/>
      <c r="D335" s="198"/>
      <c r="E335" s="198"/>
      <c r="F335" s="198"/>
      <c r="G335" s="198"/>
      <c r="H335" s="198"/>
      <c r="I335" s="198"/>
      <c r="J335" s="198"/>
    </row>
    <row r="336" spans="2:10" s="254" customFormat="1" x14ac:dyDescent="0.35">
      <c r="B336" s="279" t="s">
        <v>631</v>
      </c>
      <c r="C336" s="279" t="s">
        <v>651</v>
      </c>
      <c r="D336" s="422">
        <v>257620</v>
      </c>
      <c r="E336" s="497">
        <f t="shared" ref="E336:J336" si="181">D360</f>
        <v>141900</v>
      </c>
      <c r="F336" s="497">
        <f t="shared" si="181"/>
        <v>310700</v>
      </c>
      <c r="G336" s="497">
        <f t="shared" si="181"/>
        <v>453050</v>
      </c>
      <c r="H336" s="497">
        <f t="shared" si="181"/>
        <v>377347.80000000005</v>
      </c>
      <c r="I336" s="497">
        <f t="shared" si="181"/>
        <v>346837.2</v>
      </c>
      <c r="J336" s="497">
        <f t="shared" si="181"/>
        <v>346622.69999999995</v>
      </c>
    </row>
    <row r="337" spans="2:10" s="254" customFormat="1" x14ac:dyDescent="0.35">
      <c r="B337" s="279" t="s">
        <v>632</v>
      </c>
      <c r="C337" s="279" t="s">
        <v>651</v>
      </c>
      <c r="D337" s="422">
        <v>232743.3</v>
      </c>
      <c r="E337" s="497">
        <f t="shared" ref="E337:F340" si="182">D361</f>
        <v>138316.5</v>
      </c>
      <c r="F337" s="497">
        <f t="shared" si="182"/>
        <v>291492</v>
      </c>
      <c r="G337" s="497">
        <f t="shared" ref="G337:J340" si="183">F361</f>
        <v>288295.09999999998</v>
      </c>
      <c r="H337" s="497">
        <f t="shared" si="183"/>
        <v>249792.30000000005</v>
      </c>
      <c r="I337" s="497">
        <f t="shared" si="183"/>
        <v>150206.00000000003</v>
      </c>
      <c r="J337" s="497">
        <f t="shared" si="183"/>
        <v>148498</v>
      </c>
    </row>
    <row r="338" spans="2:10" s="254" customFormat="1" x14ac:dyDescent="0.35">
      <c r="B338" s="279" t="s">
        <v>633</v>
      </c>
      <c r="C338" s="279" t="s">
        <v>651</v>
      </c>
      <c r="D338" s="422">
        <v>197690</v>
      </c>
      <c r="E338" s="497">
        <f t="shared" si="182"/>
        <v>256696</v>
      </c>
      <c r="F338" s="497">
        <f t="shared" si="182"/>
        <v>281514.59999999998</v>
      </c>
      <c r="G338" s="497">
        <f t="shared" si="183"/>
        <v>241518.26</v>
      </c>
      <c r="H338" s="497">
        <f t="shared" si="183"/>
        <v>212145.35999999993</v>
      </c>
      <c r="I338" s="497">
        <f t="shared" si="183"/>
        <v>212841.99999999988</v>
      </c>
      <c r="J338" s="497">
        <f t="shared" si="183"/>
        <v>275760.89999999991</v>
      </c>
    </row>
    <row r="339" spans="2:10" s="254" customFormat="1" x14ac:dyDescent="0.35">
      <c r="B339" s="279" t="s">
        <v>634</v>
      </c>
      <c r="C339" s="279" t="s">
        <v>651</v>
      </c>
      <c r="D339" s="422">
        <v>142635.20000000001</v>
      </c>
      <c r="E339" s="497">
        <f t="shared" si="182"/>
        <v>274800</v>
      </c>
      <c r="F339" s="497">
        <f t="shared" si="182"/>
        <v>279415</v>
      </c>
      <c r="G339" s="497">
        <f t="shared" si="183"/>
        <v>238676.3</v>
      </c>
      <c r="H339" s="497">
        <f t="shared" si="183"/>
        <v>237579.70000000007</v>
      </c>
      <c r="I339" s="497">
        <f t="shared" si="183"/>
        <v>222825.80000000005</v>
      </c>
      <c r="J339" s="497">
        <f t="shared" si="183"/>
        <v>248049.70000000007</v>
      </c>
    </row>
    <row r="340" spans="2:10" s="254" customFormat="1" x14ac:dyDescent="0.35">
      <c r="B340" s="279" t="s">
        <v>635</v>
      </c>
      <c r="C340" s="279" t="s">
        <v>651</v>
      </c>
      <c r="D340" s="422">
        <v>52700</v>
      </c>
      <c r="E340" s="497">
        <f t="shared" si="182"/>
        <v>56160</v>
      </c>
      <c r="F340" s="497">
        <f t="shared" si="182"/>
        <v>221749</v>
      </c>
      <c r="G340" s="497">
        <f t="shared" si="183"/>
        <v>287210</v>
      </c>
      <c r="H340" s="497">
        <f t="shared" si="183"/>
        <v>268600</v>
      </c>
      <c r="I340" s="497">
        <f t="shared" si="183"/>
        <v>177100</v>
      </c>
      <c r="J340" s="497">
        <f t="shared" si="183"/>
        <v>0</v>
      </c>
    </row>
    <row r="341" spans="2:10" s="254" customFormat="1" x14ac:dyDescent="0.35">
      <c r="B341" s="289" t="s">
        <v>636</v>
      </c>
      <c r="C341" s="279" t="s">
        <v>651</v>
      </c>
      <c r="D341" s="425">
        <f t="shared" ref="D341:I341" si="184">SUM(D336:D340)</f>
        <v>883388.5</v>
      </c>
      <c r="E341" s="425">
        <f t="shared" si="184"/>
        <v>867872.5</v>
      </c>
      <c r="F341" s="425">
        <f t="shared" si="184"/>
        <v>1384870.6</v>
      </c>
      <c r="G341" s="425">
        <f t="shared" si="184"/>
        <v>1508749.66</v>
      </c>
      <c r="H341" s="425">
        <f t="shared" si="184"/>
        <v>1345465.1600000001</v>
      </c>
      <c r="I341" s="425">
        <f t="shared" si="184"/>
        <v>1109811</v>
      </c>
      <c r="J341" s="425">
        <f t="shared" ref="J341" si="185">SUM(J336:J340)</f>
        <v>1018931.2999999999</v>
      </c>
    </row>
    <row r="342" spans="2:10" s="254" customFormat="1" x14ac:dyDescent="0.35">
      <c r="B342" s="289" t="s">
        <v>637</v>
      </c>
      <c r="C342" s="279" t="s">
        <v>651</v>
      </c>
      <c r="D342" s="424"/>
      <c r="E342" s="424"/>
      <c r="F342" s="424"/>
      <c r="G342" s="424"/>
      <c r="H342" s="424"/>
      <c r="I342" s="424"/>
      <c r="J342" s="424"/>
    </row>
    <row r="343" spans="2:10" s="254" customFormat="1" x14ac:dyDescent="0.35">
      <c r="B343" s="279" t="s">
        <v>638</v>
      </c>
      <c r="C343" s="279" t="s">
        <v>651</v>
      </c>
      <c r="D343" s="422">
        <v>225130</v>
      </c>
      <c r="E343" s="497">
        <f t="shared" ref="E343:F347" si="186">D367</f>
        <v>246260</v>
      </c>
      <c r="F343" s="497">
        <f t="shared" si="186"/>
        <v>346240</v>
      </c>
      <c r="G343" s="497">
        <f t="shared" ref="G343:J347" si="187">F367</f>
        <v>317445.80000000005</v>
      </c>
      <c r="H343" s="497">
        <f t="shared" si="187"/>
        <v>319976.80000000016</v>
      </c>
      <c r="I343" s="497">
        <f t="shared" si="187"/>
        <v>354916.70000000024</v>
      </c>
      <c r="J343" s="497">
        <f t="shared" si="187"/>
        <v>46280.000000000211</v>
      </c>
    </row>
    <row r="344" spans="2:10" s="254" customFormat="1" x14ac:dyDescent="0.35">
      <c r="B344" s="279" t="s">
        <v>639</v>
      </c>
      <c r="C344" s="279" t="s">
        <v>651</v>
      </c>
      <c r="D344" s="422">
        <v>242430</v>
      </c>
      <c r="E344" s="497">
        <f t="shared" si="186"/>
        <v>317840</v>
      </c>
      <c r="F344" s="497">
        <f t="shared" si="186"/>
        <v>395420</v>
      </c>
      <c r="G344" s="497">
        <f t="shared" si="187"/>
        <v>398490</v>
      </c>
      <c r="H344" s="497">
        <f t="shared" si="187"/>
        <v>365440</v>
      </c>
      <c r="I344" s="497">
        <f t="shared" si="187"/>
        <v>395149.19999999995</v>
      </c>
      <c r="J344" s="497">
        <f t="shared" si="187"/>
        <v>419994.99999999994</v>
      </c>
    </row>
    <row r="345" spans="2:10" s="254" customFormat="1" x14ac:dyDescent="0.35">
      <c r="B345" s="279" t="s">
        <v>640</v>
      </c>
      <c r="C345" s="279" t="s">
        <v>651</v>
      </c>
      <c r="D345" s="422">
        <v>295300</v>
      </c>
      <c r="E345" s="497">
        <f t="shared" si="186"/>
        <v>40700</v>
      </c>
      <c r="F345" s="497">
        <f t="shared" si="186"/>
        <v>207400</v>
      </c>
      <c r="G345" s="497">
        <f t="shared" si="187"/>
        <v>243200</v>
      </c>
      <c r="H345" s="497">
        <f t="shared" si="187"/>
        <v>249600</v>
      </c>
      <c r="I345" s="497">
        <f t="shared" si="187"/>
        <v>229799.99999999997</v>
      </c>
      <c r="J345" s="497">
        <f t="shared" si="187"/>
        <v>0</v>
      </c>
    </row>
    <row r="346" spans="2:10" s="254" customFormat="1" x14ac:dyDescent="0.35">
      <c r="B346" s="279" t="s">
        <v>641</v>
      </c>
      <c r="C346" s="279" t="s">
        <v>651</v>
      </c>
      <c r="D346" s="422">
        <v>225043.9</v>
      </c>
      <c r="E346" s="497">
        <f t="shared" si="186"/>
        <v>46264.499999999942</v>
      </c>
      <c r="F346" s="497">
        <f t="shared" si="186"/>
        <v>175604.59999999995</v>
      </c>
      <c r="G346" s="497">
        <f t="shared" si="187"/>
        <v>192941.99999999997</v>
      </c>
      <c r="H346" s="497">
        <f t="shared" si="187"/>
        <v>166090.50000000003</v>
      </c>
      <c r="I346" s="497">
        <f t="shared" si="187"/>
        <v>178712.00000000003</v>
      </c>
      <c r="J346" s="497">
        <f t="shared" si="187"/>
        <v>264280</v>
      </c>
    </row>
    <row r="347" spans="2:10" s="254" customFormat="1" x14ac:dyDescent="0.35">
      <c r="B347" s="279" t="s">
        <v>642</v>
      </c>
      <c r="C347" s="279" t="s">
        <v>651</v>
      </c>
      <c r="D347" s="422">
        <v>125009.61</v>
      </c>
      <c r="E347" s="497">
        <f t="shared" si="186"/>
        <v>6154.85</v>
      </c>
      <c r="F347" s="497">
        <f t="shared" si="186"/>
        <v>183008.7</v>
      </c>
      <c r="G347" s="497">
        <f t="shared" si="187"/>
        <v>142417.11999999997</v>
      </c>
      <c r="H347" s="497">
        <f t="shared" si="187"/>
        <v>141823.30000000002</v>
      </c>
      <c r="I347" s="497">
        <f t="shared" si="187"/>
        <v>183965.70000000007</v>
      </c>
      <c r="J347" s="497">
        <f t="shared" si="187"/>
        <v>220190.70000000007</v>
      </c>
    </row>
    <row r="348" spans="2:10" s="254" customFormat="1" x14ac:dyDescent="0.35">
      <c r="B348" s="289" t="s">
        <v>643</v>
      </c>
      <c r="C348" s="279" t="s">
        <v>651</v>
      </c>
      <c r="D348" s="425">
        <f t="shared" ref="D348:I348" si="188">SUM(D343:D347)</f>
        <v>1112913.51</v>
      </c>
      <c r="E348" s="423">
        <f t="shared" si="188"/>
        <v>657219.35</v>
      </c>
      <c r="F348" s="423">
        <f t="shared" si="188"/>
        <v>1307673.2999999998</v>
      </c>
      <c r="G348" s="423">
        <f t="shared" si="188"/>
        <v>1294494.92</v>
      </c>
      <c r="H348" s="423">
        <f t="shared" si="188"/>
        <v>1242930.6000000003</v>
      </c>
      <c r="I348" s="423">
        <f t="shared" si="188"/>
        <v>1342543.6</v>
      </c>
      <c r="J348" s="423">
        <f t="shared" ref="J348" si="189">SUM(J343:J347)</f>
        <v>950745.7000000003</v>
      </c>
    </row>
    <row r="349" spans="2:10" s="254" customFormat="1" x14ac:dyDescent="0.35">
      <c r="B349" s="289" t="s">
        <v>644</v>
      </c>
      <c r="C349" s="279" t="s">
        <v>651</v>
      </c>
      <c r="D349" s="424"/>
      <c r="E349" s="424"/>
      <c r="F349" s="424"/>
      <c r="G349" s="424"/>
      <c r="H349" s="424"/>
      <c r="I349" s="424"/>
      <c r="J349" s="424"/>
    </row>
    <row r="350" spans="2:10" s="254" customFormat="1" x14ac:dyDescent="0.35">
      <c r="B350" s="279" t="s">
        <v>645</v>
      </c>
      <c r="C350" s="279" t="s">
        <v>651</v>
      </c>
      <c r="D350" s="422">
        <v>89960</v>
      </c>
      <c r="E350" s="497">
        <f t="shared" ref="E350:F353" si="190">D374</f>
        <v>9881.7000000000007</v>
      </c>
      <c r="F350" s="497">
        <f t="shared" si="190"/>
        <v>20101.599999999991</v>
      </c>
      <c r="G350" s="497">
        <f t="shared" ref="G350:J353" si="191">F374</f>
        <v>93168.699999999983</v>
      </c>
      <c r="H350" s="497">
        <f t="shared" si="191"/>
        <v>56566.599999999969</v>
      </c>
      <c r="I350" s="497">
        <f t="shared" si="191"/>
        <v>78037.999999999971</v>
      </c>
      <c r="J350" s="497">
        <f t="shared" si="191"/>
        <v>60524.499999999978</v>
      </c>
    </row>
    <row r="351" spans="2:10" s="254" customFormat="1" x14ac:dyDescent="0.35">
      <c r="B351" s="279" t="s">
        <v>646</v>
      </c>
      <c r="C351" s="279" t="s">
        <v>651</v>
      </c>
      <c r="D351" s="422">
        <v>176845</v>
      </c>
      <c r="E351" s="497">
        <f t="shared" si="190"/>
        <v>58114</v>
      </c>
      <c r="F351" s="497">
        <f t="shared" si="190"/>
        <v>74075</v>
      </c>
      <c r="G351" s="497">
        <f t="shared" si="191"/>
        <v>167460.60000000003</v>
      </c>
      <c r="H351" s="497">
        <f t="shared" si="191"/>
        <v>197693.3</v>
      </c>
      <c r="I351" s="497">
        <f t="shared" si="191"/>
        <v>191944.59999999998</v>
      </c>
      <c r="J351" s="497">
        <f t="shared" si="191"/>
        <v>-2.9103830456733704E-11</v>
      </c>
    </row>
    <row r="352" spans="2:10" s="254" customFormat="1" x14ac:dyDescent="0.35">
      <c r="B352" s="279" t="s">
        <v>647</v>
      </c>
      <c r="C352" s="279" t="s">
        <v>651</v>
      </c>
      <c r="D352" s="422">
        <v>256819.20000000001</v>
      </c>
      <c r="E352" s="497">
        <f t="shared" si="190"/>
        <v>168200.80000000002</v>
      </c>
      <c r="F352" s="497">
        <f t="shared" si="190"/>
        <v>168467.50000000006</v>
      </c>
      <c r="G352" s="497">
        <f t="shared" si="191"/>
        <v>292608.19999999995</v>
      </c>
      <c r="H352" s="497">
        <f t="shared" si="191"/>
        <v>305899.99999999994</v>
      </c>
      <c r="I352" s="497">
        <f t="shared" si="191"/>
        <v>263889</v>
      </c>
      <c r="J352" s="497">
        <f t="shared" si="191"/>
        <v>-2.3283153183228933E-11</v>
      </c>
    </row>
    <row r="353" spans="2:10" s="254" customFormat="1" x14ac:dyDescent="0.35">
      <c r="B353" s="279" t="s">
        <v>648</v>
      </c>
      <c r="C353" s="279" t="s">
        <v>651</v>
      </c>
      <c r="D353" s="422">
        <v>266691.90000000002</v>
      </c>
      <c r="E353" s="497">
        <f t="shared" si="190"/>
        <v>121123.39999999997</v>
      </c>
      <c r="F353" s="497">
        <f t="shared" si="190"/>
        <v>157460.1999999999</v>
      </c>
      <c r="G353" s="497">
        <f t="shared" si="191"/>
        <v>288005</v>
      </c>
      <c r="H353" s="497">
        <f t="shared" si="191"/>
        <v>272848.8</v>
      </c>
      <c r="I353" s="497">
        <f t="shared" si="191"/>
        <v>280753.00000000006</v>
      </c>
      <c r="J353" s="497">
        <f t="shared" si="191"/>
        <v>109175.80000000003</v>
      </c>
    </row>
    <row r="354" spans="2:10" s="254" customFormat="1" x14ac:dyDescent="0.35">
      <c r="B354" s="289" t="s">
        <v>649</v>
      </c>
      <c r="C354" s="279" t="s">
        <v>651</v>
      </c>
      <c r="D354" s="425">
        <f t="shared" ref="D354:I354" si="192">SUM(D350:D353)</f>
        <v>790316.10000000009</v>
      </c>
      <c r="E354" s="425">
        <f t="shared" si="192"/>
        <v>357319.89999999997</v>
      </c>
      <c r="F354" s="425">
        <f t="shared" si="192"/>
        <v>420104.29999999993</v>
      </c>
      <c r="G354" s="425">
        <f t="shared" si="192"/>
        <v>841242.5</v>
      </c>
      <c r="H354" s="425">
        <f t="shared" si="192"/>
        <v>833008.7</v>
      </c>
      <c r="I354" s="425">
        <f t="shared" si="192"/>
        <v>814624.60000000009</v>
      </c>
      <c r="J354" s="425">
        <f t="shared" ref="J354" si="193">SUM(J350:J353)</f>
        <v>169700.29999999996</v>
      </c>
    </row>
    <row r="355" spans="2:10" s="254" customFormat="1" x14ac:dyDescent="0.35">
      <c r="B355" s="289" t="s">
        <v>36</v>
      </c>
      <c r="C355" s="279" t="s">
        <v>651</v>
      </c>
      <c r="D355" s="425">
        <f t="shared" ref="D355:I355" si="194">D354+D348+D341</f>
        <v>2786618.1100000003</v>
      </c>
      <c r="E355" s="425">
        <f t="shared" si="194"/>
        <v>1882411.75</v>
      </c>
      <c r="F355" s="425">
        <f t="shared" si="194"/>
        <v>3112648.1999999997</v>
      </c>
      <c r="G355" s="425">
        <f t="shared" si="194"/>
        <v>3644487.08</v>
      </c>
      <c r="H355" s="425">
        <f t="shared" si="194"/>
        <v>3421404.4600000004</v>
      </c>
      <c r="I355" s="425">
        <f t="shared" si="194"/>
        <v>3266979.2</v>
      </c>
      <c r="J355" s="425">
        <f t="shared" ref="J355" si="195">J354+J348+J341</f>
        <v>2139377.3000000003</v>
      </c>
    </row>
    <row r="356" spans="2:10" s="254" customFormat="1" x14ac:dyDescent="0.35">
      <c r="B356" s="289"/>
      <c r="C356" s="279"/>
      <c r="D356" s="425"/>
      <c r="E356" s="425"/>
      <c r="F356" s="425"/>
      <c r="G356" s="425"/>
      <c r="H356" s="425"/>
      <c r="I356" s="425"/>
      <c r="J356" s="425"/>
    </row>
    <row r="357" spans="2:10" x14ac:dyDescent="0.35">
      <c r="B357" s="411" t="s">
        <v>860</v>
      </c>
      <c r="C357" s="412"/>
      <c r="D357" s="412"/>
      <c r="E357" s="412"/>
      <c r="F357" s="412"/>
      <c r="G357" s="412"/>
      <c r="H357" s="412"/>
      <c r="I357" s="412"/>
      <c r="J357" s="412"/>
    </row>
    <row r="358" spans="2:10" x14ac:dyDescent="0.35">
      <c r="B358" s="199" t="s">
        <v>664</v>
      </c>
      <c r="C358" s="199" t="s">
        <v>369</v>
      </c>
      <c r="D358" s="198"/>
      <c r="E358" s="198"/>
      <c r="F358" s="198"/>
      <c r="G358" s="198"/>
      <c r="H358" s="198"/>
      <c r="I358" s="198"/>
      <c r="J358" s="198"/>
    </row>
    <row r="359" spans="2:10" x14ac:dyDescent="0.35">
      <c r="B359" s="199" t="s">
        <v>630</v>
      </c>
      <c r="C359" s="199"/>
      <c r="D359" s="198"/>
      <c r="E359" s="198"/>
      <c r="F359" s="198"/>
      <c r="G359" s="198"/>
      <c r="H359" s="198"/>
      <c r="I359" s="198"/>
      <c r="J359" s="198"/>
    </row>
    <row r="360" spans="2:10" s="254" customFormat="1" x14ac:dyDescent="0.35">
      <c r="B360" s="279" t="s">
        <v>631</v>
      </c>
      <c r="C360" s="279" t="s">
        <v>651</v>
      </c>
      <c r="D360" s="422">
        <f t="shared" ref="D360:I360" si="196">D336+D308-D383-D406+D430</f>
        <v>141900</v>
      </c>
      <c r="E360" s="422">
        <f t="shared" si="196"/>
        <v>310700</v>
      </c>
      <c r="F360" s="422">
        <f t="shared" si="196"/>
        <v>453050</v>
      </c>
      <c r="G360" s="422">
        <f t="shared" si="196"/>
        <v>377347.80000000005</v>
      </c>
      <c r="H360" s="422">
        <f t="shared" si="196"/>
        <v>346837.2</v>
      </c>
      <c r="I360" s="422">
        <f t="shared" si="196"/>
        <v>346622.69999999995</v>
      </c>
      <c r="J360" s="422">
        <f t="shared" ref="J360" si="197">J336+J308-J383-J406+J430</f>
        <v>102300</v>
      </c>
    </row>
    <row r="361" spans="2:10" s="254" customFormat="1" x14ac:dyDescent="0.35">
      <c r="B361" s="279" t="s">
        <v>632</v>
      </c>
      <c r="C361" s="279" t="s">
        <v>651</v>
      </c>
      <c r="D361" s="422">
        <f t="shared" ref="D361:I364" si="198">D337+D309-D384-D407+D431</f>
        <v>138316.5</v>
      </c>
      <c r="E361" s="422">
        <f t="shared" si="198"/>
        <v>291492</v>
      </c>
      <c r="F361" s="422">
        <f t="shared" si="198"/>
        <v>288295.09999999998</v>
      </c>
      <c r="G361" s="422">
        <f t="shared" si="198"/>
        <v>249792.30000000005</v>
      </c>
      <c r="H361" s="422">
        <f t="shared" si="198"/>
        <v>150206.00000000003</v>
      </c>
      <c r="I361" s="422">
        <f t="shared" si="198"/>
        <v>148498</v>
      </c>
      <c r="J361" s="422">
        <f t="shared" ref="J361" si="199">J337+J309-J384-J407+J431</f>
        <v>1.7462309376270468E-11</v>
      </c>
    </row>
    <row r="362" spans="2:10" s="254" customFormat="1" x14ac:dyDescent="0.35">
      <c r="B362" s="279" t="s">
        <v>633</v>
      </c>
      <c r="C362" s="279" t="s">
        <v>651</v>
      </c>
      <c r="D362" s="422">
        <f t="shared" si="198"/>
        <v>256696</v>
      </c>
      <c r="E362" s="422">
        <f t="shared" si="198"/>
        <v>281514.59999999998</v>
      </c>
      <c r="F362" s="422">
        <f t="shared" si="198"/>
        <v>241518.26</v>
      </c>
      <c r="G362" s="422">
        <f t="shared" si="198"/>
        <v>212145.35999999993</v>
      </c>
      <c r="H362" s="422">
        <f t="shared" si="198"/>
        <v>212841.99999999988</v>
      </c>
      <c r="I362" s="422">
        <f t="shared" si="198"/>
        <v>275760.89999999991</v>
      </c>
      <c r="J362" s="422">
        <f t="shared" ref="J362" si="200">J338+J310-J385-J408+J432</f>
        <v>140502.2999999997</v>
      </c>
    </row>
    <row r="363" spans="2:10" s="254" customFormat="1" x14ac:dyDescent="0.35">
      <c r="B363" s="279" t="s">
        <v>634</v>
      </c>
      <c r="C363" s="279" t="s">
        <v>651</v>
      </c>
      <c r="D363" s="422">
        <f t="shared" si="198"/>
        <v>274800</v>
      </c>
      <c r="E363" s="422">
        <f t="shared" si="198"/>
        <v>279415</v>
      </c>
      <c r="F363" s="422">
        <f t="shared" si="198"/>
        <v>238676.3</v>
      </c>
      <c r="G363" s="422">
        <f t="shared" si="198"/>
        <v>237579.70000000007</v>
      </c>
      <c r="H363" s="422">
        <f t="shared" si="198"/>
        <v>222825.80000000005</v>
      </c>
      <c r="I363" s="422">
        <f t="shared" si="198"/>
        <v>248049.70000000007</v>
      </c>
      <c r="J363" s="422">
        <f t="shared" ref="J363" si="201">J339+J311-J386-J409+J433</f>
        <v>133044.99999999983</v>
      </c>
    </row>
    <row r="364" spans="2:10" s="254" customFormat="1" x14ac:dyDescent="0.35">
      <c r="B364" s="279" t="s">
        <v>635</v>
      </c>
      <c r="C364" s="279" t="s">
        <v>651</v>
      </c>
      <c r="D364" s="422">
        <f t="shared" si="198"/>
        <v>56160</v>
      </c>
      <c r="E364" s="422">
        <f t="shared" si="198"/>
        <v>221749</v>
      </c>
      <c r="F364" s="422">
        <f t="shared" si="198"/>
        <v>287210</v>
      </c>
      <c r="G364" s="422">
        <f t="shared" si="198"/>
        <v>268600</v>
      </c>
      <c r="H364" s="422">
        <f t="shared" si="198"/>
        <v>177100</v>
      </c>
      <c r="I364" s="422">
        <f t="shared" si="198"/>
        <v>0</v>
      </c>
      <c r="J364" s="422">
        <f t="shared" ref="J364" si="202">J340+J312-J387-J410+J434</f>
        <v>0</v>
      </c>
    </row>
    <row r="365" spans="2:10" s="254" customFormat="1" x14ac:dyDescent="0.35">
      <c r="B365" s="289" t="s">
        <v>636</v>
      </c>
      <c r="C365" s="279" t="s">
        <v>651</v>
      </c>
      <c r="D365" s="423">
        <f t="shared" ref="D365:I365" si="203">SUM(D360:D364)</f>
        <v>867872.5</v>
      </c>
      <c r="E365" s="423">
        <f t="shared" si="203"/>
        <v>1384870.6</v>
      </c>
      <c r="F365" s="423">
        <f t="shared" si="203"/>
        <v>1508749.66</v>
      </c>
      <c r="G365" s="423">
        <f t="shared" si="203"/>
        <v>1345465.1600000001</v>
      </c>
      <c r="H365" s="423">
        <f t="shared" si="203"/>
        <v>1109811</v>
      </c>
      <c r="I365" s="423">
        <f t="shared" si="203"/>
        <v>1018931.2999999999</v>
      </c>
      <c r="J365" s="423">
        <f t="shared" ref="J365" si="204">SUM(J360:J364)</f>
        <v>375847.29999999952</v>
      </c>
    </row>
    <row r="366" spans="2:10" s="254" customFormat="1" x14ac:dyDescent="0.35">
      <c r="B366" s="289" t="s">
        <v>637</v>
      </c>
      <c r="C366" s="279" t="s">
        <v>651</v>
      </c>
      <c r="D366" s="424"/>
      <c r="E366" s="424"/>
      <c r="F366" s="424"/>
      <c r="G366" s="424"/>
      <c r="H366" s="424"/>
      <c r="I366" s="424"/>
      <c r="J366" s="424"/>
    </row>
    <row r="367" spans="2:10" s="254" customFormat="1" x14ac:dyDescent="0.35">
      <c r="B367" s="279" t="s">
        <v>638</v>
      </c>
      <c r="C367" s="279" t="s">
        <v>651</v>
      </c>
      <c r="D367" s="422">
        <f t="shared" ref="D367:I371" si="205">D343+D315-D390-D413+D437</f>
        <v>246260</v>
      </c>
      <c r="E367" s="422">
        <f t="shared" si="205"/>
        <v>346240</v>
      </c>
      <c r="F367" s="422">
        <f t="shared" si="205"/>
        <v>317445.80000000005</v>
      </c>
      <c r="G367" s="422">
        <f t="shared" si="205"/>
        <v>319976.80000000016</v>
      </c>
      <c r="H367" s="422">
        <f t="shared" si="205"/>
        <v>354916.70000000024</v>
      </c>
      <c r="I367" s="422">
        <f t="shared" si="205"/>
        <v>46280.000000000211</v>
      </c>
      <c r="J367" s="422">
        <f t="shared" ref="J367" si="206">J343+J315-J390-J413+J437</f>
        <v>2.1100277081131935E-10</v>
      </c>
    </row>
    <row r="368" spans="2:10" s="254" customFormat="1" x14ac:dyDescent="0.35">
      <c r="B368" s="279" t="s">
        <v>639</v>
      </c>
      <c r="C368" s="279" t="s">
        <v>651</v>
      </c>
      <c r="D368" s="422">
        <f t="shared" si="205"/>
        <v>317840</v>
      </c>
      <c r="E368" s="422">
        <f t="shared" si="205"/>
        <v>395420</v>
      </c>
      <c r="F368" s="422">
        <f t="shared" si="205"/>
        <v>398490</v>
      </c>
      <c r="G368" s="422">
        <f t="shared" si="205"/>
        <v>365440</v>
      </c>
      <c r="H368" s="422">
        <f t="shared" si="205"/>
        <v>395149.19999999995</v>
      </c>
      <c r="I368" s="422">
        <f t="shared" si="205"/>
        <v>419994.99999999994</v>
      </c>
      <c r="J368" s="422">
        <f t="shared" ref="J368" si="207">J344+J316-J391-J414+J438</f>
        <v>-2.9103830456733704E-10</v>
      </c>
    </row>
    <row r="369" spans="2:10" s="254" customFormat="1" x14ac:dyDescent="0.35">
      <c r="B369" s="279" t="s">
        <v>640</v>
      </c>
      <c r="C369" s="279" t="s">
        <v>651</v>
      </c>
      <c r="D369" s="422">
        <f t="shared" si="205"/>
        <v>40700</v>
      </c>
      <c r="E369" s="422">
        <f t="shared" si="205"/>
        <v>207400</v>
      </c>
      <c r="F369" s="422">
        <f t="shared" si="205"/>
        <v>243200</v>
      </c>
      <c r="G369" s="422">
        <f t="shared" si="205"/>
        <v>249600</v>
      </c>
      <c r="H369" s="422">
        <f t="shared" si="205"/>
        <v>229799.99999999997</v>
      </c>
      <c r="I369" s="422">
        <f t="shared" si="205"/>
        <v>0</v>
      </c>
      <c r="J369" s="422">
        <f t="shared" ref="J369" si="208">J345+J317-J392-J415+J439</f>
        <v>0</v>
      </c>
    </row>
    <row r="370" spans="2:10" s="254" customFormat="1" x14ac:dyDescent="0.35">
      <c r="B370" s="279" t="s">
        <v>641</v>
      </c>
      <c r="C370" s="279" t="s">
        <v>651</v>
      </c>
      <c r="D370" s="422">
        <f t="shared" si="205"/>
        <v>46264.499999999942</v>
      </c>
      <c r="E370" s="422">
        <f t="shared" si="205"/>
        <v>175604.59999999995</v>
      </c>
      <c r="F370" s="422">
        <f t="shared" si="205"/>
        <v>192941.99999999997</v>
      </c>
      <c r="G370" s="422">
        <f t="shared" si="205"/>
        <v>166090.50000000003</v>
      </c>
      <c r="H370" s="422">
        <f t="shared" si="205"/>
        <v>178712.00000000003</v>
      </c>
      <c r="I370" s="422">
        <f t="shared" si="205"/>
        <v>264280</v>
      </c>
      <c r="J370" s="422">
        <f t="shared" ref="J370" si="209">J346+J318-J393-J416+J440</f>
        <v>69505.000000000058</v>
      </c>
    </row>
    <row r="371" spans="2:10" s="254" customFormat="1" x14ac:dyDescent="0.35">
      <c r="B371" s="279" t="s">
        <v>642</v>
      </c>
      <c r="C371" s="279" t="s">
        <v>651</v>
      </c>
      <c r="D371" s="422">
        <f t="shared" si="205"/>
        <v>6154.85</v>
      </c>
      <c r="E371" s="422">
        <f t="shared" si="205"/>
        <v>183008.7</v>
      </c>
      <c r="F371" s="422">
        <f t="shared" si="205"/>
        <v>142417.11999999997</v>
      </c>
      <c r="G371" s="422">
        <f t="shared" si="205"/>
        <v>141823.30000000002</v>
      </c>
      <c r="H371" s="422">
        <f t="shared" si="205"/>
        <v>183965.70000000007</v>
      </c>
      <c r="I371" s="422">
        <f t="shared" si="205"/>
        <v>220190.70000000007</v>
      </c>
      <c r="J371" s="422">
        <f t="shared" ref="J371" si="210">J347+J319-J394-J417+J441</f>
        <v>71498.000000000116</v>
      </c>
    </row>
    <row r="372" spans="2:10" s="254" customFormat="1" x14ac:dyDescent="0.35">
      <c r="B372" s="289" t="s">
        <v>643</v>
      </c>
      <c r="C372" s="279" t="s">
        <v>651</v>
      </c>
      <c r="D372" s="425">
        <f t="shared" ref="D372:I372" si="211">SUM(D367:D371)</f>
        <v>657219.35</v>
      </c>
      <c r="E372" s="425">
        <f t="shared" si="211"/>
        <v>1307673.2999999998</v>
      </c>
      <c r="F372" s="425">
        <f t="shared" si="211"/>
        <v>1294494.92</v>
      </c>
      <c r="G372" s="425">
        <f t="shared" si="211"/>
        <v>1242930.6000000003</v>
      </c>
      <c r="H372" s="425">
        <f t="shared" si="211"/>
        <v>1342543.6</v>
      </c>
      <c r="I372" s="425">
        <f t="shared" si="211"/>
        <v>950745.7000000003</v>
      </c>
      <c r="J372" s="425">
        <f t="shared" ref="J372" si="212">SUM(J367:J371)</f>
        <v>141003.00000000009</v>
      </c>
    </row>
    <row r="373" spans="2:10" s="254" customFormat="1" x14ac:dyDescent="0.35">
      <c r="B373" s="289" t="s">
        <v>644</v>
      </c>
      <c r="C373" s="279" t="s">
        <v>651</v>
      </c>
      <c r="D373" s="424"/>
      <c r="E373" s="424"/>
      <c r="F373" s="424"/>
      <c r="G373" s="424"/>
      <c r="H373" s="424"/>
      <c r="I373" s="424"/>
      <c r="J373" s="424"/>
    </row>
    <row r="374" spans="2:10" s="254" customFormat="1" x14ac:dyDescent="0.35">
      <c r="B374" s="279" t="s">
        <v>645</v>
      </c>
      <c r="C374" s="279" t="s">
        <v>651</v>
      </c>
      <c r="D374" s="422">
        <f t="shared" ref="D374:I377" si="213">D350+D322-D397-D420+D444</f>
        <v>9881.7000000000007</v>
      </c>
      <c r="E374" s="422">
        <f t="shared" si="213"/>
        <v>20101.599999999991</v>
      </c>
      <c r="F374" s="422">
        <f t="shared" si="213"/>
        <v>93168.699999999983</v>
      </c>
      <c r="G374" s="422">
        <f t="shared" si="213"/>
        <v>56566.599999999969</v>
      </c>
      <c r="H374" s="422">
        <f t="shared" si="213"/>
        <v>78037.999999999971</v>
      </c>
      <c r="I374" s="422">
        <f t="shared" si="213"/>
        <v>60524.499999999978</v>
      </c>
      <c r="J374" s="422">
        <f t="shared" ref="J374" si="214">J350+J322-J397-J420+J444</f>
        <v>-2.1827872842550278E-11</v>
      </c>
    </row>
    <row r="375" spans="2:10" s="254" customFormat="1" x14ac:dyDescent="0.35">
      <c r="B375" s="279" t="s">
        <v>646</v>
      </c>
      <c r="C375" s="279" t="s">
        <v>651</v>
      </c>
      <c r="D375" s="422">
        <f t="shared" si="213"/>
        <v>58114</v>
      </c>
      <c r="E375" s="422">
        <f t="shared" si="213"/>
        <v>74075</v>
      </c>
      <c r="F375" s="422">
        <f t="shared" si="213"/>
        <v>167460.60000000003</v>
      </c>
      <c r="G375" s="422">
        <f t="shared" si="213"/>
        <v>197693.3</v>
      </c>
      <c r="H375" s="422">
        <f t="shared" si="213"/>
        <v>191944.59999999998</v>
      </c>
      <c r="I375" s="422">
        <f t="shared" si="213"/>
        <v>-2.9103830456733704E-11</v>
      </c>
      <c r="J375" s="422">
        <f t="shared" ref="J375" si="215">J351+J323-J398-J421+J445</f>
        <v>-2.9103830456733704E-11</v>
      </c>
    </row>
    <row r="376" spans="2:10" s="254" customFormat="1" x14ac:dyDescent="0.35">
      <c r="B376" s="279" t="s">
        <v>647</v>
      </c>
      <c r="C376" s="279" t="s">
        <v>651</v>
      </c>
      <c r="D376" s="422">
        <f t="shared" si="213"/>
        <v>168200.80000000002</v>
      </c>
      <c r="E376" s="422">
        <f t="shared" si="213"/>
        <v>168467.50000000006</v>
      </c>
      <c r="F376" s="422">
        <f t="shared" si="213"/>
        <v>292608.19999999995</v>
      </c>
      <c r="G376" s="422">
        <f t="shared" si="213"/>
        <v>305899.99999999994</v>
      </c>
      <c r="H376" s="422">
        <f t="shared" si="213"/>
        <v>263889</v>
      </c>
      <c r="I376" s="422">
        <f t="shared" si="213"/>
        <v>-2.3283153183228933E-11</v>
      </c>
      <c r="J376" s="422">
        <f t="shared" ref="J376" si="216">J352+J324-J399-J422+J446</f>
        <v>-2.3283153183228933E-11</v>
      </c>
    </row>
    <row r="377" spans="2:10" s="254" customFormat="1" x14ac:dyDescent="0.35">
      <c r="B377" s="279" t="s">
        <v>648</v>
      </c>
      <c r="C377" s="279" t="s">
        <v>651</v>
      </c>
      <c r="D377" s="422">
        <f t="shared" si="213"/>
        <v>121123.39999999997</v>
      </c>
      <c r="E377" s="422">
        <f t="shared" si="213"/>
        <v>157460.1999999999</v>
      </c>
      <c r="F377" s="422">
        <f t="shared" si="213"/>
        <v>288005</v>
      </c>
      <c r="G377" s="422">
        <f t="shared" si="213"/>
        <v>272848.8</v>
      </c>
      <c r="H377" s="422">
        <f t="shared" si="213"/>
        <v>280753.00000000006</v>
      </c>
      <c r="I377" s="422">
        <f t="shared" si="213"/>
        <v>109175.80000000003</v>
      </c>
      <c r="J377" s="422">
        <f t="shared" ref="J377" si="217">J353+J325-J400-J423+J447</f>
        <v>4.6611603465862572E-11</v>
      </c>
    </row>
    <row r="378" spans="2:10" s="254" customFormat="1" x14ac:dyDescent="0.35">
      <c r="B378" s="289" t="s">
        <v>649</v>
      </c>
      <c r="C378" s="279" t="s">
        <v>651</v>
      </c>
      <c r="D378" s="425">
        <f t="shared" ref="D378:I378" si="218">SUM(D374:D377)</f>
        <v>357319.89999999997</v>
      </c>
      <c r="E378" s="425">
        <f t="shared" si="218"/>
        <v>420104.29999999993</v>
      </c>
      <c r="F378" s="425">
        <f t="shared" si="218"/>
        <v>841242.5</v>
      </c>
      <c r="G378" s="425">
        <f t="shared" si="218"/>
        <v>833008.7</v>
      </c>
      <c r="H378" s="425">
        <f t="shared" si="218"/>
        <v>814624.60000000009</v>
      </c>
      <c r="I378" s="425">
        <f t="shared" si="218"/>
        <v>169700.29999999996</v>
      </c>
      <c r="J378" s="425">
        <f t="shared" ref="J378" si="219">SUM(J374:J377)</f>
        <v>-2.7603253016650342E-11</v>
      </c>
    </row>
    <row r="379" spans="2:10" s="254" customFormat="1" x14ac:dyDescent="0.35">
      <c r="B379" s="289" t="s">
        <v>36</v>
      </c>
      <c r="C379" s="279" t="s">
        <v>651</v>
      </c>
      <c r="D379" s="425">
        <f t="shared" ref="D379:I379" si="220">D378+D372+D365</f>
        <v>1882411.75</v>
      </c>
      <c r="E379" s="425">
        <f t="shared" si="220"/>
        <v>3112648.1999999997</v>
      </c>
      <c r="F379" s="425">
        <f t="shared" si="220"/>
        <v>3644487.08</v>
      </c>
      <c r="G379" s="425">
        <f t="shared" si="220"/>
        <v>3421404.4600000004</v>
      </c>
      <c r="H379" s="425">
        <f t="shared" si="220"/>
        <v>3266979.2</v>
      </c>
      <c r="I379" s="425">
        <f t="shared" si="220"/>
        <v>2139377.3000000003</v>
      </c>
      <c r="J379" s="425">
        <f t="shared" ref="J379" si="221">J378+J372+J365</f>
        <v>516850.29999999958</v>
      </c>
    </row>
    <row r="380" spans="2:10" x14ac:dyDescent="0.35">
      <c r="B380" s="411" t="s">
        <v>658</v>
      </c>
      <c r="C380" s="412"/>
      <c r="D380" s="412"/>
      <c r="E380" s="412"/>
      <c r="F380" s="412"/>
      <c r="G380" s="412"/>
      <c r="H380" s="412"/>
      <c r="I380" s="412"/>
      <c r="J380" s="412"/>
    </row>
    <row r="381" spans="2:10" x14ac:dyDescent="0.35">
      <c r="B381" s="199" t="s">
        <v>664</v>
      </c>
      <c r="C381" s="199" t="s">
        <v>369</v>
      </c>
      <c r="D381" s="198"/>
      <c r="E381" s="198"/>
      <c r="F381" s="198"/>
      <c r="G381" s="198"/>
      <c r="H381" s="198"/>
      <c r="I381" s="198"/>
      <c r="J381" s="198"/>
    </row>
    <row r="382" spans="2:10" s="254" customFormat="1" x14ac:dyDescent="0.35">
      <c r="B382" s="289" t="s">
        <v>630</v>
      </c>
      <c r="C382" s="289"/>
      <c r="D382" s="279"/>
      <c r="E382" s="279"/>
      <c r="F382" s="279"/>
      <c r="G382" s="279"/>
      <c r="H382" s="279"/>
      <c r="I382" s="279"/>
      <c r="J382" s="279"/>
    </row>
    <row r="383" spans="2:10" s="254" customFormat="1" x14ac:dyDescent="0.35">
      <c r="B383" s="279" t="s">
        <v>631</v>
      </c>
      <c r="C383" s="279" t="s">
        <v>651</v>
      </c>
      <c r="D383" s="422">
        <v>43335</v>
      </c>
      <c r="E383" s="422"/>
      <c r="F383" s="422">
        <v>0</v>
      </c>
      <c r="G383" s="422">
        <v>529174.19999999995</v>
      </c>
      <c r="H383" s="422">
        <v>210377.5</v>
      </c>
      <c r="I383" s="422">
        <v>152026.20000000001</v>
      </c>
      <c r="J383" s="422">
        <v>2155.1999999999998</v>
      </c>
    </row>
    <row r="384" spans="2:10" s="254" customFormat="1" x14ac:dyDescent="0.35">
      <c r="B384" s="279" t="s">
        <v>632</v>
      </c>
      <c r="C384" s="279" t="s">
        <v>651</v>
      </c>
      <c r="D384" s="422">
        <v>139701</v>
      </c>
      <c r="E384" s="422"/>
      <c r="F384" s="422">
        <v>95309.9</v>
      </c>
      <c r="G384" s="422">
        <v>328386.8</v>
      </c>
      <c r="H384" s="422">
        <v>409905.4</v>
      </c>
      <c r="I384" s="422">
        <v>410725</v>
      </c>
      <c r="J384" s="422">
        <v>25000</v>
      </c>
    </row>
    <row r="385" spans="2:10" s="254" customFormat="1" x14ac:dyDescent="0.35">
      <c r="B385" s="279" t="s">
        <v>633</v>
      </c>
      <c r="C385" s="279" t="s">
        <v>651</v>
      </c>
      <c r="D385" s="422">
        <v>124945</v>
      </c>
      <c r="E385" s="422">
        <v>50000</v>
      </c>
      <c r="F385" s="422">
        <v>221127</v>
      </c>
      <c r="G385" s="422">
        <v>331313.8</v>
      </c>
      <c r="H385" s="422">
        <v>465953.8</v>
      </c>
      <c r="I385" s="422">
        <v>367642.7</v>
      </c>
      <c r="J385" s="422">
        <v>214721.3</v>
      </c>
    </row>
    <row r="386" spans="2:10" s="254" customFormat="1" x14ac:dyDescent="0.35">
      <c r="B386" s="279" t="s">
        <v>634</v>
      </c>
      <c r="C386" s="279" t="s">
        <v>651</v>
      </c>
      <c r="D386" s="422">
        <v>52999.9</v>
      </c>
      <c r="E386" s="422"/>
      <c r="F386" s="422">
        <v>548291.4</v>
      </c>
      <c r="G386" s="422">
        <v>542596.6</v>
      </c>
      <c r="H386" s="422">
        <v>554898.9</v>
      </c>
      <c r="I386" s="422">
        <v>536751.1</v>
      </c>
      <c r="J386" s="422">
        <v>140866.40000000002</v>
      </c>
    </row>
    <row r="387" spans="2:10" s="254" customFormat="1" x14ac:dyDescent="0.35">
      <c r="B387" s="279" t="s">
        <v>635</v>
      </c>
      <c r="C387" s="279" t="s">
        <v>651</v>
      </c>
      <c r="D387" s="422">
        <v>35568.199999999997</v>
      </c>
      <c r="E387" s="422"/>
      <c r="F387" s="422">
        <v>0</v>
      </c>
      <c r="G387" s="422">
        <v>40000</v>
      </c>
      <c r="H387" s="422">
        <v>115000</v>
      </c>
      <c r="I387" s="422">
        <v>150930</v>
      </c>
      <c r="J387" s="422">
        <v>0</v>
      </c>
    </row>
    <row r="388" spans="2:10" s="254" customFormat="1" x14ac:dyDescent="0.35">
      <c r="B388" s="289" t="s">
        <v>636</v>
      </c>
      <c r="C388" s="279" t="s">
        <v>651</v>
      </c>
      <c r="D388" s="425">
        <f t="shared" ref="D388:I388" si="222">SUM(D383:D387)</f>
        <v>396549.10000000003</v>
      </c>
      <c r="E388" s="425">
        <f t="shared" si="222"/>
        <v>50000</v>
      </c>
      <c r="F388" s="425">
        <f t="shared" si="222"/>
        <v>864728.3</v>
      </c>
      <c r="G388" s="425">
        <f t="shared" si="222"/>
        <v>1771471.4</v>
      </c>
      <c r="H388" s="425">
        <f t="shared" si="222"/>
        <v>1756135.6</v>
      </c>
      <c r="I388" s="425">
        <f t="shared" si="222"/>
        <v>1618075</v>
      </c>
      <c r="J388" s="425">
        <f t="shared" ref="J388" si="223">SUM(J383:J387)</f>
        <v>382742.9</v>
      </c>
    </row>
    <row r="389" spans="2:10" s="254" customFormat="1" x14ac:dyDescent="0.35">
      <c r="B389" s="289" t="s">
        <v>637</v>
      </c>
      <c r="C389" s="279" t="s">
        <v>651</v>
      </c>
      <c r="D389" s="424"/>
      <c r="E389" s="424"/>
      <c r="F389" s="424"/>
      <c r="G389" s="424"/>
      <c r="H389" s="424"/>
      <c r="I389" s="424"/>
      <c r="J389" s="424"/>
    </row>
    <row r="390" spans="2:10" s="254" customFormat="1" x14ac:dyDescent="0.35">
      <c r="B390" s="279" t="s">
        <v>638</v>
      </c>
      <c r="C390" s="279" t="s">
        <v>651</v>
      </c>
      <c r="D390" s="422">
        <v>3583.6</v>
      </c>
      <c r="E390" s="422"/>
      <c r="F390" s="422"/>
      <c r="G390" s="422"/>
      <c r="H390" s="422">
        <v>379031.9</v>
      </c>
      <c r="I390" s="422">
        <v>273016.59999999998</v>
      </c>
      <c r="J390" s="422">
        <v>0</v>
      </c>
    </row>
    <row r="391" spans="2:10" s="254" customFormat="1" x14ac:dyDescent="0.35">
      <c r="B391" s="279" t="s">
        <v>639</v>
      </c>
      <c r="C391" s="279" t="s">
        <v>651</v>
      </c>
      <c r="D391" s="422">
        <v>0</v>
      </c>
      <c r="E391" s="422"/>
      <c r="F391" s="422"/>
      <c r="G391" s="422"/>
      <c r="H391" s="422">
        <v>394050.8</v>
      </c>
      <c r="I391" s="422">
        <v>499802.5</v>
      </c>
      <c r="J391" s="422">
        <v>74160.000000000015</v>
      </c>
    </row>
    <row r="392" spans="2:10" s="254" customFormat="1" x14ac:dyDescent="0.35">
      <c r="B392" s="279" t="s">
        <v>640</v>
      </c>
      <c r="C392" s="279" t="s">
        <v>651</v>
      </c>
      <c r="D392" s="422">
        <v>63194.1</v>
      </c>
      <c r="E392" s="422"/>
      <c r="F392" s="422">
        <v>0</v>
      </c>
      <c r="G392" s="422">
        <v>0</v>
      </c>
      <c r="H392" s="422">
        <v>43996.4</v>
      </c>
      <c r="I392" s="422">
        <v>244902</v>
      </c>
      <c r="J392" s="422">
        <v>0</v>
      </c>
    </row>
    <row r="393" spans="2:10" s="254" customFormat="1" x14ac:dyDescent="0.35">
      <c r="B393" s="279" t="s">
        <v>641</v>
      </c>
      <c r="C393" s="279" t="s">
        <v>651</v>
      </c>
      <c r="D393" s="422">
        <v>72797.8</v>
      </c>
      <c r="E393" s="422"/>
      <c r="F393" s="422">
        <v>104489.7</v>
      </c>
      <c r="G393" s="422">
        <v>437822.6</v>
      </c>
      <c r="H393" s="422">
        <v>419604.6</v>
      </c>
      <c r="I393" s="422">
        <v>397896</v>
      </c>
      <c r="J393" s="422">
        <v>384254.99999999994</v>
      </c>
    </row>
    <row r="394" spans="2:10" s="254" customFormat="1" x14ac:dyDescent="0.35">
      <c r="B394" s="279" t="s">
        <v>642</v>
      </c>
      <c r="C394" s="279" t="s">
        <v>651</v>
      </c>
      <c r="D394" s="422">
        <v>160347.9</v>
      </c>
      <c r="E394" s="422">
        <v>3185.6</v>
      </c>
      <c r="F394" s="422">
        <v>28782.5</v>
      </c>
      <c r="G394" s="422">
        <v>304944.09999999998</v>
      </c>
      <c r="H394" s="422">
        <v>402048.1</v>
      </c>
      <c r="I394" s="422">
        <v>304151</v>
      </c>
      <c r="J394" s="422">
        <v>180190.69999999998</v>
      </c>
    </row>
    <row r="395" spans="2:10" s="254" customFormat="1" x14ac:dyDescent="0.35">
      <c r="B395" s="289" t="s">
        <v>643</v>
      </c>
      <c r="C395" s="279" t="s">
        <v>651</v>
      </c>
      <c r="D395" s="425">
        <f t="shared" ref="D395:I395" si="224">SUM(D390:D394)</f>
        <v>299923.40000000002</v>
      </c>
      <c r="E395" s="425">
        <f t="shared" si="224"/>
        <v>3185.6</v>
      </c>
      <c r="F395" s="425">
        <f t="shared" si="224"/>
        <v>133272.20000000001</v>
      </c>
      <c r="G395" s="425">
        <f t="shared" si="224"/>
        <v>742766.7</v>
      </c>
      <c r="H395" s="425">
        <f t="shared" si="224"/>
        <v>1638731.7999999998</v>
      </c>
      <c r="I395" s="425">
        <f t="shared" si="224"/>
        <v>1719768.1</v>
      </c>
      <c r="J395" s="425">
        <f t="shared" ref="J395" si="225">SUM(J390:J394)</f>
        <v>638605.69999999995</v>
      </c>
    </row>
    <row r="396" spans="2:10" s="254" customFormat="1" x14ac:dyDescent="0.35">
      <c r="B396" s="289" t="s">
        <v>644</v>
      </c>
      <c r="C396" s="279" t="s">
        <v>651</v>
      </c>
      <c r="D396" s="424"/>
      <c r="E396" s="424"/>
      <c r="F396" s="424"/>
      <c r="G396" s="424"/>
      <c r="H396" s="424"/>
      <c r="I396" s="424"/>
      <c r="J396" s="424"/>
    </row>
    <row r="397" spans="2:10" s="254" customFormat="1" x14ac:dyDescent="0.35">
      <c r="B397" s="279" t="s">
        <v>645</v>
      </c>
      <c r="C397" s="279" t="s">
        <v>651</v>
      </c>
      <c r="D397" s="422">
        <v>128448.9</v>
      </c>
      <c r="E397" s="422">
        <v>11090.8</v>
      </c>
      <c r="F397" s="422">
        <v>2696.3</v>
      </c>
      <c r="G397" s="422">
        <v>162459.20000000001</v>
      </c>
      <c r="H397" s="422">
        <v>106566.6</v>
      </c>
      <c r="I397" s="422">
        <v>83906.9</v>
      </c>
      <c r="J397" s="422">
        <v>61508.5</v>
      </c>
    </row>
    <row r="398" spans="2:10" s="254" customFormat="1" x14ac:dyDescent="0.35">
      <c r="B398" s="279" t="s">
        <v>646</v>
      </c>
      <c r="C398" s="279" t="s">
        <v>651</v>
      </c>
      <c r="D398" s="422">
        <v>0</v>
      </c>
      <c r="E398" s="422"/>
      <c r="F398" s="422">
        <v>40326.1</v>
      </c>
      <c r="G398" s="422">
        <v>73869.100000000006</v>
      </c>
      <c r="H398" s="422">
        <v>277028.5</v>
      </c>
      <c r="I398" s="422">
        <v>144944.6</v>
      </c>
      <c r="J398" s="422">
        <v>0</v>
      </c>
    </row>
    <row r="399" spans="2:10" s="254" customFormat="1" x14ac:dyDescent="0.35">
      <c r="B399" s="279" t="s">
        <v>647</v>
      </c>
      <c r="C399" s="279" t="s">
        <v>651</v>
      </c>
      <c r="D399" s="422">
        <v>140587.79999999999</v>
      </c>
      <c r="E399" s="422"/>
      <c r="F399" s="422">
        <v>57381.9</v>
      </c>
      <c r="G399" s="422">
        <v>233074.2</v>
      </c>
      <c r="H399" s="422">
        <v>352978</v>
      </c>
      <c r="I399" s="422">
        <v>265230.40000000002</v>
      </c>
      <c r="J399" s="422">
        <v>0</v>
      </c>
    </row>
    <row r="400" spans="2:10" s="254" customFormat="1" x14ac:dyDescent="0.35">
      <c r="B400" s="279" t="s">
        <v>648</v>
      </c>
      <c r="C400" s="279" t="s">
        <v>651</v>
      </c>
      <c r="D400" s="422">
        <v>214173.6</v>
      </c>
      <c r="E400" s="422">
        <v>36306.699999999997</v>
      </c>
      <c r="F400" s="422">
        <v>112951.4</v>
      </c>
      <c r="G400" s="422">
        <v>302354.3</v>
      </c>
      <c r="H400" s="422">
        <v>524235.8</v>
      </c>
      <c r="I400" s="422">
        <v>402049.4</v>
      </c>
      <c r="J400" s="422">
        <v>107484.49999999999</v>
      </c>
    </row>
    <row r="401" spans="2:10" s="254" customFormat="1" x14ac:dyDescent="0.35">
      <c r="B401" s="289" t="s">
        <v>649</v>
      </c>
      <c r="C401" s="279" t="s">
        <v>651</v>
      </c>
      <c r="D401" s="425">
        <f t="shared" ref="D401:I401" si="226">SUM(D397:D400)</f>
        <v>483210.29999999993</v>
      </c>
      <c r="E401" s="425">
        <f t="shared" si="226"/>
        <v>47397.5</v>
      </c>
      <c r="F401" s="425">
        <f t="shared" si="226"/>
        <v>213355.7</v>
      </c>
      <c r="G401" s="425">
        <f t="shared" si="226"/>
        <v>771756.8</v>
      </c>
      <c r="H401" s="425">
        <f t="shared" si="226"/>
        <v>1260808.8999999999</v>
      </c>
      <c r="I401" s="425">
        <f t="shared" si="226"/>
        <v>896131.3</v>
      </c>
      <c r="J401" s="425">
        <f t="shared" ref="J401" si="227">SUM(J397:J400)</f>
        <v>168993</v>
      </c>
    </row>
    <row r="402" spans="2:10" s="254" customFormat="1" x14ac:dyDescent="0.35">
      <c r="B402" s="289" t="s">
        <v>36</v>
      </c>
      <c r="C402" s="279" t="s">
        <v>651</v>
      </c>
      <c r="D402" s="425">
        <f t="shared" ref="D402:I402" si="228">D401+D395+D388</f>
        <v>1179682.8</v>
      </c>
      <c r="E402" s="425">
        <f t="shared" si="228"/>
        <v>100583.1</v>
      </c>
      <c r="F402" s="425">
        <f t="shared" si="228"/>
        <v>1211356.2000000002</v>
      </c>
      <c r="G402" s="425">
        <f t="shared" si="228"/>
        <v>3285994.9</v>
      </c>
      <c r="H402" s="425">
        <f t="shared" si="228"/>
        <v>4655676.3</v>
      </c>
      <c r="I402" s="425">
        <f t="shared" si="228"/>
        <v>4233974.4000000004</v>
      </c>
      <c r="J402" s="425">
        <f t="shared" ref="J402" si="229">J401+J395+J388</f>
        <v>1190341.6000000001</v>
      </c>
    </row>
    <row r="403" spans="2:10" x14ac:dyDescent="0.35">
      <c r="B403" s="411" t="s">
        <v>770</v>
      </c>
      <c r="C403" s="412"/>
      <c r="D403" s="414"/>
      <c r="E403" s="414"/>
      <c r="F403" s="414"/>
      <c r="G403" s="414"/>
      <c r="H403" s="414"/>
      <c r="I403" s="414"/>
      <c r="J403" s="414"/>
    </row>
    <row r="404" spans="2:10" x14ac:dyDescent="0.35">
      <c r="B404" s="199" t="s">
        <v>664</v>
      </c>
      <c r="C404" s="199" t="s">
        <v>369</v>
      </c>
      <c r="D404" s="198"/>
      <c r="E404" s="198"/>
      <c r="F404" s="198"/>
      <c r="G404" s="198"/>
      <c r="H404" s="198"/>
      <c r="I404" s="198"/>
      <c r="J404" s="198"/>
    </row>
    <row r="405" spans="2:10" x14ac:dyDescent="0.35">
      <c r="B405" s="199" t="s">
        <v>630</v>
      </c>
      <c r="C405" s="199"/>
      <c r="D405" s="198"/>
      <c r="E405" s="198"/>
      <c r="F405" s="198"/>
      <c r="G405" s="198"/>
      <c r="H405" s="198"/>
      <c r="I405" s="198"/>
      <c r="J405" s="198"/>
    </row>
    <row r="406" spans="2:10" s="254" customFormat="1" x14ac:dyDescent="0.35">
      <c r="B406" s="279" t="s">
        <v>631</v>
      </c>
      <c r="C406" s="279" t="s">
        <v>651</v>
      </c>
      <c r="D406" s="422">
        <v>774000</v>
      </c>
      <c r="E406" s="422">
        <v>470100</v>
      </c>
      <c r="F406" s="422">
        <v>590800</v>
      </c>
      <c r="G406" s="422">
        <v>335800</v>
      </c>
      <c r="H406" s="422">
        <v>547374.30000000005</v>
      </c>
      <c r="I406" s="422">
        <v>661823.9</v>
      </c>
      <c r="J406" s="422">
        <v>923200</v>
      </c>
    </row>
    <row r="407" spans="2:10" s="254" customFormat="1" x14ac:dyDescent="0.35">
      <c r="B407" s="279" t="s">
        <v>632</v>
      </c>
      <c r="C407" s="279" t="s">
        <v>651</v>
      </c>
      <c r="D407" s="422">
        <v>378419.6</v>
      </c>
      <c r="E407" s="422">
        <v>340316.5</v>
      </c>
      <c r="F407" s="422">
        <v>489404.3</v>
      </c>
      <c r="G407" s="422">
        <v>381000</v>
      </c>
      <c r="H407" s="422">
        <v>315892</v>
      </c>
      <c r="I407" s="422">
        <v>90000</v>
      </c>
      <c r="J407" s="422">
        <v>123497.69999999998</v>
      </c>
    </row>
    <row r="408" spans="2:10" s="254" customFormat="1" x14ac:dyDescent="0.35">
      <c r="B408" s="279" t="s">
        <v>633</v>
      </c>
      <c r="C408" s="279" t="s">
        <v>651</v>
      </c>
      <c r="D408" s="422">
        <v>417856</v>
      </c>
      <c r="E408" s="422">
        <v>526637.62</v>
      </c>
      <c r="F408" s="422">
        <v>450133.33999999997</v>
      </c>
      <c r="G408" s="422">
        <v>322251.10000000003</v>
      </c>
      <c r="H408" s="422">
        <v>143115</v>
      </c>
      <c r="I408" s="422">
        <v>245176.80000000002</v>
      </c>
      <c r="J408" s="422">
        <v>507852.00000000017</v>
      </c>
    </row>
    <row r="409" spans="2:10" s="254" customFormat="1" x14ac:dyDescent="0.35">
      <c r="B409" s="279" t="s">
        <v>634</v>
      </c>
      <c r="C409" s="279" t="s">
        <v>651</v>
      </c>
      <c r="D409" s="422">
        <v>352377</v>
      </c>
      <c r="E409" s="422">
        <v>483225.2</v>
      </c>
      <c r="F409" s="422">
        <v>0</v>
      </c>
      <c r="G409" s="422">
        <v>0</v>
      </c>
      <c r="H409" s="422">
        <v>0</v>
      </c>
      <c r="I409" s="422">
        <v>105000</v>
      </c>
      <c r="J409" s="422">
        <v>539855.00000000023</v>
      </c>
    </row>
    <row r="410" spans="2:10" s="254" customFormat="1" x14ac:dyDescent="0.35">
      <c r="B410" s="279" t="s">
        <v>635</v>
      </c>
      <c r="C410" s="279" t="s">
        <v>651</v>
      </c>
      <c r="D410" s="422">
        <v>118400</v>
      </c>
      <c r="E410" s="422">
        <v>139900</v>
      </c>
      <c r="F410" s="422">
        <v>319500</v>
      </c>
      <c r="G410" s="422">
        <v>368800</v>
      </c>
      <c r="H410" s="422">
        <v>364300</v>
      </c>
      <c r="I410" s="422">
        <v>101200</v>
      </c>
      <c r="J410" s="422">
        <v>0</v>
      </c>
    </row>
    <row r="411" spans="2:10" s="254" customFormat="1" x14ac:dyDescent="0.35">
      <c r="B411" s="289" t="s">
        <v>636</v>
      </c>
      <c r="C411" s="279" t="s">
        <v>651</v>
      </c>
      <c r="D411" s="423">
        <f t="shared" ref="D411:I411" si="230">SUM(D406:D410)</f>
        <v>2041052.6</v>
      </c>
      <c r="E411" s="423">
        <f t="shared" si="230"/>
        <v>1960179.32</v>
      </c>
      <c r="F411" s="423">
        <f t="shared" si="230"/>
        <v>1849837.6400000001</v>
      </c>
      <c r="G411" s="423">
        <f t="shared" si="230"/>
        <v>1407851.1</v>
      </c>
      <c r="H411" s="423">
        <f t="shared" si="230"/>
        <v>1370681.3</v>
      </c>
      <c r="I411" s="423">
        <f t="shared" si="230"/>
        <v>1203200.7000000002</v>
      </c>
      <c r="J411" s="423">
        <f t="shared" ref="J411" si="231">SUM(J406:J410)</f>
        <v>2094404.7000000004</v>
      </c>
    </row>
    <row r="412" spans="2:10" s="254" customFormat="1" x14ac:dyDescent="0.35">
      <c r="B412" s="289" t="s">
        <v>637</v>
      </c>
      <c r="C412" s="279" t="s">
        <v>651</v>
      </c>
      <c r="D412" s="497"/>
      <c r="E412" s="497"/>
      <c r="F412" s="497"/>
      <c r="G412" s="497"/>
      <c r="H412" s="497"/>
      <c r="I412" s="497"/>
      <c r="J412" s="497"/>
    </row>
    <row r="413" spans="2:10" s="254" customFormat="1" x14ac:dyDescent="0.35">
      <c r="B413" s="279" t="s">
        <v>638</v>
      </c>
      <c r="C413" s="279" t="s">
        <v>651</v>
      </c>
      <c r="D413" s="422">
        <v>649800</v>
      </c>
      <c r="E413" s="422">
        <v>631950</v>
      </c>
      <c r="F413" s="422">
        <v>850671.2</v>
      </c>
      <c r="G413" s="422">
        <v>1095278.8999999999</v>
      </c>
      <c r="H413" s="422">
        <v>432541.5</v>
      </c>
      <c r="I413" s="422">
        <v>778200</v>
      </c>
      <c r="J413" s="422">
        <v>46200</v>
      </c>
    </row>
    <row r="414" spans="2:10" s="254" customFormat="1" x14ac:dyDescent="0.35">
      <c r="B414" s="279" t="s">
        <v>639</v>
      </c>
      <c r="C414" s="279" t="s">
        <v>651</v>
      </c>
      <c r="D414" s="422">
        <v>465840</v>
      </c>
      <c r="E414" s="422">
        <v>557839.9</v>
      </c>
      <c r="F414" s="422">
        <v>618600</v>
      </c>
      <c r="G414" s="422">
        <v>711240</v>
      </c>
      <c r="H414" s="422">
        <v>255840</v>
      </c>
      <c r="I414" s="422">
        <v>186865</v>
      </c>
      <c r="J414" s="422">
        <v>357835.00000000023</v>
      </c>
    </row>
    <row r="415" spans="2:10" s="254" customFormat="1" x14ac:dyDescent="0.35">
      <c r="B415" s="279" t="s">
        <v>640</v>
      </c>
      <c r="C415" s="279" t="s">
        <v>651</v>
      </c>
      <c r="D415" s="422">
        <v>690100</v>
      </c>
      <c r="E415" s="422">
        <v>359700</v>
      </c>
      <c r="F415" s="422">
        <v>502000</v>
      </c>
      <c r="G415" s="422">
        <v>662000</v>
      </c>
      <c r="H415" s="422">
        <v>619000</v>
      </c>
      <c r="I415" s="422">
        <v>140300</v>
      </c>
      <c r="J415" s="422">
        <v>0</v>
      </c>
    </row>
    <row r="416" spans="2:10" s="254" customFormat="1" x14ac:dyDescent="0.35">
      <c r="B416" s="279" t="s">
        <v>641</v>
      </c>
      <c r="C416" s="279" t="s">
        <v>651</v>
      </c>
      <c r="D416" s="422">
        <v>320081.5</v>
      </c>
      <c r="E416" s="422">
        <v>218287.6</v>
      </c>
      <c r="F416" s="422">
        <v>314497.3</v>
      </c>
      <c r="G416" s="422">
        <v>69378.899999999994</v>
      </c>
      <c r="H416" s="422">
        <v>0</v>
      </c>
      <c r="I416" s="422">
        <v>0</v>
      </c>
      <c r="J416" s="422">
        <v>18695</v>
      </c>
    </row>
    <row r="417" spans="2:10" s="254" customFormat="1" x14ac:dyDescent="0.35">
      <c r="B417" s="279" t="s">
        <v>642</v>
      </c>
      <c r="C417" s="279" t="s">
        <v>651</v>
      </c>
      <c r="D417" s="422">
        <v>150984.1</v>
      </c>
      <c r="E417" s="422">
        <v>128658.3</v>
      </c>
      <c r="F417" s="422">
        <v>384245.8</v>
      </c>
      <c r="G417" s="422">
        <v>254898.72</v>
      </c>
      <c r="H417" s="422">
        <v>0</v>
      </c>
      <c r="I417" s="422">
        <v>0</v>
      </c>
      <c r="J417" s="422">
        <v>109999.99999999997</v>
      </c>
    </row>
    <row r="418" spans="2:10" s="254" customFormat="1" x14ac:dyDescent="0.35">
      <c r="B418" s="289" t="s">
        <v>643</v>
      </c>
      <c r="C418" s="279" t="s">
        <v>651</v>
      </c>
      <c r="D418" s="423">
        <f t="shared" ref="D418:I418" si="232">SUM(D413:D417)</f>
        <v>2276805.6</v>
      </c>
      <c r="E418" s="423">
        <f t="shared" si="232"/>
        <v>1896435.8</v>
      </c>
      <c r="F418" s="423">
        <f t="shared" si="232"/>
        <v>2670014.2999999998</v>
      </c>
      <c r="G418" s="423">
        <f t="shared" si="232"/>
        <v>2792796.52</v>
      </c>
      <c r="H418" s="423">
        <f t="shared" si="232"/>
        <v>1307381.5</v>
      </c>
      <c r="I418" s="423">
        <f t="shared" si="232"/>
        <v>1105365</v>
      </c>
      <c r="J418" s="423">
        <f t="shared" ref="J418" si="233">SUM(J413:J417)</f>
        <v>532730.00000000023</v>
      </c>
    </row>
    <row r="419" spans="2:10" s="254" customFormat="1" x14ac:dyDescent="0.35">
      <c r="B419" s="289" t="s">
        <v>644</v>
      </c>
      <c r="C419" s="279" t="s">
        <v>651</v>
      </c>
      <c r="D419" s="497"/>
      <c r="E419" s="497"/>
      <c r="F419" s="497"/>
      <c r="G419" s="497"/>
      <c r="H419" s="497"/>
      <c r="I419" s="497"/>
      <c r="J419" s="497"/>
    </row>
    <row r="420" spans="2:10" s="254" customFormat="1" x14ac:dyDescent="0.35">
      <c r="B420" s="279" t="s">
        <v>645</v>
      </c>
      <c r="C420" s="279" t="s">
        <v>651</v>
      </c>
      <c r="D420" s="422">
        <v>17506.2</v>
      </c>
      <c r="E420" s="422">
        <v>37496.300000000003</v>
      </c>
      <c r="F420" s="422">
        <v>23042.799999999999</v>
      </c>
      <c r="G420" s="422">
        <v>0</v>
      </c>
      <c r="H420" s="422">
        <v>0</v>
      </c>
      <c r="I420" s="422">
        <v>0</v>
      </c>
      <c r="J420" s="422">
        <v>0</v>
      </c>
    </row>
    <row r="421" spans="2:10" s="254" customFormat="1" x14ac:dyDescent="0.35">
      <c r="B421" s="279" t="s">
        <v>646</v>
      </c>
      <c r="C421" s="279" t="s">
        <v>651</v>
      </c>
      <c r="D421" s="422">
        <v>301800</v>
      </c>
      <c r="E421" s="422">
        <v>178100</v>
      </c>
      <c r="F421" s="422">
        <v>131000</v>
      </c>
      <c r="G421" s="422">
        <v>160600</v>
      </c>
      <c r="H421" s="422">
        <v>0</v>
      </c>
      <c r="I421" s="422">
        <v>47000</v>
      </c>
      <c r="J421" s="422">
        <v>0</v>
      </c>
    </row>
    <row r="422" spans="2:10" s="254" customFormat="1" x14ac:dyDescent="0.35">
      <c r="B422" s="279" t="s">
        <v>647</v>
      </c>
      <c r="C422" s="279" t="s">
        <v>651</v>
      </c>
      <c r="D422" s="422">
        <v>186231.1</v>
      </c>
      <c r="E422" s="422">
        <v>301698.3</v>
      </c>
      <c r="F422" s="422">
        <v>204031.4</v>
      </c>
      <c r="G422" s="422">
        <v>87034</v>
      </c>
      <c r="H422" s="422">
        <v>0</v>
      </c>
      <c r="I422" s="422">
        <v>0</v>
      </c>
      <c r="J422" s="422">
        <v>0</v>
      </c>
    </row>
    <row r="423" spans="2:10" s="254" customFormat="1" x14ac:dyDescent="0.35">
      <c r="B423" s="279" t="s">
        <v>648</v>
      </c>
      <c r="C423" s="279" t="s">
        <v>651</v>
      </c>
      <c r="D423" s="422">
        <v>257239.6</v>
      </c>
      <c r="E423" s="422">
        <v>270792.80000000005</v>
      </c>
      <c r="F423" s="422">
        <v>305406.69999999995</v>
      </c>
      <c r="G423" s="422">
        <v>264285.8</v>
      </c>
      <c r="H423" s="422">
        <v>0</v>
      </c>
      <c r="I423" s="422">
        <v>0</v>
      </c>
      <c r="J423" s="422">
        <v>0</v>
      </c>
    </row>
    <row r="424" spans="2:10" s="254" customFormat="1" x14ac:dyDescent="0.35">
      <c r="B424" s="289" t="s">
        <v>649</v>
      </c>
      <c r="C424" s="279" t="s">
        <v>651</v>
      </c>
      <c r="D424" s="423">
        <f t="shared" ref="D424:I424" si="234">SUM(D420:D423)</f>
        <v>762776.9</v>
      </c>
      <c r="E424" s="423">
        <f t="shared" si="234"/>
        <v>788087.4</v>
      </c>
      <c r="F424" s="423">
        <f t="shared" si="234"/>
        <v>663480.89999999991</v>
      </c>
      <c r="G424" s="423">
        <f t="shared" si="234"/>
        <v>511919.8</v>
      </c>
      <c r="H424" s="423">
        <f t="shared" si="234"/>
        <v>0</v>
      </c>
      <c r="I424" s="423">
        <f t="shared" si="234"/>
        <v>47000</v>
      </c>
      <c r="J424" s="423">
        <v>0</v>
      </c>
    </row>
    <row r="425" spans="2:10" s="254" customFormat="1" x14ac:dyDescent="0.35">
      <c r="B425" s="289" t="s">
        <v>36</v>
      </c>
      <c r="C425" s="279" t="s">
        <v>651</v>
      </c>
      <c r="D425" s="423">
        <f t="shared" ref="D425:I425" si="235">D424+D418+D411</f>
        <v>5080635.0999999996</v>
      </c>
      <c r="E425" s="423">
        <f t="shared" si="235"/>
        <v>4644702.5200000005</v>
      </c>
      <c r="F425" s="423">
        <f t="shared" si="235"/>
        <v>5183332.84</v>
      </c>
      <c r="G425" s="423">
        <f t="shared" si="235"/>
        <v>4712567.42</v>
      </c>
      <c r="H425" s="423">
        <f t="shared" si="235"/>
        <v>2678062.7999999998</v>
      </c>
      <c r="I425" s="423">
        <f t="shared" si="235"/>
        <v>2355565.7000000002</v>
      </c>
      <c r="J425" s="423">
        <f t="shared" ref="J425" si="236">J424+J418+J411</f>
        <v>2627134.7000000007</v>
      </c>
    </row>
    <row r="426" spans="2:10" s="254" customFormat="1" x14ac:dyDescent="0.35">
      <c r="B426" s="289"/>
      <c r="C426" s="279"/>
    </row>
    <row r="427" spans="2:10" s="254" customFormat="1" x14ac:dyDescent="0.35">
      <c r="B427" s="289" t="s">
        <v>771</v>
      </c>
      <c r="C427" s="279"/>
      <c r="D427" s="423"/>
      <c r="E427" s="423"/>
      <c r="F427" s="423"/>
      <c r="G427" s="423"/>
      <c r="H427" s="423"/>
      <c r="I427" s="423"/>
      <c r="J427" s="423"/>
    </row>
    <row r="428" spans="2:10" s="254" customFormat="1" x14ac:dyDescent="0.35">
      <c r="B428" s="289" t="s">
        <v>664</v>
      </c>
      <c r="C428" s="289" t="s">
        <v>369</v>
      </c>
      <c r="D428" s="423"/>
      <c r="E428" s="423"/>
      <c r="F428" s="423"/>
      <c r="G428" s="423"/>
      <c r="H428" s="423"/>
      <c r="I428" s="423"/>
      <c r="J428" s="423"/>
    </row>
    <row r="429" spans="2:10" s="254" customFormat="1" x14ac:dyDescent="0.35">
      <c r="B429" s="289" t="s">
        <v>630</v>
      </c>
      <c r="C429" s="289"/>
      <c r="D429" s="423"/>
      <c r="E429" s="423"/>
      <c r="F429" s="423"/>
      <c r="G429" s="423"/>
      <c r="H429" s="423"/>
      <c r="I429" s="423"/>
      <c r="J429" s="423"/>
    </row>
    <row r="430" spans="2:10" s="254" customFormat="1" x14ac:dyDescent="0.35">
      <c r="B430" s="279" t="s">
        <v>631</v>
      </c>
      <c r="C430" s="279" t="s">
        <v>651</v>
      </c>
      <c r="D430" s="497">
        <v>15</v>
      </c>
      <c r="E430" s="497">
        <v>-2109.87</v>
      </c>
      <c r="F430" s="497">
        <v>3100</v>
      </c>
      <c r="G430" s="497">
        <v>9552</v>
      </c>
      <c r="H430" s="497">
        <v>5281.2</v>
      </c>
      <c r="I430" s="497">
        <v>4285.5999999999995</v>
      </c>
      <c r="J430" s="497">
        <v>13837.500000000004</v>
      </c>
    </row>
    <row r="431" spans="2:10" s="254" customFormat="1" x14ac:dyDescent="0.35">
      <c r="B431" s="279" t="s">
        <v>632</v>
      </c>
      <c r="C431" s="279" t="s">
        <v>651</v>
      </c>
      <c r="D431" s="497">
        <v>1971.7999999999302</v>
      </c>
      <c r="E431" s="497">
        <v>0</v>
      </c>
      <c r="F431" s="497">
        <v>-11.7</v>
      </c>
      <c r="G431" s="497">
        <v>0</v>
      </c>
      <c r="H431" s="497">
        <v>-0.9</v>
      </c>
      <c r="I431" s="497">
        <v>0</v>
      </c>
      <c r="J431" s="497">
        <v>-0.3</v>
      </c>
    </row>
    <row r="432" spans="2:10" s="254" customFormat="1" x14ac:dyDescent="0.35">
      <c r="B432" s="279" t="s">
        <v>633</v>
      </c>
      <c r="C432" s="279" t="s">
        <v>651</v>
      </c>
      <c r="D432" s="497">
        <v>0</v>
      </c>
      <c r="E432" s="497">
        <v>-79.78</v>
      </c>
      <c r="F432" s="497">
        <v>0</v>
      </c>
      <c r="G432" s="497">
        <v>0</v>
      </c>
      <c r="H432" s="497">
        <v>-204.56</v>
      </c>
      <c r="I432" s="497">
        <v>5792.4</v>
      </c>
      <c r="J432" s="497">
        <v>19049.7</v>
      </c>
    </row>
    <row r="433" spans="2:10" s="254" customFormat="1" x14ac:dyDescent="0.35">
      <c r="B433" s="279" t="s">
        <v>634</v>
      </c>
      <c r="C433" s="279" t="s">
        <v>651</v>
      </c>
      <c r="D433" s="497">
        <v>-348.29999999993015</v>
      </c>
      <c r="E433" s="497">
        <v>-5274.8</v>
      </c>
      <c r="F433" s="497">
        <v>282.7</v>
      </c>
      <c r="G433" s="497">
        <v>0</v>
      </c>
      <c r="H433" s="497">
        <v>11500</v>
      </c>
      <c r="I433" s="497">
        <v>-7155</v>
      </c>
      <c r="J433" s="497">
        <v>-5493.3</v>
      </c>
    </row>
    <row r="434" spans="2:10" s="254" customFormat="1" x14ac:dyDescent="0.35">
      <c r="B434" s="279" t="s">
        <v>635</v>
      </c>
      <c r="C434" s="279" t="s">
        <v>651</v>
      </c>
      <c r="D434" s="497">
        <v>-131.79999999998836</v>
      </c>
      <c r="E434" s="497">
        <v>1440</v>
      </c>
      <c r="F434" s="497">
        <v>-151</v>
      </c>
      <c r="G434" s="497">
        <v>0</v>
      </c>
      <c r="H434" s="497">
        <v>-500</v>
      </c>
      <c r="I434" s="497">
        <v>8130</v>
      </c>
      <c r="J434" s="497">
        <v>0</v>
      </c>
    </row>
    <row r="435" spans="2:10" s="254" customFormat="1" x14ac:dyDescent="0.35">
      <c r="B435" s="289" t="s">
        <v>636</v>
      </c>
      <c r="C435" s="279" t="s">
        <v>651</v>
      </c>
      <c r="D435" s="423">
        <f t="shared" ref="D435:I435" si="237">SUM(D430:D434)</f>
        <v>1506.7000000000116</v>
      </c>
      <c r="E435" s="423">
        <f t="shared" si="237"/>
        <v>-6024.4500000000007</v>
      </c>
      <c r="F435" s="423">
        <f t="shared" si="237"/>
        <v>3220</v>
      </c>
      <c r="G435" s="423">
        <f t="shared" si="237"/>
        <v>9552</v>
      </c>
      <c r="H435" s="423">
        <f t="shared" si="237"/>
        <v>16075.739999999998</v>
      </c>
      <c r="I435" s="423">
        <f t="shared" si="237"/>
        <v>11053</v>
      </c>
      <c r="J435" s="423">
        <f t="shared" ref="J435" si="238">SUM(J430:J434)</f>
        <v>27393.600000000009</v>
      </c>
    </row>
    <row r="436" spans="2:10" s="254" customFormat="1" x14ac:dyDescent="0.35">
      <c r="B436" s="289" t="s">
        <v>637</v>
      </c>
      <c r="C436" s="279" t="s">
        <v>651</v>
      </c>
      <c r="D436" s="423"/>
      <c r="E436" s="423"/>
      <c r="F436" s="423"/>
      <c r="G436" s="423"/>
      <c r="H436" s="423"/>
      <c r="I436" s="423"/>
      <c r="J436" s="423"/>
    </row>
    <row r="437" spans="2:10" s="254" customFormat="1" x14ac:dyDescent="0.35">
      <c r="B437" s="279" t="s">
        <v>638</v>
      </c>
      <c r="C437" s="279" t="s">
        <v>651</v>
      </c>
      <c r="D437" s="497">
        <v>5543.5999999999767</v>
      </c>
      <c r="E437" s="497">
        <v>-1160</v>
      </c>
      <c r="F437" s="497">
        <v>-8553.0000000000018</v>
      </c>
      <c r="G437" s="497">
        <v>4613.8999999999996</v>
      </c>
      <c r="H437" s="497">
        <v>-443.70000000000005</v>
      </c>
      <c r="I437" s="497">
        <v>-436.09999999999997</v>
      </c>
      <c r="J437" s="497">
        <v>-80</v>
      </c>
    </row>
    <row r="438" spans="2:10" s="254" customFormat="1" x14ac:dyDescent="0.35">
      <c r="B438" s="279" t="s">
        <v>639</v>
      </c>
      <c r="C438" s="279" t="s">
        <v>651</v>
      </c>
      <c r="D438" s="497">
        <v>12000</v>
      </c>
      <c r="E438" s="497">
        <v>23999.9</v>
      </c>
      <c r="F438" s="497">
        <v>-20</v>
      </c>
      <c r="G438" s="497">
        <v>-20</v>
      </c>
      <c r="H438" s="497">
        <v>0</v>
      </c>
      <c r="I438" s="497">
        <v>19973.3</v>
      </c>
      <c r="J438" s="497">
        <v>12000</v>
      </c>
    </row>
    <row r="439" spans="2:10" s="254" customFormat="1" x14ac:dyDescent="0.35">
      <c r="B439" s="279" t="s">
        <v>640</v>
      </c>
      <c r="C439" s="279" t="s">
        <v>651</v>
      </c>
      <c r="D439" s="497">
        <v>-1105.9000000000233</v>
      </c>
      <c r="E439" s="497">
        <v>-300</v>
      </c>
      <c r="F439" s="497">
        <v>-4700</v>
      </c>
      <c r="G439" s="497"/>
      <c r="H439" s="497">
        <v>12496.4</v>
      </c>
      <c r="I439" s="497">
        <v>-7598</v>
      </c>
      <c r="J439" s="497">
        <v>0</v>
      </c>
    </row>
    <row r="440" spans="2:10" s="254" customFormat="1" x14ac:dyDescent="0.35">
      <c r="B440" s="279" t="s">
        <v>641</v>
      </c>
      <c r="C440" s="279" t="s">
        <v>651</v>
      </c>
      <c r="D440" s="497">
        <v>-5200.1000000000931</v>
      </c>
      <c r="E440" s="497">
        <v>10127.700000000001</v>
      </c>
      <c r="F440" s="497">
        <v>2524.4</v>
      </c>
      <c r="G440" s="497"/>
      <c r="H440" s="497">
        <v>5076.1000000000004</v>
      </c>
      <c r="I440" s="497">
        <v>1534</v>
      </c>
      <c r="J440" s="497">
        <v>2505</v>
      </c>
    </row>
    <row r="441" spans="2:10" s="254" customFormat="1" x14ac:dyDescent="0.35">
      <c r="B441" s="279" t="s">
        <v>642</v>
      </c>
      <c r="C441" s="279" t="s">
        <v>651</v>
      </c>
      <c r="D441" s="497">
        <v>11651.240000000014</v>
      </c>
      <c r="E441" s="497">
        <v>-2969.25</v>
      </c>
      <c r="F441" s="497">
        <v>3011.72</v>
      </c>
      <c r="G441" s="497"/>
      <c r="H441" s="497">
        <v>23027.5</v>
      </c>
      <c r="I441" s="497">
        <v>7000</v>
      </c>
      <c r="J441" s="497">
        <v>0</v>
      </c>
    </row>
    <row r="442" spans="2:10" s="254" customFormat="1" x14ac:dyDescent="0.35">
      <c r="B442" s="289" t="s">
        <v>643</v>
      </c>
      <c r="C442" s="279" t="s">
        <v>651</v>
      </c>
      <c r="D442" s="423">
        <f t="shared" ref="D442:I442" si="239">SUM(D437:D441)</f>
        <v>22888.839999999873</v>
      </c>
      <c r="E442" s="423">
        <f t="shared" si="239"/>
        <v>29698.350000000002</v>
      </c>
      <c r="F442" s="423">
        <f t="shared" si="239"/>
        <v>-7736.8800000000028</v>
      </c>
      <c r="G442" s="423">
        <f t="shared" si="239"/>
        <v>4593.8999999999996</v>
      </c>
      <c r="H442" s="423">
        <f t="shared" si="239"/>
        <v>40156.300000000003</v>
      </c>
      <c r="I442" s="423">
        <f t="shared" si="239"/>
        <v>20473.2</v>
      </c>
      <c r="J442" s="423">
        <f t="shared" ref="J442" si="240">SUM(J437:J441)</f>
        <v>14425</v>
      </c>
    </row>
    <row r="443" spans="2:10" s="254" customFormat="1" x14ac:dyDescent="0.35">
      <c r="B443" s="289" t="s">
        <v>644</v>
      </c>
      <c r="C443" s="279" t="s">
        <v>651</v>
      </c>
      <c r="D443" s="423"/>
      <c r="E443" s="423"/>
      <c r="F443" s="423"/>
      <c r="G443" s="423"/>
      <c r="H443" s="423"/>
      <c r="I443" s="423"/>
      <c r="J443" s="423"/>
    </row>
    <row r="444" spans="2:10" s="254" customFormat="1" x14ac:dyDescent="0.35">
      <c r="B444" s="279" t="s">
        <v>645</v>
      </c>
      <c r="C444" s="279" t="s">
        <v>651</v>
      </c>
      <c r="D444" s="497">
        <v>-1761.2000000000044</v>
      </c>
      <c r="E444" s="497">
        <v>2800</v>
      </c>
      <c r="F444" s="497">
        <v>2941.2</v>
      </c>
      <c r="G444" s="497">
        <v>-54.9</v>
      </c>
      <c r="H444" s="497">
        <v>0</v>
      </c>
      <c r="I444" s="497">
        <v>-251.6</v>
      </c>
      <c r="J444" s="497">
        <v>984</v>
      </c>
    </row>
    <row r="445" spans="2:10" s="254" customFormat="1" x14ac:dyDescent="0.35">
      <c r="B445" s="279" t="s">
        <v>646</v>
      </c>
      <c r="C445" s="279" t="s">
        <v>651</v>
      </c>
      <c r="D445" s="497">
        <v>-45</v>
      </c>
      <c r="E445" s="497">
        <v>-14</v>
      </c>
      <c r="F445" s="497">
        <v>-321.3</v>
      </c>
      <c r="G445" s="497">
        <v>-203.2</v>
      </c>
      <c r="H445" s="497">
        <v>-86.2</v>
      </c>
      <c r="I445" s="497">
        <v>0</v>
      </c>
      <c r="J445" s="497">
        <v>0</v>
      </c>
    </row>
    <row r="446" spans="2:10" s="254" customFormat="1" x14ac:dyDescent="0.35">
      <c r="B446" s="279" t="s">
        <v>647</v>
      </c>
      <c r="C446" s="279" t="s">
        <v>651</v>
      </c>
      <c r="D446" s="497">
        <v>-989.5</v>
      </c>
      <c r="E446" s="497">
        <v>3500</v>
      </c>
      <c r="F446" s="497">
        <v>12262</v>
      </c>
      <c r="G446" s="497">
        <v>0</v>
      </c>
      <c r="H446" s="497">
        <v>0</v>
      </c>
      <c r="I446" s="497">
        <v>-2.6</v>
      </c>
      <c r="J446" s="497">
        <v>0</v>
      </c>
    </row>
    <row r="447" spans="2:10" s="254" customFormat="1" x14ac:dyDescent="0.35">
      <c r="B447" s="279" t="s">
        <v>648</v>
      </c>
      <c r="C447" s="279" t="s">
        <v>651</v>
      </c>
      <c r="D447" s="497">
        <v>2319.6999999999243</v>
      </c>
      <c r="E447" s="497">
        <v>-4022.7000000000003</v>
      </c>
      <c r="F447" s="497">
        <v>14322.9</v>
      </c>
      <c r="G447" s="497">
        <v>2251.9</v>
      </c>
      <c r="H447" s="497">
        <v>6000</v>
      </c>
      <c r="I447" s="497">
        <v>3468.2</v>
      </c>
      <c r="J447" s="497">
        <v>-1691.3</v>
      </c>
    </row>
    <row r="448" spans="2:10" s="254" customFormat="1" x14ac:dyDescent="0.35">
      <c r="B448" s="289" t="s">
        <v>649</v>
      </c>
      <c r="C448" s="289" t="s">
        <v>651</v>
      </c>
      <c r="D448" s="423">
        <f t="shared" ref="D448:I448" si="241">SUM(D444:D447)</f>
        <v>-476.00000000008004</v>
      </c>
      <c r="E448" s="423">
        <f t="shared" si="241"/>
        <v>2263.2999999999997</v>
      </c>
      <c r="F448" s="423">
        <f t="shared" si="241"/>
        <v>29204.799999999999</v>
      </c>
      <c r="G448" s="423">
        <f t="shared" si="241"/>
        <v>1993.8000000000002</v>
      </c>
      <c r="H448" s="423">
        <f t="shared" si="241"/>
        <v>5913.8</v>
      </c>
      <c r="I448" s="423">
        <f t="shared" si="241"/>
        <v>3214</v>
      </c>
      <c r="J448" s="423">
        <f t="shared" ref="J448" si="242">SUM(J444:J447)</f>
        <v>-707.3</v>
      </c>
    </row>
    <row r="449" spans="2:10" s="254" customFormat="1" x14ac:dyDescent="0.35">
      <c r="B449" s="289" t="s">
        <v>36</v>
      </c>
      <c r="C449" s="279" t="s">
        <v>651</v>
      </c>
      <c r="D449" s="423">
        <f t="shared" ref="D449:I449" si="243">D435+D442+D448</f>
        <v>23919.539999999804</v>
      </c>
      <c r="E449" s="423">
        <f t="shared" si="243"/>
        <v>25937.200000000001</v>
      </c>
      <c r="F449" s="423">
        <f t="shared" si="243"/>
        <v>24687.919999999998</v>
      </c>
      <c r="G449" s="423">
        <f t="shared" si="243"/>
        <v>16139.7</v>
      </c>
      <c r="H449" s="423">
        <f t="shared" si="243"/>
        <v>62145.840000000004</v>
      </c>
      <c r="I449" s="423">
        <f t="shared" si="243"/>
        <v>34740.199999999997</v>
      </c>
      <c r="J449" s="423">
        <f t="shared" ref="J449" si="244">J435+J442+J448</f>
        <v>41111.300000000003</v>
      </c>
    </row>
    <row r="450" spans="2:10" s="254" customFormat="1" x14ac:dyDescent="0.35">
      <c r="B450" s="289"/>
      <c r="C450" s="279"/>
      <c r="D450" s="423"/>
      <c r="E450" s="423"/>
      <c r="F450" s="423"/>
      <c r="G450" s="423"/>
      <c r="H450" s="423"/>
      <c r="I450" s="423"/>
      <c r="J450" s="423"/>
    </row>
    <row r="451" spans="2:10" s="254" customFormat="1" x14ac:dyDescent="0.35">
      <c r="B451" s="289" t="s">
        <v>856</v>
      </c>
      <c r="C451" s="279"/>
      <c r="D451" s="423"/>
      <c r="E451" s="423"/>
      <c r="F451" s="423"/>
      <c r="G451" s="423"/>
      <c r="H451" s="423"/>
      <c r="I451" s="423"/>
      <c r="J451" s="423"/>
    </row>
    <row r="452" spans="2:10" s="254" customFormat="1" x14ac:dyDescent="0.35">
      <c r="B452" s="289" t="s">
        <v>664</v>
      </c>
      <c r="C452" s="289" t="s">
        <v>369</v>
      </c>
      <c r="D452" s="423"/>
      <c r="E452" s="423"/>
      <c r="F452" s="423"/>
      <c r="G452" s="423"/>
      <c r="H452" s="423"/>
      <c r="I452" s="423"/>
      <c r="J452" s="423"/>
    </row>
    <row r="453" spans="2:10" s="254" customFormat="1" x14ac:dyDescent="0.35">
      <c r="B453" s="289" t="s">
        <v>630</v>
      </c>
      <c r="C453" s="289"/>
      <c r="D453" s="423"/>
      <c r="E453" s="423"/>
      <c r="F453" s="423"/>
      <c r="G453" s="423"/>
      <c r="H453" s="423"/>
      <c r="I453" s="423"/>
      <c r="J453" s="423"/>
    </row>
    <row r="454" spans="2:10" s="254" customFormat="1" x14ac:dyDescent="0.35">
      <c r="B454" s="279" t="s">
        <v>631</v>
      </c>
      <c r="C454" s="279" t="s">
        <v>651</v>
      </c>
      <c r="D454" s="422">
        <v>12147</v>
      </c>
      <c r="E454" s="497">
        <f t="shared" ref="E454:J454" si="245">D478</f>
        <v>5015</v>
      </c>
      <c r="F454" s="497">
        <f t="shared" si="245"/>
        <v>12243</v>
      </c>
      <c r="G454" s="497">
        <f t="shared" si="245"/>
        <v>9978</v>
      </c>
      <c r="H454" s="497">
        <f t="shared" si="245"/>
        <v>12949</v>
      </c>
      <c r="I454" s="497">
        <f t="shared" si="245"/>
        <v>13695.52</v>
      </c>
      <c r="J454" s="497">
        <f t="shared" si="245"/>
        <v>17049</v>
      </c>
    </row>
    <row r="455" spans="2:10" s="254" customFormat="1" x14ac:dyDescent="0.35">
      <c r="B455" s="279" t="s">
        <v>632</v>
      </c>
      <c r="C455" s="279" t="s">
        <v>651</v>
      </c>
      <c r="D455" s="422">
        <v>11118</v>
      </c>
      <c r="E455" s="497">
        <f t="shared" ref="E455:F458" si="246">D479</f>
        <v>0</v>
      </c>
      <c r="F455" s="497">
        <f t="shared" si="246"/>
        <v>10114</v>
      </c>
      <c r="G455" s="497">
        <f t="shared" ref="G455:J458" si="247">F479</f>
        <v>13195</v>
      </c>
      <c r="H455" s="497">
        <f t="shared" si="247"/>
        <v>11375</v>
      </c>
      <c r="I455" s="497">
        <f t="shared" si="247"/>
        <v>16345</v>
      </c>
      <c r="J455" s="497">
        <f t="shared" si="247"/>
        <v>0</v>
      </c>
    </row>
    <row r="456" spans="2:10" s="254" customFormat="1" x14ac:dyDescent="0.35">
      <c r="B456" s="279" t="s">
        <v>633</v>
      </c>
      <c r="C456" s="279" t="s">
        <v>651</v>
      </c>
      <c r="D456" s="422">
        <v>13562</v>
      </c>
      <c r="E456" s="497">
        <f t="shared" si="246"/>
        <v>11280</v>
      </c>
      <c r="F456" s="497">
        <f t="shared" si="246"/>
        <v>15043</v>
      </c>
      <c r="G456" s="497">
        <f t="shared" si="247"/>
        <v>13955</v>
      </c>
      <c r="H456" s="497">
        <f t="shared" si="247"/>
        <v>13448</v>
      </c>
      <c r="I456" s="497">
        <f t="shared" si="247"/>
        <v>18381.78</v>
      </c>
      <c r="J456" s="497">
        <f t="shared" si="247"/>
        <v>14690.31</v>
      </c>
    </row>
    <row r="457" spans="2:10" s="254" customFormat="1" x14ac:dyDescent="0.35">
      <c r="B457" s="279" t="s">
        <v>634</v>
      </c>
      <c r="C457" s="279" t="s">
        <v>651</v>
      </c>
      <c r="D457" s="422">
        <v>13824</v>
      </c>
      <c r="E457" s="497">
        <f t="shared" si="246"/>
        <v>13144</v>
      </c>
      <c r="F457" s="497">
        <f t="shared" si="246"/>
        <v>13453</v>
      </c>
      <c r="G457" s="497">
        <f t="shared" si="247"/>
        <v>14406</v>
      </c>
      <c r="H457" s="497">
        <f t="shared" si="247"/>
        <v>14269</v>
      </c>
      <c r="I457" s="497">
        <f t="shared" si="247"/>
        <v>12057.03</v>
      </c>
      <c r="J457" s="497">
        <f t="shared" si="247"/>
        <v>12242.86</v>
      </c>
    </row>
    <row r="458" spans="2:10" s="254" customFormat="1" x14ac:dyDescent="0.35">
      <c r="B458" s="279" t="s">
        <v>635</v>
      </c>
      <c r="C458" s="279" t="s">
        <v>651</v>
      </c>
      <c r="D458" s="422">
        <v>0</v>
      </c>
      <c r="E458" s="497">
        <f t="shared" si="246"/>
        <v>0</v>
      </c>
      <c r="F458" s="497">
        <f t="shared" si="246"/>
        <v>6257</v>
      </c>
      <c r="G458" s="497">
        <f t="shared" si="247"/>
        <v>9793</v>
      </c>
      <c r="H458" s="497">
        <f t="shared" si="247"/>
        <v>6457</v>
      </c>
      <c r="I458" s="497">
        <f t="shared" si="247"/>
        <v>6712</v>
      </c>
      <c r="J458" s="497">
        <f t="shared" si="247"/>
        <v>0</v>
      </c>
    </row>
    <row r="459" spans="2:10" s="254" customFormat="1" x14ac:dyDescent="0.35">
      <c r="B459" s="289" t="s">
        <v>636</v>
      </c>
      <c r="C459" s="279" t="s">
        <v>651</v>
      </c>
      <c r="D459" s="423">
        <f t="shared" ref="D459:I459" si="248">SUM(D454:D458)</f>
        <v>50651</v>
      </c>
      <c r="E459" s="423">
        <f t="shared" si="248"/>
        <v>29439</v>
      </c>
      <c r="F459" s="423">
        <f t="shared" si="248"/>
        <v>57110</v>
      </c>
      <c r="G459" s="423">
        <f t="shared" si="248"/>
        <v>61327</v>
      </c>
      <c r="H459" s="423">
        <f t="shared" si="248"/>
        <v>58498</v>
      </c>
      <c r="I459" s="423">
        <f t="shared" si="248"/>
        <v>67191.33</v>
      </c>
      <c r="J459" s="423">
        <f t="shared" ref="J459" si="249">SUM(J454:J458)</f>
        <v>43982.17</v>
      </c>
    </row>
    <row r="460" spans="2:10" s="254" customFormat="1" x14ac:dyDescent="0.35">
      <c r="B460" s="289" t="s">
        <v>637</v>
      </c>
      <c r="C460" s="279" t="s">
        <v>651</v>
      </c>
      <c r="D460" s="423"/>
      <c r="E460" s="423"/>
      <c r="F460" s="423"/>
      <c r="G460" s="423"/>
      <c r="H460" s="423"/>
      <c r="I460" s="423"/>
      <c r="J460" s="423"/>
    </row>
    <row r="461" spans="2:10" s="254" customFormat="1" x14ac:dyDescent="0.35">
      <c r="B461" s="279" t="s">
        <v>638</v>
      </c>
      <c r="C461" s="279" t="s">
        <v>651</v>
      </c>
      <c r="D461" s="422">
        <v>23477</v>
      </c>
      <c r="E461" s="497">
        <f t="shared" ref="E461:F465" si="250">D485</f>
        <v>0</v>
      </c>
      <c r="F461" s="497">
        <f t="shared" si="250"/>
        <v>19539</v>
      </c>
      <c r="G461" s="497">
        <f t="shared" ref="G461:J465" si="251">F485</f>
        <v>26600</v>
      </c>
      <c r="H461" s="497">
        <f t="shared" si="251"/>
        <v>25411</v>
      </c>
      <c r="I461" s="497">
        <f t="shared" si="251"/>
        <v>27688</v>
      </c>
      <c r="J461" s="497">
        <f t="shared" si="251"/>
        <v>0</v>
      </c>
    </row>
    <row r="462" spans="2:10" s="254" customFormat="1" x14ac:dyDescent="0.35">
      <c r="B462" s="279" t="s">
        <v>639</v>
      </c>
      <c r="C462" s="279" t="s">
        <v>651</v>
      </c>
      <c r="D462" s="422">
        <v>15084</v>
      </c>
      <c r="E462" s="497">
        <f t="shared" si="250"/>
        <v>0</v>
      </c>
      <c r="F462" s="497">
        <f t="shared" si="250"/>
        <v>0</v>
      </c>
      <c r="G462" s="497">
        <f t="shared" si="251"/>
        <v>16110</v>
      </c>
      <c r="H462" s="497">
        <f t="shared" si="251"/>
        <v>14713</v>
      </c>
      <c r="I462" s="497">
        <f t="shared" si="251"/>
        <v>14996</v>
      </c>
      <c r="J462" s="497">
        <f t="shared" si="251"/>
        <v>0</v>
      </c>
    </row>
    <row r="463" spans="2:10" s="254" customFormat="1" x14ac:dyDescent="0.35">
      <c r="B463" s="279" t="s">
        <v>640</v>
      </c>
      <c r="C463" s="279" t="s">
        <v>651</v>
      </c>
      <c r="D463" s="422">
        <v>17278</v>
      </c>
      <c r="E463" s="497">
        <f t="shared" si="250"/>
        <v>0</v>
      </c>
      <c r="F463" s="497">
        <f t="shared" si="250"/>
        <v>15300</v>
      </c>
      <c r="G463" s="497">
        <f t="shared" si="251"/>
        <v>20472</v>
      </c>
      <c r="H463" s="497">
        <f t="shared" si="251"/>
        <v>15764</v>
      </c>
      <c r="I463" s="497">
        <f t="shared" si="251"/>
        <v>22156</v>
      </c>
      <c r="J463" s="497">
        <f t="shared" si="251"/>
        <v>0</v>
      </c>
    </row>
    <row r="464" spans="2:10" s="254" customFormat="1" x14ac:dyDescent="0.35">
      <c r="B464" s="279" t="s">
        <v>641</v>
      </c>
      <c r="C464" s="279" t="s">
        <v>651</v>
      </c>
      <c r="D464" s="422">
        <v>0</v>
      </c>
      <c r="E464" s="497">
        <f t="shared" si="250"/>
        <v>0</v>
      </c>
      <c r="F464" s="497">
        <f t="shared" si="250"/>
        <v>0</v>
      </c>
      <c r="G464" s="497">
        <f t="shared" si="251"/>
        <v>10989</v>
      </c>
      <c r="H464" s="497">
        <f t="shared" si="251"/>
        <v>13665</v>
      </c>
      <c r="I464" s="497">
        <f t="shared" si="251"/>
        <v>12304</v>
      </c>
      <c r="J464" s="497">
        <f t="shared" si="251"/>
        <v>9475.2000000000007</v>
      </c>
    </row>
    <row r="465" spans="2:10" s="254" customFormat="1" x14ac:dyDescent="0.35">
      <c r="B465" s="279" t="s">
        <v>642</v>
      </c>
      <c r="C465" s="279" t="s">
        <v>651</v>
      </c>
      <c r="D465" s="422">
        <v>0</v>
      </c>
      <c r="E465" s="497">
        <f t="shared" si="250"/>
        <v>0</v>
      </c>
      <c r="F465" s="497">
        <f t="shared" si="250"/>
        <v>0</v>
      </c>
      <c r="G465" s="497">
        <f t="shared" si="251"/>
        <v>10017</v>
      </c>
      <c r="H465" s="497">
        <f t="shared" si="251"/>
        <v>10291</v>
      </c>
      <c r="I465" s="497">
        <f t="shared" si="251"/>
        <v>10470</v>
      </c>
      <c r="J465" s="497">
        <f t="shared" si="251"/>
        <v>0</v>
      </c>
    </row>
    <row r="466" spans="2:10" s="254" customFormat="1" x14ac:dyDescent="0.35">
      <c r="B466" s="289" t="s">
        <v>643</v>
      </c>
      <c r="C466" s="279" t="s">
        <v>651</v>
      </c>
      <c r="D466" s="423">
        <f t="shared" ref="D466:I466" si="252">SUM(D461:D465)</f>
        <v>55839</v>
      </c>
      <c r="E466" s="423">
        <f t="shared" si="252"/>
        <v>0</v>
      </c>
      <c r="F466" s="423">
        <f t="shared" si="252"/>
        <v>34839</v>
      </c>
      <c r="G466" s="423">
        <f t="shared" si="252"/>
        <v>84188</v>
      </c>
      <c r="H466" s="423">
        <f t="shared" si="252"/>
        <v>79844</v>
      </c>
      <c r="I466" s="423">
        <f t="shared" si="252"/>
        <v>87614</v>
      </c>
      <c r="J466" s="423">
        <f t="shared" ref="J466" si="253">SUM(J461:J465)</f>
        <v>9475.2000000000007</v>
      </c>
    </row>
    <row r="467" spans="2:10" s="254" customFormat="1" x14ac:dyDescent="0.35">
      <c r="B467" s="289" t="s">
        <v>644</v>
      </c>
      <c r="C467" s="279" t="s">
        <v>651</v>
      </c>
      <c r="D467" s="423"/>
      <c r="E467" s="423"/>
      <c r="F467" s="423"/>
      <c r="G467" s="423"/>
      <c r="H467" s="423"/>
      <c r="I467" s="423"/>
      <c r="J467" s="423"/>
    </row>
    <row r="468" spans="2:10" s="254" customFormat="1" x14ac:dyDescent="0.35">
      <c r="B468" s="279" t="s">
        <v>645</v>
      </c>
      <c r="C468" s="279" t="s">
        <v>651</v>
      </c>
      <c r="D468" s="497">
        <v>0</v>
      </c>
      <c r="E468" s="497">
        <f t="shared" ref="E468:F471" si="254">D492</f>
        <v>103</v>
      </c>
      <c r="F468" s="497">
        <f t="shared" si="254"/>
        <v>0</v>
      </c>
      <c r="G468" s="497">
        <f t="shared" ref="G468:J471" si="255">F492</f>
        <v>578</v>
      </c>
      <c r="H468" s="497">
        <f t="shared" si="255"/>
        <v>0</v>
      </c>
      <c r="I468" s="497">
        <f t="shared" si="255"/>
        <v>480</v>
      </c>
      <c r="J468" s="497">
        <f t="shared" si="255"/>
        <v>0</v>
      </c>
    </row>
    <row r="469" spans="2:10" s="254" customFormat="1" x14ac:dyDescent="0.35">
      <c r="B469" s="279" t="s">
        <v>646</v>
      </c>
      <c r="C469" s="279" t="s">
        <v>651</v>
      </c>
      <c r="D469" s="497">
        <v>0</v>
      </c>
      <c r="E469" s="497">
        <f t="shared" si="254"/>
        <v>0</v>
      </c>
      <c r="F469" s="497">
        <f t="shared" si="254"/>
        <v>0</v>
      </c>
      <c r="G469" s="497">
        <f t="shared" si="255"/>
        <v>0</v>
      </c>
      <c r="H469" s="497">
        <f t="shared" si="255"/>
        <v>8331</v>
      </c>
      <c r="I469" s="497">
        <f t="shared" si="255"/>
        <v>0</v>
      </c>
      <c r="J469" s="497">
        <f t="shared" si="255"/>
        <v>0</v>
      </c>
    </row>
    <row r="470" spans="2:10" s="254" customFormat="1" x14ac:dyDescent="0.35">
      <c r="B470" s="279" t="s">
        <v>647</v>
      </c>
      <c r="C470" s="279" t="s">
        <v>651</v>
      </c>
      <c r="D470" s="497">
        <v>0</v>
      </c>
      <c r="E470" s="497">
        <f t="shared" si="254"/>
        <v>0</v>
      </c>
      <c r="F470" s="497">
        <f t="shared" si="254"/>
        <v>0</v>
      </c>
      <c r="G470" s="497">
        <f t="shared" si="255"/>
        <v>0</v>
      </c>
      <c r="H470" s="497">
        <f t="shared" si="255"/>
        <v>4559</v>
      </c>
      <c r="I470" s="497">
        <f t="shared" si="255"/>
        <v>1344</v>
      </c>
      <c r="J470" s="497">
        <f t="shared" si="255"/>
        <v>0</v>
      </c>
    </row>
    <row r="471" spans="2:10" s="254" customFormat="1" x14ac:dyDescent="0.35">
      <c r="B471" s="279" t="s">
        <v>648</v>
      </c>
      <c r="C471" s="279" t="s">
        <v>651</v>
      </c>
      <c r="D471" s="497">
        <v>0</v>
      </c>
      <c r="E471" s="497">
        <f t="shared" si="254"/>
        <v>0</v>
      </c>
      <c r="F471" s="497">
        <f t="shared" si="254"/>
        <v>0</v>
      </c>
      <c r="G471" s="497">
        <f t="shared" si="255"/>
        <v>15546</v>
      </c>
      <c r="H471" s="497">
        <f t="shared" si="255"/>
        <v>2456</v>
      </c>
      <c r="I471" s="497">
        <f t="shared" si="255"/>
        <v>0</v>
      </c>
      <c r="J471" s="497">
        <f t="shared" si="255"/>
        <v>0</v>
      </c>
    </row>
    <row r="472" spans="2:10" s="254" customFormat="1" x14ac:dyDescent="0.35">
      <c r="B472" s="289" t="s">
        <v>649</v>
      </c>
      <c r="C472" s="279" t="s">
        <v>651</v>
      </c>
      <c r="D472" s="423">
        <f t="shared" ref="D472:I472" si="256">SUM(D468:D471)</f>
        <v>0</v>
      </c>
      <c r="E472" s="423">
        <f t="shared" si="256"/>
        <v>103</v>
      </c>
      <c r="F472" s="423">
        <f t="shared" si="256"/>
        <v>0</v>
      </c>
      <c r="G472" s="423">
        <f t="shared" si="256"/>
        <v>16124</v>
      </c>
      <c r="H472" s="423">
        <f t="shared" si="256"/>
        <v>15346</v>
      </c>
      <c r="I472" s="423">
        <f t="shared" si="256"/>
        <v>1824</v>
      </c>
      <c r="J472" s="423">
        <f t="shared" ref="J472" si="257">SUM(J468:J471)</f>
        <v>0</v>
      </c>
    </row>
    <row r="473" spans="2:10" s="254" customFormat="1" x14ac:dyDescent="0.35">
      <c r="B473" s="289" t="s">
        <v>36</v>
      </c>
      <c r="C473" s="279" t="s">
        <v>651</v>
      </c>
      <c r="D473" s="423">
        <f t="shared" ref="D473:I473" si="258">D459+D466+D472</f>
        <v>106490</v>
      </c>
      <c r="E473" s="423">
        <f t="shared" si="258"/>
        <v>29542</v>
      </c>
      <c r="F473" s="423">
        <f t="shared" si="258"/>
        <v>91949</v>
      </c>
      <c r="G473" s="423">
        <f t="shared" si="258"/>
        <v>161639</v>
      </c>
      <c r="H473" s="423">
        <f t="shared" si="258"/>
        <v>153688</v>
      </c>
      <c r="I473" s="423">
        <f t="shared" si="258"/>
        <v>156629.33000000002</v>
      </c>
      <c r="J473" s="423">
        <f t="shared" ref="J473" si="259">J459+J466+J472</f>
        <v>53457.369999999995</v>
      </c>
    </row>
    <row r="474" spans="2:10" s="254" customFormat="1" x14ac:dyDescent="0.35">
      <c r="B474" s="289"/>
      <c r="C474" s="279"/>
      <c r="D474" s="423"/>
      <c r="E474" s="423"/>
      <c r="F474" s="423"/>
      <c r="G474" s="423"/>
      <c r="H474" s="423"/>
      <c r="I474" s="423"/>
      <c r="J474" s="423"/>
    </row>
    <row r="475" spans="2:10" s="254" customFormat="1" x14ac:dyDescent="0.35">
      <c r="B475" s="289" t="s">
        <v>861</v>
      </c>
      <c r="C475" s="279"/>
      <c r="D475" s="423"/>
      <c r="E475" s="423"/>
      <c r="F475" s="423"/>
      <c r="G475" s="423"/>
      <c r="H475" s="423"/>
      <c r="I475" s="423"/>
      <c r="J475" s="423"/>
    </row>
    <row r="476" spans="2:10" s="254" customFormat="1" x14ac:dyDescent="0.35">
      <c r="B476" s="289" t="s">
        <v>664</v>
      </c>
      <c r="C476" s="289" t="s">
        <v>369</v>
      </c>
      <c r="D476" s="423"/>
      <c r="E476" s="423"/>
      <c r="F476" s="423"/>
      <c r="G476" s="423"/>
      <c r="H476" s="423"/>
      <c r="I476" s="423"/>
      <c r="J476" s="423"/>
    </row>
    <row r="477" spans="2:10" s="254" customFormat="1" x14ac:dyDescent="0.35">
      <c r="B477" s="289" t="s">
        <v>630</v>
      </c>
      <c r="C477" s="289"/>
      <c r="D477" s="423"/>
      <c r="E477" s="423"/>
      <c r="F477" s="423"/>
      <c r="G477" s="423"/>
      <c r="H477" s="423"/>
      <c r="I477" s="423"/>
      <c r="J477" s="423"/>
    </row>
    <row r="478" spans="2:10" s="254" customFormat="1" x14ac:dyDescent="0.35">
      <c r="B478" s="279" t="s">
        <v>631</v>
      </c>
      <c r="C478" s="279" t="s">
        <v>651</v>
      </c>
      <c r="D478" s="422">
        <v>5015</v>
      </c>
      <c r="E478" s="422">
        <v>12243</v>
      </c>
      <c r="F478" s="422">
        <v>9978</v>
      </c>
      <c r="G478" s="422">
        <v>12949</v>
      </c>
      <c r="H478" s="422">
        <v>13695.52</v>
      </c>
      <c r="I478" s="422">
        <v>17049</v>
      </c>
      <c r="J478" s="422">
        <v>0</v>
      </c>
    </row>
    <row r="479" spans="2:10" s="254" customFormat="1" x14ac:dyDescent="0.35">
      <c r="B479" s="279" t="s">
        <v>632</v>
      </c>
      <c r="C479" s="279" t="s">
        <v>651</v>
      </c>
      <c r="D479" s="422">
        <v>0</v>
      </c>
      <c r="E479" s="422">
        <v>10114</v>
      </c>
      <c r="F479" s="422">
        <v>13195</v>
      </c>
      <c r="G479" s="422">
        <v>11375</v>
      </c>
      <c r="H479" s="422">
        <v>16345</v>
      </c>
      <c r="I479" s="422">
        <v>0</v>
      </c>
      <c r="J479" s="422">
        <v>0</v>
      </c>
    </row>
    <row r="480" spans="2:10" s="254" customFormat="1" x14ac:dyDescent="0.35">
      <c r="B480" s="279" t="s">
        <v>633</v>
      </c>
      <c r="C480" s="279" t="s">
        <v>651</v>
      </c>
      <c r="D480" s="422">
        <v>11280</v>
      </c>
      <c r="E480" s="422">
        <v>15043</v>
      </c>
      <c r="F480" s="422">
        <v>13955</v>
      </c>
      <c r="G480" s="422">
        <v>13448</v>
      </c>
      <c r="H480" s="422">
        <v>18381.78</v>
      </c>
      <c r="I480" s="422">
        <v>14690.31</v>
      </c>
      <c r="J480" s="422">
        <v>0</v>
      </c>
    </row>
    <row r="481" spans="2:10" s="254" customFormat="1" x14ac:dyDescent="0.35">
      <c r="B481" s="279" t="s">
        <v>634</v>
      </c>
      <c r="C481" s="279" t="s">
        <v>651</v>
      </c>
      <c r="D481" s="422">
        <v>13144</v>
      </c>
      <c r="E481" s="422">
        <v>13453</v>
      </c>
      <c r="F481" s="422">
        <v>14406</v>
      </c>
      <c r="G481" s="422">
        <v>14269</v>
      </c>
      <c r="H481" s="422">
        <v>12057.03</v>
      </c>
      <c r="I481" s="422">
        <v>12242.86</v>
      </c>
      <c r="J481" s="422">
        <v>0</v>
      </c>
    </row>
    <row r="482" spans="2:10" s="254" customFormat="1" x14ac:dyDescent="0.35">
      <c r="B482" s="279" t="s">
        <v>635</v>
      </c>
      <c r="C482" s="279" t="s">
        <v>651</v>
      </c>
      <c r="D482" s="422">
        <v>0</v>
      </c>
      <c r="E482" s="422">
        <v>6257</v>
      </c>
      <c r="F482" s="422">
        <v>9793</v>
      </c>
      <c r="G482" s="422">
        <v>6457</v>
      </c>
      <c r="H482" s="422">
        <v>6712</v>
      </c>
      <c r="I482" s="422">
        <v>0</v>
      </c>
      <c r="J482" s="422">
        <v>0</v>
      </c>
    </row>
    <row r="483" spans="2:10" s="254" customFormat="1" x14ac:dyDescent="0.35">
      <c r="B483" s="289" t="s">
        <v>636</v>
      </c>
      <c r="C483" s="279" t="s">
        <v>651</v>
      </c>
      <c r="D483" s="423">
        <f t="shared" ref="D483:I483" si="260">SUM(D478:D482)</f>
        <v>29439</v>
      </c>
      <c r="E483" s="423">
        <f t="shared" si="260"/>
        <v>57110</v>
      </c>
      <c r="F483" s="423">
        <f t="shared" si="260"/>
        <v>61327</v>
      </c>
      <c r="G483" s="423">
        <f t="shared" si="260"/>
        <v>58498</v>
      </c>
      <c r="H483" s="423">
        <f t="shared" si="260"/>
        <v>67191.33</v>
      </c>
      <c r="I483" s="423">
        <f t="shared" si="260"/>
        <v>43982.17</v>
      </c>
      <c r="J483" s="423">
        <f t="shared" ref="J483" si="261">SUM(J478:J482)</f>
        <v>0</v>
      </c>
    </row>
    <row r="484" spans="2:10" s="254" customFormat="1" x14ac:dyDescent="0.35">
      <c r="B484" s="289" t="s">
        <v>637</v>
      </c>
      <c r="C484" s="279" t="s">
        <v>651</v>
      </c>
      <c r="D484" s="423"/>
      <c r="E484" s="423"/>
      <c r="F484" s="423"/>
      <c r="G484" s="423"/>
      <c r="H484" s="423"/>
      <c r="I484" s="423"/>
      <c r="J484" s="423"/>
    </row>
    <row r="485" spans="2:10" s="254" customFormat="1" x14ac:dyDescent="0.35">
      <c r="B485" s="279" t="s">
        <v>638</v>
      </c>
      <c r="C485" s="279" t="s">
        <v>651</v>
      </c>
      <c r="D485" s="422">
        <v>0</v>
      </c>
      <c r="E485" s="422">
        <v>19539</v>
      </c>
      <c r="F485" s="422">
        <v>26600</v>
      </c>
      <c r="G485" s="422">
        <v>25411</v>
      </c>
      <c r="H485" s="422">
        <v>27688</v>
      </c>
      <c r="I485" s="422">
        <v>0</v>
      </c>
      <c r="J485" s="422">
        <v>0</v>
      </c>
    </row>
    <row r="486" spans="2:10" s="254" customFormat="1" x14ac:dyDescent="0.35">
      <c r="B486" s="279" t="s">
        <v>639</v>
      </c>
      <c r="C486" s="279" t="s">
        <v>651</v>
      </c>
      <c r="D486" s="422">
        <v>0</v>
      </c>
      <c r="E486" s="422">
        <v>0</v>
      </c>
      <c r="F486" s="422">
        <v>16110</v>
      </c>
      <c r="G486" s="422">
        <v>14713</v>
      </c>
      <c r="H486" s="422">
        <v>14996</v>
      </c>
      <c r="I486" s="422">
        <v>0</v>
      </c>
      <c r="J486" s="422">
        <v>0</v>
      </c>
    </row>
    <row r="487" spans="2:10" s="254" customFormat="1" x14ac:dyDescent="0.35">
      <c r="B487" s="279" t="s">
        <v>640</v>
      </c>
      <c r="C487" s="279" t="s">
        <v>651</v>
      </c>
      <c r="D487" s="422">
        <v>0</v>
      </c>
      <c r="E487" s="422">
        <v>15300</v>
      </c>
      <c r="F487" s="422">
        <v>20472</v>
      </c>
      <c r="G487" s="422">
        <v>15764</v>
      </c>
      <c r="H487" s="422">
        <v>22156</v>
      </c>
      <c r="I487" s="422">
        <v>0</v>
      </c>
      <c r="J487" s="422">
        <v>0</v>
      </c>
    </row>
    <row r="488" spans="2:10" s="254" customFormat="1" x14ac:dyDescent="0.35">
      <c r="B488" s="279" t="s">
        <v>641</v>
      </c>
      <c r="C488" s="279" t="s">
        <v>651</v>
      </c>
      <c r="D488" s="422">
        <v>0</v>
      </c>
      <c r="E488" s="422">
        <v>0</v>
      </c>
      <c r="F488" s="422">
        <v>10989</v>
      </c>
      <c r="G488" s="422">
        <v>13665</v>
      </c>
      <c r="H488" s="422">
        <v>12304</v>
      </c>
      <c r="I488" s="422">
        <v>9475.2000000000007</v>
      </c>
      <c r="J488" s="422">
        <v>0</v>
      </c>
    </row>
    <row r="489" spans="2:10" s="254" customFormat="1" x14ac:dyDescent="0.35">
      <c r="B489" s="279" t="s">
        <v>642</v>
      </c>
      <c r="C489" s="279" t="s">
        <v>651</v>
      </c>
      <c r="D489" s="422">
        <v>0</v>
      </c>
      <c r="E489" s="422">
        <v>0</v>
      </c>
      <c r="F489" s="422">
        <v>10017</v>
      </c>
      <c r="G489" s="422">
        <v>10291</v>
      </c>
      <c r="H489" s="422">
        <v>10470</v>
      </c>
      <c r="I489" s="422">
        <v>0</v>
      </c>
      <c r="J489" s="422">
        <v>0</v>
      </c>
    </row>
    <row r="490" spans="2:10" s="254" customFormat="1" x14ac:dyDescent="0.35">
      <c r="B490" s="289" t="s">
        <v>643</v>
      </c>
      <c r="C490" s="279" t="s">
        <v>651</v>
      </c>
      <c r="D490" s="423">
        <f t="shared" ref="D490:I490" si="262">SUM(D485:D489)</f>
        <v>0</v>
      </c>
      <c r="E490" s="423">
        <f t="shared" si="262"/>
        <v>34839</v>
      </c>
      <c r="F490" s="423">
        <f t="shared" si="262"/>
        <v>84188</v>
      </c>
      <c r="G490" s="423">
        <f t="shared" si="262"/>
        <v>79844</v>
      </c>
      <c r="H490" s="423">
        <f t="shared" si="262"/>
        <v>87614</v>
      </c>
      <c r="I490" s="423">
        <f t="shared" si="262"/>
        <v>9475.2000000000007</v>
      </c>
      <c r="J490" s="423">
        <f t="shared" ref="J490" si="263">SUM(J485:J489)</f>
        <v>0</v>
      </c>
    </row>
    <row r="491" spans="2:10" s="254" customFormat="1" x14ac:dyDescent="0.35">
      <c r="B491" s="289" t="s">
        <v>644</v>
      </c>
      <c r="C491" s="279" t="s">
        <v>651</v>
      </c>
      <c r="D491" s="423"/>
      <c r="E491" s="423"/>
      <c r="F491" s="423"/>
      <c r="G491" s="423"/>
      <c r="H491" s="423"/>
      <c r="I491" s="423"/>
      <c r="J491" s="423"/>
    </row>
    <row r="492" spans="2:10" s="254" customFormat="1" x14ac:dyDescent="0.35">
      <c r="B492" s="279" t="s">
        <v>645</v>
      </c>
      <c r="C492" s="279" t="s">
        <v>651</v>
      </c>
      <c r="D492" s="422">
        <v>103</v>
      </c>
      <c r="E492" s="539">
        <v>0</v>
      </c>
      <c r="F492" s="422">
        <v>578</v>
      </c>
      <c r="G492" s="422">
        <v>0</v>
      </c>
      <c r="H492" s="422">
        <v>480</v>
      </c>
      <c r="I492" s="422">
        <v>0</v>
      </c>
      <c r="J492" s="422">
        <v>0</v>
      </c>
    </row>
    <row r="493" spans="2:10" s="254" customFormat="1" x14ac:dyDescent="0.35">
      <c r="B493" s="279" t="s">
        <v>646</v>
      </c>
      <c r="C493" s="279" t="s">
        <v>651</v>
      </c>
      <c r="D493" s="422">
        <v>0</v>
      </c>
      <c r="E493" s="539">
        <v>0</v>
      </c>
      <c r="F493" s="422">
        <v>0</v>
      </c>
      <c r="G493" s="422">
        <v>8331</v>
      </c>
      <c r="H493" s="422">
        <v>0</v>
      </c>
      <c r="I493" s="422">
        <v>0</v>
      </c>
      <c r="J493" s="422">
        <v>0</v>
      </c>
    </row>
    <row r="494" spans="2:10" s="254" customFormat="1" x14ac:dyDescent="0.35">
      <c r="B494" s="279" t="s">
        <v>647</v>
      </c>
      <c r="C494" s="279" t="s">
        <v>651</v>
      </c>
      <c r="D494" s="422">
        <v>0</v>
      </c>
      <c r="E494" s="539">
        <v>0</v>
      </c>
      <c r="F494" s="422">
        <v>0</v>
      </c>
      <c r="G494" s="422">
        <v>4559</v>
      </c>
      <c r="H494" s="422">
        <v>1344</v>
      </c>
      <c r="I494" s="422">
        <v>0</v>
      </c>
      <c r="J494" s="422">
        <v>0</v>
      </c>
    </row>
    <row r="495" spans="2:10" s="254" customFormat="1" x14ac:dyDescent="0.35">
      <c r="B495" s="279" t="s">
        <v>648</v>
      </c>
      <c r="C495" s="279" t="s">
        <v>651</v>
      </c>
      <c r="D495" s="422">
        <v>0</v>
      </c>
      <c r="E495" s="539">
        <v>0</v>
      </c>
      <c r="F495" s="422">
        <v>15546</v>
      </c>
      <c r="G495" s="422">
        <v>2456</v>
      </c>
      <c r="H495" s="422">
        <v>0</v>
      </c>
      <c r="I495" s="422">
        <v>0</v>
      </c>
      <c r="J495" s="422">
        <v>0</v>
      </c>
    </row>
    <row r="496" spans="2:10" s="254" customFormat="1" x14ac:dyDescent="0.35">
      <c r="B496" s="289" t="s">
        <v>649</v>
      </c>
      <c r="C496" s="279" t="s">
        <v>651</v>
      </c>
      <c r="D496" s="423">
        <f t="shared" ref="D496:I496" si="264">SUM(D492:D495)</f>
        <v>103</v>
      </c>
      <c r="E496" s="423">
        <f t="shared" si="264"/>
        <v>0</v>
      </c>
      <c r="F496" s="423">
        <f t="shared" si="264"/>
        <v>16124</v>
      </c>
      <c r="G496" s="423">
        <f t="shared" si="264"/>
        <v>15346</v>
      </c>
      <c r="H496" s="423">
        <f t="shared" si="264"/>
        <v>1824</v>
      </c>
      <c r="I496" s="423">
        <f t="shared" si="264"/>
        <v>0</v>
      </c>
      <c r="J496" s="423">
        <f t="shared" ref="J496" si="265">SUM(J492:J495)</f>
        <v>0</v>
      </c>
    </row>
    <row r="497" spans="2:10" s="254" customFormat="1" x14ac:dyDescent="0.35">
      <c r="B497" s="289" t="s">
        <v>36</v>
      </c>
      <c r="C497" s="279" t="s">
        <v>651</v>
      </c>
      <c r="D497" s="423">
        <f t="shared" ref="D497:I497" si="266">D483+D490+D496</f>
        <v>29542</v>
      </c>
      <c r="E497" s="423">
        <f t="shared" si="266"/>
        <v>91949</v>
      </c>
      <c r="F497" s="423">
        <f t="shared" si="266"/>
        <v>161639</v>
      </c>
      <c r="G497" s="423">
        <f t="shared" si="266"/>
        <v>153688</v>
      </c>
      <c r="H497" s="423">
        <f t="shared" si="266"/>
        <v>156629.33000000002</v>
      </c>
      <c r="I497" s="423">
        <f t="shared" si="266"/>
        <v>53457.369999999995</v>
      </c>
      <c r="J497" s="423">
        <f t="shared" ref="J497" si="267">J483+J490+J496</f>
        <v>0</v>
      </c>
    </row>
    <row r="498" spans="2:10" s="254" customFormat="1" x14ac:dyDescent="0.35">
      <c r="B498" s="289"/>
      <c r="C498" s="279"/>
      <c r="D498" s="423"/>
      <c r="E498" s="423"/>
      <c r="F498" s="423"/>
      <c r="G498" s="423"/>
      <c r="H498" s="423"/>
      <c r="I498" s="423"/>
      <c r="J498" s="423"/>
    </row>
    <row r="499" spans="2:10" s="254" customFormat="1" x14ac:dyDescent="0.35">
      <c r="B499" s="289" t="s">
        <v>862</v>
      </c>
      <c r="C499" s="279"/>
      <c r="D499" s="423"/>
      <c r="E499" s="423"/>
      <c r="F499" s="423"/>
      <c r="G499" s="423"/>
      <c r="H499" s="423"/>
      <c r="I499" s="423"/>
      <c r="J499" s="423"/>
    </row>
    <row r="500" spans="2:10" s="254" customFormat="1" x14ac:dyDescent="0.35">
      <c r="B500" s="289" t="s">
        <v>664</v>
      </c>
      <c r="C500" s="289" t="s">
        <v>369</v>
      </c>
      <c r="D500" s="423"/>
      <c r="E500" s="423"/>
      <c r="F500" s="423"/>
      <c r="G500" s="423"/>
      <c r="H500" s="423"/>
      <c r="I500" s="423"/>
      <c r="J500" s="423"/>
    </row>
    <row r="501" spans="2:10" s="254" customFormat="1" x14ac:dyDescent="0.35">
      <c r="B501" s="289" t="s">
        <v>630</v>
      </c>
      <c r="C501" s="289"/>
      <c r="D501" s="423"/>
      <c r="E501" s="423"/>
      <c r="F501" s="423"/>
      <c r="G501" s="423"/>
      <c r="H501" s="423"/>
      <c r="I501" s="423"/>
      <c r="J501" s="423"/>
    </row>
    <row r="502" spans="2:10" s="254" customFormat="1" x14ac:dyDescent="0.35">
      <c r="B502" s="279" t="s">
        <v>631</v>
      </c>
      <c r="C502" s="279" t="s">
        <v>651</v>
      </c>
      <c r="D502" s="423"/>
      <c r="E502" s="423"/>
      <c r="F502" s="423"/>
      <c r="G502" s="423"/>
      <c r="H502" s="423"/>
      <c r="I502" s="422">
        <v>0</v>
      </c>
      <c r="J502" s="422">
        <v>183697</v>
      </c>
    </row>
    <row r="503" spans="2:10" s="254" customFormat="1" x14ac:dyDescent="0.35">
      <c r="B503" s="279" t="s">
        <v>632</v>
      </c>
      <c r="C503" s="279" t="s">
        <v>651</v>
      </c>
      <c r="D503" s="423"/>
      <c r="E503" s="423"/>
      <c r="F503" s="423"/>
      <c r="G503" s="423"/>
      <c r="H503" s="423"/>
      <c r="I503" s="422">
        <v>381385</v>
      </c>
      <c r="J503" s="422">
        <v>781319</v>
      </c>
    </row>
    <row r="504" spans="2:10" s="254" customFormat="1" x14ac:dyDescent="0.35">
      <c r="B504" s="279" t="s">
        <v>633</v>
      </c>
      <c r="C504" s="279" t="s">
        <v>651</v>
      </c>
      <c r="D504" s="423"/>
      <c r="E504" s="423"/>
      <c r="F504" s="423"/>
      <c r="G504" s="423"/>
      <c r="H504" s="423"/>
      <c r="I504" s="422">
        <v>0</v>
      </c>
      <c r="J504" s="422">
        <v>46982</v>
      </c>
    </row>
    <row r="505" spans="2:10" s="254" customFormat="1" x14ac:dyDescent="0.35">
      <c r="B505" s="279" t="s">
        <v>634</v>
      </c>
      <c r="C505" s="279" t="s">
        <v>651</v>
      </c>
      <c r="D505" s="423"/>
      <c r="E505" s="423"/>
      <c r="F505" s="423"/>
      <c r="G505" s="423"/>
      <c r="H505" s="423"/>
      <c r="I505" s="422">
        <v>0</v>
      </c>
      <c r="J505" s="422">
        <v>15150</v>
      </c>
    </row>
    <row r="506" spans="2:10" s="254" customFormat="1" x14ac:dyDescent="0.35">
      <c r="B506" s="279" t="s">
        <v>635</v>
      </c>
      <c r="C506" s="279" t="s">
        <v>651</v>
      </c>
      <c r="D506" s="423"/>
      <c r="E506" s="423"/>
      <c r="F506" s="423"/>
      <c r="G506" s="423"/>
      <c r="H506" s="423"/>
      <c r="I506" s="422">
        <v>537100</v>
      </c>
      <c r="J506" s="422">
        <v>550550</v>
      </c>
    </row>
    <row r="507" spans="2:10" s="254" customFormat="1" x14ac:dyDescent="0.35">
      <c r="B507" s="289" t="s">
        <v>636</v>
      </c>
      <c r="C507" s="279" t="s">
        <v>651</v>
      </c>
      <c r="D507" s="423"/>
      <c r="E507" s="423"/>
      <c r="F507" s="423"/>
      <c r="G507" s="423"/>
      <c r="H507" s="423"/>
      <c r="I507" s="423">
        <f>SUM(I502:I506)</f>
        <v>918485</v>
      </c>
      <c r="J507" s="423">
        <f>SUM(J502:J506)</f>
        <v>1577698</v>
      </c>
    </row>
    <row r="508" spans="2:10" s="254" customFormat="1" x14ac:dyDescent="0.35">
      <c r="B508" s="289" t="s">
        <v>637</v>
      </c>
      <c r="C508" s="279" t="s">
        <v>651</v>
      </c>
      <c r="D508" s="423"/>
      <c r="E508" s="423"/>
      <c r="F508" s="423"/>
      <c r="G508" s="423"/>
      <c r="H508" s="423"/>
      <c r="I508" s="423"/>
      <c r="J508" s="423"/>
    </row>
    <row r="509" spans="2:10" s="254" customFormat="1" x14ac:dyDescent="0.35">
      <c r="B509" s="279" t="s">
        <v>638</v>
      </c>
      <c r="C509" s="279" t="s">
        <v>651</v>
      </c>
      <c r="D509" s="423"/>
      <c r="E509" s="423"/>
      <c r="F509" s="423"/>
      <c r="G509" s="423"/>
      <c r="H509" s="423"/>
      <c r="I509" s="422">
        <v>248438</v>
      </c>
      <c r="J509" s="422">
        <v>854653</v>
      </c>
    </row>
    <row r="510" spans="2:10" s="254" customFormat="1" x14ac:dyDescent="0.35">
      <c r="B510" s="279" t="s">
        <v>639</v>
      </c>
      <c r="C510" s="279" t="s">
        <v>651</v>
      </c>
      <c r="D510" s="423"/>
      <c r="E510" s="423"/>
      <c r="F510" s="423"/>
      <c r="G510" s="423"/>
      <c r="H510" s="423"/>
      <c r="I510" s="422">
        <v>0</v>
      </c>
      <c r="J510" s="422">
        <v>568870</v>
      </c>
    </row>
    <row r="511" spans="2:10" s="254" customFormat="1" x14ac:dyDescent="0.35">
      <c r="B511" s="279" t="s">
        <v>640</v>
      </c>
      <c r="C511" s="279" t="s">
        <v>651</v>
      </c>
      <c r="D511" s="423"/>
      <c r="E511" s="423"/>
      <c r="F511" s="423"/>
      <c r="G511" s="423"/>
      <c r="H511" s="423"/>
      <c r="I511" s="422">
        <v>653800</v>
      </c>
      <c r="J511" s="422">
        <v>558800</v>
      </c>
    </row>
    <row r="512" spans="2:10" s="254" customFormat="1" x14ac:dyDescent="0.35">
      <c r="B512" s="279" t="s">
        <v>641</v>
      </c>
      <c r="C512" s="279" t="s">
        <v>651</v>
      </c>
      <c r="D512" s="423"/>
      <c r="E512" s="423"/>
      <c r="F512" s="423"/>
      <c r="G512" s="423"/>
      <c r="H512" s="423"/>
      <c r="I512" s="422">
        <v>0</v>
      </c>
      <c r="J512" s="422">
        <v>259490</v>
      </c>
    </row>
    <row r="513" spans="2:10" s="254" customFormat="1" x14ac:dyDescent="0.35">
      <c r="B513" s="279" t="s">
        <v>642</v>
      </c>
      <c r="C513" s="279" t="s">
        <v>651</v>
      </c>
      <c r="D513" s="423"/>
      <c r="E513" s="423"/>
      <c r="F513" s="423"/>
      <c r="G513" s="423"/>
      <c r="H513" s="423"/>
      <c r="I513" s="422">
        <v>0</v>
      </c>
      <c r="J513" s="422">
        <v>156009</v>
      </c>
    </row>
    <row r="514" spans="2:10" s="254" customFormat="1" x14ac:dyDescent="0.35">
      <c r="B514" s="289" t="s">
        <v>643</v>
      </c>
      <c r="C514" s="279" t="s">
        <v>651</v>
      </c>
      <c r="D514" s="423"/>
      <c r="E514" s="423"/>
      <c r="F514" s="423"/>
      <c r="G514" s="423"/>
      <c r="H514" s="423"/>
      <c r="I514" s="423">
        <f>SUM(I509:I513)</f>
        <v>902238</v>
      </c>
      <c r="J514" s="423">
        <f>SUM(J509:J513)</f>
        <v>2397822</v>
      </c>
    </row>
    <row r="515" spans="2:10" s="254" customFormat="1" x14ac:dyDescent="0.35">
      <c r="B515" s="289" t="s">
        <v>644</v>
      </c>
      <c r="C515" s="279" t="s">
        <v>651</v>
      </c>
      <c r="D515" s="423"/>
      <c r="E515" s="423"/>
      <c r="F515" s="423"/>
      <c r="G515" s="423"/>
      <c r="H515" s="423"/>
      <c r="I515" s="423"/>
      <c r="J515" s="423"/>
    </row>
    <row r="516" spans="2:10" s="254" customFormat="1" x14ac:dyDescent="0.35">
      <c r="B516" s="279" t="s">
        <v>645</v>
      </c>
      <c r="C516" s="279" t="s">
        <v>651</v>
      </c>
      <c r="D516" s="423"/>
      <c r="E516" s="423"/>
      <c r="F516" s="423"/>
      <c r="G516" s="423"/>
      <c r="H516" s="423"/>
      <c r="I516" s="422">
        <v>0</v>
      </c>
      <c r="J516" s="422">
        <v>83990</v>
      </c>
    </row>
    <row r="517" spans="2:10" s="254" customFormat="1" x14ac:dyDescent="0.35">
      <c r="B517" s="279" t="s">
        <v>646</v>
      </c>
      <c r="C517" s="279" t="s">
        <v>651</v>
      </c>
      <c r="D517" s="423"/>
      <c r="E517" s="423"/>
      <c r="F517" s="423"/>
      <c r="G517" s="423"/>
      <c r="H517" s="423"/>
      <c r="I517" s="422">
        <v>145451</v>
      </c>
      <c r="J517" s="422">
        <v>0</v>
      </c>
    </row>
    <row r="518" spans="2:10" s="254" customFormat="1" x14ac:dyDescent="0.35">
      <c r="B518" s="279" t="s">
        <v>647</v>
      </c>
      <c r="C518" s="279" t="s">
        <v>651</v>
      </c>
      <c r="D518" s="423"/>
      <c r="E518" s="423"/>
      <c r="F518" s="423"/>
      <c r="G518" s="423"/>
      <c r="H518" s="423"/>
      <c r="I518" s="422">
        <v>295190</v>
      </c>
      <c r="J518" s="422">
        <v>222075</v>
      </c>
    </row>
    <row r="519" spans="2:10" s="254" customFormat="1" x14ac:dyDescent="0.35">
      <c r="B519" s="279" t="s">
        <v>648</v>
      </c>
      <c r="C519" s="279" t="s">
        <v>651</v>
      </c>
      <c r="D519" s="423"/>
      <c r="E519" s="423"/>
      <c r="F519" s="423"/>
      <c r="G519" s="423"/>
      <c r="H519" s="423"/>
      <c r="I519" s="422">
        <v>246447</v>
      </c>
      <c r="J519" s="422">
        <v>433498</v>
      </c>
    </row>
    <row r="520" spans="2:10" s="254" customFormat="1" x14ac:dyDescent="0.35">
      <c r="B520" s="289" t="s">
        <v>649</v>
      </c>
      <c r="C520" s="279" t="s">
        <v>651</v>
      </c>
      <c r="D520" s="423"/>
      <c r="E520" s="423"/>
      <c r="F520" s="423"/>
      <c r="G520" s="423"/>
      <c r="H520" s="423"/>
      <c r="I520" s="423">
        <f>SUM(I516:I519)</f>
        <v>687088</v>
      </c>
      <c r="J520" s="423">
        <f>SUM(J516:J519)</f>
        <v>739563</v>
      </c>
    </row>
    <row r="521" spans="2:10" s="254" customFormat="1" x14ac:dyDescent="0.35">
      <c r="B521" s="289" t="s">
        <v>36</v>
      </c>
      <c r="C521" s="279" t="s">
        <v>651</v>
      </c>
      <c r="D521" s="423"/>
      <c r="E521" s="423"/>
      <c r="F521" s="423"/>
      <c r="G521" s="423"/>
      <c r="H521" s="423"/>
      <c r="I521" s="423">
        <f>I507+I514+I520</f>
        <v>2507811</v>
      </c>
      <c r="J521" s="423">
        <f>J507+J514+J520</f>
        <v>4715083</v>
      </c>
    </row>
    <row r="522" spans="2:10" s="254" customFormat="1" x14ac:dyDescent="0.35">
      <c r="B522" s="289"/>
      <c r="C522" s="279"/>
      <c r="D522" s="423"/>
      <c r="E522" s="423"/>
      <c r="F522" s="423"/>
      <c r="G522" s="423"/>
      <c r="H522" s="423"/>
      <c r="I522" s="423"/>
      <c r="J522" s="423"/>
    </row>
    <row r="523" spans="2:10" s="254" customFormat="1" x14ac:dyDescent="0.35">
      <c r="B523" s="289" t="s">
        <v>772</v>
      </c>
      <c r="C523" s="279"/>
      <c r="D523" s="423"/>
      <c r="E523" s="423"/>
      <c r="F523" s="423"/>
      <c r="G523" s="423"/>
      <c r="H523" s="423"/>
      <c r="I523" s="423"/>
      <c r="J523" s="423"/>
    </row>
    <row r="524" spans="2:10" s="254" customFormat="1" x14ac:dyDescent="0.35">
      <c r="B524" s="289" t="s">
        <v>664</v>
      </c>
      <c r="C524" s="289" t="s">
        <v>369</v>
      </c>
      <c r="D524" s="423"/>
      <c r="E524" s="423"/>
      <c r="F524" s="423"/>
      <c r="G524" s="423"/>
      <c r="H524" s="423"/>
      <c r="I524" s="423"/>
      <c r="J524" s="423"/>
    </row>
    <row r="525" spans="2:10" s="254" customFormat="1" x14ac:dyDescent="0.35">
      <c r="B525" s="289" t="s">
        <v>630</v>
      </c>
      <c r="C525" s="289"/>
      <c r="D525" s="423"/>
      <c r="E525" s="423"/>
      <c r="F525" s="423"/>
      <c r="G525" s="423"/>
      <c r="H525" s="423"/>
      <c r="I525" s="423"/>
      <c r="J525" s="423"/>
    </row>
    <row r="526" spans="2:10" s="254" customFormat="1" x14ac:dyDescent="0.35">
      <c r="B526" s="279" t="s">
        <v>631</v>
      </c>
      <c r="C526" s="279" t="s">
        <v>651</v>
      </c>
      <c r="D526" s="423"/>
      <c r="E526" s="423"/>
      <c r="F526" s="423"/>
      <c r="G526" s="423"/>
      <c r="H526" s="423"/>
      <c r="I526" s="422">
        <v>0</v>
      </c>
      <c r="J526" s="422">
        <v>0</v>
      </c>
    </row>
    <row r="527" spans="2:10" s="254" customFormat="1" x14ac:dyDescent="0.35">
      <c r="B527" s="279" t="s">
        <v>632</v>
      </c>
      <c r="C527" s="279" t="s">
        <v>651</v>
      </c>
      <c r="D527" s="423"/>
      <c r="E527" s="423"/>
      <c r="F527" s="423"/>
      <c r="G527" s="423"/>
      <c r="H527" s="423"/>
      <c r="I527" s="422">
        <v>293098.40000000002</v>
      </c>
      <c r="J527" s="422">
        <v>683208.60000000009</v>
      </c>
    </row>
    <row r="528" spans="2:10" s="254" customFormat="1" x14ac:dyDescent="0.35">
      <c r="B528" s="279" t="s">
        <v>633</v>
      </c>
      <c r="C528" s="279" t="s">
        <v>651</v>
      </c>
      <c r="D528" s="423"/>
      <c r="E528" s="423"/>
      <c r="F528" s="423"/>
      <c r="G528" s="423"/>
      <c r="H528" s="423"/>
      <c r="I528" s="422">
        <v>0</v>
      </c>
      <c r="J528" s="422">
        <v>0</v>
      </c>
    </row>
    <row r="529" spans="2:10" s="254" customFormat="1" x14ac:dyDescent="0.35">
      <c r="B529" s="279" t="s">
        <v>634</v>
      </c>
      <c r="C529" s="279" t="s">
        <v>651</v>
      </c>
      <c r="D529" s="423"/>
      <c r="E529" s="423"/>
      <c r="F529" s="423"/>
      <c r="G529" s="423"/>
      <c r="H529" s="423"/>
      <c r="I529" s="422">
        <v>0</v>
      </c>
      <c r="J529" s="422">
        <v>0</v>
      </c>
    </row>
    <row r="530" spans="2:10" s="254" customFormat="1" x14ac:dyDescent="0.35">
      <c r="B530" s="279" t="s">
        <v>635</v>
      </c>
      <c r="C530" s="279" t="s">
        <v>651</v>
      </c>
      <c r="D530" s="423"/>
      <c r="E530" s="423"/>
      <c r="F530" s="423"/>
      <c r="G530" s="423"/>
      <c r="H530" s="423"/>
      <c r="I530" s="422">
        <v>272400</v>
      </c>
      <c r="J530" s="422">
        <v>552300</v>
      </c>
    </row>
    <row r="531" spans="2:10" s="254" customFormat="1" x14ac:dyDescent="0.35">
      <c r="B531" s="289" t="s">
        <v>636</v>
      </c>
      <c r="C531" s="279" t="s">
        <v>651</v>
      </c>
      <c r="D531" s="423"/>
      <c r="E531" s="423"/>
      <c r="F531" s="423"/>
      <c r="G531" s="423"/>
      <c r="H531" s="423"/>
      <c r="I531" s="423">
        <f>SUM(I526:I530)</f>
        <v>565498.4</v>
      </c>
      <c r="J531" s="423">
        <f>SUM(J526:J530)</f>
        <v>1235508.6000000001</v>
      </c>
    </row>
    <row r="532" spans="2:10" s="254" customFormat="1" x14ac:dyDescent="0.35">
      <c r="B532" s="289" t="s">
        <v>637</v>
      </c>
      <c r="C532" s="279" t="s">
        <v>651</v>
      </c>
      <c r="D532" s="423"/>
      <c r="E532" s="423"/>
      <c r="F532" s="423"/>
      <c r="G532" s="423"/>
      <c r="H532" s="423"/>
      <c r="I532" s="423"/>
      <c r="J532" s="423"/>
    </row>
    <row r="533" spans="2:10" s="254" customFormat="1" x14ac:dyDescent="0.35">
      <c r="B533" s="279" t="s">
        <v>638</v>
      </c>
      <c r="C533" s="279" t="s">
        <v>651</v>
      </c>
      <c r="D533" s="423"/>
      <c r="E533" s="423"/>
      <c r="F533" s="423"/>
      <c r="G533" s="423"/>
      <c r="H533" s="423"/>
      <c r="I533" s="422">
        <v>0</v>
      </c>
      <c r="J533" s="422">
        <v>702312</v>
      </c>
    </row>
    <row r="534" spans="2:10" s="254" customFormat="1" x14ac:dyDescent="0.35">
      <c r="B534" s="279" t="s">
        <v>639</v>
      </c>
      <c r="C534" s="279" t="s">
        <v>651</v>
      </c>
      <c r="D534" s="423"/>
      <c r="E534" s="423"/>
      <c r="F534" s="423"/>
      <c r="G534" s="423"/>
      <c r="H534" s="423"/>
      <c r="I534" s="422">
        <v>0</v>
      </c>
      <c r="J534" s="422">
        <v>195000</v>
      </c>
    </row>
    <row r="535" spans="2:10" s="254" customFormat="1" x14ac:dyDescent="0.35">
      <c r="B535" s="279" t="s">
        <v>640</v>
      </c>
      <c r="C535" s="279" t="s">
        <v>651</v>
      </c>
      <c r="D535" s="423"/>
      <c r="E535" s="423"/>
      <c r="F535" s="423"/>
      <c r="G535" s="423"/>
      <c r="H535" s="423"/>
      <c r="I535" s="422">
        <v>485000</v>
      </c>
      <c r="J535" s="422">
        <v>576800</v>
      </c>
    </row>
    <row r="536" spans="2:10" s="254" customFormat="1" x14ac:dyDescent="0.35">
      <c r="B536" s="279" t="s">
        <v>641</v>
      </c>
      <c r="C536" s="279" t="s">
        <v>651</v>
      </c>
      <c r="D536" s="423"/>
      <c r="E536" s="423"/>
      <c r="F536" s="423"/>
      <c r="G536" s="423"/>
      <c r="H536" s="423"/>
      <c r="I536" s="422">
        <v>0</v>
      </c>
      <c r="J536" s="422">
        <v>73868.900000000038</v>
      </c>
    </row>
    <row r="537" spans="2:10" s="254" customFormat="1" x14ac:dyDescent="0.35">
      <c r="B537" s="279" t="s">
        <v>642</v>
      </c>
      <c r="C537" s="279" t="s">
        <v>651</v>
      </c>
      <c r="D537" s="423"/>
      <c r="E537" s="423"/>
      <c r="F537" s="423"/>
      <c r="G537" s="423"/>
      <c r="H537" s="423"/>
      <c r="I537" s="422">
        <v>0</v>
      </c>
      <c r="J537" s="422">
        <v>19074.099999999995</v>
      </c>
    </row>
    <row r="538" spans="2:10" s="254" customFormat="1" x14ac:dyDescent="0.35">
      <c r="B538" s="289" t="s">
        <v>643</v>
      </c>
      <c r="C538" s="279" t="s">
        <v>651</v>
      </c>
      <c r="D538" s="423"/>
      <c r="E538" s="423"/>
      <c r="F538" s="423"/>
      <c r="G538" s="423"/>
      <c r="H538" s="423"/>
      <c r="I538" s="423">
        <f>SUM(I533:I537)</f>
        <v>485000</v>
      </c>
      <c r="J538" s="423">
        <f>SUM(J533:J537)</f>
        <v>1567055.0000000002</v>
      </c>
    </row>
    <row r="539" spans="2:10" s="254" customFormat="1" x14ac:dyDescent="0.35">
      <c r="B539" s="289" t="s">
        <v>644</v>
      </c>
      <c r="C539" s="279" t="s">
        <v>651</v>
      </c>
      <c r="D539" s="423"/>
      <c r="E539" s="423"/>
      <c r="F539" s="423"/>
      <c r="G539" s="423"/>
      <c r="H539" s="423"/>
      <c r="I539" s="423"/>
      <c r="J539" s="423"/>
    </row>
    <row r="540" spans="2:10" s="254" customFormat="1" x14ac:dyDescent="0.35">
      <c r="B540" s="279" t="s">
        <v>645</v>
      </c>
      <c r="C540" s="279" t="s">
        <v>651</v>
      </c>
      <c r="D540" s="423"/>
      <c r="E540" s="423"/>
      <c r="F540" s="423"/>
      <c r="G540" s="423"/>
      <c r="H540" s="423"/>
      <c r="I540" s="422">
        <v>0</v>
      </c>
      <c r="J540" s="422">
        <v>0</v>
      </c>
    </row>
    <row r="541" spans="2:10" s="254" customFormat="1" x14ac:dyDescent="0.35">
      <c r="B541" s="279" t="s">
        <v>646</v>
      </c>
      <c r="C541" s="279" t="s">
        <v>651</v>
      </c>
      <c r="D541" s="423"/>
      <c r="E541" s="423"/>
      <c r="F541" s="423"/>
      <c r="G541" s="423"/>
      <c r="H541" s="423"/>
      <c r="I541" s="422">
        <v>35000</v>
      </c>
      <c r="J541" s="422">
        <v>110300</v>
      </c>
    </row>
    <row r="542" spans="2:10" s="254" customFormat="1" x14ac:dyDescent="0.35">
      <c r="B542" s="279" t="s">
        <v>647</v>
      </c>
      <c r="C542" s="279" t="s">
        <v>651</v>
      </c>
      <c r="D542" s="423"/>
      <c r="E542" s="423"/>
      <c r="F542" s="423"/>
      <c r="G542" s="423"/>
      <c r="H542" s="423"/>
      <c r="I542" s="422">
        <v>54929.599999999999</v>
      </c>
      <c r="J542" s="422">
        <v>244030.90000000002</v>
      </c>
    </row>
    <row r="543" spans="2:10" s="254" customFormat="1" x14ac:dyDescent="0.35">
      <c r="B543" s="279" t="s">
        <v>648</v>
      </c>
      <c r="C543" s="279" t="s">
        <v>651</v>
      </c>
      <c r="D543" s="423"/>
      <c r="E543" s="423"/>
      <c r="F543" s="423"/>
      <c r="G543" s="423"/>
      <c r="H543" s="423"/>
      <c r="I543" s="540">
        <v>159999.9</v>
      </c>
      <c r="J543" s="422">
        <v>257217.19999999995</v>
      </c>
    </row>
    <row r="544" spans="2:10" s="254" customFormat="1" x14ac:dyDescent="0.35">
      <c r="B544" s="289" t="s">
        <v>649</v>
      </c>
      <c r="C544" s="279" t="s">
        <v>651</v>
      </c>
      <c r="D544" s="423"/>
      <c r="E544" s="423"/>
      <c r="F544" s="423"/>
      <c r="G544" s="423"/>
      <c r="H544" s="423"/>
      <c r="I544" s="423">
        <f>SUM(I540:I543)</f>
        <v>249929.5</v>
      </c>
      <c r="J544" s="423">
        <f>SUM(J540:J543)</f>
        <v>611548.1</v>
      </c>
    </row>
    <row r="545" spans="2:10" s="254" customFormat="1" x14ac:dyDescent="0.35">
      <c r="B545" s="289" t="s">
        <v>36</v>
      </c>
      <c r="C545" s="279" t="s">
        <v>651</v>
      </c>
      <c r="D545" s="423"/>
      <c r="E545" s="423"/>
      <c r="F545" s="423"/>
      <c r="G545" s="423"/>
      <c r="H545" s="423"/>
      <c r="I545" s="423">
        <f>I531+I538+I544</f>
        <v>1300427.8999999999</v>
      </c>
      <c r="J545" s="423">
        <f>J531+J538+J544</f>
        <v>3414111.7000000007</v>
      </c>
    </row>
    <row r="546" spans="2:10" s="254" customFormat="1" x14ac:dyDescent="0.35">
      <c r="B546" s="289"/>
      <c r="C546" s="279"/>
      <c r="D546" s="423"/>
      <c r="E546" s="423"/>
      <c r="F546" s="423"/>
      <c r="G546" s="423"/>
      <c r="H546" s="423"/>
      <c r="I546" s="423"/>
      <c r="J546" s="423"/>
    </row>
    <row r="547" spans="2:10" s="254" customFormat="1" x14ac:dyDescent="0.35">
      <c r="B547" s="289" t="s">
        <v>1606</v>
      </c>
      <c r="C547" s="279"/>
      <c r="D547" s="423"/>
      <c r="E547" s="423"/>
      <c r="F547" s="423"/>
      <c r="G547" s="423"/>
      <c r="H547" s="423"/>
      <c r="I547" s="423"/>
      <c r="J547" s="423"/>
    </row>
    <row r="548" spans="2:10" s="254" customFormat="1" x14ac:dyDescent="0.35">
      <c r="B548" s="289" t="s">
        <v>664</v>
      </c>
      <c r="C548" s="289" t="s">
        <v>369</v>
      </c>
      <c r="D548" s="423"/>
      <c r="E548" s="423"/>
      <c r="F548" s="423"/>
      <c r="G548" s="423"/>
      <c r="H548" s="423"/>
      <c r="I548" s="423"/>
      <c r="J548" s="423"/>
    </row>
    <row r="549" spans="2:10" s="254" customFormat="1" x14ac:dyDescent="0.35">
      <c r="B549" s="289" t="s">
        <v>630</v>
      </c>
      <c r="C549" s="289"/>
      <c r="D549" s="423"/>
      <c r="E549" s="423"/>
      <c r="F549" s="423"/>
      <c r="G549" s="423"/>
      <c r="H549" s="423"/>
      <c r="I549" s="423"/>
      <c r="J549" s="423"/>
    </row>
    <row r="550" spans="2:10" s="254" customFormat="1" x14ac:dyDescent="0.35">
      <c r="B550" s="279" t="s">
        <v>631</v>
      </c>
      <c r="C550" s="279" t="s">
        <v>651</v>
      </c>
      <c r="D550" s="423"/>
      <c r="E550" s="423"/>
      <c r="F550" s="423"/>
      <c r="G550" s="423"/>
      <c r="H550" s="423"/>
      <c r="I550" s="423"/>
      <c r="J550" s="497">
        <f>I574</f>
        <v>0</v>
      </c>
    </row>
    <row r="551" spans="2:10" s="254" customFormat="1" x14ac:dyDescent="0.35">
      <c r="B551" s="279" t="s">
        <v>632</v>
      </c>
      <c r="C551" s="279" t="s">
        <v>651</v>
      </c>
      <c r="D551" s="423"/>
      <c r="E551" s="423"/>
      <c r="F551" s="423"/>
      <c r="G551" s="423"/>
      <c r="H551" s="423"/>
      <c r="I551" s="423"/>
      <c r="J551" s="497">
        <f t="shared" ref="J551:J554" si="268">I575</f>
        <v>88286.599999999977</v>
      </c>
    </row>
    <row r="552" spans="2:10" s="254" customFormat="1" x14ac:dyDescent="0.35">
      <c r="B552" s="279" t="s">
        <v>633</v>
      </c>
      <c r="C552" s="279" t="s">
        <v>651</v>
      </c>
      <c r="D552" s="423"/>
      <c r="E552" s="423"/>
      <c r="F552" s="423"/>
      <c r="G552" s="423"/>
      <c r="H552" s="423"/>
      <c r="I552" s="423"/>
      <c r="J552" s="497">
        <f t="shared" si="268"/>
        <v>0</v>
      </c>
    </row>
    <row r="553" spans="2:10" s="254" customFormat="1" x14ac:dyDescent="0.35">
      <c r="B553" s="279" t="s">
        <v>634</v>
      </c>
      <c r="C553" s="279" t="s">
        <v>651</v>
      </c>
      <c r="D553" s="423"/>
      <c r="E553" s="423"/>
      <c r="F553" s="423"/>
      <c r="G553" s="423"/>
      <c r="H553" s="423"/>
      <c r="I553" s="423"/>
      <c r="J553" s="497">
        <f t="shared" si="268"/>
        <v>0</v>
      </c>
    </row>
    <row r="554" spans="2:10" s="254" customFormat="1" x14ac:dyDescent="0.35">
      <c r="B554" s="279" t="s">
        <v>635</v>
      </c>
      <c r="C554" s="279" t="s">
        <v>651</v>
      </c>
      <c r="D554" s="423"/>
      <c r="E554" s="423"/>
      <c r="F554" s="423"/>
      <c r="G554" s="423"/>
      <c r="H554" s="423"/>
      <c r="I554" s="423"/>
      <c r="J554" s="497">
        <f t="shared" si="268"/>
        <v>264700</v>
      </c>
    </row>
    <row r="555" spans="2:10" s="254" customFormat="1" x14ac:dyDescent="0.35">
      <c r="B555" s="289" t="s">
        <v>636</v>
      </c>
      <c r="C555" s="279" t="s">
        <v>651</v>
      </c>
      <c r="D555" s="423"/>
      <c r="E555" s="423"/>
      <c r="F555" s="423"/>
      <c r="G555" s="423"/>
      <c r="H555" s="423"/>
      <c r="I555" s="423"/>
      <c r="J555" s="423">
        <f>SUM(J550:J554)</f>
        <v>352986.6</v>
      </c>
    </row>
    <row r="556" spans="2:10" s="254" customFormat="1" x14ac:dyDescent="0.35">
      <c r="B556" s="289" t="s">
        <v>637</v>
      </c>
      <c r="C556" s="279" t="s">
        <v>651</v>
      </c>
      <c r="D556" s="423"/>
      <c r="E556" s="423"/>
      <c r="F556" s="423"/>
      <c r="G556" s="423"/>
      <c r="H556" s="423"/>
      <c r="I556" s="423"/>
      <c r="J556" s="423"/>
    </row>
    <row r="557" spans="2:10" s="254" customFormat="1" x14ac:dyDescent="0.35">
      <c r="B557" s="279" t="s">
        <v>638</v>
      </c>
      <c r="C557" s="279" t="s">
        <v>651</v>
      </c>
      <c r="D557" s="423"/>
      <c r="E557" s="423"/>
      <c r="F557" s="423"/>
      <c r="G557" s="423"/>
      <c r="H557" s="423"/>
      <c r="I557" s="423"/>
      <c r="J557" s="497">
        <f t="shared" ref="J557:J561" si="269">I581</f>
        <v>248438</v>
      </c>
    </row>
    <row r="558" spans="2:10" s="254" customFormat="1" x14ac:dyDescent="0.35">
      <c r="B558" s="279" t="s">
        <v>639</v>
      </c>
      <c r="C558" s="279" t="s">
        <v>651</v>
      </c>
      <c r="D558" s="423"/>
      <c r="E558" s="423"/>
      <c r="F558" s="423"/>
      <c r="G558" s="423"/>
      <c r="H558" s="423"/>
      <c r="I558" s="423"/>
      <c r="J558" s="497">
        <f t="shared" si="269"/>
        <v>0</v>
      </c>
    </row>
    <row r="559" spans="2:10" s="254" customFormat="1" x14ac:dyDescent="0.35">
      <c r="B559" s="279" t="s">
        <v>640</v>
      </c>
      <c r="C559" s="279" t="s">
        <v>651</v>
      </c>
      <c r="D559" s="423"/>
      <c r="E559" s="423"/>
      <c r="F559" s="423"/>
      <c r="G559" s="423"/>
      <c r="H559" s="423"/>
      <c r="I559" s="423"/>
      <c r="J559" s="497">
        <f t="shared" si="269"/>
        <v>168800</v>
      </c>
    </row>
    <row r="560" spans="2:10" s="254" customFormat="1" x14ac:dyDescent="0.35">
      <c r="B560" s="279" t="s">
        <v>641</v>
      </c>
      <c r="C560" s="279" t="s">
        <v>651</v>
      </c>
      <c r="D560" s="423"/>
      <c r="E560" s="423"/>
      <c r="F560" s="423"/>
      <c r="G560" s="423"/>
      <c r="H560" s="423"/>
      <c r="I560" s="423"/>
      <c r="J560" s="497">
        <f t="shared" si="269"/>
        <v>0</v>
      </c>
    </row>
    <row r="561" spans="2:10" s="254" customFormat="1" x14ac:dyDescent="0.35">
      <c r="B561" s="279" t="s">
        <v>642</v>
      </c>
      <c r="C561" s="279" t="s">
        <v>651</v>
      </c>
      <c r="D561" s="423"/>
      <c r="E561" s="423"/>
      <c r="F561" s="423"/>
      <c r="G561" s="423"/>
      <c r="H561" s="423"/>
      <c r="I561" s="423"/>
      <c r="J561" s="497">
        <f t="shared" si="269"/>
        <v>0</v>
      </c>
    </row>
    <row r="562" spans="2:10" s="254" customFormat="1" x14ac:dyDescent="0.35">
      <c r="B562" s="289" t="s">
        <v>643</v>
      </c>
      <c r="C562" s="279" t="s">
        <v>651</v>
      </c>
      <c r="D562" s="423"/>
      <c r="E562" s="423"/>
      <c r="F562" s="423"/>
      <c r="G562" s="423"/>
      <c r="H562" s="423"/>
      <c r="I562" s="423"/>
      <c r="J562" s="423">
        <f>SUM(J557:J561)</f>
        <v>417238</v>
      </c>
    </row>
    <row r="563" spans="2:10" s="254" customFormat="1" x14ac:dyDescent="0.35">
      <c r="B563" s="289" t="s">
        <v>644</v>
      </c>
      <c r="C563" s="279" t="s">
        <v>651</v>
      </c>
      <c r="D563" s="423"/>
      <c r="E563" s="423"/>
      <c r="F563" s="423"/>
      <c r="G563" s="423"/>
      <c r="H563" s="423"/>
      <c r="I563" s="423"/>
      <c r="J563" s="423"/>
    </row>
    <row r="564" spans="2:10" s="254" customFormat="1" x14ac:dyDescent="0.35">
      <c r="B564" s="279" t="s">
        <v>645</v>
      </c>
      <c r="C564" s="279" t="s">
        <v>651</v>
      </c>
      <c r="D564" s="423"/>
      <c r="E564" s="423"/>
      <c r="F564" s="423"/>
      <c r="G564" s="423"/>
      <c r="H564" s="423"/>
      <c r="I564" s="423"/>
      <c r="J564" s="497">
        <f t="shared" ref="J564:J567" si="270">I588</f>
        <v>0</v>
      </c>
    </row>
    <row r="565" spans="2:10" s="254" customFormat="1" x14ac:dyDescent="0.35">
      <c r="B565" s="279" t="s">
        <v>646</v>
      </c>
      <c r="C565" s="279" t="s">
        <v>651</v>
      </c>
      <c r="D565" s="423"/>
      <c r="E565" s="423"/>
      <c r="F565" s="423"/>
      <c r="G565" s="423"/>
      <c r="H565" s="423"/>
      <c r="I565" s="423"/>
      <c r="J565" s="497">
        <f t="shared" si="270"/>
        <v>110451</v>
      </c>
    </row>
    <row r="566" spans="2:10" s="254" customFormat="1" x14ac:dyDescent="0.35">
      <c r="B566" s="279" t="s">
        <v>647</v>
      </c>
      <c r="C566" s="279" t="s">
        <v>651</v>
      </c>
      <c r="D566" s="423"/>
      <c r="E566" s="423"/>
      <c r="F566" s="423"/>
      <c r="G566" s="423"/>
      <c r="H566" s="423"/>
      <c r="I566" s="423"/>
      <c r="J566" s="497">
        <f t="shared" si="270"/>
        <v>240260.4</v>
      </c>
    </row>
    <row r="567" spans="2:10" s="254" customFormat="1" x14ac:dyDescent="0.35">
      <c r="B567" s="279" t="s">
        <v>648</v>
      </c>
      <c r="C567" s="279" t="s">
        <v>651</v>
      </c>
      <c r="D567" s="423"/>
      <c r="E567" s="423"/>
      <c r="F567" s="423"/>
      <c r="G567" s="423"/>
      <c r="H567" s="423"/>
      <c r="I567" s="423"/>
      <c r="J567" s="497">
        <f t="shared" si="270"/>
        <v>86447.1</v>
      </c>
    </row>
    <row r="568" spans="2:10" s="254" customFormat="1" x14ac:dyDescent="0.35">
      <c r="B568" s="289" t="s">
        <v>649</v>
      </c>
      <c r="C568" s="279" t="s">
        <v>651</v>
      </c>
      <c r="D568" s="423"/>
      <c r="E568" s="423"/>
      <c r="F568" s="423"/>
      <c r="G568" s="423"/>
      <c r="H568" s="423"/>
      <c r="I568" s="423"/>
      <c r="J568" s="423">
        <f>SUM(J564:J567)</f>
        <v>437158.5</v>
      </c>
    </row>
    <row r="569" spans="2:10" s="254" customFormat="1" x14ac:dyDescent="0.35">
      <c r="B569" s="289" t="s">
        <v>36</v>
      </c>
      <c r="C569" s="279" t="s">
        <v>651</v>
      </c>
      <c r="D569" s="423"/>
      <c r="E569" s="423"/>
      <c r="F569" s="423"/>
      <c r="G569" s="423"/>
      <c r="H569" s="423"/>
      <c r="I569" s="423"/>
      <c r="J569" s="423">
        <f>J555+J562+J568</f>
        <v>1207383.1000000001</v>
      </c>
    </row>
    <row r="570" spans="2:10" s="254" customFormat="1" x14ac:dyDescent="0.35">
      <c r="B570" s="289"/>
      <c r="C570" s="279"/>
      <c r="D570" s="423"/>
      <c r="E570" s="423"/>
      <c r="F570" s="423"/>
      <c r="G570" s="423"/>
      <c r="H570" s="423"/>
      <c r="I570" s="423"/>
      <c r="J570" s="423"/>
    </row>
    <row r="571" spans="2:10" s="254" customFormat="1" x14ac:dyDescent="0.35">
      <c r="B571" s="289" t="s">
        <v>773</v>
      </c>
      <c r="C571" s="279"/>
      <c r="D571" s="423"/>
      <c r="E571" s="423"/>
      <c r="F571" s="423"/>
      <c r="G571" s="423"/>
      <c r="H571" s="423"/>
      <c r="I571" s="423"/>
      <c r="J571" s="423"/>
    </row>
    <row r="572" spans="2:10" s="254" customFormat="1" x14ac:dyDescent="0.35">
      <c r="B572" s="289" t="s">
        <v>664</v>
      </c>
      <c r="C572" s="289" t="s">
        <v>369</v>
      </c>
      <c r="D572" s="423"/>
      <c r="E572" s="423"/>
      <c r="F572" s="423"/>
      <c r="G572" s="423"/>
      <c r="H572" s="423"/>
      <c r="I572" s="423"/>
      <c r="J572" s="423"/>
    </row>
    <row r="573" spans="2:10" s="254" customFormat="1" x14ac:dyDescent="0.35">
      <c r="B573" s="289" t="s">
        <v>630</v>
      </c>
      <c r="C573" s="289"/>
      <c r="D573" s="423"/>
      <c r="E573" s="423"/>
      <c r="F573" s="423"/>
      <c r="G573" s="423"/>
      <c r="H573" s="423"/>
      <c r="I573" s="423"/>
      <c r="J573" s="423"/>
    </row>
    <row r="574" spans="2:10" s="254" customFormat="1" x14ac:dyDescent="0.35">
      <c r="B574" s="279" t="s">
        <v>631</v>
      </c>
      <c r="C574" s="279" t="s">
        <v>651</v>
      </c>
      <c r="D574" s="423"/>
      <c r="E574" s="423"/>
      <c r="F574" s="423"/>
      <c r="G574" s="423"/>
      <c r="H574" s="423"/>
      <c r="I574" s="497">
        <f t="shared" ref="I574:J578" si="271">I550+I502-I526+I598</f>
        <v>0</v>
      </c>
      <c r="J574" s="497">
        <f t="shared" si="271"/>
        <v>183697</v>
      </c>
    </row>
    <row r="575" spans="2:10" s="254" customFormat="1" x14ac:dyDescent="0.35">
      <c r="B575" s="279" t="s">
        <v>632</v>
      </c>
      <c r="C575" s="279" t="s">
        <v>651</v>
      </c>
      <c r="D575" s="423"/>
      <c r="E575" s="423"/>
      <c r="F575" s="423"/>
      <c r="G575" s="423"/>
      <c r="H575" s="423"/>
      <c r="I575" s="497">
        <f t="shared" si="271"/>
        <v>88286.599999999977</v>
      </c>
      <c r="J575" s="497">
        <f t="shared" si="271"/>
        <v>186396.99999999988</v>
      </c>
    </row>
    <row r="576" spans="2:10" s="254" customFormat="1" x14ac:dyDescent="0.35">
      <c r="B576" s="279" t="s">
        <v>633</v>
      </c>
      <c r="C576" s="279" t="s">
        <v>651</v>
      </c>
      <c r="D576" s="423"/>
      <c r="E576" s="423"/>
      <c r="F576" s="423"/>
      <c r="G576" s="423"/>
      <c r="H576" s="423"/>
      <c r="I576" s="497">
        <f t="shared" si="271"/>
        <v>0</v>
      </c>
      <c r="J576" s="497">
        <f t="shared" si="271"/>
        <v>46982</v>
      </c>
    </row>
    <row r="577" spans="2:10" s="254" customFormat="1" x14ac:dyDescent="0.35">
      <c r="B577" s="279" t="s">
        <v>634</v>
      </c>
      <c r="C577" s="279" t="s">
        <v>651</v>
      </c>
      <c r="D577" s="423"/>
      <c r="E577" s="423"/>
      <c r="F577" s="423"/>
      <c r="G577" s="423"/>
      <c r="H577" s="423"/>
      <c r="I577" s="497">
        <f t="shared" si="271"/>
        <v>0</v>
      </c>
      <c r="J577" s="497">
        <f t="shared" si="271"/>
        <v>15150</v>
      </c>
    </row>
    <row r="578" spans="2:10" s="254" customFormat="1" x14ac:dyDescent="0.35">
      <c r="B578" s="279" t="s">
        <v>635</v>
      </c>
      <c r="C578" s="279" t="s">
        <v>651</v>
      </c>
      <c r="D578" s="423"/>
      <c r="E578" s="423"/>
      <c r="F578" s="423"/>
      <c r="G578" s="423"/>
      <c r="H578" s="423"/>
      <c r="I578" s="497">
        <f t="shared" si="271"/>
        <v>264700</v>
      </c>
      <c r="J578" s="497">
        <f t="shared" si="271"/>
        <v>258850</v>
      </c>
    </row>
    <row r="579" spans="2:10" s="254" customFormat="1" x14ac:dyDescent="0.35">
      <c r="B579" s="289" t="s">
        <v>636</v>
      </c>
      <c r="C579" s="279" t="s">
        <v>651</v>
      </c>
      <c r="D579" s="423"/>
      <c r="E579" s="423"/>
      <c r="F579" s="423"/>
      <c r="G579" s="423"/>
      <c r="H579" s="423"/>
      <c r="I579" s="423">
        <f>SUM(I574:I578)</f>
        <v>352986.6</v>
      </c>
      <c r="J579" s="423">
        <f>SUM(J574:J578)</f>
        <v>691075.99999999988</v>
      </c>
    </row>
    <row r="580" spans="2:10" s="254" customFormat="1" x14ac:dyDescent="0.35">
      <c r="B580" s="289" t="s">
        <v>637</v>
      </c>
      <c r="C580" s="279" t="s">
        <v>651</v>
      </c>
      <c r="D580" s="423"/>
      <c r="E580" s="423"/>
      <c r="F580" s="423"/>
      <c r="G580" s="423"/>
      <c r="H580" s="423"/>
      <c r="I580" s="423"/>
      <c r="J580" s="423"/>
    </row>
    <row r="581" spans="2:10" s="254" customFormat="1" x14ac:dyDescent="0.35">
      <c r="B581" s="279" t="s">
        <v>638</v>
      </c>
      <c r="C581" s="279" t="s">
        <v>651</v>
      </c>
      <c r="D581" s="423"/>
      <c r="E581" s="423"/>
      <c r="F581" s="423"/>
      <c r="G581" s="423"/>
      <c r="H581" s="423"/>
      <c r="I581" s="497">
        <f t="shared" ref="I581:J585" si="272">I557+I509-I533+I605</f>
        <v>248438</v>
      </c>
      <c r="J581" s="497">
        <f t="shared" si="272"/>
        <v>400653</v>
      </c>
    </row>
    <row r="582" spans="2:10" s="254" customFormat="1" x14ac:dyDescent="0.35">
      <c r="B582" s="279" t="s">
        <v>639</v>
      </c>
      <c r="C582" s="279" t="s">
        <v>651</v>
      </c>
      <c r="D582" s="423"/>
      <c r="E582" s="423"/>
      <c r="F582" s="423"/>
      <c r="G582" s="423"/>
      <c r="H582" s="423"/>
      <c r="I582" s="497">
        <f t="shared" si="272"/>
        <v>0</v>
      </c>
      <c r="J582" s="497">
        <f t="shared" si="272"/>
        <v>373870</v>
      </c>
    </row>
    <row r="583" spans="2:10" s="254" customFormat="1" x14ac:dyDescent="0.35">
      <c r="B583" s="279" t="s">
        <v>640</v>
      </c>
      <c r="C583" s="279" t="s">
        <v>651</v>
      </c>
      <c r="D583" s="423"/>
      <c r="E583" s="423"/>
      <c r="F583" s="423"/>
      <c r="G583" s="423"/>
      <c r="H583" s="423"/>
      <c r="I583" s="497">
        <f t="shared" si="272"/>
        <v>168800</v>
      </c>
      <c r="J583" s="497">
        <f t="shared" si="272"/>
        <v>150800</v>
      </c>
    </row>
    <row r="584" spans="2:10" s="254" customFormat="1" x14ac:dyDescent="0.35">
      <c r="B584" s="279" t="s">
        <v>641</v>
      </c>
      <c r="C584" s="279" t="s">
        <v>651</v>
      </c>
      <c r="D584" s="423"/>
      <c r="E584" s="423"/>
      <c r="F584" s="423"/>
      <c r="G584" s="423"/>
      <c r="H584" s="423"/>
      <c r="I584" s="497">
        <f t="shared" si="272"/>
        <v>0</v>
      </c>
      <c r="J584" s="497">
        <f t="shared" si="272"/>
        <v>185621.09999999998</v>
      </c>
    </row>
    <row r="585" spans="2:10" s="254" customFormat="1" x14ac:dyDescent="0.35">
      <c r="B585" s="279" t="s">
        <v>642</v>
      </c>
      <c r="C585" s="279" t="s">
        <v>651</v>
      </c>
      <c r="D585" s="423"/>
      <c r="E585" s="423"/>
      <c r="F585" s="423"/>
      <c r="G585" s="423"/>
      <c r="H585" s="423"/>
      <c r="I585" s="497">
        <f t="shared" si="272"/>
        <v>0</v>
      </c>
      <c r="J585" s="497">
        <f t="shared" si="272"/>
        <v>136934.9</v>
      </c>
    </row>
    <row r="586" spans="2:10" s="254" customFormat="1" x14ac:dyDescent="0.35">
      <c r="B586" s="289" t="s">
        <v>643</v>
      </c>
      <c r="C586" s="279" t="s">
        <v>651</v>
      </c>
      <c r="D586" s="423"/>
      <c r="E586" s="423"/>
      <c r="F586" s="423"/>
      <c r="G586" s="423"/>
      <c r="H586" s="423"/>
      <c r="I586" s="423">
        <f>SUM(I581:I585)</f>
        <v>417238</v>
      </c>
      <c r="J586" s="423">
        <f>SUM(J581:J585)</f>
        <v>1247879</v>
      </c>
    </row>
    <row r="587" spans="2:10" s="254" customFormat="1" x14ac:dyDescent="0.35">
      <c r="B587" s="289" t="s">
        <v>644</v>
      </c>
      <c r="C587" s="279" t="s">
        <v>651</v>
      </c>
      <c r="D587" s="423"/>
      <c r="E587" s="423"/>
      <c r="F587" s="423"/>
      <c r="G587" s="423"/>
      <c r="H587" s="423"/>
      <c r="I587" s="423"/>
      <c r="J587" s="423"/>
    </row>
    <row r="588" spans="2:10" s="254" customFormat="1" x14ac:dyDescent="0.35">
      <c r="B588" s="279" t="s">
        <v>645</v>
      </c>
      <c r="C588" s="279" t="s">
        <v>651</v>
      </c>
      <c r="D588" s="423"/>
      <c r="E588" s="423"/>
      <c r="F588" s="423"/>
      <c r="G588" s="423"/>
      <c r="H588" s="423"/>
      <c r="I588" s="497">
        <f t="shared" ref="I588:J591" si="273">I564+I516-I540+I612</f>
        <v>0</v>
      </c>
      <c r="J588" s="497">
        <f t="shared" si="273"/>
        <v>83990</v>
      </c>
    </row>
    <row r="589" spans="2:10" s="254" customFormat="1" x14ac:dyDescent="0.35">
      <c r="B589" s="279" t="s">
        <v>646</v>
      </c>
      <c r="C589" s="279" t="s">
        <v>651</v>
      </c>
      <c r="D589" s="423"/>
      <c r="E589" s="423"/>
      <c r="F589" s="423"/>
      <c r="G589" s="423"/>
      <c r="H589" s="423"/>
      <c r="I589" s="497">
        <f t="shared" si="273"/>
        <v>110451</v>
      </c>
      <c r="J589" s="497">
        <f t="shared" si="273"/>
        <v>0</v>
      </c>
    </row>
    <row r="590" spans="2:10" s="254" customFormat="1" x14ac:dyDescent="0.35">
      <c r="B590" s="279" t="s">
        <v>647</v>
      </c>
      <c r="C590" s="279" t="s">
        <v>651</v>
      </c>
      <c r="D590" s="423"/>
      <c r="E590" s="423"/>
      <c r="F590" s="423"/>
      <c r="G590" s="423"/>
      <c r="H590" s="423"/>
      <c r="I590" s="497">
        <f t="shared" si="273"/>
        <v>240260.4</v>
      </c>
      <c r="J590" s="497">
        <f t="shared" si="273"/>
        <v>217214.5</v>
      </c>
    </row>
    <row r="591" spans="2:10" s="254" customFormat="1" x14ac:dyDescent="0.35">
      <c r="B591" s="279" t="s">
        <v>648</v>
      </c>
      <c r="C591" s="279" t="s">
        <v>651</v>
      </c>
      <c r="D591" s="423"/>
      <c r="E591" s="423"/>
      <c r="F591" s="423"/>
      <c r="G591" s="423"/>
      <c r="H591" s="423"/>
      <c r="I591" s="497">
        <f t="shared" si="273"/>
        <v>86447.1</v>
      </c>
      <c r="J591" s="497">
        <f t="shared" si="273"/>
        <v>261759.80000000002</v>
      </c>
    </row>
    <row r="592" spans="2:10" s="254" customFormat="1" x14ac:dyDescent="0.35">
      <c r="B592" s="289" t="s">
        <v>649</v>
      </c>
      <c r="C592" s="279" t="s">
        <v>651</v>
      </c>
      <c r="D592" s="423"/>
      <c r="E592" s="423"/>
      <c r="F592" s="423"/>
      <c r="G592" s="423"/>
      <c r="H592" s="423"/>
      <c r="I592" s="423">
        <f>SUM(I588:I591)</f>
        <v>437158.5</v>
      </c>
      <c r="J592" s="423">
        <f>SUM(J588:J591)</f>
        <v>562964.30000000005</v>
      </c>
    </row>
    <row r="593" spans="2:10" s="254" customFormat="1" x14ac:dyDescent="0.35">
      <c r="B593" s="289" t="s">
        <v>36</v>
      </c>
      <c r="C593" s="279" t="s">
        <v>651</v>
      </c>
      <c r="D593" s="423"/>
      <c r="E593" s="423"/>
      <c r="F593" s="423"/>
      <c r="G593" s="423"/>
      <c r="H593" s="423"/>
      <c r="I593" s="423">
        <f>I579+I586+I592</f>
        <v>1207383.1000000001</v>
      </c>
      <c r="J593" s="423">
        <f>J579+J586+J592</f>
        <v>2501919.2999999998</v>
      </c>
    </row>
    <row r="594" spans="2:10" s="254" customFormat="1" x14ac:dyDescent="0.35">
      <c r="B594" s="289"/>
      <c r="C594" s="279"/>
      <c r="D594" s="423"/>
      <c r="E594" s="423"/>
      <c r="F594" s="423"/>
      <c r="G594" s="423"/>
      <c r="H594" s="423"/>
      <c r="I594" s="423"/>
      <c r="J594" s="423"/>
    </row>
    <row r="595" spans="2:10" s="254" customFormat="1" x14ac:dyDescent="0.35">
      <c r="B595" s="289" t="s">
        <v>771</v>
      </c>
      <c r="C595" s="279"/>
      <c r="D595" s="423"/>
      <c r="E595" s="423"/>
      <c r="F595" s="423"/>
      <c r="G595" s="423"/>
      <c r="H595" s="423"/>
      <c r="I595" s="423"/>
      <c r="J595" s="423"/>
    </row>
    <row r="596" spans="2:10" s="254" customFormat="1" x14ac:dyDescent="0.35">
      <c r="B596" s="289" t="s">
        <v>664</v>
      </c>
      <c r="C596" s="289" t="s">
        <v>369</v>
      </c>
      <c r="D596" s="423"/>
      <c r="E596" s="423"/>
      <c r="F596" s="423"/>
      <c r="G596" s="423"/>
      <c r="H596" s="423"/>
      <c r="I596" s="423"/>
      <c r="J596" s="423"/>
    </row>
    <row r="597" spans="2:10" s="254" customFormat="1" x14ac:dyDescent="0.35">
      <c r="B597" s="289" t="s">
        <v>630</v>
      </c>
      <c r="C597" s="289"/>
      <c r="D597" s="423"/>
      <c r="E597" s="423"/>
      <c r="F597" s="423"/>
      <c r="G597" s="423"/>
      <c r="H597" s="423"/>
      <c r="I597" s="423"/>
      <c r="J597" s="423"/>
    </row>
    <row r="598" spans="2:10" s="254" customFormat="1" x14ac:dyDescent="0.35">
      <c r="B598" s="279" t="s">
        <v>631</v>
      </c>
      <c r="C598" s="279" t="s">
        <v>651</v>
      </c>
      <c r="D598" s="423"/>
      <c r="E598" s="423"/>
      <c r="F598" s="423"/>
      <c r="G598" s="423"/>
      <c r="H598" s="423"/>
      <c r="I598" s="497">
        <v>0</v>
      </c>
      <c r="J598" s="497">
        <v>0</v>
      </c>
    </row>
    <row r="599" spans="2:10" s="254" customFormat="1" x14ac:dyDescent="0.35">
      <c r="B599" s="279" t="s">
        <v>632</v>
      </c>
      <c r="C599" s="279" t="s">
        <v>651</v>
      </c>
      <c r="D599" s="423"/>
      <c r="E599" s="423"/>
      <c r="F599" s="423"/>
      <c r="G599" s="423"/>
      <c r="H599" s="423"/>
      <c r="I599" s="497">
        <v>0</v>
      </c>
      <c r="J599" s="497">
        <v>0</v>
      </c>
    </row>
    <row r="600" spans="2:10" s="254" customFormat="1" x14ac:dyDescent="0.35">
      <c r="B600" s="279" t="s">
        <v>633</v>
      </c>
      <c r="C600" s="279" t="s">
        <v>651</v>
      </c>
      <c r="D600" s="423"/>
      <c r="E600" s="423"/>
      <c r="F600" s="423"/>
      <c r="G600" s="423"/>
      <c r="H600" s="423"/>
      <c r="I600" s="497">
        <v>0</v>
      </c>
      <c r="J600" s="497">
        <v>0</v>
      </c>
    </row>
    <row r="601" spans="2:10" s="254" customFormat="1" x14ac:dyDescent="0.35">
      <c r="B601" s="279" t="s">
        <v>634</v>
      </c>
      <c r="C601" s="279" t="s">
        <v>651</v>
      </c>
      <c r="D601" s="423"/>
      <c r="E601" s="423"/>
      <c r="F601" s="423"/>
      <c r="G601" s="423"/>
      <c r="H601" s="423"/>
      <c r="I601" s="497">
        <v>0</v>
      </c>
      <c r="J601" s="497">
        <v>0</v>
      </c>
    </row>
    <row r="602" spans="2:10" s="254" customFormat="1" x14ac:dyDescent="0.35">
      <c r="B602" s="279" t="s">
        <v>635</v>
      </c>
      <c r="C602" s="279" t="s">
        <v>651</v>
      </c>
      <c r="D602" s="423"/>
      <c r="E602" s="423"/>
      <c r="F602" s="423"/>
      <c r="G602" s="423"/>
      <c r="H602" s="423"/>
      <c r="I602" s="497">
        <v>0</v>
      </c>
      <c r="J602" s="497">
        <v>-4100</v>
      </c>
    </row>
    <row r="603" spans="2:10" s="254" customFormat="1" x14ac:dyDescent="0.35">
      <c r="B603" s="289" t="s">
        <v>636</v>
      </c>
      <c r="C603" s="279" t="s">
        <v>651</v>
      </c>
      <c r="D603" s="423"/>
      <c r="E603" s="423"/>
      <c r="F603" s="423"/>
      <c r="G603" s="423"/>
      <c r="H603" s="423"/>
      <c r="I603" s="423">
        <f>SUM(I598:I602)</f>
        <v>0</v>
      </c>
      <c r="J603" s="423">
        <f>SUM(J598:J602)</f>
        <v>-4100</v>
      </c>
    </row>
    <row r="604" spans="2:10" s="254" customFormat="1" x14ac:dyDescent="0.35">
      <c r="B604" s="289" t="s">
        <v>637</v>
      </c>
      <c r="C604" s="279" t="s">
        <v>651</v>
      </c>
      <c r="D604" s="423"/>
      <c r="E604" s="423"/>
      <c r="F604" s="423"/>
      <c r="G604" s="423"/>
      <c r="H604" s="423"/>
      <c r="I604" s="423"/>
      <c r="J604" s="423"/>
    </row>
    <row r="605" spans="2:10" s="254" customFormat="1" x14ac:dyDescent="0.35">
      <c r="B605" s="279" t="s">
        <v>638</v>
      </c>
      <c r="C605" s="279" t="s">
        <v>651</v>
      </c>
      <c r="D605" s="423"/>
      <c r="E605" s="423"/>
      <c r="F605" s="423"/>
      <c r="G605" s="423"/>
      <c r="H605" s="423"/>
      <c r="I605" s="497">
        <v>0</v>
      </c>
      <c r="J605" s="497">
        <v>-126</v>
      </c>
    </row>
    <row r="606" spans="2:10" s="254" customFormat="1" x14ac:dyDescent="0.35">
      <c r="B606" s="279" t="s">
        <v>639</v>
      </c>
      <c r="C606" s="279" t="s">
        <v>651</v>
      </c>
      <c r="D606" s="423"/>
      <c r="E606" s="423"/>
      <c r="F606" s="423"/>
      <c r="G606" s="423"/>
      <c r="H606" s="423"/>
      <c r="I606" s="497">
        <v>0</v>
      </c>
      <c r="J606" s="497">
        <v>0</v>
      </c>
    </row>
    <row r="607" spans="2:10" s="254" customFormat="1" x14ac:dyDescent="0.35">
      <c r="B607" s="279" t="s">
        <v>640</v>
      </c>
      <c r="C607" s="279" t="s">
        <v>651</v>
      </c>
      <c r="D607" s="423"/>
      <c r="E607" s="423"/>
      <c r="F607" s="423"/>
      <c r="G607" s="423"/>
      <c r="H607" s="423"/>
      <c r="I607" s="497">
        <v>0</v>
      </c>
      <c r="J607" s="497">
        <v>0</v>
      </c>
    </row>
    <row r="608" spans="2:10" s="254" customFormat="1" x14ac:dyDescent="0.35">
      <c r="B608" s="279" t="s">
        <v>641</v>
      </c>
      <c r="C608" s="279" t="s">
        <v>651</v>
      </c>
      <c r="D608" s="423"/>
      <c r="E608" s="423"/>
      <c r="F608" s="423"/>
      <c r="G608" s="423"/>
      <c r="H608" s="423"/>
      <c r="I608" s="497">
        <v>0</v>
      </c>
      <c r="J608" s="497">
        <v>0</v>
      </c>
    </row>
    <row r="609" spans="2:10" s="254" customFormat="1" x14ac:dyDescent="0.35">
      <c r="B609" s="279" t="s">
        <v>642</v>
      </c>
      <c r="C609" s="279" t="s">
        <v>651</v>
      </c>
      <c r="D609" s="423"/>
      <c r="E609" s="423"/>
      <c r="F609" s="423"/>
      <c r="G609" s="423"/>
      <c r="H609" s="423"/>
      <c r="I609" s="497">
        <v>0</v>
      </c>
      <c r="J609" s="497">
        <v>0</v>
      </c>
    </row>
    <row r="610" spans="2:10" s="254" customFormat="1" x14ac:dyDescent="0.35">
      <c r="B610" s="289" t="s">
        <v>643</v>
      </c>
      <c r="C610" s="279" t="s">
        <v>651</v>
      </c>
      <c r="D610" s="423"/>
      <c r="E610" s="423"/>
      <c r="F610" s="423"/>
      <c r="G610" s="423"/>
      <c r="H610" s="423"/>
      <c r="I610" s="423">
        <f>SUM(I605:I609)</f>
        <v>0</v>
      </c>
      <c r="J610" s="423">
        <f>SUM(J605:J609)</f>
        <v>-126</v>
      </c>
    </row>
    <row r="611" spans="2:10" s="254" customFormat="1" x14ac:dyDescent="0.35">
      <c r="B611" s="289" t="s">
        <v>644</v>
      </c>
      <c r="C611" s="279" t="s">
        <v>651</v>
      </c>
      <c r="D611" s="423"/>
      <c r="E611" s="423"/>
      <c r="F611" s="423"/>
      <c r="G611" s="423"/>
      <c r="H611" s="423"/>
      <c r="I611" s="423"/>
      <c r="J611" s="423"/>
    </row>
    <row r="612" spans="2:10" s="254" customFormat="1" x14ac:dyDescent="0.35">
      <c r="B612" s="279" t="s">
        <v>645</v>
      </c>
      <c r="C612" s="279" t="s">
        <v>651</v>
      </c>
      <c r="D612" s="423"/>
      <c r="E612" s="423"/>
      <c r="F612" s="423"/>
      <c r="G612" s="423"/>
      <c r="H612" s="423"/>
      <c r="I612" s="497">
        <v>0</v>
      </c>
      <c r="J612" s="497">
        <v>0</v>
      </c>
    </row>
    <row r="613" spans="2:10" s="254" customFormat="1" x14ac:dyDescent="0.35">
      <c r="B613" s="279" t="s">
        <v>646</v>
      </c>
      <c r="C613" s="279" t="s">
        <v>651</v>
      </c>
      <c r="D613" s="423"/>
      <c r="E613" s="423"/>
      <c r="F613" s="423"/>
      <c r="G613" s="423"/>
      <c r="H613" s="423"/>
      <c r="I613" s="497">
        <v>0</v>
      </c>
      <c r="J613" s="497">
        <v>-151</v>
      </c>
    </row>
    <row r="614" spans="2:10" s="254" customFormat="1" x14ac:dyDescent="0.35">
      <c r="B614" s="279" t="s">
        <v>647</v>
      </c>
      <c r="C614" s="279" t="s">
        <v>651</v>
      </c>
      <c r="D614" s="423"/>
      <c r="E614" s="423"/>
      <c r="F614" s="423"/>
      <c r="G614" s="423"/>
      <c r="H614" s="423"/>
      <c r="I614" s="497">
        <v>0</v>
      </c>
      <c r="J614" s="497">
        <v>-1090</v>
      </c>
    </row>
    <row r="615" spans="2:10" s="254" customFormat="1" x14ac:dyDescent="0.35">
      <c r="B615" s="279" t="s">
        <v>648</v>
      </c>
      <c r="C615" s="279" t="s">
        <v>651</v>
      </c>
      <c r="D615" s="423"/>
      <c r="E615" s="423"/>
      <c r="F615" s="423"/>
      <c r="G615" s="423"/>
      <c r="H615" s="423"/>
      <c r="I615" s="497">
        <v>0</v>
      </c>
      <c r="J615" s="497">
        <v>-968.1</v>
      </c>
    </row>
    <row r="616" spans="2:10" s="254" customFormat="1" x14ac:dyDescent="0.35">
      <c r="B616" s="289" t="s">
        <v>649</v>
      </c>
      <c r="C616" s="289" t="s">
        <v>651</v>
      </c>
      <c r="D616" s="423"/>
      <c r="E616" s="423"/>
      <c r="F616" s="423"/>
      <c r="G616" s="423"/>
      <c r="H616" s="423"/>
      <c r="I616" s="423">
        <f>SUM(I612:I615)</f>
        <v>0</v>
      </c>
      <c r="J616" s="423">
        <f>SUM(J612:J615)</f>
        <v>-2209.1</v>
      </c>
    </row>
    <row r="617" spans="2:10" s="254" customFormat="1" x14ac:dyDescent="0.35">
      <c r="B617" s="289" t="s">
        <v>36</v>
      </c>
      <c r="C617" s="289" t="s">
        <v>651</v>
      </c>
      <c r="D617" s="423"/>
      <c r="E617" s="423"/>
      <c r="F617" s="423"/>
      <c r="G617" s="423"/>
      <c r="H617" s="423"/>
      <c r="I617" s="423">
        <f>I603+I610+I616</f>
        <v>0</v>
      </c>
      <c r="J617" s="423">
        <f>J603+J610+J616</f>
        <v>-6435.1</v>
      </c>
    </row>
    <row r="618" spans="2:10" s="254" customFormat="1" x14ac:dyDescent="0.35">
      <c r="B618" s="289"/>
      <c r="C618" s="279"/>
      <c r="D618" s="423"/>
      <c r="E618" s="423"/>
      <c r="F618" s="423"/>
      <c r="G618" s="423"/>
      <c r="H618" s="423"/>
      <c r="I618" s="423"/>
      <c r="J618" s="423"/>
    </row>
    <row r="619" spans="2:10" s="254" customFormat="1" x14ac:dyDescent="0.35">
      <c r="B619" s="289" t="s">
        <v>1607</v>
      </c>
      <c r="C619" s="279"/>
      <c r="D619" s="423"/>
      <c r="E619" s="423"/>
      <c r="F619" s="423"/>
      <c r="G619" s="423"/>
      <c r="H619" s="423"/>
      <c r="I619" s="423"/>
      <c r="J619" s="423"/>
    </row>
    <row r="620" spans="2:10" s="254" customFormat="1" x14ac:dyDescent="0.35">
      <c r="B620" s="289" t="s">
        <v>664</v>
      </c>
      <c r="C620" s="289" t="s">
        <v>369</v>
      </c>
      <c r="D620" s="423"/>
      <c r="E620" s="423"/>
      <c r="F620" s="423"/>
      <c r="G620" s="423"/>
      <c r="H620" s="423"/>
      <c r="I620" s="423"/>
      <c r="J620" s="423"/>
    </row>
    <row r="621" spans="2:10" s="254" customFormat="1" x14ac:dyDescent="0.35">
      <c r="B621" s="289" t="s">
        <v>630</v>
      </c>
      <c r="C621" s="289"/>
      <c r="D621" s="423"/>
      <c r="E621" s="423"/>
      <c r="F621" s="423"/>
      <c r="G621" s="423"/>
      <c r="H621" s="423"/>
      <c r="I621" s="423"/>
      <c r="J621" s="423"/>
    </row>
    <row r="622" spans="2:10" s="254" customFormat="1" x14ac:dyDescent="0.35">
      <c r="B622" s="279" t="s">
        <v>631</v>
      </c>
      <c r="C622" s="279" t="s">
        <v>651</v>
      </c>
      <c r="D622" s="423"/>
      <c r="E622" s="423"/>
      <c r="F622" s="423"/>
      <c r="G622" s="423"/>
      <c r="H622" s="423"/>
      <c r="I622" s="422">
        <f>H646</f>
        <v>0</v>
      </c>
      <c r="J622" s="422">
        <f>I646</f>
        <v>0</v>
      </c>
    </row>
    <row r="623" spans="2:10" s="254" customFormat="1" x14ac:dyDescent="0.35">
      <c r="B623" s="279" t="s">
        <v>632</v>
      </c>
      <c r="C623" s="279" t="s">
        <v>651</v>
      </c>
      <c r="D623" s="423"/>
      <c r="E623" s="423"/>
      <c r="F623" s="423"/>
      <c r="G623" s="423"/>
      <c r="H623" s="423"/>
      <c r="I623" s="422">
        <f t="shared" ref="I623:J626" si="274">H647</f>
        <v>0</v>
      </c>
      <c r="J623" s="422">
        <f t="shared" si="274"/>
        <v>4024</v>
      </c>
    </row>
    <row r="624" spans="2:10" s="254" customFormat="1" x14ac:dyDescent="0.35">
      <c r="B624" s="279" t="s">
        <v>633</v>
      </c>
      <c r="C624" s="279" t="s">
        <v>651</v>
      </c>
      <c r="D624" s="423"/>
      <c r="E624" s="423"/>
      <c r="F624" s="423"/>
      <c r="G624" s="423"/>
      <c r="H624" s="423"/>
      <c r="I624" s="422">
        <f t="shared" si="274"/>
        <v>0</v>
      </c>
      <c r="J624" s="422">
        <f t="shared" si="274"/>
        <v>0</v>
      </c>
    </row>
    <row r="625" spans="2:10" s="254" customFormat="1" x14ac:dyDescent="0.35">
      <c r="B625" s="279" t="s">
        <v>634</v>
      </c>
      <c r="C625" s="279" t="s">
        <v>651</v>
      </c>
      <c r="D625" s="423"/>
      <c r="E625" s="423"/>
      <c r="F625" s="423"/>
      <c r="G625" s="423"/>
      <c r="H625" s="423"/>
      <c r="I625" s="422">
        <f t="shared" si="274"/>
        <v>0</v>
      </c>
      <c r="J625" s="422">
        <f t="shared" si="274"/>
        <v>0</v>
      </c>
    </row>
    <row r="626" spans="2:10" s="254" customFormat="1" x14ac:dyDescent="0.35">
      <c r="B626" s="279" t="s">
        <v>635</v>
      </c>
      <c r="C626" s="279" t="s">
        <v>651</v>
      </c>
      <c r="D626" s="423"/>
      <c r="E626" s="423"/>
      <c r="F626" s="423"/>
      <c r="G626" s="423"/>
      <c r="H626" s="423"/>
      <c r="I626" s="422">
        <f t="shared" si="274"/>
        <v>0</v>
      </c>
      <c r="J626" s="422">
        <f t="shared" si="274"/>
        <v>3769</v>
      </c>
    </row>
    <row r="627" spans="2:10" s="254" customFormat="1" x14ac:dyDescent="0.35">
      <c r="B627" s="289" t="s">
        <v>636</v>
      </c>
      <c r="C627" s="279" t="s">
        <v>651</v>
      </c>
      <c r="D627" s="423"/>
      <c r="E627" s="423"/>
      <c r="F627" s="423"/>
      <c r="G627" s="423"/>
      <c r="H627" s="423"/>
      <c r="I627" s="423">
        <f>SUM(I622:I626)</f>
        <v>0</v>
      </c>
      <c r="J627" s="423">
        <f>SUM(J622:J626)</f>
        <v>7793</v>
      </c>
    </row>
    <row r="628" spans="2:10" s="254" customFormat="1" x14ac:dyDescent="0.35">
      <c r="B628" s="289" t="s">
        <v>637</v>
      </c>
      <c r="C628" s="279" t="s">
        <v>651</v>
      </c>
      <c r="D628" s="423"/>
      <c r="E628" s="423"/>
      <c r="F628" s="423"/>
      <c r="G628" s="423"/>
      <c r="H628" s="423"/>
      <c r="I628" s="423"/>
      <c r="J628" s="423"/>
    </row>
    <row r="629" spans="2:10" s="254" customFormat="1" x14ac:dyDescent="0.35">
      <c r="B629" s="279" t="s">
        <v>638</v>
      </c>
      <c r="C629" s="279" t="s">
        <v>651</v>
      </c>
      <c r="D629" s="423"/>
      <c r="E629" s="423"/>
      <c r="F629" s="423"/>
      <c r="G629" s="423"/>
      <c r="H629" s="423"/>
      <c r="I629" s="422">
        <f t="shared" ref="I629:J633" si="275">H653</f>
        <v>0</v>
      </c>
      <c r="J629" s="422">
        <f t="shared" si="275"/>
        <v>0</v>
      </c>
    </row>
    <row r="630" spans="2:10" s="254" customFormat="1" x14ac:dyDescent="0.35">
      <c r="B630" s="279" t="s">
        <v>639</v>
      </c>
      <c r="C630" s="279" t="s">
        <v>651</v>
      </c>
      <c r="D630" s="423"/>
      <c r="E630" s="423"/>
      <c r="F630" s="423"/>
      <c r="G630" s="423"/>
      <c r="H630" s="423"/>
      <c r="I630" s="422">
        <f t="shared" si="275"/>
        <v>0</v>
      </c>
      <c r="J630" s="422">
        <f t="shared" si="275"/>
        <v>0</v>
      </c>
    </row>
    <row r="631" spans="2:10" s="254" customFormat="1" x14ac:dyDescent="0.35">
      <c r="B631" s="279" t="s">
        <v>640</v>
      </c>
      <c r="C631" s="279" t="s">
        <v>651</v>
      </c>
      <c r="D631" s="423"/>
      <c r="E631" s="423"/>
      <c r="F631" s="423"/>
      <c r="G631" s="423"/>
      <c r="H631" s="423"/>
      <c r="I631" s="422">
        <f t="shared" si="275"/>
        <v>0</v>
      </c>
      <c r="J631" s="422">
        <f t="shared" si="275"/>
        <v>0</v>
      </c>
    </row>
    <row r="632" spans="2:10" s="254" customFormat="1" x14ac:dyDescent="0.35">
      <c r="B632" s="279" t="s">
        <v>641</v>
      </c>
      <c r="C632" s="279" t="s">
        <v>651</v>
      </c>
      <c r="D632" s="423"/>
      <c r="E632" s="423"/>
      <c r="F632" s="423"/>
      <c r="G632" s="423"/>
      <c r="H632" s="423"/>
      <c r="I632" s="422">
        <f t="shared" si="275"/>
        <v>0</v>
      </c>
      <c r="J632" s="422">
        <f t="shared" si="275"/>
        <v>0</v>
      </c>
    </row>
    <row r="633" spans="2:10" s="254" customFormat="1" x14ac:dyDescent="0.35">
      <c r="B633" s="279" t="s">
        <v>642</v>
      </c>
      <c r="C633" s="279" t="s">
        <v>651</v>
      </c>
      <c r="D633" s="423"/>
      <c r="E633" s="423"/>
      <c r="F633" s="423"/>
      <c r="G633" s="423"/>
      <c r="H633" s="423"/>
      <c r="I633" s="422">
        <f t="shared" si="275"/>
        <v>0</v>
      </c>
      <c r="J633" s="422">
        <f t="shared" si="275"/>
        <v>0</v>
      </c>
    </row>
    <row r="634" spans="2:10" s="254" customFormat="1" x14ac:dyDescent="0.35">
      <c r="B634" s="289" t="s">
        <v>643</v>
      </c>
      <c r="C634" s="279" t="s">
        <v>651</v>
      </c>
      <c r="D634" s="423"/>
      <c r="E634" s="423"/>
      <c r="F634" s="423"/>
      <c r="G634" s="423"/>
      <c r="H634" s="423"/>
      <c r="I634" s="423">
        <f>SUM(I629:I633)</f>
        <v>0</v>
      </c>
      <c r="J634" s="423">
        <f>SUM(J629:J633)</f>
        <v>0</v>
      </c>
    </row>
    <row r="635" spans="2:10" s="254" customFormat="1" x14ac:dyDescent="0.35">
      <c r="B635" s="289" t="s">
        <v>644</v>
      </c>
      <c r="C635" s="279" t="s">
        <v>651</v>
      </c>
      <c r="D635" s="423"/>
      <c r="E635" s="423"/>
      <c r="F635" s="423"/>
      <c r="G635" s="423"/>
      <c r="H635" s="423"/>
      <c r="I635" s="423"/>
      <c r="J635" s="423"/>
    </row>
    <row r="636" spans="2:10" s="254" customFormat="1" x14ac:dyDescent="0.35">
      <c r="B636" s="279" t="s">
        <v>645</v>
      </c>
      <c r="C636" s="279" t="s">
        <v>651</v>
      </c>
      <c r="D636" s="423"/>
      <c r="E636" s="423"/>
      <c r="F636" s="423"/>
      <c r="G636" s="423"/>
      <c r="H636" s="423"/>
      <c r="I636" s="422">
        <f t="shared" ref="I636:J639" si="276">H660</f>
        <v>0</v>
      </c>
      <c r="J636" s="422">
        <f t="shared" si="276"/>
        <v>0</v>
      </c>
    </row>
    <row r="637" spans="2:10" s="254" customFormat="1" x14ac:dyDescent="0.35">
      <c r="B637" s="279" t="s">
        <v>646</v>
      </c>
      <c r="C637" s="279" t="s">
        <v>651</v>
      </c>
      <c r="D637" s="423"/>
      <c r="E637" s="423"/>
      <c r="F637" s="423"/>
      <c r="G637" s="423"/>
      <c r="H637" s="423"/>
      <c r="I637" s="422">
        <f t="shared" si="276"/>
        <v>0</v>
      </c>
      <c r="J637" s="422">
        <f t="shared" si="276"/>
        <v>0</v>
      </c>
    </row>
    <row r="638" spans="2:10" s="254" customFormat="1" x14ac:dyDescent="0.35">
      <c r="B638" s="279" t="s">
        <v>647</v>
      </c>
      <c r="C638" s="279" t="s">
        <v>651</v>
      </c>
      <c r="D638" s="423"/>
      <c r="E638" s="423"/>
      <c r="F638" s="423"/>
      <c r="G638" s="423"/>
      <c r="H638" s="423"/>
      <c r="I638" s="422">
        <f t="shared" si="276"/>
        <v>0</v>
      </c>
      <c r="J638" s="422">
        <f t="shared" si="276"/>
        <v>0</v>
      </c>
    </row>
    <row r="639" spans="2:10" s="254" customFormat="1" x14ac:dyDescent="0.35">
      <c r="B639" s="279" t="s">
        <v>648</v>
      </c>
      <c r="C639" s="279" t="s">
        <v>651</v>
      </c>
      <c r="D639" s="423"/>
      <c r="E639" s="423"/>
      <c r="F639" s="423"/>
      <c r="G639" s="423"/>
      <c r="H639" s="423"/>
      <c r="I639" s="422">
        <f t="shared" si="276"/>
        <v>0</v>
      </c>
      <c r="J639" s="422">
        <f t="shared" si="276"/>
        <v>0</v>
      </c>
    </row>
    <row r="640" spans="2:10" s="254" customFormat="1" x14ac:dyDescent="0.35">
      <c r="B640" s="289" t="s">
        <v>649</v>
      </c>
      <c r="C640" s="279" t="s">
        <v>651</v>
      </c>
      <c r="D640" s="423"/>
      <c r="E640" s="423"/>
      <c r="F640" s="423"/>
      <c r="G640" s="423"/>
      <c r="H640" s="423"/>
      <c r="I640" s="423">
        <f>SUM(I636:I639)</f>
        <v>0</v>
      </c>
      <c r="J640" s="423">
        <f>SUM(J636:J639)</f>
        <v>0</v>
      </c>
    </row>
    <row r="641" spans="2:10" s="254" customFormat="1" x14ac:dyDescent="0.35">
      <c r="B641" s="289" t="s">
        <v>36</v>
      </c>
      <c r="C641" s="279" t="s">
        <v>651</v>
      </c>
      <c r="D641" s="423"/>
      <c r="E641" s="423"/>
      <c r="F641" s="423"/>
      <c r="G641" s="423"/>
      <c r="H641" s="423"/>
      <c r="I641" s="423">
        <f>I627+I634+I640</f>
        <v>0</v>
      </c>
      <c r="J641" s="423">
        <f>J627+J634+J640</f>
        <v>7793</v>
      </c>
    </row>
    <row r="642" spans="2:10" s="254" customFormat="1" x14ac:dyDescent="0.35">
      <c r="B642" s="289"/>
      <c r="C642" s="279"/>
      <c r="D642" s="423"/>
      <c r="E642" s="423"/>
      <c r="F642" s="423"/>
      <c r="G642" s="423"/>
      <c r="H642" s="423"/>
      <c r="I642" s="423"/>
      <c r="J642" s="423"/>
    </row>
    <row r="643" spans="2:10" s="254" customFormat="1" x14ac:dyDescent="0.35">
      <c r="B643" s="289" t="s">
        <v>774</v>
      </c>
      <c r="C643" s="279"/>
      <c r="D643" s="423"/>
      <c r="E643" s="423"/>
      <c r="F643" s="423"/>
      <c r="G643" s="423"/>
      <c r="H643" s="423"/>
      <c r="I643" s="423"/>
      <c r="J643" s="423"/>
    </row>
    <row r="644" spans="2:10" s="254" customFormat="1" x14ac:dyDescent="0.35">
      <c r="B644" s="289" t="s">
        <v>664</v>
      </c>
      <c r="C644" s="289" t="s">
        <v>369</v>
      </c>
      <c r="D644" s="423"/>
      <c r="E644" s="423"/>
      <c r="F644" s="423"/>
      <c r="G644" s="423"/>
      <c r="H644" s="423"/>
      <c r="I644" s="423"/>
      <c r="J644" s="423"/>
    </row>
    <row r="645" spans="2:10" s="254" customFormat="1" x14ac:dyDescent="0.35">
      <c r="B645" s="289" t="s">
        <v>630</v>
      </c>
      <c r="C645" s="289"/>
      <c r="D645" s="423"/>
      <c r="E645" s="423"/>
      <c r="F645" s="423"/>
      <c r="G645" s="423"/>
      <c r="H645" s="423"/>
      <c r="I645" s="423"/>
      <c r="J645" s="423"/>
    </row>
    <row r="646" spans="2:10" s="254" customFormat="1" x14ac:dyDescent="0.35">
      <c r="B646" s="279" t="s">
        <v>631</v>
      </c>
      <c r="C646" s="279" t="s">
        <v>651</v>
      </c>
      <c r="D646" s="539"/>
      <c r="E646" s="539"/>
      <c r="F646" s="539"/>
      <c r="G646" s="539"/>
      <c r="H646" s="539"/>
      <c r="I646" s="422">
        <v>0</v>
      </c>
      <c r="J646" s="422">
        <v>12073</v>
      </c>
    </row>
    <row r="647" spans="2:10" s="254" customFormat="1" x14ac:dyDescent="0.35">
      <c r="B647" s="279" t="s">
        <v>632</v>
      </c>
      <c r="C647" s="279" t="s">
        <v>651</v>
      </c>
      <c r="D647" s="539"/>
      <c r="E647" s="539"/>
      <c r="F647" s="539"/>
      <c r="G647" s="539"/>
      <c r="H647" s="539"/>
      <c r="I647" s="422">
        <v>4024</v>
      </c>
      <c r="J647" s="422">
        <v>6901</v>
      </c>
    </row>
    <row r="648" spans="2:10" s="254" customFormat="1" x14ac:dyDescent="0.35">
      <c r="B648" s="279" t="s">
        <v>633</v>
      </c>
      <c r="C648" s="279" t="s">
        <v>651</v>
      </c>
      <c r="D648" s="539"/>
      <c r="E648" s="539"/>
      <c r="F648" s="539"/>
      <c r="G648" s="539"/>
      <c r="H648" s="539"/>
      <c r="I648" s="422">
        <v>0</v>
      </c>
      <c r="J648" s="422">
        <v>6069</v>
      </c>
    </row>
    <row r="649" spans="2:10" s="254" customFormat="1" x14ac:dyDescent="0.35">
      <c r="B649" s="279" t="s">
        <v>634</v>
      </c>
      <c r="C649" s="279" t="s">
        <v>651</v>
      </c>
      <c r="D649" s="539"/>
      <c r="E649" s="539"/>
      <c r="F649" s="539"/>
      <c r="G649" s="539"/>
      <c r="H649" s="539"/>
      <c r="I649" s="422">
        <v>0</v>
      </c>
      <c r="J649" s="422">
        <v>4241.2700000000004</v>
      </c>
    </row>
    <row r="650" spans="2:10" s="254" customFormat="1" x14ac:dyDescent="0.35">
      <c r="B650" s="279" t="s">
        <v>635</v>
      </c>
      <c r="C650" s="279" t="s">
        <v>651</v>
      </c>
      <c r="D650" s="539"/>
      <c r="E650" s="539"/>
      <c r="F650" s="539"/>
      <c r="G650" s="539"/>
      <c r="H650" s="539"/>
      <c r="I650" s="422">
        <v>3769</v>
      </c>
      <c r="J650" s="422">
        <v>3118</v>
      </c>
    </row>
    <row r="651" spans="2:10" s="254" customFormat="1" x14ac:dyDescent="0.35">
      <c r="B651" s="289" t="s">
        <v>636</v>
      </c>
      <c r="C651" s="279" t="s">
        <v>651</v>
      </c>
      <c r="D651" s="423"/>
      <c r="E651" s="423"/>
      <c r="F651" s="423"/>
      <c r="G651" s="423"/>
      <c r="H651" s="423"/>
      <c r="I651" s="423">
        <f>SUM(I646:I650)</f>
        <v>7793</v>
      </c>
      <c r="J651" s="423">
        <f>SUM(J646:J650)</f>
        <v>32402.27</v>
      </c>
    </row>
    <row r="652" spans="2:10" s="254" customFormat="1" x14ac:dyDescent="0.35">
      <c r="B652" s="289" t="s">
        <v>637</v>
      </c>
      <c r="C652" s="279" t="s">
        <v>651</v>
      </c>
      <c r="D652" s="423"/>
      <c r="E652" s="423"/>
      <c r="F652" s="423"/>
      <c r="G652" s="423"/>
      <c r="H652" s="423"/>
      <c r="I652" s="423"/>
      <c r="J652" s="423"/>
    </row>
    <row r="653" spans="2:10" s="254" customFormat="1" x14ac:dyDescent="0.35">
      <c r="B653" s="279" t="s">
        <v>638</v>
      </c>
      <c r="C653" s="279" t="s">
        <v>651</v>
      </c>
      <c r="D653" s="423"/>
      <c r="E653" s="423"/>
      <c r="F653" s="423"/>
      <c r="G653" s="423"/>
      <c r="H653" s="423"/>
      <c r="I653" s="497">
        <v>0</v>
      </c>
      <c r="J653" s="497">
        <v>10597</v>
      </c>
    </row>
    <row r="654" spans="2:10" s="254" customFormat="1" x14ac:dyDescent="0.35">
      <c r="B654" s="279" t="s">
        <v>639</v>
      </c>
      <c r="C654" s="279" t="s">
        <v>651</v>
      </c>
      <c r="D654" s="423"/>
      <c r="E654" s="423"/>
      <c r="F654" s="423"/>
      <c r="G654" s="423"/>
      <c r="H654" s="423"/>
      <c r="I654" s="497">
        <v>0</v>
      </c>
      <c r="J654" s="497">
        <v>11641</v>
      </c>
    </row>
    <row r="655" spans="2:10" s="254" customFormat="1" x14ac:dyDescent="0.35">
      <c r="B655" s="279" t="s">
        <v>640</v>
      </c>
      <c r="C655" s="279" t="s">
        <v>651</v>
      </c>
      <c r="D655" s="423"/>
      <c r="E655" s="423"/>
      <c r="F655" s="423"/>
      <c r="G655" s="423"/>
      <c r="H655" s="423"/>
      <c r="I655" s="497">
        <v>0</v>
      </c>
      <c r="J655" s="497">
        <v>0</v>
      </c>
    </row>
    <row r="656" spans="2:10" s="254" customFormat="1" x14ac:dyDescent="0.35">
      <c r="B656" s="279" t="s">
        <v>641</v>
      </c>
      <c r="C656" s="279" t="s">
        <v>651</v>
      </c>
      <c r="D656" s="423"/>
      <c r="E656" s="423"/>
      <c r="F656" s="423"/>
      <c r="G656" s="423"/>
      <c r="H656" s="423"/>
      <c r="I656" s="497">
        <v>0</v>
      </c>
      <c r="J656" s="497">
        <v>9899</v>
      </c>
    </row>
    <row r="657" spans="2:10" s="254" customFormat="1" x14ac:dyDescent="0.35">
      <c r="B657" s="279" t="s">
        <v>642</v>
      </c>
      <c r="C657" s="279" t="s">
        <v>651</v>
      </c>
      <c r="D657" s="423"/>
      <c r="E657" s="423"/>
      <c r="F657" s="423"/>
      <c r="G657" s="423"/>
      <c r="H657" s="423"/>
      <c r="I657" s="497">
        <v>0</v>
      </c>
      <c r="J657" s="497">
        <v>0</v>
      </c>
    </row>
    <row r="658" spans="2:10" s="254" customFormat="1" x14ac:dyDescent="0.35">
      <c r="B658" s="289" t="s">
        <v>643</v>
      </c>
      <c r="C658" s="279" t="s">
        <v>651</v>
      </c>
      <c r="D658" s="423"/>
      <c r="E658" s="423"/>
      <c r="F658" s="423"/>
      <c r="G658" s="423"/>
      <c r="H658" s="423"/>
      <c r="I658" s="423">
        <f>SUM(I653:I657)</f>
        <v>0</v>
      </c>
      <c r="J658" s="423">
        <f>SUM(J653:J657)</f>
        <v>32137</v>
      </c>
    </row>
    <row r="659" spans="2:10" s="254" customFormat="1" x14ac:dyDescent="0.35">
      <c r="B659" s="289" t="s">
        <v>644</v>
      </c>
      <c r="C659" s="279" t="s">
        <v>651</v>
      </c>
      <c r="D659" s="423"/>
      <c r="E659" s="423"/>
      <c r="F659" s="423"/>
      <c r="G659" s="423"/>
      <c r="H659" s="423"/>
      <c r="I659" s="423"/>
      <c r="J659" s="423"/>
    </row>
    <row r="660" spans="2:10" s="254" customFormat="1" x14ac:dyDescent="0.35">
      <c r="B660" s="279" t="s">
        <v>645</v>
      </c>
      <c r="C660" s="279" t="s">
        <v>651</v>
      </c>
      <c r="D660" s="423"/>
      <c r="E660" s="423"/>
      <c r="F660" s="423"/>
      <c r="G660" s="423"/>
      <c r="H660" s="423"/>
      <c r="I660" s="497">
        <v>0</v>
      </c>
      <c r="J660" s="497">
        <v>0</v>
      </c>
    </row>
    <row r="661" spans="2:10" s="254" customFormat="1" x14ac:dyDescent="0.35">
      <c r="B661" s="279" t="s">
        <v>646</v>
      </c>
      <c r="C661" s="279" t="s">
        <v>651</v>
      </c>
      <c r="D661" s="423"/>
      <c r="E661" s="423"/>
      <c r="F661" s="423"/>
      <c r="G661" s="423"/>
      <c r="H661" s="423"/>
      <c r="I661" s="497">
        <v>0</v>
      </c>
      <c r="J661" s="497">
        <v>0</v>
      </c>
    </row>
    <row r="662" spans="2:10" s="254" customFormat="1" x14ac:dyDescent="0.35">
      <c r="B662" s="279" t="s">
        <v>647</v>
      </c>
      <c r="C662" s="279" t="s">
        <v>651</v>
      </c>
      <c r="D662" s="423"/>
      <c r="E662" s="423"/>
      <c r="F662" s="423"/>
      <c r="G662" s="423"/>
      <c r="H662" s="423"/>
      <c r="I662" s="497">
        <v>0</v>
      </c>
      <c r="J662" s="497">
        <v>0</v>
      </c>
    </row>
    <row r="663" spans="2:10" s="254" customFormat="1" x14ac:dyDescent="0.35">
      <c r="B663" s="279" t="s">
        <v>648</v>
      </c>
      <c r="C663" s="279" t="s">
        <v>651</v>
      </c>
      <c r="D663" s="423"/>
      <c r="E663" s="423"/>
      <c r="F663" s="423"/>
      <c r="G663" s="423"/>
      <c r="H663" s="423"/>
      <c r="I663" s="497">
        <v>0</v>
      </c>
      <c r="J663" s="497">
        <v>0</v>
      </c>
    </row>
    <row r="664" spans="2:10" s="254" customFormat="1" x14ac:dyDescent="0.35">
      <c r="B664" s="289" t="s">
        <v>649</v>
      </c>
      <c r="C664" s="279" t="s">
        <v>651</v>
      </c>
      <c r="D664" s="423"/>
      <c r="E664" s="423"/>
      <c r="F664" s="423"/>
      <c r="G664" s="423"/>
      <c r="H664" s="423"/>
      <c r="I664" s="423">
        <f>SUM(I660:I663)</f>
        <v>0</v>
      </c>
      <c r="J664" s="423">
        <f>SUM(J660:J663)</f>
        <v>0</v>
      </c>
    </row>
    <row r="665" spans="2:10" s="254" customFormat="1" x14ac:dyDescent="0.35">
      <c r="B665" s="289" t="s">
        <v>36</v>
      </c>
      <c r="C665" s="279" t="s">
        <v>651</v>
      </c>
      <c r="D665" s="423"/>
      <c r="E665" s="423"/>
      <c r="F665" s="423"/>
      <c r="G665" s="423"/>
      <c r="H665" s="423"/>
      <c r="I665" s="423">
        <f>I651+I658+I664</f>
        <v>7793</v>
      </c>
      <c r="J665" s="423">
        <f>J651+J658+J664</f>
        <v>64539.270000000004</v>
      </c>
    </row>
    <row r="666" spans="2:10" s="254" customFormat="1" x14ac:dyDescent="0.35">
      <c r="B666" s="289"/>
      <c r="C666" s="279"/>
      <c r="D666" s="423"/>
      <c r="E666" s="423"/>
      <c r="F666" s="423"/>
      <c r="G666" s="423"/>
      <c r="H666" s="423"/>
      <c r="I666" s="423"/>
      <c r="J666" s="423"/>
    </row>
    <row r="667" spans="2:10" s="254" customFormat="1" x14ac:dyDescent="0.35">
      <c r="B667" s="289" t="s">
        <v>1610</v>
      </c>
      <c r="C667" s="279"/>
      <c r="D667" s="423"/>
      <c r="E667" s="423"/>
      <c r="F667" s="423"/>
      <c r="G667" s="423"/>
      <c r="H667" s="423"/>
      <c r="I667" s="423"/>
      <c r="J667" s="423"/>
    </row>
    <row r="668" spans="2:10" s="254" customFormat="1" x14ac:dyDescent="0.35">
      <c r="B668" s="289" t="s">
        <v>630</v>
      </c>
      <c r="C668" s="289"/>
      <c r="D668" s="423"/>
      <c r="E668" s="423"/>
      <c r="F668" s="423"/>
      <c r="G668" s="423"/>
      <c r="H668" s="423"/>
      <c r="I668" s="423"/>
      <c r="J668" s="423"/>
    </row>
    <row r="669" spans="2:10" s="254" customFormat="1" x14ac:dyDescent="0.35">
      <c r="B669" s="279" t="s">
        <v>631</v>
      </c>
      <c r="C669" s="279" t="s">
        <v>651</v>
      </c>
      <c r="D669" s="423"/>
      <c r="E669" s="423"/>
      <c r="F669" s="423"/>
      <c r="G669" s="423"/>
      <c r="H669" s="423"/>
      <c r="I669" s="423"/>
      <c r="J669" s="497">
        <v>0</v>
      </c>
    </row>
    <row r="670" spans="2:10" s="254" customFormat="1" x14ac:dyDescent="0.35">
      <c r="B670" s="591" t="s">
        <v>776</v>
      </c>
      <c r="C670" s="279" t="s">
        <v>651</v>
      </c>
      <c r="D670" s="423"/>
      <c r="E670" s="423"/>
      <c r="F670" s="423"/>
      <c r="G670" s="423"/>
      <c r="H670" s="423"/>
      <c r="I670" s="423"/>
      <c r="J670" s="497">
        <v>0</v>
      </c>
    </row>
    <row r="671" spans="2:10" s="254" customFormat="1" x14ac:dyDescent="0.35">
      <c r="B671" s="289" t="s">
        <v>636</v>
      </c>
      <c r="C671" s="279" t="s">
        <v>651</v>
      </c>
      <c r="D671" s="423"/>
      <c r="E671" s="423"/>
      <c r="F671" s="423"/>
      <c r="G671" s="423"/>
      <c r="H671" s="423"/>
      <c r="I671" s="423">
        <f>SUM(I669:I670)</f>
        <v>0</v>
      </c>
      <c r="J671" s="423">
        <f>SUM(J669:J670)</f>
        <v>0</v>
      </c>
    </row>
    <row r="672" spans="2:10" s="254" customFormat="1" x14ac:dyDescent="0.35">
      <c r="B672" s="289" t="s">
        <v>637</v>
      </c>
      <c r="C672" s="279" t="s">
        <v>651</v>
      </c>
      <c r="D672" s="423"/>
      <c r="E672" s="423"/>
      <c r="F672" s="423"/>
      <c r="G672" s="423"/>
      <c r="H672" s="423"/>
      <c r="I672" s="423"/>
      <c r="J672" s="423"/>
    </row>
    <row r="673" spans="2:10" s="254" customFormat="1" x14ac:dyDescent="0.35">
      <c r="B673" s="279" t="s">
        <v>638</v>
      </c>
      <c r="C673" s="279" t="s">
        <v>651</v>
      </c>
      <c r="D673" s="423"/>
      <c r="E673" s="423"/>
      <c r="F673" s="423"/>
      <c r="G673" s="423"/>
      <c r="H673" s="423"/>
      <c r="I673" s="423"/>
      <c r="J673" s="497">
        <v>0</v>
      </c>
    </row>
    <row r="674" spans="2:10" s="254" customFormat="1" x14ac:dyDescent="0.35">
      <c r="B674" s="279" t="s">
        <v>639</v>
      </c>
      <c r="C674" s="279" t="s">
        <v>651</v>
      </c>
      <c r="D674" s="423"/>
      <c r="E674" s="423"/>
      <c r="F674" s="423"/>
      <c r="G674" s="423"/>
      <c r="H674" s="423"/>
      <c r="I674" s="423"/>
      <c r="J674" s="497">
        <v>0</v>
      </c>
    </row>
    <row r="675" spans="2:10" s="254" customFormat="1" x14ac:dyDescent="0.35">
      <c r="B675" s="279" t="s">
        <v>640</v>
      </c>
      <c r="C675" s="279" t="s">
        <v>651</v>
      </c>
      <c r="D675" s="423"/>
      <c r="E675" s="423"/>
      <c r="F675" s="423"/>
      <c r="G675" s="423"/>
      <c r="H675" s="423"/>
      <c r="I675" s="423"/>
      <c r="J675" s="497">
        <v>0</v>
      </c>
    </row>
    <row r="676" spans="2:10" s="254" customFormat="1" x14ac:dyDescent="0.35">
      <c r="B676" s="289" t="s">
        <v>643</v>
      </c>
      <c r="C676" s="279" t="s">
        <v>651</v>
      </c>
      <c r="D676" s="423"/>
      <c r="E676" s="423"/>
      <c r="F676" s="423"/>
      <c r="G676" s="423"/>
      <c r="H676" s="423"/>
      <c r="I676" s="423">
        <f>SUM(I673:I675)</f>
        <v>0</v>
      </c>
      <c r="J676" s="423">
        <f>SUM(J673:J675)</f>
        <v>0</v>
      </c>
    </row>
    <row r="677" spans="2:10" s="254" customFormat="1" x14ac:dyDescent="0.35">
      <c r="B677" s="289" t="s">
        <v>644</v>
      </c>
      <c r="C677" s="279" t="s">
        <v>651</v>
      </c>
      <c r="D677" s="423"/>
      <c r="E677" s="423"/>
      <c r="F677" s="423"/>
      <c r="G677" s="423"/>
      <c r="H677" s="423"/>
      <c r="I677" s="423"/>
      <c r="J677" s="423"/>
    </row>
    <row r="678" spans="2:10" s="254" customFormat="1" x14ac:dyDescent="0.35">
      <c r="B678" s="279" t="s">
        <v>646</v>
      </c>
      <c r="C678" s="279" t="s">
        <v>651</v>
      </c>
      <c r="D678" s="423"/>
      <c r="E678" s="423"/>
      <c r="F678" s="423"/>
      <c r="G678" s="423"/>
      <c r="H678" s="423"/>
      <c r="I678" s="423"/>
      <c r="J678" s="497">
        <v>0</v>
      </c>
    </row>
    <row r="679" spans="2:10" s="254" customFormat="1" x14ac:dyDescent="0.35">
      <c r="B679" s="289" t="s">
        <v>649</v>
      </c>
      <c r="C679" s="279" t="s">
        <v>651</v>
      </c>
      <c r="D679" s="423"/>
      <c r="E679" s="423"/>
      <c r="F679" s="423"/>
      <c r="G679" s="423"/>
      <c r="H679" s="423"/>
      <c r="I679" s="423">
        <f>SUM(I678:I678)</f>
        <v>0</v>
      </c>
      <c r="J679" s="423">
        <f>SUM(J678:J678)</f>
        <v>0</v>
      </c>
    </row>
    <row r="680" spans="2:10" s="254" customFormat="1" x14ac:dyDescent="0.35">
      <c r="B680" s="289" t="s">
        <v>36</v>
      </c>
      <c r="C680" s="279" t="s">
        <v>651</v>
      </c>
      <c r="D680" s="423"/>
      <c r="E680" s="423"/>
      <c r="F680" s="423"/>
      <c r="G680" s="423"/>
      <c r="H680" s="423"/>
      <c r="I680" s="423">
        <f>I671+I676+I679</f>
        <v>0</v>
      </c>
      <c r="J680" s="423">
        <f>J671+J676+J679</f>
        <v>0</v>
      </c>
    </row>
    <row r="681" spans="2:10" s="254" customFormat="1" x14ac:dyDescent="0.35">
      <c r="B681" s="289"/>
      <c r="C681" s="279"/>
      <c r="D681" s="423"/>
      <c r="E681" s="423"/>
      <c r="F681" s="423"/>
      <c r="G681" s="423"/>
      <c r="H681" s="423"/>
      <c r="I681" s="423"/>
      <c r="J681" s="423"/>
    </row>
    <row r="682" spans="2:10" s="254" customFormat="1" x14ac:dyDescent="0.35">
      <c r="B682" s="289" t="s">
        <v>1611</v>
      </c>
      <c r="C682" s="279"/>
      <c r="D682" s="423"/>
      <c r="E682" s="423"/>
      <c r="F682" s="423"/>
      <c r="G682" s="423"/>
      <c r="H682" s="423"/>
      <c r="I682" s="423"/>
      <c r="J682" s="423"/>
    </row>
    <row r="683" spans="2:10" s="254" customFormat="1" x14ac:dyDescent="0.35">
      <c r="B683" s="289" t="s">
        <v>630</v>
      </c>
      <c r="C683" s="289"/>
      <c r="D683" s="423"/>
      <c r="E683" s="423"/>
      <c r="F683" s="423"/>
      <c r="G683" s="423"/>
      <c r="H683" s="423"/>
      <c r="I683" s="423"/>
      <c r="J683" s="423"/>
    </row>
    <row r="684" spans="2:10" s="254" customFormat="1" x14ac:dyDescent="0.35">
      <c r="B684" s="279" t="s">
        <v>631</v>
      </c>
      <c r="C684" s="279" t="s">
        <v>651</v>
      </c>
      <c r="D684" s="423"/>
      <c r="E684" s="423"/>
      <c r="F684" s="423"/>
      <c r="G684" s="423"/>
      <c r="H684" s="423"/>
      <c r="I684" s="423"/>
      <c r="J684" s="497">
        <v>0</v>
      </c>
    </row>
    <row r="685" spans="2:10" s="254" customFormat="1" x14ac:dyDescent="0.35">
      <c r="B685" s="591" t="s">
        <v>776</v>
      </c>
      <c r="C685" s="279" t="s">
        <v>651</v>
      </c>
      <c r="D685" s="423"/>
      <c r="E685" s="423"/>
      <c r="F685" s="423"/>
      <c r="G685" s="423"/>
      <c r="H685" s="423"/>
      <c r="I685" s="423"/>
      <c r="J685" s="497">
        <v>0</v>
      </c>
    </row>
    <row r="686" spans="2:10" s="254" customFormat="1" x14ac:dyDescent="0.35">
      <c r="B686" s="289" t="s">
        <v>636</v>
      </c>
      <c r="C686" s="279" t="s">
        <v>651</v>
      </c>
      <c r="D686" s="423"/>
      <c r="E686" s="423"/>
      <c r="F686" s="423"/>
      <c r="G686" s="423"/>
      <c r="H686" s="423"/>
      <c r="I686" s="423">
        <f>SUM(I684:I685)</f>
        <v>0</v>
      </c>
      <c r="J686" s="423">
        <f>SUM(J684:J685)</f>
        <v>0</v>
      </c>
    </row>
    <row r="687" spans="2:10" s="254" customFormat="1" x14ac:dyDescent="0.35">
      <c r="B687" s="289" t="s">
        <v>637</v>
      </c>
      <c r="C687" s="279" t="s">
        <v>651</v>
      </c>
      <c r="D687" s="423"/>
      <c r="E687" s="423"/>
      <c r="F687" s="423"/>
      <c r="G687" s="423"/>
      <c r="H687" s="423"/>
      <c r="I687" s="423"/>
      <c r="J687" s="423"/>
    </row>
    <row r="688" spans="2:10" s="254" customFormat="1" x14ac:dyDescent="0.35">
      <c r="B688" s="279" t="s">
        <v>638</v>
      </c>
      <c r="C688" s="279" t="s">
        <v>651</v>
      </c>
      <c r="D688" s="423"/>
      <c r="E688" s="423"/>
      <c r="F688" s="423"/>
      <c r="G688" s="423"/>
      <c r="H688" s="423"/>
      <c r="I688" s="423"/>
      <c r="J688" s="497">
        <v>0</v>
      </c>
    </row>
    <row r="689" spans="2:10" s="254" customFormat="1" x14ac:dyDescent="0.35">
      <c r="B689" s="279" t="s">
        <v>639</v>
      </c>
      <c r="C689" s="279" t="s">
        <v>651</v>
      </c>
      <c r="D689" s="423"/>
      <c r="E689" s="423"/>
      <c r="F689" s="423"/>
      <c r="G689" s="423"/>
      <c r="H689" s="423"/>
      <c r="I689" s="423"/>
      <c r="J689" s="497">
        <v>0</v>
      </c>
    </row>
    <row r="690" spans="2:10" s="254" customFormat="1" x14ac:dyDescent="0.35">
      <c r="B690" s="279" t="s">
        <v>640</v>
      </c>
      <c r="C690" s="279" t="s">
        <v>651</v>
      </c>
      <c r="D690" s="423"/>
      <c r="E690" s="423"/>
      <c r="F690" s="423"/>
      <c r="G690" s="423"/>
      <c r="H690" s="423"/>
      <c r="I690" s="423"/>
      <c r="J690" s="497">
        <v>0</v>
      </c>
    </row>
    <row r="691" spans="2:10" s="254" customFormat="1" x14ac:dyDescent="0.35">
      <c r="B691" s="289" t="s">
        <v>643</v>
      </c>
      <c r="C691" s="279" t="s">
        <v>651</v>
      </c>
      <c r="D691" s="423"/>
      <c r="E691" s="423"/>
      <c r="F691" s="423"/>
      <c r="G691" s="423"/>
      <c r="H691" s="423"/>
      <c r="I691" s="423">
        <f>SUM(I688:I690)</f>
        <v>0</v>
      </c>
      <c r="J691" s="423">
        <f>SUM(J688:J690)</f>
        <v>0</v>
      </c>
    </row>
    <row r="692" spans="2:10" s="254" customFormat="1" x14ac:dyDescent="0.35">
      <c r="B692" s="289" t="s">
        <v>644</v>
      </c>
      <c r="C692" s="279" t="s">
        <v>651</v>
      </c>
      <c r="D692" s="423"/>
      <c r="E692" s="423"/>
      <c r="F692" s="423"/>
      <c r="G692" s="423"/>
      <c r="H692" s="423"/>
      <c r="I692" s="423"/>
      <c r="J692" s="423"/>
    </row>
    <row r="693" spans="2:10" s="254" customFormat="1" x14ac:dyDescent="0.35">
      <c r="B693" s="279" t="s">
        <v>646</v>
      </c>
      <c r="C693" s="279" t="s">
        <v>651</v>
      </c>
      <c r="D693" s="423"/>
      <c r="E693" s="423"/>
      <c r="F693" s="423"/>
      <c r="G693" s="423"/>
      <c r="H693" s="423"/>
      <c r="I693" s="423"/>
      <c r="J693" s="497">
        <v>407200</v>
      </c>
    </row>
    <row r="694" spans="2:10" s="254" customFormat="1" x14ac:dyDescent="0.35">
      <c r="B694" s="289" t="s">
        <v>649</v>
      </c>
      <c r="C694" s="279" t="s">
        <v>651</v>
      </c>
      <c r="D694" s="423"/>
      <c r="E694" s="423"/>
      <c r="F694" s="423"/>
      <c r="G694" s="423"/>
      <c r="H694" s="423"/>
      <c r="I694" s="423">
        <f>SUM(I693:I693)</f>
        <v>0</v>
      </c>
      <c r="J694" s="423">
        <f>SUM(J693:J693)</f>
        <v>407200</v>
      </c>
    </row>
    <row r="695" spans="2:10" s="254" customFormat="1" x14ac:dyDescent="0.35">
      <c r="B695" s="289" t="s">
        <v>36</v>
      </c>
      <c r="C695" s="279" t="s">
        <v>651</v>
      </c>
      <c r="D695" s="423"/>
      <c r="E695" s="423"/>
      <c r="F695" s="423"/>
      <c r="G695" s="423"/>
      <c r="H695" s="423"/>
      <c r="I695" s="423">
        <f>I686+I691+I694</f>
        <v>0</v>
      </c>
      <c r="J695" s="423">
        <f>J686+J691+J694</f>
        <v>407200</v>
      </c>
    </row>
    <row r="696" spans="2:10" s="254" customFormat="1" x14ac:dyDescent="0.35">
      <c r="B696" s="289"/>
      <c r="C696" s="279"/>
      <c r="D696" s="423"/>
      <c r="E696" s="423"/>
      <c r="F696" s="423"/>
      <c r="G696" s="423"/>
      <c r="H696" s="423"/>
      <c r="I696" s="423"/>
      <c r="J696" s="423"/>
    </row>
    <row r="697" spans="2:10" s="254" customFormat="1" x14ac:dyDescent="0.35">
      <c r="B697" s="289" t="s">
        <v>1612</v>
      </c>
      <c r="C697" s="279"/>
      <c r="D697" s="423"/>
      <c r="E697" s="423"/>
      <c r="F697" s="423"/>
      <c r="G697" s="423"/>
      <c r="H697" s="423"/>
      <c r="I697" s="423"/>
      <c r="J697" s="423"/>
    </row>
    <row r="698" spans="2:10" s="254" customFormat="1" x14ac:dyDescent="0.35">
      <c r="B698" s="289" t="s">
        <v>630</v>
      </c>
      <c r="C698" s="289"/>
      <c r="D698" s="423"/>
      <c r="E698" s="423"/>
      <c r="F698" s="423"/>
      <c r="G698" s="423"/>
      <c r="H698" s="423"/>
      <c r="I698" s="423"/>
      <c r="J698" s="423"/>
    </row>
    <row r="699" spans="2:10" s="254" customFormat="1" x14ac:dyDescent="0.35">
      <c r="B699" s="279" t="s">
        <v>631</v>
      </c>
      <c r="C699" s="279" t="s">
        <v>651</v>
      </c>
      <c r="D699" s="423"/>
      <c r="E699" s="423"/>
      <c r="F699" s="423"/>
      <c r="G699" s="423"/>
      <c r="H699" s="423"/>
      <c r="I699" s="423"/>
      <c r="J699" s="497">
        <v>0</v>
      </c>
    </row>
    <row r="700" spans="2:10" s="254" customFormat="1" x14ac:dyDescent="0.35">
      <c r="B700" s="591" t="s">
        <v>776</v>
      </c>
      <c r="C700" s="279" t="s">
        <v>651</v>
      </c>
      <c r="D700" s="423"/>
      <c r="E700" s="423"/>
      <c r="F700" s="423"/>
      <c r="G700" s="423"/>
      <c r="H700" s="423"/>
      <c r="I700" s="423"/>
      <c r="J700" s="497">
        <v>0</v>
      </c>
    </row>
    <row r="701" spans="2:10" s="254" customFormat="1" x14ac:dyDescent="0.35">
      <c r="B701" s="289" t="s">
        <v>636</v>
      </c>
      <c r="C701" s="279" t="s">
        <v>651</v>
      </c>
      <c r="D701" s="423"/>
      <c r="E701" s="423"/>
      <c r="F701" s="423"/>
      <c r="G701" s="423"/>
      <c r="H701" s="423"/>
      <c r="I701" s="423">
        <f>SUM(I699:I700)</f>
        <v>0</v>
      </c>
      <c r="J701" s="423">
        <f>SUM(J699:J700)</f>
        <v>0</v>
      </c>
    </row>
    <row r="702" spans="2:10" s="254" customFormat="1" x14ac:dyDescent="0.35">
      <c r="B702" s="289" t="s">
        <v>637</v>
      </c>
      <c r="C702" s="279" t="s">
        <v>651</v>
      </c>
      <c r="D702" s="423"/>
      <c r="E702" s="423"/>
      <c r="F702" s="423"/>
      <c r="G702" s="423"/>
      <c r="H702" s="423"/>
      <c r="I702" s="423"/>
      <c r="J702" s="423"/>
    </row>
    <row r="703" spans="2:10" s="254" customFormat="1" x14ac:dyDescent="0.35">
      <c r="B703" s="279" t="s">
        <v>638</v>
      </c>
      <c r="C703" s="279" t="s">
        <v>651</v>
      </c>
      <c r="D703" s="423"/>
      <c r="E703" s="423"/>
      <c r="F703" s="423"/>
      <c r="G703" s="423"/>
      <c r="H703" s="423"/>
      <c r="I703" s="423"/>
      <c r="J703" s="497">
        <v>0</v>
      </c>
    </row>
    <row r="704" spans="2:10" s="254" customFormat="1" x14ac:dyDescent="0.35">
      <c r="B704" s="279" t="s">
        <v>639</v>
      </c>
      <c r="C704" s="279" t="s">
        <v>651</v>
      </c>
      <c r="D704" s="423"/>
      <c r="E704" s="423"/>
      <c r="F704" s="423"/>
      <c r="G704" s="423"/>
      <c r="H704" s="423"/>
      <c r="I704" s="423"/>
      <c r="J704" s="497">
        <v>0</v>
      </c>
    </row>
    <row r="705" spans="2:10" s="254" customFormat="1" x14ac:dyDescent="0.35">
      <c r="B705" s="279" t="s">
        <v>640</v>
      </c>
      <c r="C705" s="279" t="s">
        <v>651</v>
      </c>
      <c r="D705" s="423"/>
      <c r="E705" s="423"/>
      <c r="F705" s="423"/>
      <c r="G705" s="423"/>
      <c r="H705" s="423"/>
      <c r="I705" s="423"/>
      <c r="J705" s="497">
        <v>0</v>
      </c>
    </row>
    <row r="706" spans="2:10" s="254" customFormat="1" x14ac:dyDescent="0.35">
      <c r="B706" s="289" t="s">
        <v>643</v>
      </c>
      <c r="C706" s="279" t="s">
        <v>651</v>
      </c>
      <c r="D706" s="423"/>
      <c r="E706" s="423"/>
      <c r="F706" s="423"/>
      <c r="G706" s="423"/>
      <c r="H706" s="423"/>
      <c r="I706" s="423">
        <f>SUM(I703:I705)</f>
        <v>0</v>
      </c>
      <c r="J706" s="423">
        <f>SUM(J703:J705)</f>
        <v>0</v>
      </c>
    </row>
    <row r="707" spans="2:10" s="254" customFormat="1" x14ac:dyDescent="0.35">
      <c r="B707" s="289" t="s">
        <v>644</v>
      </c>
      <c r="C707" s="279" t="s">
        <v>651</v>
      </c>
      <c r="D707" s="423"/>
      <c r="E707" s="423"/>
      <c r="F707" s="423"/>
      <c r="G707" s="423"/>
      <c r="H707" s="423"/>
      <c r="I707" s="423"/>
      <c r="J707" s="423"/>
    </row>
    <row r="708" spans="2:10" s="254" customFormat="1" x14ac:dyDescent="0.35">
      <c r="B708" s="279" t="s">
        <v>646</v>
      </c>
      <c r="C708" s="279" t="s">
        <v>651</v>
      </c>
      <c r="D708" s="423"/>
      <c r="E708" s="423"/>
      <c r="F708" s="423"/>
      <c r="G708" s="423"/>
      <c r="H708" s="423"/>
      <c r="I708" s="423"/>
      <c r="J708" s="497">
        <v>407200</v>
      </c>
    </row>
    <row r="709" spans="2:10" s="254" customFormat="1" x14ac:dyDescent="0.35">
      <c r="B709" s="289" t="s">
        <v>649</v>
      </c>
      <c r="C709" s="279" t="s">
        <v>651</v>
      </c>
      <c r="D709" s="423"/>
      <c r="E709" s="423"/>
      <c r="F709" s="423"/>
      <c r="G709" s="423"/>
      <c r="H709" s="423"/>
      <c r="I709" s="423">
        <f>SUM(I708:I708)</f>
        <v>0</v>
      </c>
      <c r="J709" s="423">
        <f>SUM(J708:J708)</f>
        <v>407200</v>
      </c>
    </row>
    <row r="710" spans="2:10" s="254" customFormat="1" x14ac:dyDescent="0.35">
      <c r="B710" s="289" t="s">
        <v>36</v>
      </c>
      <c r="C710" s="279" t="s">
        <v>651</v>
      </c>
      <c r="D710" s="423"/>
      <c r="E710" s="423"/>
      <c r="F710" s="423"/>
      <c r="G710" s="423"/>
      <c r="H710" s="423"/>
      <c r="I710" s="423">
        <f>I701+I706+I709</f>
        <v>0</v>
      </c>
      <c r="J710" s="423">
        <f>J701+J706+J709</f>
        <v>407200</v>
      </c>
    </row>
    <row r="711" spans="2:10" s="254" customFormat="1" x14ac:dyDescent="0.35">
      <c r="B711" s="289"/>
      <c r="C711" s="279"/>
      <c r="D711" s="423"/>
      <c r="E711" s="423"/>
      <c r="F711" s="423"/>
      <c r="G711" s="423"/>
      <c r="H711" s="423"/>
      <c r="I711" s="423"/>
      <c r="J711" s="423"/>
    </row>
    <row r="712" spans="2:10" s="254" customFormat="1" x14ac:dyDescent="0.35">
      <c r="B712" s="289" t="s">
        <v>1613</v>
      </c>
      <c r="C712" s="279"/>
      <c r="D712" s="423"/>
      <c r="E712" s="423"/>
      <c r="F712" s="423"/>
      <c r="G712" s="423"/>
      <c r="H712" s="423"/>
      <c r="I712" s="423"/>
      <c r="J712" s="423"/>
    </row>
    <row r="713" spans="2:10" s="254" customFormat="1" x14ac:dyDescent="0.35">
      <c r="B713" s="289" t="s">
        <v>630</v>
      </c>
      <c r="C713" s="289"/>
      <c r="D713" s="423"/>
      <c r="E713" s="423"/>
      <c r="F713" s="423"/>
      <c r="G713" s="423"/>
      <c r="H713" s="423"/>
      <c r="I713" s="423"/>
      <c r="J713" s="423"/>
    </row>
    <row r="714" spans="2:10" s="254" customFormat="1" x14ac:dyDescent="0.35">
      <c r="B714" s="279" t="s">
        <v>631</v>
      </c>
      <c r="C714" s="279" t="s">
        <v>651</v>
      </c>
      <c r="D714" s="423"/>
      <c r="E714" s="423"/>
      <c r="F714" s="423"/>
      <c r="G714" s="423"/>
      <c r="H714" s="423"/>
      <c r="I714" s="497">
        <f>I669+I684-I699</f>
        <v>0</v>
      </c>
      <c r="J714" s="497">
        <f>J669+J684-J699</f>
        <v>0</v>
      </c>
    </row>
    <row r="715" spans="2:10" s="254" customFormat="1" x14ac:dyDescent="0.35">
      <c r="B715" s="591" t="s">
        <v>776</v>
      </c>
      <c r="C715" s="279" t="s">
        <v>651</v>
      </c>
      <c r="D715" s="423"/>
      <c r="E715" s="423"/>
      <c r="F715" s="423"/>
      <c r="G715" s="423"/>
      <c r="H715" s="423"/>
      <c r="I715" s="497">
        <f>I670+I685-I700</f>
        <v>0</v>
      </c>
      <c r="J715" s="497">
        <f>J670+J685-J700</f>
        <v>0</v>
      </c>
    </row>
    <row r="716" spans="2:10" s="254" customFormat="1" x14ac:dyDescent="0.35">
      <c r="B716" s="289" t="s">
        <v>636</v>
      </c>
      <c r="C716" s="279" t="s">
        <v>651</v>
      </c>
      <c r="D716" s="423"/>
      <c r="E716" s="423"/>
      <c r="F716" s="423"/>
      <c r="G716" s="423"/>
      <c r="H716" s="423"/>
      <c r="I716" s="423">
        <f>SUM(I714:I715)</f>
        <v>0</v>
      </c>
      <c r="J716" s="423">
        <f>SUM(J714:J715)</f>
        <v>0</v>
      </c>
    </row>
    <row r="717" spans="2:10" s="254" customFormat="1" x14ac:dyDescent="0.35">
      <c r="B717" s="289" t="s">
        <v>637</v>
      </c>
      <c r="C717" s="279" t="s">
        <v>651</v>
      </c>
      <c r="D717" s="423"/>
      <c r="E717" s="423"/>
      <c r="F717" s="423"/>
      <c r="G717" s="423"/>
      <c r="H717" s="423"/>
      <c r="I717" s="423"/>
      <c r="J717" s="423"/>
    </row>
    <row r="718" spans="2:10" s="254" customFormat="1" x14ac:dyDescent="0.35">
      <c r="B718" s="279" t="s">
        <v>638</v>
      </c>
      <c r="C718" s="279" t="s">
        <v>651</v>
      </c>
      <c r="D718" s="423"/>
      <c r="E718" s="423"/>
      <c r="F718" s="423"/>
      <c r="G718" s="423"/>
      <c r="H718" s="423"/>
      <c r="I718" s="497">
        <f t="shared" ref="I718:J718" si="277">I673+I688-I703</f>
        <v>0</v>
      </c>
      <c r="J718" s="497">
        <f t="shared" si="277"/>
        <v>0</v>
      </c>
    </row>
    <row r="719" spans="2:10" s="254" customFormat="1" x14ac:dyDescent="0.35">
      <c r="B719" s="279" t="s">
        <v>639</v>
      </c>
      <c r="C719" s="279" t="s">
        <v>651</v>
      </c>
      <c r="D719" s="423"/>
      <c r="E719" s="423"/>
      <c r="F719" s="423"/>
      <c r="G719" s="423"/>
      <c r="H719" s="423"/>
      <c r="I719" s="497">
        <f t="shared" ref="I719:J719" si="278">I674+I689-I704</f>
        <v>0</v>
      </c>
      <c r="J719" s="497">
        <f t="shared" si="278"/>
        <v>0</v>
      </c>
    </row>
    <row r="720" spans="2:10" s="254" customFormat="1" x14ac:dyDescent="0.35">
      <c r="B720" s="279" t="s">
        <v>640</v>
      </c>
      <c r="C720" s="279" t="s">
        <v>651</v>
      </c>
      <c r="D720" s="423"/>
      <c r="E720" s="423"/>
      <c r="F720" s="423"/>
      <c r="G720" s="423"/>
      <c r="H720" s="423"/>
      <c r="I720" s="497">
        <f t="shared" ref="I720:J720" si="279">I675+I690-I705</f>
        <v>0</v>
      </c>
      <c r="J720" s="497">
        <f t="shared" si="279"/>
        <v>0</v>
      </c>
    </row>
    <row r="721" spans="1:10" s="254" customFormat="1" x14ac:dyDescent="0.35">
      <c r="B721" s="289" t="s">
        <v>643</v>
      </c>
      <c r="C721" s="279" t="s">
        <v>651</v>
      </c>
      <c r="D721" s="423"/>
      <c r="E721" s="423"/>
      <c r="F721" s="423"/>
      <c r="G721" s="423"/>
      <c r="H721" s="423"/>
      <c r="I721" s="423">
        <f>SUM(I718:I720)</f>
        <v>0</v>
      </c>
      <c r="J721" s="423">
        <f>SUM(J718:J720)</f>
        <v>0</v>
      </c>
    </row>
    <row r="722" spans="1:10" s="254" customFormat="1" x14ac:dyDescent="0.35">
      <c r="B722" s="289" t="s">
        <v>644</v>
      </c>
      <c r="C722" s="279" t="s">
        <v>651</v>
      </c>
      <c r="D722" s="423"/>
      <c r="E722" s="423"/>
      <c r="F722" s="423"/>
      <c r="G722" s="423"/>
      <c r="H722" s="423"/>
      <c r="I722" s="423"/>
      <c r="J722" s="423"/>
    </row>
    <row r="723" spans="1:10" s="254" customFormat="1" x14ac:dyDescent="0.35">
      <c r="B723" s="279" t="s">
        <v>646</v>
      </c>
      <c r="C723" s="279" t="s">
        <v>651</v>
      </c>
      <c r="D723" s="423"/>
      <c r="E723" s="423"/>
      <c r="F723" s="423"/>
      <c r="G723" s="423"/>
      <c r="H723" s="423"/>
      <c r="I723" s="497">
        <f>I678+I693-I708</f>
        <v>0</v>
      </c>
      <c r="J723" s="497">
        <f>J678+J693-J708</f>
        <v>0</v>
      </c>
    </row>
    <row r="724" spans="1:10" s="254" customFormat="1" x14ac:dyDescent="0.35">
      <c r="B724" s="289" t="s">
        <v>649</v>
      </c>
      <c r="C724" s="279" t="s">
        <v>651</v>
      </c>
      <c r="D724" s="423"/>
      <c r="E724" s="423"/>
      <c r="F724" s="423"/>
      <c r="G724" s="423"/>
      <c r="H724" s="423"/>
      <c r="I724" s="423">
        <f>SUM(I723:I723)</f>
        <v>0</v>
      </c>
      <c r="J724" s="423">
        <f>SUM(J723:J723)</f>
        <v>0</v>
      </c>
    </row>
    <row r="725" spans="1:10" s="254" customFormat="1" x14ac:dyDescent="0.35">
      <c r="B725" s="289" t="s">
        <v>36</v>
      </c>
      <c r="C725" s="279" t="s">
        <v>651</v>
      </c>
      <c r="D725" s="423"/>
      <c r="E725" s="423"/>
      <c r="F725" s="423"/>
      <c r="G725" s="423"/>
      <c r="H725" s="423"/>
      <c r="I725" s="423">
        <f>I716+I721+I724</f>
        <v>0</v>
      </c>
      <c r="J725" s="423">
        <f>J716+J721+J724</f>
        <v>0</v>
      </c>
    </row>
    <row r="726" spans="1:10" s="254" customFormat="1" x14ac:dyDescent="0.35">
      <c r="B726" s="289"/>
      <c r="C726" s="279"/>
      <c r="D726" s="423"/>
      <c r="E726" s="423"/>
      <c r="F726" s="423"/>
      <c r="G726" s="423"/>
      <c r="H726" s="423"/>
      <c r="I726" s="423"/>
      <c r="J726" s="1692"/>
    </row>
    <row r="727" spans="1:10" s="217" customFormat="1" x14ac:dyDescent="0.35">
      <c r="A727" s="544" t="s">
        <v>837</v>
      </c>
      <c r="B727" s="331" t="s">
        <v>662</v>
      </c>
      <c r="C727" s="494"/>
      <c r="D727" s="495"/>
      <c r="E727" s="495"/>
      <c r="F727" s="495"/>
      <c r="G727" s="495"/>
      <c r="H727" s="495"/>
      <c r="I727" s="495"/>
    </row>
    <row r="728" spans="1:10" s="254" customFormat="1" x14ac:dyDescent="0.35">
      <c r="B728" s="289" t="s">
        <v>964</v>
      </c>
      <c r="C728" s="279"/>
      <c r="D728" s="423"/>
      <c r="E728" s="423"/>
      <c r="F728" s="423"/>
      <c r="G728" s="423"/>
      <c r="H728" s="423"/>
      <c r="I728" s="423"/>
      <c r="J728" s="423"/>
    </row>
    <row r="729" spans="1:10" s="254" customFormat="1" x14ac:dyDescent="0.35">
      <c r="B729" s="289" t="s">
        <v>630</v>
      </c>
      <c r="C729" s="591" t="s">
        <v>684</v>
      </c>
      <c r="D729" s="423"/>
      <c r="E729" s="423"/>
      <c r="F729" s="423"/>
      <c r="G729" s="423"/>
      <c r="H729" s="423"/>
      <c r="I729" s="423"/>
      <c r="J729" s="423"/>
    </row>
    <row r="730" spans="1:10" s="254" customFormat="1" x14ac:dyDescent="0.35">
      <c r="B730" s="279" t="s">
        <v>631</v>
      </c>
      <c r="C730" s="591" t="s">
        <v>684</v>
      </c>
      <c r="D730" s="422">
        <v>160</v>
      </c>
      <c r="E730" s="497">
        <f t="shared" ref="E730:J731" si="280">D730</f>
        <v>160</v>
      </c>
      <c r="F730" s="497">
        <f t="shared" si="280"/>
        <v>160</v>
      </c>
      <c r="G730" s="497">
        <f t="shared" si="280"/>
        <v>160</v>
      </c>
      <c r="H730" s="497">
        <f t="shared" si="280"/>
        <v>160</v>
      </c>
      <c r="I730" s="497">
        <f t="shared" si="280"/>
        <v>160</v>
      </c>
      <c r="J730" s="497">
        <f t="shared" si="280"/>
        <v>160</v>
      </c>
    </row>
    <row r="731" spans="1:10" s="254" customFormat="1" x14ac:dyDescent="0.35">
      <c r="B731" s="591" t="s">
        <v>776</v>
      </c>
      <c r="C731" s="591" t="s">
        <v>684</v>
      </c>
      <c r="D731" s="422">
        <v>160</v>
      </c>
      <c r="E731" s="497">
        <f t="shared" si="280"/>
        <v>160</v>
      </c>
      <c r="F731" s="497">
        <f t="shared" si="280"/>
        <v>160</v>
      </c>
      <c r="G731" s="497">
        <f t="shared" si="280"/>
        <v>160</v>
      </c>
      <c r="H731" s="497">
        <f t="shared" si="280"/>
        <v>160</v>
      </c>
      <c r="I731" s="497">
        <f t="shared" si="280"/>
        <v>160</v>
      </c>
      <c r="J731" s="497">
        <f t="shared" si="280"/>
        <v>160</v>
      </c>
    </row>
    <row r="732" spans="1:10" s="254" customFormat="1" x14ac:dyDescent="0.35">
      <c r="B732" s="289" t="s">
        <v>636</v>
      </c>
      <c r="C732" s="591" t="s">
        <v>684</v>
      </c>
      <c r="D732" s="423">
        <f t="shared" ref="D732:I732" si="281">SUM(D730:D731)</f>
        <v>320</v>
      </c>
      <c r="E732" s="423">
        <f t="shared" si="281"/>
        <v>320</v>
      </c>
      <c r="F732" s="423">
        <f t="shared" si="281"/>
        <v>320</v>
      </c>
      <c r="G732" s="423">
        <f t="shared" si="281"/>
        <v>320</v>
      </c>
      <c r="H732" s="423">
        <f t="shared" si="281"/>
        <v>320</v>
      </c>
      <c r="I732" s="423">
        <f t="shared" si="281"/>
        <v>320</v>
      </c>
      <c r="J732" s="423">
        <f t="shared" ref="J732" si="282">SUM(J730:J731)</f>
        <v>320</v>
      </c>
    </row>
    <row r="733" spans="1:10" s="254" customFormat="1" x14ac:dyDescent="0.35">
      <c r="B733" s="289" t="s">
        <v>637</v>
      </c>
      <c r="C733" s="591" t="s">
        <v>684</v>
      </c>
      <c r="D733" s="497"/>
      <c r="E733" s="497"/>
      <c r="F733" s="497"/>
      <c r="G733" s="497"/>
      <c r="H733" s="497"/>
      <c r="I733" s="497"/>
      <c r="J733" s="497"/>
    </row>
    <row r="734" spans="1:10" s="254" customFormat="1" x14ac:dyDescent="0.35">
      <c r="B734" s="279" t="s">
        <v>638</v>
      </c>
      <c r="C734" s="591" t="s">
        <v>684</v>
      </c>
      <c r="D734" s="422">
        <v>100</v>
      </c>
      <c r="E734" s="497">
        <f t="shared" ref="E734:J736" si="283">D734</f>
        <v>100</v>
      </c>
      <c r="F734" s="497">
        <f t="shared" si="283"/>
        <v>100</v>
      </c>
      <c r="G734" s="497">
        <f t="shared" si="283"/>
        <v>100</v>
      </c>
      <c r="H734" s="497">
        <f t="shared" si="283"/>
        <v>100</v>
      </c>
      <c r="I734" s="497">
        <f t="shared" si="283"/>
        <v>100</v>
      </c>
      <c r="J734" s="497">
        <f t="shared" si="283"/>
        <v>100</v>
      </c>
    </row>
    <row r="735" spans="1:10" s="254" customFormat="1" x14ac:dyDescent="0.35">
      <c r="B735" s="279" t="s">
        <v>639</v>
      </c>
      <c r="C735" s="591" t="s">
        <v>684</v>
      </c>
      <c r="D735" s="422">
        <v>60</v>
      </c>
      <c r="E735" s="497">
        <f t="shared" si="283"/>
        <v>60</v>
      </c>
      <c r="F735" s="497">
        <f t="shared" si="283"/>
        <v>60</v>
      </c>
      <c r="G735" s="497">
        <f t="shared" si="283"/>
        <v>60</v>
      </c>
      <c r="H735" s="497">
        <f t="shared" si="283"/>
        <v>60</v>
      </c>
      <c r="I735" s="497">
        <f t="shared" si="283"/>
        <v>60</v>
      </c>
      <c r="J735" s="497">
        <f t="shared" si="283"/>
        <v>60</v>
      </c>
    </row>
    <row r="736" spans="1:10" s="254" customFormat="1" x14ac:dyDescent="0.35">
      <c r="B736" s="279" t="s">
        <v>640</v>
      </c>
      <c r="C736" s="591" t="s">
        <v>684</v>
      </c>
      <c r="D736" s="422">
        <v>160</v>
      </c>
      <c r="E736" s="497">
        <f t="shared" si="283"/>
        <v>160</v>
      </c>
      <c r="F736" s="497">
        <f t="shared" si="283"/>
        <v>160</v>
      </c>
      <c r="G736" s="497">
        <f t="shared" si="283"/>
        <v>160</v>
      </c>
      <c r="H736" s="497">
        <f t="shared" si="283"/>
        <v>160</v>
      </c>
      <c r="I736" s="497">
        <f t="shared" si="283"/>
        <v>160</v>
      </c>
      <c r="J736" s="497">
        <f t="shared" si="283"/>
        <v>160</v>
      </c>
    </row>
    <row r="737" spans="1:10" s="254" customFormat="1" x14ac:dyDescent="0.35">
      <c r="B737" s="289" t="s">
        <v>643</v>
      </c>
      <c r="C737" s="591" t="s">
        <v>684</v>
      </c>
      <c r="D737" s="423">
        <f t="shared" ref="D737:I737" si="284">SUM(D734:D736)</f>
        <v>320</v>
      </c>
      <c r="E737" s="423">
        <f t="shared" si="284"/>
        <v>320</v>
      </c>
      <c r="F737" s="423">
        <f t="shared" si="284"/>
        <v>320</v>
      </c>
      <c r="G737" s="423">
        <f t="shared" si="284"/>
        <v>320</v>
      </c>
      <c r="H737" s="423">
        <f t="shared" si="284"/>
        <v>320</v>
      </c>
      <c r="I737" s="423">
        <f t="shared" si="284"/>
        <v>320</v>
      </c>
      <c r="J737" s="423">
        <f t="shared" ref="J737" si="285">SUM(J734:J736)</f>
        <v>320</v>
      </c>
    </row>
    <row r="738" spans="1:10" s="254" customFormat="1" x14ac:dyDescent="0.35">
      <c r="B738" s="289" t="s">
        <v>644</v>
      </c>
      <c r="C738" s="591" t="s">
        <v>684</v>
      </c>
      <c r="D738" s="497"/>
      <c r="E738" s="497"/>
      <c r="F738" s="497"/>
      <c r="G738" s="497"/>
      <c r="H738" s="497"/>
      <c r="I738" s="497"/>
      <c r="J738" s="497"/>
    </row>
    <row r="739" spans="1:10" s="254" customFormat="1" x14ac:dyDescent="0.35">
      <c r="B739" s="279" t="s">
        <v>646</v>
      </c>
      <c r="C739" s="591" t="s">
        <v>684</v>
      </c>
      <c r="D739" s="422">
        <v>160</v>
      </c>
      <c r="E739" s="497">
        <f t="shared" ref="E739:J739" si="286">D739</f>
        <v>160</v>
      </c>
      <c r="F739" s="497">
        <f t="shared" si="286"/>
        <v>160</v>
      </c>
      <c r="G739" s="497">
        <f t="shared" si="286"/>
        <v>160</v>
      </c>
      <c r="H739" s="497">
        <f t="shared" si="286"/>
        <v>160</v>
      </c>
      <c r="I739" s="497">
        <f t="shared" si="286"/>
        <v>160</v>
      </c>
      <c r="J739" s="497">
        <f t="shared" si="286"/>
        <v>160</v>
      </c>
    </row>
    <row r="740" spans="1:10" s="254" customFormat="1" x14ac:dyDescent="0.35">
      <c r="B740" s="289" t="s">
        <v>649</v>
      </c>
      <c r="C740" s="591" t="s">
        <v>684</v>
      </c>
      <c r="D740" s="423">
        <f t="shared" ref="D740:I740" si="287">SUM(D739)</f>
        <v>160</v>
      </c>
      <c r="E740" s="423">
        <f t="shared" si="287"/>
        <v>160</v>
      </c>
      <c r="F740" s="423">
        <f t="shared" si="287"/>
        <v>160</v>
      </c>
      <c r="G740" s="423">
        <f t="shared" si="287"/>
        <v>160</v>
      </c>
      <c r="H740" s="423">
        <f t="shared" si="287"/>
        <v>160</v>
      </c>
      <c r="I740" s="423">
        <f t="shared" si="287"/>
        <v>160</v>
      </c>
      <c r="J740" s="423">
        <f t="shared" ref="J740" si="288">SUM(J739)</f>
        <v>160</v>
      </c>
    </row>
    <row r="741" spans="1:10" s="254" customFormat="1" x14ac:dyDescent="0.35">
      <c r="B741" s="289" t="s">
        <v>36</v>
      </c>
      <c r="C741" s="591" t="s">
        <v>684</v>
      </c>
      <c r="D741" s="423">
        <f t="shared" ref="D741:I741" si="289">D732+D737+D740</f>
        <v>800</v>
      </c>
      <c r="E741" s="423">
        <f t="shared" si="289"/>
        <v>800</v>
      </c>
      <c r="F741" s="423">
        <f t="shared" si="289"/>
        <v>800</v>
      </c>
      <c r="G741" s="423">
        <f t="shared" si="289"/>
        <v>800</v>
      </c>
      <c r="H741" s="423">
        <f t="shared" si="289"/>
        <v>800</v>
      </c>
      <c r="I741" s="423">
        <f t="shared" si="289"/>
        <v>800</v>
      </c>
      <c r="J741" s="423">
        <f t="shared" ref="J741" si="290">J732+J737+J740</f>
        <v>800</v>
      </c>
    </row>
    <row r="742" spans="1:10" s="254" customFormat="1" x14ac:dyDescent="0.35">
      <c r="A742" s="624"/>
      <c r="B742" s="289"/>
      <c r="C742" s="279"/>
      <c r="D742" s="423"/>
      <c r="E742" s="423"/>
      <c r="F742" s="423"/>
      <c r="G742" s="423"/>
      <c r="H742" s="423"/>
      <c r="I742" s="423"/>
      <c r="J742" s="423"/>
    </row>
    <row r="743" spans="1:10" s="254" customFormat="1" x14ac:dyDescent="0.35">
      <c r="B743" s="289" t="s">
        <v>775</v>
      </c>
      <c r="C743" s="279"/>
      <c r="D743" s="423"/>
      <c r="E743" s="423"/>
      <c r="F743" s="423"/>
      <c r="G743" s="423"/>
      <c r="H743" s="423"/>
      <c r="I743" s="423"/>
      <c r="J743" s="423"/>
    </row>
    <row r="744" spans="1:10" s="254" customFormat="1" x14ac:dyDescent="0.35">
      <c r="B744" s="289" t="s">
        <v>630</v>
      </c>
      <c r="C744" s="289"/>
      <c r="D744" s="423"/>
      <c r="E744" s="423"/>
      <c r="F744" s="423"/>
      <c r="G744" s="423"/>
      <c r="H744" s="423"/>
      <c r="I744" s="423"/>
      <c r="J744" s="423"/>
    </row>
    <row r="745" spans="1:10" s="254" customFormat="1" x14ac:dyDescent="0.35">
      <c r="B745" s="279" t="s">
        <v>631</v>
      </c>
      <c r="C745" s="279" t="s">
        <v>651</v>
      </c>
      <c r="D745" s="422">
        <v>99204.44</v>
      </c>
      <c r="E745" s="497">
        <f t="shared" ref="E745:J746" si="291">D822</f>
        <v>39499.059999999947</v>
      </c>
      <c r="F745" s="497">
        <f t="shared" si="291"/>
        <v>17450.509999999911</v>
      </c>
      <c r="G745" s="497">
        <f t="shared" si="291"/>
        <v>169401.06999999989</v>
      </c>
      <c r="H745" s="497">
        <f t="shared" si="291"/>
        <v>54328.129999999896</v>
      </c>
      <c r="I745" s="497">
        <f t="shared" si="291"/>
        <v>155133.14999999988</v>
      </c>
      <c r="J745" s="497">
        <f t="shared" si="291"/>
        <v>120371.37999999983</v>
      </c>
    </row>
    <row r="746" spans="1:10" s="254" customFormat="1" x14ac:dyDescent="0.35">
      <c r="B746" s="543" t="s">
        <v>776</v>
      </c>
      <c r="C746" s="279" t="s">
        <v>651</v>
      </c>
      <c r="D746" s="422">
        <v>66822.910000000018</v>
      </c>
      <c r="E746" s="497">
        <f t="shared" si="291"/>
        <v>58174.089999999727</v>
      </c>
      <c r="F746" s="497">
        <f t="shared" si="291"/>
        <v>112229.5999999998</v>
      </c>
      <c r="G746" s="497">
        <f t="shared" si="291"/>
        <v>100285.7399999999</v>
      </c>
      <c r="H746" s="497">
        <f t="shared" si="291"/>
        <v>64351.829999999754</v>
      </c>
      <c r="I746" s="497">
        <f t="shared" si="291"/>
        <v>73584.399999999674</v>
      </c>
      <c r="J746" s="497">
        <f t="shared" si="291"/>
        <v>-3.7243808037601411E-10</v>
      </c>
    </row>
    <row r="747" spans="1:10" s="254" customFormat="1" x14ac:dyDescent="0.35">
      <c r="B747" s="289" t="s">
        <v>636</v>
      </c>
      <c r="C747" s="279" t="s">
        <v>651</v>
      </c>
      <c r="D747" s="423">
        <f t="shared" ref="D747:I747" si="292">SUM(D745:D746)</f>
        <v>166027.35000000003</v>
      </c>
      <c r="E747" s="423">
        <f t="shared" si="292"/>
        <v>97673.149999999674</v>
      </c>
      <c r="F747" s="423">
        <f t="shared" si="292"/>
        <v>129680.10999999971</v>
      </c>
      <c r="G747" s="423">
        <f t="shared" si="292"/>
        <v>269686.80999999982</v>
      </c>
      <c r="H747" s="423">
        <f t="shared" si="292"/>
        <v>118679.95999999964</v>
      </c>
      <c r="I747" s="423">
        <f t="shared" si="292"/>
        <v>228717.54999999955</v>
      </c>
      <c r="J747" s="423">
        <f t="shared" ref="J747" si="293">SUM(J745:J746)</f>
        <v>120371.37999999945</v>
      </c>
    </row>
    <row r="748" spans="1:10" s="254" customFormat="1" x14ac:dyDescent="0.35">
      <c r="B748" s="289" t="s">
        <v>637</v>
      </c>
      <c r="C748" s="279" t="s">
        <v>651</v>
      </c>
      <c r="D748" s="497"/>
      <c r="E748" s="497"/>
      <c r="F748" s="497"/>
      <c r="G748" s="497"/>
      <c r="H748" s="497"/>
      <c r="I748" s="497"/>
      <c r="J748" s="497"/>
    </row>
    <row r="749" spans="1:10" s="254" customFormat="1" x14ac:dyDescent="0.35">
      <c r="B749" s="279" t="s">
        <v>638</v>
      </c>
      <c r="C749" s="279" t="s">
        <v>651</v>
      </c>
      <c r="D749" s="422">
        <v>36120.300000000003</v>
      </c>
      <c r="E749" s="497">
        <f t="shared" ref="E749:F751" si="294">D826</f>
        <v>31662.300000000047</v>
      </c>
      <c r="F749" s="497">
        <f t="shared" si="294"/>
        <v>24799.600000000046</v>
      </c>
      <c r="G749" s="497">
        <f t="shared" ref="G749:J751" si="295">F826</f>
        <v>30355.700000000092</v>
      </c>
      <c r="H749" s="497">
        <f t="shared" si="295"/>
        <v>25743.100000000071</v>
      </c>
      <c r="I749" s="497">
        <f t="shared" si="295"/>
        <v>62843.500000000095</v>
      </c>
      <c r="J749" s="497">
        <f t="shared" si="295"/>
        <v>17440.700000000117</v>
      </c>
    </row>
    <row r="750" spans="1:10" s="254" customFormat="1" x14ac:dyDescent="0.35">
      <c r="B750" s="279" t="s">
        <v>639</v>
      </c>
      <c r="C750" s="279" t="s">
        <v>651</v>
      </c>
      <c r="D750" s="422">
        <v>14140.4</v>
      </c>
      <c r="E750" s="497">
        <f t="shared" si="294"/>
        <v>4724.3000000000229</v>
      </c>
      <c r="F750" s="497">
        <f t="shared" si="294"/>
        <v>14570.700000000046</v>
      </c>
      <c r="G750" s="497">
        <f t="shared" si="295"/>
        <v>10421.400000000071</v>
      </c>
      <c r="H750" s="497">
        <f t="shared" si="295"/>
        <v>24225.200000000023</v>
      </c>
      <c r="I750" s="497">
        <f t="shared" si="295"/>
        <v>27922.30000000001</v>
      </c>
      <c r="J750" s="497">
        <f t="shared" si="295"/>
        <v>39130.10000000002</v>
      </c>
    </row>
    <row r="751" spans="1:10" s="254" customFormat="1" x14ac:dyDescent="0.35">
      <c r="B751" s="279" t="s">
        <v>640</v>
      </c>
      <c r="C751" s="279" t="s">
        <v>651</v>
      </c>
      <c r="D751" s="422">
        <v>55810.290000000117</v>
      </c>
      <c r="E751" s="497">
        <f t="shared" si="294"/>
        <v>51596.150000000081</v>
      </c>
      <c r="F751" s="497">
        <f t="shared" si="294"/>
        <v>59443.800000000141</v>
      </c>
      <c r="G751" s="497">
        <f t="shared" si="295"/>
        <v>63131.750000000233</v>
      </c>
      <c r="H751" s="497">
        <f t="shared" si="295"/>
        <v>100610.10000000034</v>
      </c>
      <c r="I751" s="497">
        <f t="shared" si="295"/>
        <v>143226.23000000033</v>
      </c>
      <c r="J751" s="497">
        <f t="shared" si="295"/>
        <v>3.3014657674357295E-10</v>
      </c>
    </row>
    <row r="752" spans="1:10" s="254" customFormat="1" x14ac:dyDescent="0.35">
      <c r="B752" s="289" t="s">
        <v>643</v>
      </c>
      <c r="C752" s="279" t="s">
        <v>651</v>
      </c>
      <c r="D752" s="423">
        <f t="shared" ref="D752:I752" si="296">SUM(D749:D751)</f>
        <v>106070.99000000012</v>
      </c>
      <c r="E752" s="423">
        <f t="shared" si="296"/>
        <v>87982.750000000146</v>
      </c>
      <c r="F752" s="423">
        <f t="shared" si="296"/>
        <v>98814.100000000239</v>
      </c>
      <c r="G752" s="423">
        <f t="shared" si="296"/>
        <v>103908.8500000004</v>
      </c>
      <c r="H752" s="423">
        <f t="shared" si="296"/>
        <v>150578.40000000043</v>
      </c>
      <c r="I752" s="423">
        <f t="shared" si="296"/>
        <v>233992.03000000044</v>
      </c>
      <c r="J752" s="423">
        <f t="shared" ref="J752" si="297">SUM(J749:J751)</f>
        <v>56570.800000000461</v>
      </c>
    </row>
    <row r="753" spans="2:16" s="254" customFormat="1" x14ac:dyDescent="0.35">
      <c r="B753" s="289" t="s">
        <v>644</v>
      </c>
      <c r="C753" s="279" t="s">
        <v>651</v>
      </c>
      <c r="D753" s="497"/>
      <c r="E753" s="497"/>
      <c r="F753" s="497"/>
      <c r="G753" s="497"/>
      <c r="H753" s="497"/>
      <c r="I753" s="497"/>
      <c r="J753" s="497"/>
    </row>
    <row r="754" spans="2:16" s="254" customFormat="1" x14ac:dyDescent="0.35">
      <c r="B754" s="279" t="s">
        <v>646</v>
      </c>
      <c r="C754" s="279" t="s">
        <v>651</v>
      </c>
      <c r="D754" s="422">
        <f>44635.33+11955.6</f>
        <v>56590.93</v>
      </c>
      <c r="E754" s="497">
        <f t="shared" ref="E754:J754" si="298">D831</f>
        <v>10019.700000000121</v>
      </c>
      <c r="F754" s="497">
        <f t="shared" si="298"/>
        <v>14970.830000000122</v>
      </c>
      <c r="G754" s="497">
        <f t="shared" si="298"/>
        <v>139224.93000000008</v>
      </c>
      <c r="H754" s="497">
        <f t="shared" si="298"/>
        <v>157962.44000000006</v>
      </c>
      <c r="I754" s="497">
        <f t="shared" si="298"/>
        <v>153929.84000000005</v>
      </c>
      <c r="J754" s="497">
        <f t="shared" si="298"/>
        <v>6.6393113229423761E-11</v>
      </c>
    </row>
    <row r="755" spans="2:16" s="254" customFormat="1" x14ac:dyDescent="0.35">
      <c r="B755" s="289" t="s">
        <v>649</v>
      </c>
      <c r="C755" s="279" t="s">
        <v>651</v>
      </c>
      <c r="D755" s="423">
        <f t="shared" ref="D755:I755" si="299">SUM(D754)</f>
        <v>56590.93</v>
      </c>
      <c r="E755" s="423">
        <f t="shared" si="299"/>
        <v>10019.700000000121</v>
      </c>
      <c r="F755" s="423">
        <f t="shared" si="299"/>
        <v>14970.830000000122</v>
      </c>
      <c r="G755" s="423">
        <f t="shared" si="299"/>
        <v>139224.93000000008</v>
      </c>
      <c r="H755" s="423">
        <f t="shared" si="299"/>
        <v>157962.44000000006</v>
      </c>
      <c r="I755" s="423">
        <f t="shared" si="299"/>
        <v>153929.84000000005</v>
      </c>
      <c r="J755" s="423">
        <f t="shared" ref="J755" si="300">SUM(J754)</f>
        <v>6.6393113229423761E-11</v>
      </c>
    </row>
    <row r="756" spans="2:16" s="254" customFormat="1" x14ac:dyDescent="0.35">
      <c r="B756" s="289" t="s">
        <v>36</v>
      </c>
      <c r="C756" s="279" t="s">
        <v>651</v>
      </c>
      <c r="D756" s="423">
        <f t="shared" ref="D756:I756" si="301">D747+D752+D755</f>
        <v>328689.27000000014</v>
      </c>
      <c r="E756" s="423">
        <f t="shared" si="301"/>
        <v>195675.59999999995</v>
      </c>
      <c r="F756" s="423">
        <f t="shared" si="301"/>
        <v>243465.0400000001</v>
      </c>
      <c r="G756" s="423">
        <f t="shared" si="301"/>
        <v>512820.59000000032</v>
      </c>
      <c r="H756" s="423">
        <f t="shared" si="301"/>
        <v>427220.80000000016</v>
      </c>
      <c r="I756" s="423">
        <f t="shared" si="301"/>
        <v>616639.42000000004</v>
      </c>
      <c r="J756" s="423">
        <f t="shared" ref="J756" si="302">J747+J752+J755</f>
        <v>176942.17999999996</v>
      </c>
    </row>
    <row r="757" spans="2:16" s="254" customFormat="1" x14ac:dyDescent="0.35">
      <c r="B757" s="289"/>
      <c r="C757" s="279"/>
      <c r="D757" s="423"/>
      <c r="E757" s="423"/>
      <c r="F757" s="423"/>
      <c r="G757" s="423"/>
      <c r="H757" s="423"/>
      <c r="I757" s="423"/>
      <c r="J757" s="423"/>
    </row>
    <row r="758" spans="2:16" s="254" customFormat="1" x14ac:dyDescent="0.35">
      <c r="B758" s="289" t="s">
        <v>777</v>
      </c>
      <c r="C758" s="279"/>
      <c r="D758" s="423"/>
      <c r="E758" s="423"/>
      <c r="F758" s="423"/>
      <c r="G758" s="423"/>
      <c r="H758" s="423"/>
      <c r="I758" s="423"/>
      <c r="J758" s="423"/>
    </row>
    <row r="759" spans="2:16" s="254" customFormat="1" x14ac:dyDescent="0.35">
      <c r="B759" s="289" t="s">
        <v>630</v>
      </c>
      <c r="C759" s="289"/>
      <c r="D759" s="423"/>
      <c r="E759" s="423"/>
      <c r="F759" s="423"/>
      <c r="G759" s="423"/>
      <c r="H759" s="423"/>
      <c r="I759" s="423"/>
      <c r="J759" s="423"/>
    </row>
    <row r="760" spans="2:16" s="254" customFormat="1" x14ac:dyDescent="0.35">
      <c r="B760" s="279" t="s">
        <v>631</v>
      </c>
      <c r="C760" s="279" t="s">
        <v>651</v>
      </c>
      <c r="D760" s="422">
        <v>820000</v>
      </c>
      <c r="E760" s="422">
        <v>586020.22</v>
      </c>
      <c r="F760" s="622">
        <v>1021000</v>
      </c>
      <c r="G760" s="422">
        <v>361525.44</v>
      </c>
      <c r="H760" s="422">
        <v>451148.6</v>
      </c>
      <c r="I760" s="422">
        <v>739706.29999999993</v>
      </c>
      <c r="J760" s="422">
        <v>1618228.0000000002</v>
      </c>
      <c r="N760" s="569">
        <f>F760</f>
        <v>1021000</v>
      </c>
      <c r="O760" s="569">
        <f>$F$308</f>
        <v>730050</v>
      </c>
      <c r="P760" s="569">
        <f>N760-O760-F822+F745</f>
        <v>138999.44000000003</v>
      </c>
    </row>
    <row r="761" spans="2:16" s="254" customFormat="1" x14ac:dyDescent="0.35">
      <c r="B761" s="543" t="s">
        <v>776</v>
      </c>
      <c r="C761" s="279" t="s">
        <v>651</v>
      </c>
      <c r="D761" s="422">
        <v>1222885.3999999999</v>
      </c>
      <c r="E761" s="422">
        <v>1376404.7000000002</v>
      </c>
      <c r="F761" s="422">
        <v>830481.8</v>
      </c>
      <c r="G761" s="422">
        <v>1047258.9999999999</v>
      </c>
      <c r="H761" s="422">
        <v>919532.7</v>
      </c>
      <c r="I761" s="422">
        <v>463492.7</v>
      </c>
      <c r="J761" s="422">
        <v>476176.7000000003</v>
      </c>
    </row>
    <row r="762" spans="2:16" s="254" customFormat="1" x14ac:dyDescent="0.35">
      <c r="B762" s="289" t="s">
        <v>636</v>
      </c>
      <c r="C762" s="279" t="s">
        <v>651</v>
      </c>
      <c r="D762" s="423">
        <f t="shared" ref="D762:I762" si="303">SUM(D760:D761)</f>
        <v>2042885.4</v>
      </c>
      <c r="E762" s="423">
        <f t="shared" si="303"/>
        <v>1962424.9200000002</v>
      </c>
      <c r="F762" s="423">
        <f t="shared" si="303"/>
        <v>1851481.8</v>
      </c>
      <c r="G762" s="423">
        <f t="shared" si="303"/>
        <v>1408784.44</v>
      </c>
      <c r="H762" s="423">
        <f t="shared" si="303"/>
        <v>1370681.2999999998</v>
      </c>
      <c r="I762" s="423">
        <f t="shared" si="303"/>
        <v>1203199</v>
      </c>
      <c r="J762" s="423">
        <f t="shared" ref="J762" si="304">SUM(J760:J761)</f>
        <v>2094404.7000000007</v>
      </c>
    </row>
    <row r="763" spans="2:16" s="254" customFormat="1" x14ac:dyDescent="0.35">
      <c r="B763" s="289" t="s">
        <v>637</v>
      </c>
      <c r="C763" s="279" t="s">
        <v>651</v>
      </c>
      <c r="D763" s="497"/>
      <c r="E763" s="497"/>
      <c r="F763" s="497"/>
      <c r="G763" s="497"/>
      <c r="H763" s="497"/>
      <c r="I763" s="497"/>
      <c r="J763" s="497"/>
    </row>
    <row r="764" spans="2:16" s="254" customFormat="1" x14ac:dyDescent="0.35">
      <c r="B764" s="279" t="s">
        <v>638</v>
      </c>
      <c r="C764" s="279" t="s">
        <v>651</v>
      </c>
      <c r="D764" s="422">
        <v>649800</v>
      </c>
      <c r="E764" s="422">
        <v>631950</v>
      </c>
      <c r="F764" s="422">
        <v>722750</v>
      </c>
      <c r="G764" s="422">
        <v>870500</v>
      </c>
      <c r="H764" s="422">
        <v>355300</v>
      </c>
      <c r="I764" s="422">
        <v>785365</v>
      </c>
      <c r="J764" s="422">
        <v>64034.999999999993</v>
      </c>
    </row>
    <row r="765" spans="2:16" s="254" customFormat="1" x14ac:dyDescent="0.35">
      <c r="B765" s="279" t="s">
        <v>639</v>
      </c>
      <c r="C765" s="279" t="s">
        <v>651</v>
      </c>
      <c r="D765" s="422">
        <v>465840</v>
      </c>
      <c r="E765" s="422">
        <v>486640</v>
      </c>
      <c r="F765" s="422">
        <v>507600</v>
      </c>
      <c r="G765" s="422">
        <v>615240</v>
      </c>
      <c r="H765" s="422">
        <v>215900</v>
      </c>
      <c r="I765" s="422">
        <v>129700</v>
      </c>
      <c r="J765" s="422">
        <v>0</v>
      </c>
    </row>
    <row r="766" spans="2:16" s="254" customFormat="1" x14ac:dyDescent="0.35">
      <c r="B766" s="279" t="s">
        <v>640</v>
      </c>
      <c r="C766" s="279" t="s">
        <v>651</v>
      </c>
      <c r="D766" s="422">
        <v>1162361.8</v>
      </c>
      <c r="E766" s="422">
        <v>777673.5</v>
      </c>
      <c r="F766" s="422">
        <v>1439769.1</v>
      </c>
      <c r="G766" s="422">
        <v>1344017.12</v>
      </c>
      <c r="H766" s="422">
        <v>736181.5</v>
      </c>
      <c r="I766" s="422">
        <v>190300</v>
      </c>
      <c r="J766" s="422">
        <v>468695.00000000017</v>
      </c>
    </row>
    <row r="767" spans="2:16" s="254" customFormat="1" x14ac:dyDescent="0.35">
      <c r="B767" s="289" t="s">
        <v>643</v>
      </c>
      <c r="C767" s="279" t="s">
        <v>651</v>
      </c>
      <c r="D767" s="423">
        <f t="shared" ref="D767:I767" si="305">SUM(D764:D766)</f>
        <v>2278001.7999999998</v>
      </c>
      <c r="E767" s="423">
        <f t="shared" si="305"/>
        <v>1896263.5</v>
      </c>
      <c r="F767" s="423">
        <f t="shared" si="305"/>
        <v>2670119.1</v>
      </c>
      <c r="G767" s="423">
        <f t="shared" si="305"/>
        <v>2829757.12</v>
      </c>
      <c r="H767" s="423">
        <f t="shared" si="305"/>
        <v>1307381.5</v>
      </c>
      <c r="I767" s="423">
        <f t="shared" si="305"/>
        <v>1105365</v>
      </c>
      <c r="J767" s="423">
        <f t="shared" ref="J767" si="306">SUM(J764:J766)</f>
        <v>532730.00000000012</v>
      </c>
    </row>
    <row r="768" spans="2:16" s="254" customFormat="1" x14ac:dyDescent="0.35">
      <c r="B768" s="289" t="s">
        <v>644</v>
      </c>
      <c r="C768" s="279" t="s">
        <v>651</v>
      </c>
      <c r="D768" s="497"/>
      <c r="E768" s="497"/>
      <c r="F768" s="497"/>
      <c r="G768" s="497"/>
      <c r="H768" s="497"/>
      <c r="I768" s="497"/>
      <c r="J768" s="497"/>
    </row>
    <row r="769" spans="2:10" s="254" customFormat="1" x14ac:dyDescent="0.35">
      <c r="B769" s="279" t="s">
        <v>646</v>
      </c>
      <c r="C769" s="279" t="s">
        <v>651</v>
      </c>
      <c r="D769" s="422">
        <f>764557.8+72159.4</f>
        <v>836717.20000000007</v>
      </c>
      <c r="E769" s="422">
        <f>788613.43+100006.5</f>
        <v>888619.93</v>
      </c>
      <c r="F769" s="422">
        <f>663883.17+4558.2</f>
        <v>668441.37</v>
      </c>
      <c r="G769" s="422">
        <f>481379.1+14231.2</f>
        <v>495610.3</v>
      </c>
      <c r="H769" s="422">
        <v>0</v>
      </c>
      <c r="I769" s="422">
        <v>47000</v>
      </c>
      <c r="J769" s="422">
        <v>0</v>
      </c>
    </row>
    <row r="770" spans="2:10" s="254" customFormat="1" x14ac:dyDescent="0.35">
      <c r="B770" s="289" t="s">
        <v>649</v>
      </c>
      <c r="C770" s="279" t="s">
        <v>651</v>
      </c>
      <c r="D770" s="423">
        <f t="shared" ref="D770:I770" si="307">SUM(D769)</f>
        <v>836717.20000000007</v>
      </c>
      <c r="E770" s="423">
        <f t="shared" si="307"/>
        <v>888619.93</v>
      </c>
      <c r="F770" s="423">
        <f t="shared" si="307"/>
        <v>668441.37</v>
      </c>
      <c r="G770" s="423">
        <f t="shared" si="307"/>
        <v>495610.3</v>
      </c>
      <c r="H770" s="423">
        <f t="shared" si="307"/>
        <v>0</v>
      </c>
      <c r="I770" s="423">
        <f t="shared" si="307"/>
        <v>47000</v>
      </c>
      <c r="J770" s="423">
        <f t="shared" ref="J770" si="308">SUM(J769)</f>
        <v>0</v>
      </c>
    </row>
    <row r="771" spans="2:10" s="254" customFormat="1" x14ac:dyDescent="0.35">
      <c r="B771" s="289" t="s">
        <v>36</v>
      </c>
      <c r="C771" s="279" t="s">
        <v>651</v>
      </c>
      <c r="D771" s="423">
        <f t="shared" ref="D771:I771" si="309">D762+D767+D770</f>
        <v>5157604.3999999994</v>
      </c>
      <c r="E771" s="423">
        <f t="shared" si="309"/>
        <v>4747308.3499999996</v>
      </c>
      <c r="F771" s="423">
        <f t="shared" si="309"/>
        <v>5190042.2700000005</v>
      </c>
      <c r="G771" s="423">
        <f t="shared" si="309"/>
        <v>4734151.8600000003</v>
      </c>
      <c r="H771" s="423">
        <f t="shared" si="309"/>
        <v>2678062.7999999998</v>
      </c>
      <c r="I771" s="423">
        <f t="shared" si="309"/>
        <v>2355564</v>
      </c>
      <c r="J771" s="423">
        <f t="shared" ref="J771" si="310">J762+J767+J770</f>
        <v>2627134.7000000007</v>
      </c>
    </row>
    <row r="772" spans="2:10" s="254" customFormat="1" x14ac:dyDescent="0.35">
      <c r="B772" s="289"/>
      <c r="C772" s="279"/>
      <c r="D772" s="423"/>
      <c r="E772" s="423"/>
      <c r="F772" s="423"/>
      <c r="G772" s="423"/>
      <c r="H772" s="423"/>
      <c r="I772" s="423"/>
      <c r="J772" s="423"/>
    </row>
    <row r="773" spans="2:10" s="254" customFormat="1" x14ac:dyDescent="0.35">
      <c r="B773" s="289" t="s">
        <v>967</v>
      </c>
      <c r="C773" s="279"/>
      <c r="D773" s="423"/>
      <c r="E773" s="423"/>
      <c r="F773" s="423"/>
      <c r="G773" s="423"/>
      <c r="H773" s="423"/>
      <c r="I773" s="423"/>
      <c r="J773" s="423"/>
    </row>
    <row r="774" spans="2:10" s="254" customFormat="1" x14ac:dyDescent="0.35">
      <c r="B774" s="289" t="s">
        <v>630</v>
      </c>
      <c r="C774" s="289"/>
      <c r="D774" s="423"/>
      <c r="E774" s="423"/>
      <c r="F774" s="423"/>
      <c r="G774" s="423"/>
      <c r="H774" s="423"/>
      <c r="I774" s="423"/>
      <c r="J774" s="423"/>
    </row>
    <row r="775" spans="2:10" s="254" customFormat="1" x14ac:dyDescent="0.35">
      <c r="B775" s="279" t="s">
        <v>631</v>
      </c>
      <c r="C775" s="279" t="s">
        <v>651</v>
      </c>
      <c r="D775" s="423"/>
      <c r="E775" s="423"/>
      <c r="F775" s="423"/>
      <c r="G775" s="423"/>
      <c r="H775" s="423"/>
      <c r="I775" s="423"/>
      <c r="J775" s="423"/>
    </row>
    <row r="776" spans="2:10" s="254" customFormat="1" x14ac:dyDescent="0.35">
      <c r="B776" s="591" t="s">
        <v>776</v>
      </c>
      <c r="C776" s="279" t="s">
        <v>651</v>
      </c>
      <c r="D776" s="423"/>
      <c r="E776" s="423"/>
      <c r="F776" s="423"/>
      <c r="G776" s="423"/>
      <c r="H776" s="423"/>
      <c r="I776" s="423"/>
      <c r="J776" s="423"/>
    </row>
    <row r="777" spans="2:10" s="254" customFormat="1" x14ac:dyDescent="0.35">
      <c r="B777" s="289" t="s">
        <v>636</v>
      </c>
      <c r="C777" s="279" t="s">
        <v>651</v>
      </c>
      <c r="D777" s="423">
        <f t="shared" ref="D777:J777" si="311">SUM(D775:D776)</f>
        <v>0</v>
      </c>
      <c r="E777" s="423">
        <f t="shared" si="311"/>
        <v>0</v>
      </c>
      <c r="F777" s="423">
        <f t="shared" si="311"/>
        <v>0</v>
      </c>
      <c r="G777" s="423">
        <f t="shared" si="311"/>
        <v>0</v>
      </c>
      <c r="H777" s="423">
        <f t="shared" si="311"/>
        <v>0</v>
      </c>
      <c r="I777" s="423">
        <f t="shared" si="311"/>
        <v>0</v>
      </c>
      <c r="J777" s="423">
        <f t="shared" si="311"/>
        <v>0</v>
      </c>
    </row>
    <row r="778" spans="2:10" s="254" customFormat="1" x14ac:dyDescent="0.35">
      <c r="B778" s="289" t="s">
        <v>637</v>
      </c>
      <c r="C778" s="279" t="s">
        <v>651</v>
      </c>
      <c r="D778" s="423"/>
      <c r="E778" s="423"/>
      <c r="F778" s="423"/>
      <c r="G778" s="423"/>
      <c r="H778" s="423"/>
      <c r="I778" s="423"/>
      <c r="J778" s="423"/>
    </row>
    <row r="779" spans="2:10" s="254" customFormat="1" x14ac:dyDescent="0.35">
      <c r="B779" s="279" t="s">
        <v>638</v>
      </c>
      <c r="C779" s="279" t="s">
        <v>651</v>
      </c>
      <c r="D779" s="423"/>
      <c r="E779" s="423"/>
      <c r="F779" s="423"/>
      <c r="G779" s="423"/>
      <c r="H779" s="423"/>
      <c r="I779" s="423"/>
      <c r="J779" s="423"/>
    </row>
    <row r="780" spans="2:10" s="254" customFormat="1" x14ac:dyDescent="0.35">
      <c r="B780" s="279" t="s">
        <v>639</v>
      </c>
      <c r="C780" s="279" t="s">
        <v>651</v>
      </c>
      <c r="D780" s="423"/>
      <c r="E780" s="423"/>
      <c r="F780" s="423"/>
      <c r="G780" s="423"/>
      <c r="H780" s="423"/>
      <c r="I780" s="423"/>
      <c r="J780" s="423"/>
    </row>
    <row r="781" spans="2:10" s="254" customFormat="1" x14ac:dyDescent="0.35">
      <c r="B781" s="279" t="s">
        <v>640</v>
      </c>
      <c r="C781" s="279" t="s">
        <v>651</v>
      </c>
      <c r="D781" s="423"/>
      <c r="E781" s="423"/>
      <c r="F781" s="423"/>
      <c r="G781" s="423"/>
      <c r="H781" s="423"/>
      <c r="I781" s="423"/>
      <c r="J781" s="423"/>
    </row>
    <row r="782" spans="2:10" s="254" customFormat="1" x14ac:dyDescent="0.35">
      <c r="B782" s="289" t="s">
        <v>643</v>
      </c>
      <c r="C782" s="279" t="s">
        <v>651</v>
      </c>
      <c r="D782" s="423">
        <f t="shared" ref="D782:I782" si="312">SUM(D779:D781)</f>
        <v>0</v>
      </c>
      <c r="E782" s="423">
        <f t="shared" si="312"/>
        <v>0</v>
      </c>
      <c r="F782" s="423">
        <f t="shared" si="312"/>
        <v>0</v>
      </c>
      <c r="G782" s="423">
        <f t="shared" si="312"/>
        <v>0</v>
      </c>
      <c r="H782" s="423">
        <f t="shared" si="312"/>
        <v>0</v>
      </c>
      <c r="I782" s="423">
        <f t="shared" si="312"/>
        <v>0</v>
      </c>
      <c r="J782" s="423">
        <f t="shared" ref="J782" si="313">SUM(J779:J781)</f>
        <v>0</v>
      </c>
    </row>
    <row r="783" spans="2:10" s="254" customFormat="1" x14ac:dyDescent="0.35">
      <c r="B783" s="289" t="s">
        <v>644</v>
      </c>
      <c r="C783" s="279" t="s">
        <v>651</v>
      </c>
      <c r="D783" s="423"/>
      <c r="E783" s="423"/>
      <c r="F783" s="423"/>
      <c r="G783" s="423"/>
      <c r="H783" s="423"/>
      <c r="I783" s="423"/>
      <c r="J783" s="423"/>
    </row>
    <row r="784" spans="2:10" s="254" customFormat="1" x14ac:dyDescent="0.35">
      <c r="B784" s="279" t="s">
        <v>646</v>
      </c>
      <c r="C784" s="279" t="s">
        <v>651</v>
      </c>
      <c r="D784" s="422">
        <v>72159.399999999994</v>
      </c>
      <c r="E784" s="422">
        <v>100006.5</v>
      </c>
      <c r="F784" s="422">
        <v>4558.2</v>
      </c>
      <c r="G784" s="422">
        <v>14231.2</v>
      </c>
      <c r="H784" s="539">
        <v>0</v>
      </c>
      <c r="I784" s="539">
        <v>0</v>
      </c>
      <c r="J784" s="539">
        <v>0</v>
      </c>
    </row>
    <row r="785" spans="2:10" s="254" customFormat="1" x14ac:dyDescent="0.35">
      <c r="B785" s="289" t="s">
        <v>649</v>
      </c>
      <c r="C785" s="279" t="s">
        <v>651</v>
      </c>
      <c r="D785" s="423">
        <f t="shared" ref="D785:I785" si="314">SUM(D784)</f>
        <v>72159.399999999994</v>
      </c>
      <c r="E785" s="423">
        <f t="shared" si="314"/>
        <v>100006.5</v>
      </c>
      <c r="F785" s="423">
        <f t="shared" si="314"/>
        <v>4558.2</v>
      </c>
      <c r="G785" s="423">
        <f t="shared" si="314"/>
        <v>14231.2</v>
      </c>
      <c r="H785" s="423">
        <f t="shared" si="314"/>
        <v>0</v>
      </c>
      <c r="I785" s="423">
        <f t="shared" si="314"/>
        <v>0</v>
      </c>
      <c r="J785" s="423">
        <f t="shared" ref="J785" si="315">SUM(J784)</f>
        <v>0</v>
      </c>
    </row>
    <row r="786" spans="2:10" s="254" customFormat="1" x14ac:dyDescent="0.35">
      <c r="B786" s="289" t="s">
        <v>36</v>
      </c>
      <c r="C786" s="279" t="s">
        <v>651</v>
      </c>
      <c r="D786" s="423">
        <f t="shared" ref="D786:I786" si="316">D777+D782+D785</f>
        <v>72159.399999999994</v>
      </c>
      <c r="E786" s="423">
        <f t="shared" si="316"/>
        <v>100006.5</v>
      </c>
      <c r="F786" s="423">
        <f t="shared" si="316"/>
        <v>4558.2</v>
      </c>
      <c r="G786" s="423">
        <f t="shared" si="316"/>
        <v>14231.2</v>
      </c>
      <c r="H786" s="423">
        <f t="shared" si="316"/>
        <v>0</v>
      </c>
      <c r="I786" s="423">
        <f t="shared" si="316"/>
        <v>0</v>
      </c>
      <c r="J786" s="423">
        <f t="shared" ref="J786" si="317">J777+J782+J785</f>
        <v>0</v>
      </c>
    </row>
    <row r="787" spans="2:10" s="254" customFormat="1" x14ac:dyDescent="0.35">
      <c r="B787" s="289"/>
      <c r="C787" s="279"/>
      <c r="D787" s="423"/>
      <c r="E787" s="423"/>
      <c r="F787" s="423"/>
      <c r="G787" s="423"/>
      <c r="H787" s="423"/>
      <c r="I787" s="423"/>
      <c r="J787" s="423"/>
    </row>
    <row r="788" spans="2:10" s="254" customFormat="1" x14ac:dyDescent="0.35">
      <c r="B788" s="289" t="s">
        <v>968</v>
      </c>
      <c r="C788" s="279"/>
      <c r="D788" s="623">
        <f t="shared" ref="D788:J788" si="318">-(D425-D771+D786)</f>
        <v>4809.8999999998196</v>
      </c>
      <c r="E788" s="623">
        <f t="shared" si="318"/>
        <v>2599.3299999991432</v>
      </c>
      <c r="F788" s="623">
        <f t="shared" si="318"/>
        <v>2151.2300000006335</v>
      </c>
      <c r="G788" s="623">
        <f t="shared" si="318"/>
        <v>7353.2400000004091</v>
      </c>
      <c r="H788" s="623">
        <f t="shared" si="318"/>
        <v>0</v>
      </c>
      <c r="I788" s="623">
        <f t="shared" si="318"/>
        <v>-1.7000000001862645</v>
      </c>
      <c r="J788" s="623">
        <f t="shared" si="318"/>
        <v>0</v>
      </c>
    </row>
    <row r="789" spans="2:10" s="254" customFormat="1" x14ac:dyDescent="0.35">
      <c r="B789" s="289"/>
      <c r="C789" s="279"/>
      <c r="D789" s="423"/>
      <c r="E789" s="423"/>
      <c r="F789" s="423"/>
      <c r="G789" s="423"/>
      <c r="H789" s="423"/>
      <c r="I789" s="423"/>
      <c r="J789" s="423"/>
    </row>
    <row r="790" spans="2:10" s="254" customFormat="1" x14ac:dyDescent="0.35">
      <c r="B790" s="289" t="s">
        <v>778</v>
      </c>
      <c r="C790" s="279"/>
      <c r="D790" s="423"/>
      <c r="E790" s="423"/>
      <c r="F790" s="423"/>
      <c r="G790" s="423"/>
      <c r="H790" s="423"/>
      <c r="I790" s="423"/>
      <c r="J790" s="423"/>
    </row>
    <row r="791" spans="2:10" s="254" customFormat="1" x14ac:dyDescent="0.35">
      <c r="B791" s="289" t="s">
        <v>630</v>
      </c>
      <c r="C791" s="289"/>
      <c r="D791" s="423"/>
      <c r="E791" s="423"/>
      <c r="F791" s="423"/>
      <c r="G791" s="423"/>
      <c r="H791" s="423"/>
      <c r="I791" s="423"/>
      <c r="J791" s="423"/>
    </row>
    <row r="792" spans="2:10" s="254" customFormat="1" x14ac:dyDescent="0.35">
      <c r="B792" s="279" t="s">
        <v>631</v>
      </c>
      <c r="C792" s="279" t="s">
        <v>651</v>
      </c>
      <c r="D792" s="422">
        <v>878050</v>
      </c>
      <c r="E792" s="422">
        <v>606050</v>
      </c>
      <c r="F792" s="422">
        <v>864700</v>
      </c>
      <c r="G792" s="422">
        <v>473950</v>
      </c>
      <c r="H792" s="422">
        <v>348100</v>
      </c>
      <c r="I792" s="422">
        <v>771700</v>
      </c>
      <c r="J792" s="422">
        <v>1706900</v>
      </c>
    </row>
    <row r="793" spans="2:10" s="254" customFormat="1" x14ac:dyDescent="0.35">
      <c r="B793" s="543" t="s">
        <v>776</v>
      </c>
      <c r="C793" s="279" t="s">
        <v>651</v>
      </c>
      <c r="D793" s="422">
        <v>1227732.6000000001</v>
      </c>
      <c r="E793" s="422">
        <v>1319760</v>
      </c>
      <c r="F793" s="422">
        <v>840720</v>
      </c>
      <c r="G793" s="422">
        <v>1080960</v>
      </c>
      <c r="H793" s="422">
        <v>908480</v>
      </c>
      <c r="I793" s="422">
        <v>535440</v>
      </c>
      <c r="J793" s="422">
        <v>474000</v>
      </c>
    </row>
    <row r="794" spans="2:10" s="254" customFormat="1" x14ac:dyDescent="0.35">
      <c r="B794" s="289" t="s">
        <v>636</v>
      </c>
      <c r="C794" s="279" t="s">
        <v>651</v>
      </c>
      <c r="D794" s="423">
        <f t="shared" ref="D794:I794" si="319">SUM(D792:D793)</f>
        <v>2105782.6</v>
      </c>
      <c r="E794" s="423">
        <f t="shared" si="319"/>
        <v>1925810</v>
      </c>
      <c r="F794" s="423">
        <f t="shared" si="319"/>
        <v>1705420</v>
      </c>
      <c r="G794" s="423">
        <f t="shared" si="319"/>
        <v>1554910</v>
      </c>
      <c r="H794" s="423">
        <f t="shared" si="319"/>
        <v>1256580</v>
      </c>
      <c r="I794" s="423">
        <f t="shared" si="319"/>
        <v>1307140</v>
      </c>
      <c r="J794" s="423">
        <f t="shared" ref="J794" si="320">SUM(J792:J793)</f>
        <v>2180900</v>
      </c>
    </row>
    <row r="795" spans="2:10" s="254" customFormat="1" x14ac:dyDescent="0.35">
      <c r="B795" s="289" t="s">
        <v>637</v>
      </c>
      <c r="C795" s="279" t="s">
        <v>651</v>
      </c>
      <c r="D795" s="497"/>
      <c r="E795" s="497"/>
      <c r="F795" s="497"/>
      <c r="G795" s="497"/>
      <c r="H795" s="497"/>
      <c r="I795" s="497"/>
      <c r="J795" s="497"/>
    </row>
    <row r="796" spans="2:10" s="254" customFormat="1" x14ac:dyDescent="0.35">
      <c r="B796" s="279" t="s">
        <v>638</v>
      </c>
      <c r="C796" s="279" t="s">
        <v>651</v>
      </c>
      <c r="D796" s="422">
        <v>651020</v>
      </c>
      <c r="E796" s="422">
        <v>634100</v>
      </c>
      <c r="F796" s="422">
        <v>708580</v>
      </c>
      <c r="G796" s="422">
        <v>865380</v>
      </c>
      <c r="H796" s="422">
        <v>314800</v>
      </c>
      <c r="I796" s="422">
        <v>829720</v>
      </c>
      <c r="J796" s="422">
        <v>80300</v>
      </c>
    </row>
    <row r="797" spans="2:10" s="254" customFormat="1" x14ac:dyDescent="0.35">
      <c r="B797" s="279" t="s">
        <v>639</v>
      </c>
      <c r="C797" s="279" t="s">
        <v>651</v>
      </c>
      <c r="D797" s="422">
        <v>473800</v>
      </c>
      <c r="E797" s="422">
        <v>475140</v>
      </c>
      <c r="F797" s="422">
        <v>510220</v>
      </c>
      <c r="G797" s="422">
        <v>600020</v>
      </c>
      <c r="H797" s="422">
        <v>211740</v>
      </c>
      <c r="I797" s="422">
        <v>118040</v>
      </c>
      <c r="J797" s="422">
        <v>39000</v>
      </c>
    </row>
    <row r="798" spans="2:10" s="254" customFormat="1" x14ac:dyDescent="0.35">
      <c r="B798" s="279" t="s">
        <v>640</v>
      </c>
      <c r="C798" s="279" t="s">
        <v>651</v>
      </c>
      <c r="D798" s="422">
        <v>1160600</v>
      </c>
      <c r="E798" s="422">
        <v>765120</v>
      </c>
      <c r="F798" s="422">
        <v>1426930.4</v>
      </c>
      <c r="G798" s="422">
        <v>1297200</v>
      </c>
      <c r="H798" s="422">
        <v>689160</v>
      </c>
      <c r="I798" s="422">
        <v>328960</v>
      </c>
      <c r="J798" s="422">
        <v>461880</v>
      </c>
    </row>
    <row r="799" spans="2:10" s="254" customFormat="1" x14ac:dyDescent="0.35">
      <c r="B799" s="289" t="s">
        <v>643</v>
      </c>
      <c r="C799" s="279" t="s">
        <v>651</v>
      </c>
      <c r="D799" s="423">
        <f t="shared" ref="D799:I799" si="321">SUM(D796:D798)</f>
        <v>2285420</v>
      </c>
      <c r="E799" s="423">
        <f t="shared" si="321"/>
        <v>1874360</v>
      </c>
      <c r="F799" s="423">
        <f t="shared" si="321"/>
        <v>2645730.4</v>
      </c>
      <c r="G799" s="423">
        <f t="shared" si="321"/>
        <v>2762600</v>
      </c>
      <c r="H799" s="423">
        <f t="shared" si="321"/>
        <v>1215700</v>
      </c>
      <c r="I799" s="423">
        <f t="shared" si="321"/>
        <v>1276720</v>
      </c>
      <c r="J799" s="423">
        <f t="shared" ref="J799" si="322">SUM(J796:J798)</f>
        <v>581180</v>
      </c>
    </row>
    <row r="800" spans="2:10" s="254" customFormat="1" x14ac:dyDescent="0.35">
      <c r="B800" s="289" t="s">
        <v>644</v>
      </c>
      <c r="C800" s="279" t="s">
        <v>651</v>
      </c>
      <c r="D800" s="497"/>
      <c r="E800" s="497"/>
      <c r="F800" s="497"/>
      <c r="G800" s="497"/>
      <c r="H800" s="497"/>
      <c r="I800" s="497"/>
      <c r="J800" s="497"/>
    </row>
    <row r="801" spans="2:10" s="254" customFormat="1" x14ac:dyDescent="0.35">
      <c r="B801" s="279" t="s">
        <v>646</v>
      </c>
      <c r="C801" s="279" t="s">
        <v>651</v>
      </c>
      <c r="D801" s="422">
        <f>793775.11+82974.89</f>
        <v>876750</v>
      </c>
      <c r="E801" s="422">
        <f>776114.4+99385.6</f>
        <v>875500</v>
      </c>
      <c r="F801" s="422">
        <f>533347.6+5652.4</f>
        <v>539000</v>
      </c>
      <c r="G801" s="422">
        <f>460071.4+10650</f>
        <v>470721.4</v>
      </c>
      <c r="H801" s="422">
        <v>3581.2</v>
      </c>
      <c r="I801" s="422">
        <v>199168.8</v>
      </c>
      <c r="J801" s="422">
        <v>0</v>
      </c>
    </row>
    <row r="802" spans="2:10" s="254" customFormat="1" x14ac:dyDescent="0.35">
      <c r="B802" s="289" t="s">
        <v>649</v>
      </c>
      <c r="C802" s="279" t="s">
        <v>651</v>
      </c>
      <c r="D802" s="423">
        <f t="shared" ref="D802:I802" si="323">SUM(D801)</f>
        <v>876750</v>
      </c>
      <c r="E802" s="423">
        <f t="shared" si="323"/>
        <v>875500</v>
      </c>
      <c r="F802" s="423">
        <f t="shared" si="323"/>
        <v>539000</v>
      </c>
      <c r="G802" s="423">
        <f t="shared" si="323"/>
        <v>470721.4</v>
      </c>
      <c r="H802" s="423">
        <f t="shared" si="323"/>
        <v>3581.2</v>
      </c>
      <c r="I802" s="423">
        <f t="shared" si="323"/>
        <v>199168.8</v>
      </c>
      <c r="J802" s="423">
        <f t="shared" ref="J802" si="324">SUM(J801)</f>
        <v>0</v>
      </c>
    </row>
    <row r="803" spans="2:10" s="254" customFormat="1" x14ac:dyDescent="0.35">
      <c r="B803" s="289" t="s">
        <v>36</v>
      </c>
      <c r="C803" s="279" t="s">
        <v>651</v>
      </c>
      <c r="D803" s="423">
        <f t="shared" ref="D803:I803" si="325">D794+D799+D802</f>
        <v>5267952.5999999996</v>
      </c>
      <c r="E803" s="423">
        <f t="shared" si="325"/>
        <v>4675670</v>
      </c>
      <c r="F803" s="423">
        <f t="shared" si="325"/>
        <v>4890150.4000000004</v>
      </c>
      <c r="G803" s="423">
        <f t="shared" si="325"/>
        <v>4788231.4000000004</v>
      </c>
      <c r="H803" s="423">
        <f t="shared" si="325"/>
        <v>2475861.2000000002</v>
      </c>
      <c r="I803" s="423">
        <f t="shared" si="325"/>
        <v>2783028.8</v>
      </c>
      <c r="J803" s="423">
        <f t="shared" ref="J803" si="326">J794+J799+J802</f>
        <v>2762080</v>
      </c>
    </row>
    <row r="804" spans="2:10" s="254" customFormat="1" x14ac:dyDescent="0.35">
      <c r="B804" s="289"/>
      <c r="C804" s="279"/>
      <c r="D804" s="423"/>
      <c r="E804" s="423"/>
      <c r="F804" s="423"/>
      <c r="G804" s="423"/>
      <c r="H804" s="423"/>
      <c r="I804" s="423"/>
      <c r="J804" s="423"/>
    </row>
    <row r="805" spans="2:10" s="254" customFormat="1" x14ac:dyDescent="0.35">
      <c r="B805" s="289" t="s">
        <v>779</v>
      </c>
      <c r="C805" s="279"/>
      <c r="D805" s="423"/>
      <c r="E805" s="423"/>
      <c r="F805" s="423"/>
      <c r="G805" s="423"/>
      <c r="H805" s="423"/>
      <c r="I805" s="423"/>
      <c r="J805" s="423"/>
    </row>
    <row r="806" spans="2:10" s="254" customFormat="1" x14ac:dyDescent="0.35">
      <c r="B806" s="289" t="s">
        <v>630</v>
      </c>
      <c r="C806" s="289"/>
      <c r="D806" s="423"/>
      <c r="E806" s="423"/>
      <c r="F806" s="423"/>
      <c r="G806" s="423"/>
      <c r="H806" s="423"/>
      <c r="I806" s="423"/>
      <c r="J806" s="423"/>
    </row>
    <row r="807" spans="2:10" s="254" customFormat="1" x14ac:dyDescent="0.35">
      <c r="B807" s="279" t="s">
        <v>631</v>
      </c>
      <c r="C807" s="279" t="s">
        <v>651</v>
      </c>
      <c r="D807" s="422">
        <v>-1655.38</v>
      </c>
      <c r="E807" s="422">
        <v>-2018.77</v>
      </c>
      <c r="F807" s="422">
        <v>-4349.4399999999996</v>
      </c>
      <c r="G807" s="422">
        <v>-2648.38</v>
      </c>
      <c r="H807" s="422">
        <v>-2243.5800000000004</v>
      </c>
      <c r="I807" s="422">
        <v>-2768.07</v>
      </c>
      <c r="J807" s="422">
        <v>-5528.81</v>
      </c>
    </row>
    <row r="808" spans="2:10" s="254" customFormat="1" x14ac:dyDescent="0.35">
      <c r="B808" s="543" t="s">
        <v>776</v>
      </c>
      <c r="C808" s="279" t="s">
        <v>651</v>
      </c>
      <c r="D808" s="422">
        <v>-3801.62</v>
      </c>
      <c r="E808" s="422">
        <v>-2589.1899999999996</v>
      </c>
      <c r="F808" s="422">
        <v>-1705.66</v>
      </c>
      <c r="G808" s="422">
        <v>-2232.91</v>
      </c>
      <c r="H808" s="422">
        <v>-1820.13</v>
      </c>
      <c r="I808" s="422">
        <v>-1637.1</v>
      </c>
      <c r="J808" s="422">
        <v>-2176.6999999999998</v>
      </c>
    </row>
    <row r="809" spans="2:10" s="254" customFormat="1" x14ac:dyDescent="0.35">
      <c r="B809" s="289" t="s">
        <v>636</v>
      </c>
      <c r="C809" s="279" t="s">
        <v>651</v>
      </c>
      <c r="D809" s="423">
        <f t="shared" ref="D809:I809" si="327">SUM(D807:D808)</f>
        <v>-5457</v>
      </c>
      <c r="E809" s="423">
        <f t="shared" si="327"/>
        <v>-4607.9599999999991</v>
      </c>
      <c r="F809" s="423">
        <f t="shared" si="327"/>
        <v>-6055.0999999999995</v>
      </c>
      <c r="G809" s="423">
        <f t="shared" si="327"/>
        <v>-4881.29</v>
      </c>
      <c r="H809" s="423">
        <f t="shared" si="327"/>
        <v>-4063.7100000000005</v>
      </c>
      <c r="I809" s="423">
        <f t="shared" si="327"/>
        <v>-4405.17</v>
      </c>
      <c r="J809" s="423">
        <f t="shared" ref="J809" si="328">SUM(J807:J808)</f>
        <v>-7705.51</v>
      </c>
    </row>
    <row r="810" spans="2:10" s="254" customFormat="1" x14ac:dyDescent="0.35">
      <c r="B810" s="289" t="s">
        <v>637</v>
      </c>
      <c r="C810" s="279" t="s">
        <v>651</v>
      </c>
      <c r="D810" s="497"/>
      <c r="E810" s="497"/>
      <c r="F810" s="497"/>
      <c r="G810" s="497"/>
      <c r="H810" s="497"/>
      <c r="I810" s="497"/>
      <c r="J810" s="497"/>
    </row>
    <row r="811" spans="2:10" s="254" customFormat="1" x14ac:dyDescent="0.35">
      <c r="B811" s="279" t="s">
        <v>638</v>
      </c>
      <c r="C811" s="279" t="s">
        <v>651</v>
      </c>
      <c r="D811" s="422">
        <v>-3238</v>
      </c>
      <c r="E811" s="422">
        <v>-4712.7</v>
      </c>
      <c r="F811" s="422">
        <v>-8613.9</v>
      </c>
      <c r="G811" s="422">
        <v>-9732.6</v>
      </c>
      <c r="H811" s="422">
        <v>-3399.6000000000004</v>
      </c>
      <c r="I811" s="422">
        <v>-1047.8</v>
      </c>
      <c r="J811" s="422">
        <v>-1175.7</v>
      </c>
    </row>
    <row r="812" spans="2:10" s="254" customFormat="1" x14ac:dyDescent="0.35">
      <c r="B812" s="279" t="s">
        <v>639</v>
      </c>
      <c r="C812" s="279" t="s">
        <v>651</v>
      </c>
      <c r="D812" s="422">
        <v>-1456.1</v>
      </c>
      <c r="E812" s="422">
        <v>-1653.6</v>
      </c>
      <c r="F812" s="422">
        <v>-1529.3</v>
      </c>
      <c r="G812" s="422">
        <v>-1416.2</v>
      </c>
      <c r="H812" s="422">
        <v>-462.89999999999992</v>
      </c>
      <c r="I812" s="422">
        <v>-452.2</v>
      </c>
      <c r="J812" s="422">
        <v>-130.1</v>
      </c>
    </row>
    <row r="813" spans="2:10" s="254" customFormat="1" x14ac:dyDescent="0.35">
      <c r="B813" s="279" t="s">
        <v>640</v>
      </c>
      <c r="C813" s="279" t="s">
        <v>651</v>
      </c>
      <c r="D813" s="422">
        <v>-5975.94</v>
      </c>
      <c r="E813" s="422">
        <v>-4705.8500000000004</v>
      </c>
      <c r="F813" s="422">
        <v>-9150.75</v>
      </c>
      <c r="G813" s="422">
        <v>-9338.77</v>
      </c>
      <c r="H813" s="422">
        <v>-4405.3700000000008</v>
      </c>
      <c r="I813" s="422">
        <v>-4566.2300000000005</v>
      </c>
      <c r="J813" s="422">
        <v>-6815</v>
      </c>
    </row>
    <row r="814" spans="2:10" s="254" customFormat="1" x14ac:dyDescent="0.35">
      <c r="B814" s="289" t="s">
        <v>643</v>
      </c>
      <c r="C814" s="279" t="s">
        <v>651</v>
      </c>
      <c r="D814" s="423">
        <f t="shared" ref="D814:I814" si="329">SUM(D811:D813)</f>
        <v>-10670.04</v>
      </c>
      <c r="E814" s="423">
        <f t="shared" si="329"/>
        <v>-11072.15</v>
      </c>
      <c r="F814" s="423">
        <f t="shared" si="329"/>
        <v>-19293.949999999997</v>
      </c>
      <c r="G814" s="423">
        <f t="shared" si="329"/>
        <v>-20487.57</v>
      </c>
      <c r="H814" s="423">
        <f t="shared" si="329"/>
        <v>-8267.8700000000008</v>
      </c>
      <c r="I814" s="423">
        <f t="shared" si="329"/>
        <v>-6066.2300000000005</v>
      </c>
      <c r="J814" s="423">
        <f t="shared" ref="J814" si="330">SUM(J811:J813)</f>
        <v>-8120.8</v>
      </c>
    </row>
    <row r="815" spans="2:10" s="254" customFormat="1" x14ac:dyDescent="0.35">
      <c r="B815" s="289" t="s">
        <v>644</v>
      </c>
      <c r="C815" s="279" t="s">
        <v>651</v>
      </c>
      <c r="D815" s="497"/>
      <c r="E815" s="497"/>
      <c r="F815" s="497"/>
      <c r="G815" s="497"/>
      <c r="H815" s="497"/>
      <c r="I815" s="497"/>
      <c r="J815" s="497"/>
    </row>
    <row r="816" spans="2:10" s="254" customFormat="1" x14ac:dyDescent="0.35">
      <c r="B816" s="279" t="s">
        <v>646</v>
      </c>
      <c r="C816" s="279" t="s">
        <v>651</v>
      </c>
      <c r="D816" s="422">
        <f>-5871.62-666.81</f>
        <v>-6538.43</v>
      </c>
      <c r="E816" s="422">
        <v>-8168.8</v>
      </c>
      <c r="F816" s="422">
        <v>-5187.2700000000004</v>
      </c>
      <c r="G816" s="422">
        <v>-6151.39</v>
      </c>
      <c r="H816" s="422">
        <v>-451.40000000000003</v>
      </c>
      <c r="I816" s="422">
        <v>-1761.04</v>
      </c>
      <c r="J816" s="422">
        <v>0</v>
      </c>
    </row>
    <row r="817" spans="2:10" s="254" customFormat="1" x14ac:dyDescent="0.35">
      <c r="B817" s="289" t="s">
        <v>649</v>
      </c>
      <c r="C817" s="279" t="s">
        <v>651</v>
      </c>
      <c r="D817" s="423">
        <f t="shared" ref="D817:I817" si="331">SUM(D816)</f>
        <v>-6538.43</v>
      </c>
      <c r="E817" s="423">
        <f t="shared" si="331"/>
        <v>-8168.8</v>
      </c>
      <c r="F817" s="423">
        <f t="shared" si="331"/>
        <v>-5187.2700000000004</v>
      </c>
      <c r="G817" s="423">
        <f t="shared" si="331"/>
        <v>-6151.39</v>
      </c>
      <c r="H817" s="423">
        <f t="shared" si="331"/>
        <v>-451.40000000000003</v>
      </c>
      <c r="I817" s="423">
        <f t="shared" si="331"/>
        <v>-1761.04</v>
      </c>
      <c r="J817" s="423">
        <f t="shared" ref="J817" si="332">SUM(J816)</f>
        <v>0</v>
      </c>
    </row>
    <row r="818" spans="2:10" s="254" customFormat="1" x14ac:dyDescent="0.35">
      <c r="B818" s="289" t="s">
        <v>36</v>
      </c>
      <c r="C818" s="279" t="s">
        <v>651</v>
      </c>
      <c r="D818" s="423">
        <f t="shared" ref="D818:I818" si="333">D809+D814+D817</f>
        <v>-22665.47</v>
      </c>
      <c r="E818" s="423">
        <f t="shared" si="333"/>
        <v>-23848.91</v>
      </c>
      <c r="F818" s="423">
        <f t="shared" si="333"/>
        <v>-30536.319999999996</v>
      </c>
      <c r="G818" s="423">
        <f t="shared" si="333"/>
        <v>-31520.25</v>
      </c>
      <c r="H818" s="423">
        <f t="shared" si="333"/>
        <v>-12782.980000000001</v>
      </c>
      <c r="I818" s="423">
        <f t="shared" si="333"/>
        <v>-12232.440000000002</v>
      </c>
      <c r="J818" s="423">
        <f t="shared" ref="J818" si="334">J809+J814+J817</f>
        <v>-15826.310000000001</v>
      </c>
    </row>
    <row r="819" spans="2:10" s="254" customFormat="1" x14ac:dyDescent="0.35">
      <c r="B819" s="289"/>
      <c r="C819" s="279"/>
      <c r="D819" s="423"/>
      <c r="E819" s="423"/>
      <c r="F819" s="423"/>
      <c r="G819" s="423"/>
      <c r="H819" s="423"/>
      <c r="I819" s="423"/>
      <c r="J819" s="423"/>
    </row>
    <row r="820" spans="2:10" s="254" customFormat="1" x14ac:dyDescent="0.35">
      <c r="B820" s="289" t="s">
        <v>780</v>
      </c>
      <c r="C820" s="279"/>
      <c r="D820" s="423"/>
      <c r="E820" s="423"/>
      <c r="F820" s="423"/>
      <c r="G820" s="423"/>
      <c r="H820" s="423"/>
      <c r="I820" s="423"/>
      <c r="J820" s="423"/>
    </row>
    <row r="821" spans="2:10" s="254" customFormat="1" x14ac:dyDescent="0.35">
      <c r="B821" s="289" t="s">
        <v>630</v>
      </c>
      <c r="C821" s="289"/>
      <c r="D821" s="423"/>
      <c r="E821" s="423"/>
      <c r="F821" s="423"/>
      <c r="G821" s="423"/>
      <c r="H821" s="423"/>
      <c r="I821" s="423"/>
      <c r="J821" s="423"/>
    </row>
    <row r="822" spans="2:10" s="254" customFormat="1" x14ac:dyDescent="0.35">
      <c r="B822" s="279" t="s">
        <v>631</v>
      </c>
      <c r="C822" s="279" t="s">
        <v>651</v>
      </c>
      <c r="D822" s="497">
        <f t="shared" ref="D822:I823" si="335">D745+D760-D792+D807</f>
        <v>39499.059999999947</v>
      </c>
      <c r="E822" s="497">
        <f t="shared" si="335"/>
        <v>17450.509999999911</v>
      </c>
      <c r="F822" s="497">
        <f t="shared" si="335"/>
        <v>169401.06999999989</v>
      </c>
      <c r="G822" s="497">
        <f t="shared" si="335"/>
        <v>54328.129999999896</v>
      </c>
      <c r="H822" s="497">
        <f t="shared" si="335"/>
        <v>155133.14999999988</v>
      </c>
      <c r="I822" s="497">
        <f t="shared" si="335"/>
        <v>120371.37999999983</v>
      </c>
      <c r="J822" s="497">
        <f t="shared" ref="J822" si="336">J745+J760-J792+J807</f>
        <v>26170.57000000012</v>
      </c>
    </row>
    <row r="823" spans="2:10" s="254" customFormat="1" x14ac:dyDescent="0.35">
      <c r="B823" s="543" t="s">
        <v>776</v>
      </c>
      <c r="C823" s="279" t="s">
        <v>651</v>
      </c>
      <c r="D823" s="497">
        <f t="shared" si="335"/>
        <v>58174.089999999727</v>
      </c>
      <c r="E823" s="497">
        <f t="shared" si="335"/>
        <v>112229.5999999998</v>
      </c>
      <c r="F823" s="497">
        <f t="shared" si="335"/>
        <v>100285.7399999999</v>
      </c>
      <c r="G823" s="497">
        <f t="shared" si="335"/>
        <v>64351.829999999754</v>
      </c>
      <c r="H823" s="497">
        <f t="shared" si="335"/>
        <v>73584.399999999674</v>
      </c>
      <c r="I823" s="497">
        <f t="shared" si="335"/>
        <v>-3.7243808037601411E-10</v>
      </c>
      <c r="J823" s="497">
        <f t="shared" ref="J823" si="337">J746+J761-J793+J808</f>
        <v>-4.638422979041934E-11</v>
      </c>
    </row>
    <row r="824" spans="2:10" s="254" customFormat="1" x14ac:dyDescent="0.35">
      <c r="B824" s="289" t="s">
        <v>636</v>
      </c>
      <c r="C824" s="279" t="s">
        <v>651</v>
      </c>
      <c r="D824" s="423">
        <f t="shared" ref="D824:I824" si="338">SUM(D822:D823)</f>
        <v>97673.149999999674</v>
      </c>
      <c r="E824" s="423">
        <f t="shared" si="338"/>
        <v>129680.10999999971</v>
      </c>
      <c r="F824" s="423">
        <f t="shared" si="338"/>
        <v>269686.80999999982</v>
      </c>
      <c r="G824" s="423">
        <f t="shared" si="338"/>
        <v>118679.95999999964</v>
      </c>
      <c r="H824" s="423">
        <f t="shared" si="338"/>
        <v>228717.54999999955</v>
      </c>
      <c r="I824" s="423">
        <f t="shared" si="338"/>
        <v>120371.37999999945</v>
      </c>
      <c r="J824" s="423">
        <f t="shared" ref="J824" si="339">SUM(J822:J823)</f>
        <v>26170.570000000072</v>
      </c>
    </row>
    <row r="825" spans="2:10" s="254" customFormat="1" x14ac:dyDescent="0.35">
      <c r="B825" s="289" t="s">
        <v>637</v>
      </c>
      <c r="C825" s="279" t="s">
        <v>651</v>
      </c>
      <c r="D825" s="497"/>
      <c r="E825" s="497"/>
      <c r="F825" s="497"/>
      <c r="G825" s="497"/>
      <c r="H825" s="497"/>
      <c r="I825" s="497"/>
      <c r="J825" s="497"/>
    </row>
    <row r="826" spans="2:10" s="254" customFormat="1" x14ac:dyDescent="0.35">
      <c r="B826" s="279" t="s">
        <v>638</v>
      </c>
      <c r="C826" s="279" t="s">
        <v>651</v>
      </c>
      <c r="D826" s="497">
        <f t="shared" ref="D826:I828" si="340">D749+D764-D796+D811</f>
        <v>31662.300000000047</v>
      </c>
      <c r="E826" s="497">
        <f t="shared" si="340"/>
        <v>24799.600000000046</v>
      </c>
      <c r="F826" s="497">
        <f t="shared" si="340"/>
        <v>30355.700000000092</v>
      </c>
      <c r="G826" s="497">
        <f t="shared" si="340"/>
        <v>25743.100000000071</v>
      </c>
      <c r="H826" s="497">
        <f t="shared" si="340"/>
        <v>62843.500000000095</v>
      </c>
      <c r="I826" s="497">
        <f t="shared" si="340"/>
        <v>17440.700000000117</v>
      </c>
      <c r="J826" s="497">
        <f t="shared" ref="J826" si="341">J749+J764-J796+J811</f>
        <v>1.134594640461728E-10</v>
      </c>
    </row>
    <row r="827" spans="2:10" s="254" customFormat="1" x14ac:dyDescent="0.35">
      <c r="B827" s="279" t="s">
        <v>639</v>
      </c>
      <c r="C827" s="279" t="s">
        <v>651</v>
      </c>
      <c r="D827" s="497">
        <f t="shared" si="340"/>
        <v>4724.3000000000229</v>
      </c>
      <c r="E827" s="497">
        <f t="shared" si="340"/>
        <v>14570.700000000046</v>
      </c>
      <c r="F827" s="497">
        <f t="shared" si="340"/>
        <v>10421.400000000071</v>
      </c>
      <c r="G827" s="497">
        <f t="shared" si="340"/>
        <v>24225.200000000023</v>
      </c>
      <c r="H827" s="497">
        <f t="shared" si="340"/>
        <v>27922.30000000001</v>
      </c>
      <c r="I827" s="497">
        <f t="shared" si="340"/>
        <v>39130.10000000002</v>
      </c>
      <c r="J827" s="497">
        <f t="shared" ref="J827" si="342">J750+J765-J797+J812</f>
        <v>2.0378365661599673E-11</v>
      </c>
    </row>
    <row r="828" spans="2:10" s="254" customFormat="1" x14ac:dyDescent="0.35">
      <c r="B828" s="279" t="s">
        <v>640</v>
      </c>
      <c r="C828" s="279" t="s">
        <v>651</v>
      </c>
      <c r="D828" s="497">
        <f t="shared" si="340"/>
        <v>51596.150000000081</v>
      </c>
      <c r="E828" s="497">
        <f t="shared" si="340"/>
        <v>59443.800000000141</v>
      </c>
      <c r="F828" s="497">
        <f t="shared" si="340"/>
        <v>63131.750000000233</v>
      </c>
      <c r="G828" s="497">
        <f t="shared" si="340"/>
        <v>100610.10000000034</v>
      </c>
      <c r="H828" s="497">
        <f t="shared" si="340"/>
        <v>143226.23000000033</v>
      </c>
      <c r="I828" s="497">
        <f t="shared" si="340"/>
        <v>3.3014657674357295E-10</v>
      </c>
      <c r="J828" s="497">
        <f t="shared" ref="J828" si="343">J751+J766-J798+J813</f>
        <v>5.2386894822120667E-10</v>
      </c>
    </row>
    <row r="829" spans="2:10" s="254" customFormat="1" x14ac:dyDescent="0.35">
      <c r="B829" s="289" t="s">
        <v>643</v>
      </c>
      <c r="C829" s="279" t="s">
        <v>651</v>
      </c>
      <c r="D829" s="423">
        <f t="shared" ref="D829:I829" si="344">SUM(D826:D828)</f>
        <v>87982.750000000146</v>
      </c>
      <c r="E829" s="423">
        <f t="shared" si="344"/>
        <v>98814.100000000239</v>
      </c>
      <c r="F829" s="423">
        <f t="shared" si="344"/>
        <v>103908.8500000004</v>
      </c>
      <c r="G829" s="423">
        <f t="shared" si="344"/>
        <v>150578.40000000043</v>
      </c>
      <c r="H829" s="423">
        <f t="shared" si="344"/>
        <v>233992.03000000044</v>
      </c>
      <c r="I829" s="423">
        <f t="shared" si="344"/>
        <v>56570.800000000461</v>
      </c>
      <c r="J829" s="423">
        <f t="shared" ref="J829" si="345">SUM(J826:J828)</f>
        <v>6.5770677792897914E-10</v>
      </c>
    </row>
    <row r="830" spans="2:10" s="254" customFormat="1" x14ac:dyDescent="0.35">
      <c r="B830" s="289" t="s">
        <v>644</v>
      </c>
      <c r="C830" s="279" t="s">
        <v>651</v>
      </c>
      <c r="D830" s="497"/>
      <c r="E830" s="497"/>
      <c r="F830" s="497"/>
      <c r="G830" s="497"/>
      <c r="H830" s="497"/>
      <c r="I830" s="497"/>
      <c r="J830" s="497"/>
    </row>
    <row r="831" spans="2:10" s="254" customFormat="1" x14ac:dyDescent="0.35">
      <c r="B831" s="279" t="s">
        <v>646</v>
      </c>
      <c r="C831" s="279" t="s">
        <v>651</v>
      </c>
      <c r="D831" s="497">
        <f t="shared" ref="D831:I831" si="346">D754+D769-D801+D816</f>
        <v>10019.700000000121</v>
      </c>
      <c r="E831" s="497">
        <f t="shared" si="346"/>
        <v>14970.830000000122</v>
      </c>
      <c r="F831" s="497">
        <f t="shared" si="346"/>
        <v>139224.93000000008</v>
      </c>
      <c r="G831" s="497">
        <f t="shared" si="346"/>
        <v>157962.44000000006</v>
      </c>
      <c r="H831" s="497">
        <f t="shared" si="346"/>
        <v>153929.84000000005</v>
      </c>
      <c r="I831" s="497">
        <f t="shared" si="346"/>
        <v>6.6393113229423761E-11</v>
      </c>
      <c r="J831" s="497">
        <f t="shared" ref="J831" si="347">J754+J769-J801+J816</f>
        <v>6.6393113229423761E-11</v>
      </c>
    </row>
    <row r="832" spans="2:10" s="254" customFormat="1" x14ac:dyDescent="0.35">
      <c r="B832" s="289" t="s">
        <v>649</v>
      </c>
      <c r="C832" s="279" t="s">
        <v>651</v>
      </c>
      <c r="D832" s="423">
        <f t="shared" ref="D832:I832" si="348">SUM(D831)</f>
        <v>10019.700000000121</v>
      </c>
      <c r="E832" s="423">
        <f t="shared" si="348"/>
        <v>14970.830000000122</v>
      </c>
      <c r="F832" s="423">
        <f t="shared" si="348"/>
        <v>139224.93000000008</v>
      </c>
      <c r="G832" s="423">
        <f t="shared" si="348"/>
        <v>157962.44000000006</v>
      </c>
      <c r="H832" s="423">
        <f t="shared" si="348"/>
        <v>153929.84000000005</v>
      </c>
      <c r="I832" s="423">
        <f t="shared" si="348"/>
        <v>6.6393113229423761E-11</v>
      </c>
      <c r="J832" s="423">
        <f t="shared" ref="J832" si="349">SUM(J831)</f>
        <v>6.6393113229423761E-11</v>
      </c>
    </row>
    <row r="833" spans="2:10" s="254" customFormat="1" x14ac:dyDescent="0.35">
      <c r="B833" s="289" t="s">
        <v>36</v>
      </c>
      <c r="C833" s="279" t="s">
        <v>651</v>
      </c>
      <c r="D833" s="423">
        <f t="shared" ref="D833:I833" si="350">D824+D829+D832</f>
        <v>195675.59999999995</v>
      </c>
      <c r="E833" s="423">
        <f t="shared" si="350"/>
        <v>243465.0400000001</v>
      </c>
      <c r="F833" s="423">
        <f t="shared" si="350"/>
        <v>512820.59000000032</v>
      </c>
      <c r="G833" s="423">
        <f t="shared" si="350"/>
        <v>427220.80000000016</v>
      </c>
      <c r="H833" s="423">
        <f t="shared" si="350"/>
        <v>616639.42000000004</v>
      </c>
      <c r="I833" s="423">
        <f t="shared" si="350"/>
        <v>176942.17999999996</v>
      </c>
      <c r="J833" s="423">
        <f t="shared" ref="J833" si="351">J824+J829+J832</f>
        <v>26170.570000000796</v>
      </c>
    </row>
    <row r="834" spans="2:10" s="254" customFormat="1" x14ac:dyDescent="0.35">
      <c r="B834" s="289"/>
      <c r="C834" s="279"/>
      <c r="D834" s="423"/>
      <c r="E834" s="423"/>
      <c r="F834" s="423"/>
      <c r="G834" s="423"/>
      <c r="H834" s="423"/>
      <c r="I834" s="423"/>
      <c r="J834" s="423"/>
    </row>
    <row r="835" spans="2:10" s="254" customFormat="1" x14ac:dyDescent="0.35">
      <c r="B835" s="289" t="s">
        <v>781</v>
      </c>
      <c r="C835" s="279"/>
      <c r="D835" s="423"/>
      <c r="E835" s="423"/>
      <c r="F835" s="423"/>
      <c r="G835" s="423"/>
      <c r="H835" s="423"/>
      <c r="I835" s="423"/>
      <c r="J835" s="423"/>
    </row>
    <row r="836" spans="2:10" s="254" customFormat="1" x14ac:dyDescent="0.35">
      <c r="B836" s="289" t="s">
        <v>630</v>
      </c>
      <c r="C836" s="289"/>
      <c r="D836" s="423"/>
      <c r="E836" s="423"/>
      <c r="F836" s="423"/>
      <c r="G836" s="423"/>
      <c r="H836" s="423"/>
      <c r="I836" s="423"/>
      <c r="J836" s="423"/>
    </row>
    <row r="837" spans="2:10" s="254" customFormat="1" x14ac:dyDescent="0.35">
      <c r="B837" s="279" t="s">
        <v>631</v>
      </c>
      <c r="C837" s="279" t="s">
        <v>651</v>
      </c>
      <c r="D837" s="497"/>
      <c r="E837" s="497"/>
      <c r="F837" s="497"/>
      <c r="G837" s="497"/>
      <c r="H837" s="497"/>
      <c r="I837" s="497"/>
      <c r="J837" s="497"/>
    </row>
    <row r="838" spans="2:10" s="254" customFormat="1" x14ac:dyDescent="0.35">
      <c r="B838" s="543" t="s">
        <v>776</v>
      </c>
      <c r="C838" s="279" t="s">
        <v>651</v>
      </c>
      <c r="D838" s="497"/>
      <c r="E838" s="497"/>
      <c r="F838" s="497"/>
      <c r="G838" s="497"/>
      <c r="H838" s="497"/>
      <c r="I838" s="422">
        <v>565498.4</v>
      </c>
      <c r="J838" s="422">
        <v>1235508.6000000001</v>
      </c>
    </row>
    <row r="839" spans="2:10" s="254" customFormat="1" x14ac:dyDescent="0.35">
      <c r="B839" s="289" t="s">
        <v>636</v>
      </c>
      <c r="C839" s="279" t="s">
        <v>651</v>
      </c>
      <c r="D839" s="423">
        <f t="shared" ref="D839:I839" si="352">SUM(D837:D838)</f>
        <v>0</v>
      </c>
      <c r="E839" s="423">
        <f t="shared" si="352"/>
        <v>0</v>
      </c>
      <c r="F839" s="423">
        <f t="shared" si="352"/>
        <v>0</v>
      </c>
      <c r="G839" s="423">
        <f t="shared" si="352"/>
        <v>0</v>
      </c>
      <c r="H839" s="423">
        <f t="shared" si="352"/>
        <v>0</v>
      </c>
      <c r="I839" s="423">
        <f t="shared" si="352"/>
        <v>565498.4</v>
      </c>
      <c r="J839" s="423">
        <f t="shared" ref="J839" si="353">SUM(J837:J838)</f>
        <v>1235508.6000000001</v>
      </c>
    </row>
    <row r="840" spans="2:10" s="254" customFormat="1" x14ac:dyDescent="0.35">
      <c r="B840" s="289" t="s">
        <v>637</v>
      </c>
      <c r="C840" s="279" t="s">
        <v>651</v>
      </c>
      <c r="D840" s="497"/>
      <c r="E840" s="497"/>
      <c r="F840" s="497"/>
      <c r="G840" s="497"/>
      <c r="H840" s="497"/>
      <c r="I840" s="497"/>
      <c r="J840" s="497"/>
    </row>
    <row r="841" spans="2:10" s="254" customFormat="1" x14ac:dyDescent="0.35">
      <c r="B841" s="279" t="s">
        <v>638</v>
      </c>
      <c r="C841" s="279" t="s">
        <v>651</v>
      </c>
      <c r="D841" s="497"/>
      <c r="E841" s="497"/>
      <c r="F841" s="497"/>
      <c r="G841" s="497"/>
      <c r="H841" s="497"/>
      <c r="I841" s="497"/>
      <c r="J841" s="497">
        <v>642300</v>
      </c>
    </row>
    <row r="842" spans="2:10" s="254" customFormat="1" x14ac:dyDescent="0.35">
      <c r="B842" s="279" t="s">
        <v>639</v>
      </c>
      <c r="C842" s="279" t="s">
        <v>651</v>
      </c>
      <c r="D842" s="497"/>
      <c r="E842" s="497"/>
      <c r="F842" s="497"/>
      <c r="G842" s="497"/>
      <c r="H842" s="497"/>
      <c r="I842" s="497"/>
      <c r="J842" s="497">
        <v>65000</v>
      </c>
    </row>
    <row r="843" spans="2:10" s="254" customFormat="1" x14ac:dyDescent="0.35">
      <c r="B843" s="279" t="s">
        <v>640</v>
      </c>
      <c r="C843" s="279" t="s">
        <v>651</v>
      </c>
      <c r="D843" s="497"/>
      <c r="E843" s="497"/>
      <c r="F843" s="497"/>
      <c r="G843" s="497"/>
      <c r="H843" s="497"/>
      <c r="I843" s="422">
        <v>485000</v>
      </c>
      <c r="J843" s="422">
        <v>859754.99999999977</v>
      </c>
    </row>
    <row r="844" spans="2:10" s="254" customFormat="1" x14ac:dyDescent="0.35">
      <c r="B844" s="289" t="s">
        <v>643</v>
      </c>
      <c r="C844" s="279" t="s">
        <v>651</v>
      </c>
      <c r="D844" s="423">
        <f t="shared" ref="D844:I844" si="354">SUM(D841:D843)</f>
        <v>0</v>
      </c>
      <c r="E844" s="423">
        <f t="shared" si="354"/>
        <v>0</v>
      </c>
      <c r="F844" s="423">
        <f t="shared" si="354"/>
        <v>0</v>
      </c>
      <c r="G844" s="423">
        <f t="shared" si="354"/>
        <v>0</v>
      </c>
      <c r="H844" s="423">
        <f t="shared" si="354"/>
        <v>0</v>
      </c>
      <c r="I844" s="423">
        <f t="shared" si="354"/>
        <v>485000</v>
      </c>
      <c r="J844" s="423">
        <f t="shared" ref="J844" si="355">SUM(J841:J843)</f>
        <v>1567054.9999999998</v>
      </c>
    </row>
    <row r="845" spans="2:10" s="254" customFormat="1" x14ac:dyDescent="0.35">
      <c r="B845" s="289" t="s">
        <v>644</v>
      </c>
      <c r="C845" s="279" t="s">
        <v>651</v>
      </c>
      <c r="D845" s="497"/>
      <c r="E845" s="497"/>
      <c r="F845" s="497"/>
      <c r="G845" s="497"/>
      <c r="H845" s="497"/>
      <c r="I845" s="497"/>
      <c r="J845" s="497"/>
    </row>
    <row r="846" spans="2:10" s="254" customFormat="1" x14ac:dyDescent="0.35">
      <c r="B846" s="279" t="s">
        <v>646</v>
      </c>
      <c r="C846" s="279" t="s">
        <v>651</v>
      </c>
      <c r="D846" s="497"/>
      <c r="E846" s="497"/>
      <c r="F846" s="497"/>
      <c r="G846" s="497"/>
      <c r="H846" s="497"/>
      <c r="I846" s="422">
        <v>249929.5</v>
      </c>
      <c r="J846" s="422">
        <v>611548.09999999986</v>
      </c>
    </row>
    <row r="847" spans="2:10" s="254" customFormat="1" x14ac:dyDescent="0.35">
      <c r="B847" s="289" t="s">
        <v>649</v>
      </c>
      <c r="C847" s="279" t="s">
        <v>651</v>
      </c>
      <c r="D847" s="423">
        <f t="shared" ref="D847:I847" si="356">SUM(D846)</f>
        <v>0</v>
      </c>
      <c r="E847" s="423">
        <f t="shared" si="356"/>
        <v>0</v>
      </c>
      <c r="F847" s="423">
        <f t="shared" si="356"/>
        <v>0</v>
      </c>
      <c r="G847" s="423">
        <f t="shared" si="356"/>
        <v>0</v>
      </c>
      <c r="H847" s="423">
        <f t="shared" si="356"/>
        <v>0</v>
      </c>
      <c r="I847" s="423">
        <f t="shared" si="356"/>
        <v>249929.5</v>
      </c>
      <c r="J847" s="423">
        <f t="shared" ref="J847" si="357">SUM(J846)</f>
        <v>611548.09999999986</v>
      </c>
    </row>
    <row r="848" spans="2:10" s="254" customFormat="1" x14ac:dyDescent="0.35">
      <c r="B848" s="289" t="s">
        <v>36</v>
      </c>
      <c r="C848" s="279" t="s">
        <v>651</v>
      </c>
      <c r="D848" s="423">
        <f t="shared" ref="D848:I848" si="358">D839+D844+D847</f>
        <v>0</v>
      </c>
      <c r="E848" s="423">
        <f t="shared" si="358"/>
        <v>0</v>
      </c>
      <c r="F848" s="423">
        <f t="shared" si="358"/>
        <v>0</v>
      </c>
      <c r="G848" s="423">
        <f t="shared" si="358"/>
        <v>0</v>
      </c>
      <c r="H848" s="423">
        <f t="shared" si="358"/>
        <v>0</v>
      </c>
      <c r="I848" s="423">
        <f t="shared" si="358"/>
        <v>1300427.8999999999</v>
      </c>
      <c r="J848" s="423">
        <f t="shared" ref="J848" si="359">J839+J844+J847</f>
        <v>3414111.6999999993</v>
      </c>
    </row>
    <row r="849" spans="2:10" s="254" customFormat="1" x14ac:dyDescent="0.35">
      <c r="B849" s="289"/>
      <c r="C849" s="279"/>
      <c r="D849" s="423"/>
      <c r="E849" s="423"/>
      <c r="F849" s="423"/>
      <c r="G849" s="423"/>
      <c r="H849" s="423"/>
      <c r="I849" s="423"/>
      <c r="J849" s="423"/>
    </row>
    <row r="850" spans="2:10" s="254" customFormat="1" x14ac:dyDescent="0.35">
      <c r="B850" s="289" t="s">
        <v>782</v>
      </c>
      <c r="C850" s="279"/>
      <c r="D850" s="423"/>
      <c r="E850" s="423"/>
      <c r="F850" s="423"/>
      <c r="G850" s="423"/>
      <c r="H850" s="423"/>
      <c r="I850" s="423"/>
      <c r="J850" s="423"/>
    </row>
    <row r="851" spans="2:10" s="254" customFormat="1" x14ac:dyDescent="0.35">
      <c r="B851" s="289" t="s">
        <v>630</v>
      </c>
      <c r="C851" s="289"/>
      <c r="D851" s="423"/>
      <c r="E851" s="423"/>
      <c r="F851" s="423"/>
      <c r="G851" s="423"/>
      <c r="H851" s="423"/>
      <c r="I851" s="423"/>
      <c r="J851" s="423"/>
    </row>
    <row r="852" spans="2:10" s="254" customFormat="1" x14ac:dyDescent="0.35">
      <c r="B852" s="279" t="s">
        <v>631</v>
      </c>
      <c r="C852" s="279" t="s">
        <v>651</v>
      </c>
      <c r="D852" s="497"/>
      <c r="E852" s="497"/>
      <c r="F852" s="497"/>
      <c r="G852" s="497"/>
      <c r="H852" s="497"/>
      <c r="I852" s="497"/>
      <c r="J852" s="497">
        <v>0</v>
      </c>
    </row>
    <row r="853" spans="2:10" s="254" customFormat="1" x14ac:dyDescent="0.35">
      <c r="B853" s="543" t="s">
        <v>776</v>
      </c>
      <c r="C853" s="279" t="s">
        <v>651</v>
      </c>
      <c r="D853" s="497"/>
      <c r="E853" s="497"/>
      <c r="F853" s="497"/>
      <c r="G853" s="497"/>
      <c r="H853" s="497"/>
      <c r="I853" s="422">
        <v>497120</v>
      </c>
      <c r="J853" s="422">
        <v>1219200</v>
      </c>
    </row>
    <row r="854" spans="2:10" s="254" customFormat="1" x14ac:dyDescent="0.35">
      <c r="B854" s="289" t="s">
        <v>636</v>
      </c>
      <c r="C854" s="279" t="s">
        <v>651</v>
      </c>
      <c r="D854" s="423">
        <f t="shared" ref="D854:I854" si="360">SUM(D852:D853)</f>
        <v>0</v>
      </c>
      <c r="E854" s="423">
        <f t="shared" si="360"/>
        <v>0</v>
      </c>
      <c r="F854" s="423">
        <f t="shared" si="360"/>
        <v>0</v>
      </c>
      <c r="G854" s="423">
        <f t="shared" si="360"/>
        <v>0</v>
      </c>
      <c r="H854" s="423">
        <f t="shared" si="360"/>
        <v>0</v>
      </c>
      <c r="I854" s="423">
        <f t="shared" si="360"/>
        <v>497120</v>
      </c>
      <c r="J854" s="423">
        <f t="shared" ref="J854" si="361">SUM(J852:J853)</f>
        <v>1219200</v>
      </c>
    </row>
    <row r="855" spans="2:10" s="254" customFormat="1" x14ac:dyDescent="0.35">
      <c r="B855" s="289" t="s">
        <v>637</v>
      </c>
      <c r="C855" s="279" t="s">
        <v>651</v>
      </c>
      <c r="D855" s="497"/>
      <c r="E855" s="497"/>
      <c r="F855" s="497"/>
      <c r="G855" s="497"/>
      <c r="H855" s="497"/>
      <c r="I855" s="497"/>
      <c r="J855" s="497"/>
    </row>
    <row r="856" spans="2:10" s="254" customFormat="1" x14ac:dyDescent="0.35">
      <c r="B856" s="279" t="s">
        <v>638</v>
      </c>
      <c r="C856" s="279" t="s">
        <v>651</v>
      </c>
      <c r="D856" s="497"/>
      <c r="E856" s="497"/>
      <c r="F856" s="497"/>
      <c r="G856" s="497"/>
      <c r="H856" s="497"/>
      <c r="I856" s="497"/>
      <c r="J856" s="497">
        <v>586020</v>
      </c>
    </row>
    <row r="857" spans="2:10" s="254" customFormat="1" x14ac:dyDescent="0.35">
      <c r="B857" s="279" t="s">
        <v>639</v>
      </c>
      <c r="C857" s="279" t="s">
        <v>651</v>
      </c>
      <c r="D857" s="497"/>
      <c r="E857" s="497"/>
      <c r="F857" s="497"/>
      <c r="G857" s="497"/>
      <c r="H857" s="497"/>
      <c r="I857" s="497"/>
      <c r="J857" s="497">
        <v>42580</v>
      </c>
    </row>
    <row r="858" spans="2:10" s="254" customFormat="1" x14ac:dyDescent="0.35">
      <c r="B858" s="279" t="s">
        <v>640</v>
      </c>
      <c r="C858" s="279" t="s">
        <v>651</v>
      </c>
      <c r="D858" s="497"/>
      <c r="E858" s="497"/>
      <c r="F858" s="497"/>
      <c r="G858" s="497"/>
      <c r="H858" s="497"/>
      <c r="I858" s="422">
        <v>391320</v>
      </c>
      <c r="J858" s="422">
        <v>869720</v>
      </c>
    </row>
    <row r="859" spans="2:10" s="254" customFormat="1" x14ac:dyDescent="0.35">
      <c r="B859" s="289" t="s">
        <v>643</v>
      </c>
      <c r="C859" s="279" t="s">
        <v>651</v>
      </c>
      <c r="D859" s="423">
        <f t="shared" ref="D859:I859" si="362">SUM(D856:D858)</f>
        <v>0</v>
      </c>
      <c r="E859" s="423">
        <f t="shared" si="362"/>
        <v>0</v>
      </c>
      <c r="F859" s="423">
        <f t="shared" si="362"/>
        <v>0</v>
      </c>
      <c r="G859" s="423">
        <f t="shared" si="362"/>
        <v>0</v>
      </c>
      <c r="H859" s="423">
        <f t="shared" si="362"/>
        <v>0</v>
      </c>
      <c r="I859" s="423">
        <f t="shared" si="362"/>
        <v>391320</v>
      </c>
      <c r="J859" s="423">
        <f t="shared" ref="J859" si="363">SUM(J856:J858)</f>
        <v>1498320</v>
      </c>
    </row>
    <row r="860" spans="2:10" s="254" customFormat="1" x14ac:dyDescent="0.35">
      <c r="B860" s="289" t="s">
        <v>644</v>
      </c>
      <c r="C860" s="279" t="s">
        <v>651</v>
      </c>
      <c r="D860" s="497"/>
      <c r="E860" s="497"/>
      <c r="F860" s="497"/>
      <c r="G860" s="497"/>
      <c r="H860" s="497"/>
      <c r="I860" s="497"/>
      <c r="J860" s="497"/>
    </row>
    <row r="861" spans="2:10" s="254" customFormat="1" x14ac:dyDescent="0.35">
      <c r="B861" s="279" t="s">
        <v>646</v>
      </c>
      <c r="C861" s="279" t="s">
        <v>651</v>
      </c>
      <c r="D861" s="497"/>
      <c r="E861" s="497"/>
      <c r="F861" s="497"/>
      <c r="G861" s="497"/>
      <c r="H861" s="497"/>
      <c r="I861" s="422">
        <v>119600</v>
      </c>
      <c r="J861" s="422">
        <v>687550</v>
      </c>
    </row>
    <row r="862" spans="2:10" s="254" customFormat="1" x14ac:dyDescent="0.35">
      <c r="B862" s="289" t="s">
        <v>649</v>
      </c>
      <c r="C862" s="279" t="s">
        <v>651</v>
      </c>
      <c r="D862" s="423">
        <f t="shared" ref="D862:I862" si="364">SUM(D861)</f>
        <v>0</v>
      </c>
      <c r="E862" s="423">
        <f t="shared" si="364"/>
        <v>0</v>
      </c>
      <c r="F862" s="423">
        <f t="shared" si="364"/>
        <v>0</v>
      </c>
      <c r="G862" s="423">
        <f t="shared" si="364"/>
        <v>0</v>
      </c>
      <c r="H862" s="423">
        <f t="shared" si="364"/>
        <v>0</v>
      </c>
      <c r="I862" s="423">
        <f t="shared" si="364"/>
        <v>119600</v>
      </c>
      <c r="J862" s="423">
        <f t="shared" ref="J862" si="365">SUM(J861)</f>
        <v>687550</v>
      </c>
    </row>
    <row r="863" spans="2:10" s="254" customFormat="1" x14ac:dyDescent="0.35">
      <c r="B863" s="289" t="s">
        <v>36</v>
      </c>
      <c r="C863" s="279" t="s">
        <v>651</v>
      </c>
      <c r="D863" s="423">
        <f t="shared" ref="D863:I863" si="366">D854+D859+D862</f>
        <v>0</v>
      </c>
      <c r="E863" s="423">
        <f t="shared" si="366"/>
        <v>0</v>
      </c>
      <c r="F863" s="423">
        <f t="shared" si="366"/>
        <v>0</v>
      </c>
      <c r="G863" s="423">
        <f t="shared" si="366"/>
        <v>0</v>
      </c>
      <c r="H863" s="423">
        <f t="shared" si="366"/>
        <v>0</v>
      </c>
      <c r="I863" s="423">
        <f t="shared" si="366"/>
        <v>1008040</v>
      </c>
      <c r="J863" s="423">
        <f t="shared" ref="J863" si="367">J854+J859+J862</f>
        <v>3405070</v>
      </c>
    </row>
    <row r="864" spans="2:10" s="254" customFormat="1" x14ac:dyDescent="0.35">
      <c r="B864" s="289"/>
      <c r="C864" s="279"/>
      <c r="D864" s="423"/>
      <c r="E864" s="423"/>
      <c r="F864" s="423"/>
      <c r="G864" s="423"/>
      <c r="H864" s="423"/>
      <c r="I864" s="423"/>
      <c r="J864" s="423"/>
    </row>
    <row r="865" spans="2:10" s="254" customFormat="1" x14ac:dyDescent="0.35">
      <c r="B865" s="289" t="s">
        <v>783</v>
      </c>
      <c r="C865" s="279"/>
      <c r="D865" s="423"/>
      <c r="E865" s="423"/>
      <c r="F865" s="423"/>
      <c r="G865" s="423"/>
      <c r="H865" s="423"/>
      <c r="I865" s="423"/>
      <c r="J865" s="423"/>
    </row>
    <row r="866" spans="2:10" s="254" customFormat="1" x14ac:dyDescent="0.35">
      <c r="B866" s="289" t="s">
        <v>630</v>
      </c>
      <c r="C866" s="289"/>
      <c r="D866" s="423"/>
      <c r="E866" s="423"/>
      <c r="F866" s="423"/>
      <c r="G866" s="423"/>
      <c r="H866" s="423"/>
      <c r="I866" s="423"/>
      <c r="J866" s="423"/>
    </row>
    <row r="867" spans="2:10" s="254" customFormat="1" x14ac:dyDescent="0.35">
      <c r="B867" s="279" t="s">
        <v>631</v>
      </c>
      <c r="C867" s="279" t="s">
        <v>651</v>
      </c>
      <c r="D867" s="497"/>
      <c r="E867" s="497"/>
      <c r="F867" s="497"/>
      <c r="G867" s="497"/>
      <c r="H867" s="497"/>
      <c r="I867" s="497"/>
      <c r="J867" s="497">
        <v>0</v>
      </c>
    </row>
    <row r="868" spans="2:10" s="254" customFormat="1" x14ac:dyDescent="0.35">
      <c r="B868" s="543" t="s">
        <v>776</v>
      </c>
      <c r="C868" s="279" t="s">
        <v>651</v>
      </c>
      <c r="D868" s="497"/>
      <c r="E868" s="497"/>
      <c r="F868" s="497"/>
      <c r="G868" s="497"/>
      <c r="H868" s="497"/>
      <c r="I868" s="422">
        <v>-743.1400000000001</v>
      </c>
      <c r="J868" s="422">
        <v>-6652.1299999999992</v>
      </c>
    </row>
    <row r="869" spans="2:10" s="254" customFormat="1" x14ac:dyDescent="0.35">
      <c r="B869" s="289" t="s">
        <v>636</v>
      </c>
      <c r="C869" s="279" t="s">
        <v>651</v>
      </c>
      <c r="D869" s="423">
        <f t="shared" ref="D869:I869" si="368">SUM(D867:D868)</f>
        <v>0</v>
      </c>
      <c r="E869" s="423">
        <f t="shared" si="368"/>
        <v>0</v>
      </c>
      <c r="F869" s="423">
        <f t="shared" si="368"/>
        <v>0</v>
      </c>
      <c r="G869" s="423">
        <f t="shared" si="368"/>
        <v>0</v>
      </c>
      <c r="H869" s="423">
        <f t="shared" si="368"/>
        <v>0</v>
      </c>
      <c r="I869" s="423">
        <f t="shared" si="368"/>
        <v>-743.1400000000001</v>
      </c>
      <c r="J869" s="423">
        <f t="shared" ref="J869" si="369">SUM(J867:J868)</f>
        <v>-6652.1299999999992</v>
      </c>
    </row>
    <row r="870" spans="2:10" s="254" customFormat="1" x14ac:dyDescent="0.35">
      <c r="B870" s="289" t="s">
        <v>637</v>
      </c>
      <c r="C870" s="279" t="s">
        <v>651</v>
      </c>
      <c r="D870" s="497"/>
      <c r="E870" s="497"/>
      <c r="F870" s="497"/>
      <c r="G870" s="497"/>
      <c r="H870" s="497"/>
      <c r="I870" s="497"/>
      <c r="J870" s="497"/>
    </row>
    <row r="871" spans="2:10" s="254" customFormat="1" x14ac:dyDescent="0.35">
      <c r="B871" s="279" t="s">
        <v>638</v>
      </c>
      <c r="C871" s="279" t="s">
        <v>651</v>
      </c>
      <c r="D871" s="497"/>
      <c r="E871" s="497"/>
      <c r="F871" s="497"/>
      <c r="G871" s="497"/>
      <c r="H871" s="497"/>
      <c r="I871" s="497"/>
      <c r="J871" s="497">
        <v>-9588.7999999999993</v>
      </c>
    </row>
    <row r="872" spans="2:10" s="254" customFormat="1" x14ac:dyDescent="0.35">
      <c r="B872" s="279" t="s">
        <v>639</v>
      </c>
      <c r="C872" s="279" t="s">
        <v>651</v>
      </c>
      <c r="D872" s="497"/>
      <c r="E872" s="497"/>
      <c r="F872" s="497"/>
      <c r="G872" s="497"/>
      <c r="H872" s="497"/>
      <c r="I872" s="497"/>
      <c r="J872" s="497">
        <v>-133.4</v>
      </c>
    </row>
    <row r="873" spans="2:10" s="254" customFormat="1" x14ac:dyDescent="0.35">
      <c r="B873" s="279" t="s">
        <v>640</v>
      </c>
      <c r="C873" s="279" t="s">
        <v>651</v>
      </c>
      <c r="D873" s="497"/>
      <c r="E873" s="497"/>
      <c r="F873" s="497"/>
      <c r="G873" s="497"/>
      <c r="H873" s="497"/>
      <c r="I873" s="422">
        <v>-4392.22</v>
      </c>
      <c r="J873" s="422">
        <v>-7160.3900000000012</v>
      </c>
    </row>
    <row r="874" spans="2:10" s="254" customFormat="1" x14ac:dyDescent="0.35">
      <c r="B874" s="289" t="s">
        <v>643</v>
      </c>
      <c r="C874" s="279" t="s">
        <v>651</v>
      </c>
      <c r="D874" s="423">
        <f t="shared" ref="D874:I874" si="370">SUM(D871:D873)</f>
        <v>0</v>
      </c>
      <c r="E874" s="423">
        <f t="shared" si="370"/>
        <v>0</v>
      </c>
      <c r="F874" s="423">
        <f t="shared" si="370"/>
        <v>0</v>
      </c>
      <c r="G874" s="423">
        <f t="shared" si="370"/>
        <v>0</v>
      </c>
      <c r="H874" s="423">
        <f t="shared" si="370"/>
        <v>0</v>
      </c>
      <c r="I874" s="423">
        <f t="shared" si="370"/>
        <v>-4392.22</v>
      </c>
      <c r="J874" s="423">
        <f t="shared" ref="J874" si="371">SUM(J871:J873)</f>
        <v>-16882.59</v>
      </c>
    </row>
    <row r="875" spans="2:10" s="254" customFormat="1" x14ac:dyDescent="0.35">
      <c r="B875" s="289" t="s">
        <v>644</v>
      </c>
      <c r="C875" s="279" t="s">
        <v>651</v>
      </c>
      <c r="D875" s="497"/>
      <c r="E875" s="497"/>
      <c r="F875" s="497"/>
      <c r="G875" s="497"/>
      <c r="H875" s="497"/>
      <c r="I875" s="497"/>
      <c r="J875" s="497"/>
    </row>
    <row r="876" spans="2:10" s="254" customFormat="1" x14ac:dyDescent="0.35">
      <c r="B876" s="279" t="s">
        <v>646</v>
      </c>
      <c r="C876" s="279" t="s">
        <v>651</v>
      </c>
      <c r="D876" s="497"/>
      <c r="E876" s="497"/>
      <c r="F876" s="497"/>
      <c r="G876" s="497"/>
      <c r="H876" s="497"/>
      <c r="I876" s="422">
        <v>-915.11</v>
      </c>
      <c r="J876" s="422">
        <v>-6504.4</v>
      </c>
    </row>
    <row r="877" spans="2:10" s="254" customFormat="1" x14ac:dyDescent="0.35">
      <c r="B877" s="289" t="s">
        <v>649</v>
      </c>
      <c r="C877" s="279" t="s">
        <v>651</v>
      </c>
      <c r="D877" s="423">
        <f t="shared" ref="D877:I877" si="372">SUM(D876)</f>
        <v>0</v>
      </c>
      <c r="E877" s="423">
        <f t="shared" si="372"/>
        <v>0</v>
      </c>
      <c r="F877" s="423">
        <f t="shared" si="372"/>
        <v>0</v>
      </c>
      <c r="G877" s="423">
        <f t="shared" si="372"/>
        <v>0</v>
      </c>
      <c r="H877" s="423">
        <f t="shared" si="372"/>
        <v>0</v>
      </c>
      <c r="I877" s="423">
        <f t="shared" si="372"/>
        <v>-915.11</v>
      </c>
      <c r="J877" s="423">
        <f t="shared" ref="J877" si="373">SUM(J876)</f>
        <v>-6504.4</v>
      </c>
    </row>
    <row r="878" spans="2:10" s="254" customFormat="1" x14ac:dyDescent="0.35">
      <c r="B878" s="289" t="s">
        <v>36</v>
      </c>
      <c r="C878" s="279" t="s">
        <v>651</v>
      </c>
      <c r="D878" s="423">
        <f t="shared" ref="D878:I878" si="374">D869+D874+D877</f>
        <v>0</v>
      </c>
      <c r="E878" s="423">
        <f t="shared" si="374"/>
        <v>0</v>
      </c>
      <c r="F878" s="423">
        <f t="shared" si="374"/>
        <v>0</v>
      </c>
      <c r="G878" s="423">
        <f t="shared" si="374"/>
        <v>0</v>
      </c>
      <c r="H878" s="423">
        <f t="shared" si="374"/>
        <v>0</v>
      </c>
      <c r="I878" s="423">
        <f t="shared" si="374"/>
        <v>-6050.47</v>
      </c>
      <c r="J878" s="423">
        <f t="shared" ref="J878" si="375">J869+J874+J877</f>
        <v>-30039.120000000003</v>
      </c>
    </row>
    <row r="879" spans="2:10" s="254" customFormat="1" x14ac:dyDescent="0.35">
      <c r="B879" s="289"/>
      <c r="C879" s="279"/>
      <c r="D879" s="423"/>
      <c r="E879" s="423"/>
      <c r="F879" s="423"/>
      <c r="G879" s="423"/>
      <c r="H879" s="423"/>
      <c r="I879" s="423"/>
      <c r="J879" s="423"/>
    </row>
    <row r="880" spans="2:10" s="254" customFormat="1" x14ac:dyDescent="0.35">
      <c r="B880" s="289" t="s">
        <v>1608</v>
      </c>
      <c r="C880" s="279"/>
      <c r="D880" s="423"/>
      <c r="E880" s="423"/>
      <c r="F880" s="423"/>
      <c r="G880" s="423"/>
      <c r="H880" s="423"/>
      <c r="I880" s="423"/>
      <c r="J880" s="423"/>
    </row>
    <row r="881" spans="2:10" s="254" customFormat="1" x14ac:dyDescent="0.35">
      <c r="B881" s="289" t="s">
        <v>630</v>
      </c>
      <c r="C881" s="289"/>
      <c r="D881" s="423"/>
      <c r="E881" s="423"/>
      <c r="F881" s="423"/>
      <c r="G881" s="423"/>
      <c r="H881" s="423"/>
      <c r="I881" s="423"/>
      <c r="J881" s="423"/>
    </row>
    <row r="882" spans="2:10" s="254" customFormat="1" x14ac:dyDescent="0.35">
      <c r="B882" s="279" t="s">
        <v>631</v>
      </c>
      <c r="C882" s="279" t="s">
        <v>651</v>
      </c>
      <c r="D882" s="423"/>
      <c r="E882" s="423"/>
      <c r="F882" s="423"/>
      <c r="G882" s="423"/>
      <c r="H882" s="423"/>
      <c r="I882" s="497">
        <f>H897</f>
        <v>0</v>
      </c>
      <c r="J882" s="497">
        <f>I897</f>
        <v>0</v>
      </c>
    </row>
    <row r="883" spans="2:10" s="254" customFormat="1" x14ac:dyDescent="0.35">
      <c r="B883" s="591" t="s">
        <v>776</v>
      </c>
      <c r="C883" s="279" t="s">
        <v>651</v>
      </c>
      <c r="D883" s="423"/>
      <c r="E883" s="423"/>
      <c r="F883" s="423"/>
      <c r="G883" s="423"/>
      <c r="H883" s="423"/>
      <c r="I883" s="497">
        <f>H898</f>
        <v>0</v>
      </c>
      <c r="J883" s="497">
        <f>I898</f>
        <v>67635.260000000024</v>
      </c>
    </row>
    <row r="884" spans="2:10" s="254" customFormat="1" x14ac:dyDescent="0.35">
      <c r="B884" s="289" t="s">
        <v>636</v>
      </c>
      <c r="C884" s="279" t="s">
        <v>651</v>
      </c>
      <c r="D884" s="423"/>
      <c r="E884" s="423"/>
      <c r="F884" s="423"/>
      <c r="G884" s="423"/>
      <c r="H884" s="423"/>
      <c r="I884" s="423">
        <f t="shared" ref="I884:J884" si="376">SUM(I882:I883)</f>
        <v>0</v>
      </c>
      <c r="J884" s="423">
        <f t="shared" si="376"/>
        <v>67635.260000000024</v>
      </c>
    </row>
    <row r="885" spans="2:10" s="254" customFormat="1" x14ac:dyDescent="0.35">
      <c r="B885" s="289" t="s">
        <v>637</v>
      </c>
      <c r="C885" s="279" t="s">
        <v>651</v>
      </c>
      <c r="D885" s="423"/>
      <c r="E885" s="423"/>
      <c r="F885" s="423"/>
      <c r="G885" s="423"/>
      <c r="H885" s="423"/>
      <c r="I885" s="497"/>
      <c r="J885" s="497"/>
    </row>
    <row r="886" spans="2:10" s="254" customFormat="1" x14ac:dyDescent="0.35">
      <c r="B886" s="279" t="s">
        <v>638</v>
      </c>
      <c r="C886" s="279" t="s">
        <v>651</v>
      </c>
      <c r="D886" s="423"/>
      <c r="E886" s="423"/>
      <c r="F886" s="423"/>
      <c r="G886" s="423"/>
      <c r="H886" s="423"/>
      <c r="I886" s="497">
        <f t="shared" ref="I886:J888" si="377">H901</f>
        <v>0</v>
      </c>
      <c r="J886" s="497">
        <f t="shared" si="377"/>
        <v>0</v>
      </c>
    </row>
    <row r="887" spans="2:10" s="254" customFormat="1" x14ac:dyDescent="0.35">
      <c r="B887" s="279" t="s">
        <v>639</v>
      </c>
      <c r="C887" s="279" t="s">
        <v>651</v>
      </c>
      <c r="D887" s="423"/>
      <c r="E887" s="423"/>
      <c r="F887" s="423"/>
      <c r="G887" s="423"/>
      <c r="H887" s="423"/>
      <c r="I887" s="497">
        <f t="shared" si="377"/>
        <v>0</v>
      </c>
      <c r="J887" s="497">
        <f t="shared" si="377"/>
        <v>0</v>
      </c>
    </row>
    <row r="888" spans="2:10" s="254" customFormat="1" x14ac:dyDescent="0.35">
      <c r="B888" s="279" t="s">
        <v>640</v>
      </c>
      <c r="C888" s="279" t="s">
        <v>651</v>
      </c>
      <c r="D888" s="423"/>
      <c r="E888" s="423"/>
      <c r="F888" s="423"/>
      <c r="G888" s="423"/>
      <c r="H888" s="423"/>
      <c r="I888" s="497">
        <f t="shared" si="377"/>
        <v>0</v>
      </c>
      <c r="J888" s="497">
        <f t="shared" si="377"/>
        <v>89287.78</v>
      </c>
    </row>
    <row r="889" spans="2:10" s="254" customFormat="1" x14ac:dyDescent="0.35">
      <c r="B889" s="289" t="s">
        <v>643</v>
      </c>
      <c r="C889" s="279" t="s">
        <v>651</v>
      </c>
      <c r="D889" s="423"/>
      <c r="E889" s="423"/>
      <c r="F889" s="423"/>
      <c r="G889" s="423"/>
      <c r="H889" s="423"/>
      <c r="I889" s="423">
        <f t="shared" ref="I889:J889" si="378">SUM(I886:I888)</f>
        <v>0</v>
      </c>
      <c r="J889" s="423">
        <f t="shared" si="378"/>
        <v>89287.78</v>
      </c>
    </row>
    <row r="890" spans="2:10" s="254" customFormat="1" x14ac:dyDescent="0.35">
      <c r="B890" s="289" t="s">
        <v>644</v>
      </c>
      <c r="C890" s="279" t="s">
        <v>651</v>
      </c>
      <c r="D890" s="423"/>
      <c r="E890" s="423"/>
      <c r="F890" s="423"/>
      <c r="G890" s="423"/>
      <c r="H890" s="423"/>
      <c r="I890" s="497"/>
      <c r="J890" s="497"/>
    </row>
    <row r="891" spans="2:10" s="254" customFormat="1" x14ac:dyDescent="0.35">
      <c r="B891" s="279" t="s">
        <v>646</v>
      </c>
      <c r="C891" s="279" t="s">
        <v>651</v>
      </c>
      <c r="D891" s="423"/>
      <c r="E891" s="423"/>
      <c r="F891" s="423"/>
      <c r="G891" s="423"/>
      <c r="H891" s="423"/>
      <c r="I891" s="497">
        <f>H906</f>
        <v>0</v>
      </c>
      <c r="J891" s="497">
        <f>I906</f>
        <v>129414.39</v>
      </c>
    </row>
    <row r="892" spans="2:10" s="254" customFormat="1" x14ac:dyDescent="0.35">
      <c r="B892" s="289" t="s">
        <v>649</v>
      </c>
      <c r="C892" s="279" t="s">
        <v>651</v>
      </c>
      <c r="D892" s="423"/>
      <c r="E892" s="423"/>
      <c r="F892" s="423"/>
      <c r="G892" s="423"/>
      <c r="H892" s="423"/>
      <c r="I892" s="423">
        <f t="shared" ref="I892:J892" si="379">SUM(I891)</f>
        <v>0</v>
      </c>
      <c r="J892" s="423">
        <f t="shared" si="379"/>
        <v>129414.39</v>
      </c>
    </row>
    <row r="893" spans="2:10" s="254" customFormat="1" x14ac:dyDescent="0.35">
      <c r="B893" s="289" t="s">
        <v>36</v>
      </c>
      <c r="C893" s="279" t="s">
        <v>651</v>
      </c>
      <c r="D893" s="423"/>
      <c r="E893" s="423"/>
      <c r="F893" s="423"/>
      <c r="G893" s="423"/>
      <c r="H893" s="423"/>
      <c r="I893" s="423">
        <f t="shared" ref="I893:J893" si="380">I884+I889+I892</f>
        <v>0</v>
      </c>
      <c r="J893" s="423">
        <f t="shared" si="380"/>
        <v>286337.43000000005</v>
      </c>
    </row>
    <row r="894" spans="2:10" s="254" customFormat="1" x14ac:dyDescent="0.35">
      <c r="B894" s="289"/>
      <c r="C894" s="279"/>
      <c r="D894" s="423"/>
      <c r="E894" s="423"/>
      <c r="F894" s="423"/>
      <c r="G894" s="423"/>
      <c r="H894" s="423"/>
      <c r="I894" s="423"/>
      <c r="J894" s="423"/>
    </row>
    <row r="895" spans="2:10" s="254" customFormat="1" x14ac:dyDescent="0.35">
      <c r="B895" s="289" t="s">
        <v>784</v>
      </c>
      <c r="C895" s="279"/>
      <c r="D895" s="423"/>
      <c r="E895" s="423"/>
      <c r="F895" s="423"/>
      <c r="G895" s="423"/>
      <c r="H895" s="423"/>
      <c r="I895" s="423"/>
      <c r="J895" s="423"/>
    </row>
    <row r="896" spans="2:10" s="254" customFormat="1" x14ac:dyDescent="0.35">
      <c r="B896" s="289" t="s">
        <v>630</v>
      </c>
      <c r="C896" s="289"/>
      <c r="D896" s="423"/>
      <c r="E896" s="423"/>
      <c r="F896" s="423"/>
      <c r="G896" s="423"/>
      <c r="H896" s="423"/>
      <c r="I896" s="423"/>
      <c r="J896" s="423"/>
    </row>
    <row r="897" spans="2:16" s="254" customFormat="1" x14ac:dyDescent="0.35">
      <c r="B897" s="279" t="s">
        <v>631</v>
      </c>
      <c r="C897" s="279" t="s">
        <v>651</v>
      </c>
      <c r="D897" s="497"/>
      <c r="E897" s="497"/>
      <c r="F897" s="497"/>
      <c r="G897" s="497"/>
      <c r="H897" s="497"/>
      <c r="I897" s="497">
        <f>I837-I852+I867</f>
        <v>0</v>
      </c>
      <c r="J897" s="497">
        <f>J882+J837-J852+J867</f>
        <v>0</v>
      </c>
    </row>
    <row r="898" spans="2:16" s="254" customFormat="1" x14ac:dyDescent="0.35">
      <c r="B898" s="543" t="s">
        <v>776</v>
      </c>
      <c r="C898" s="279" t="s">
        <v>651</v>
      </c>
      <c r="D898" s="497"/>
      <c r="E898" s="497"/>
      <c r="F898" s="497"/>
      <c r="G898" s="497"/>
      <c r="H898" s="497"/>
      <c r="I898" s="497">
        <f>I838-I853+I868</f>
        <v>67635.260000000024</v>
      </c>
      <c r="J898" s="497">
        <f>J883+J838-J853+J868</f>
        <v>77291.730000000098</v>
      </c>
    </row>
    <row r="899" spans="2:16" s="254" customFormat="1" x14ac:dyDescent="0.35">
      <c r="B899" s="289" t="s">
        <v>636</v>
      </c>
      <c r="C899" s="279" t="s">
        <v>651</v>
      </c>
      <c r="D899" s="423">
        <f t="shared" ref="D899:I899" si="381">SUM(D897:D898)</f>
        <v>0</v>
      </c>
      <c r="E899" s="423">
        <f t="shared" si="381"/>
        <v>0</v>
      </c>
      <c r="F899" s="423">
        <f t="shared" si="381"/>
        <v>0</v>
      </c>
      <c r="G899" s="423">
        <f t="shared" si="381"/>
        <v>0</v>
      </c>
      <c r="H899" s="423">
        <f t="shared" si="381"/>
        <v>0</v>
      </c>
      <c r="I899" s="423">
        <f t="shared" si="381"/>
        <v>67635.260000000024</v>
      </c>
      <c r="J899" s="423">
        <f t="shared" ref="J899" si="382">SUM(J897:J898)</f>
        <v>77291.730000000098</v>
      </c>
    </row>
    <row r="900" spans="2:16" s="254" customFormat="1" x14ac:dyDescent="0.35">
      <c r="B900" s="289" t="s">
        <v>637</v>
      </c>
      <c r="C900" s="279" t="s">
        <v>651</v>
      </c>
      <c r="D900" s="497"/>
      <c r="E900" s="497"/>
      <c r="F900" s="497"/>
      <c r="G900" s="497"/>
      <c r="H900" s="497"/>
      <c r="I900" s="497"/>
      <c r="J900" s="497"/>
    </row>
    <row r="901" spans="2:16" s="254" customFormat="1" x14ac:dyDescent="0.35">
      <c r="B901" s="279" t="s">
        <v>638</v>
      </c>
      <c r="C901" s="279" t="s">
        <v>651</v>
      </c>
      <c r="D901" s="497"/>
      <c r="E901" s="497"/>
      <c r="F901" s="497"/>
      <c r="G901" s="497"/>
      <c r="H901" s="497"/>
      <c r="I901" s="497">
        <f>I841-I856+I871</f>
        <v>0</v>
      </c>
      <c r="J901" s="497">
        <f t="shared" ref="J901:J903" si="383">J886+J841-J856+J871</f>
        <v>46691.199999999997</v>
      </c>
    </row>
    <row r="902" spans="2:16" s="254" customFormat="1" x14ac:dyDescent="0.35">
      <c r="B902" s="279" t="s">
        <v>639</v>
      </c>
      <c r="C902" s="279" t="s">
        <v>651</v>
      </c>
      <c r="D902" s="497"/>
      <c r="E902" s="497"/>
      <c r="F902" s="497"/>
      <c r="G902" s="497"/>
      <c r="H902" s="497"/>
      <c r="I902" s="497">
        <f>I842-I857+I872</f>
        <v>0</v>
      </c>
      <c r="J902" s="497">
        <f t="shared" si="383"/>
        <v>22286.6</v>
      </c>
    </row>
    <row r="903" spans="2:16" s="254" customFormat="1" x14ac:dyDescent="0.35">
      <c r="B903" s="279" t="s">
        <v>640</v>
      </c>
      <c r="C903" s="279" t="s">
        <v>651</v>
      </c>
      <c r="D903" s="497"/>
      <c r="E903" s="497"/>
      <c r="F903" s="497"/>
      <c r="G903" s="497"/>
      <c r="H903" s="497"/>
      <c r="I903" s="497">
        <f>I843-I858+I873</f>
        <v>89287.78</v>
      </c>
      <c r="J903" s="497">
        <f t="shared" si="383"/>
        <v>72162.389999999796</v>
      </c>
    </row>
    <row r="904" spans="2:16" s="254" customFormat="1" x14ac:dyDescent="0.35">
      <c r="B904" s="289" t="s">
        <v>643</v>
      </c>
      <c r="C904" s="279" t="s">
        <v>651</v>
      </c>
      <c r="D904" s="423">
        <f t="shared" ref="D904:I904" si="384">SUM(D901:D903)</f>
        <v>0</v>
      </c>
      <c r="E904" s="423">
        <f t="shared" si="384"/>
        <v>0</v>
      </c>
      <c r="F904" s="423">
        <f t="shared" si="384"/>
        <v>0</v>
      </c>
      <c r="G904" s="423">
        <f t="shared" si="384"/>
        <v>0</v>
      </c>
      <c r="H904" s="423">
        <f t="shared" si="384"/>
        <v>0</v>
      </c>
      <c r="I904" s="423">
        <f t="shared" si="384"/>
        <v>89287.78</v>
      </c>
      <c r="J904" s="423">
        <f t="shared" ref="J904" si="385">SUM(J901:J903)</f>
        <v>141140.18999999977</v>
      </c>
    </row>
    <row r="905" spans="2:16" s="254" customFormat="1" x14ac:dyDescent="0.35">
      <c r="B905" s="289" t="s">
        <v>644</v>
      </c>
      <c r="C905" s="279" t="s">
        <v>651</v>
      </c>
      <c r="D905" s="497"/>
      <c r="E905" s="497"/>
      <c r="F905" s="497"/>
      <c r="G905" s="497"/>
      <c r="H905" s="497"/>
      <c r="I905" s="497"/>
      <c r="J905" s="497"/>
    </row>
    <row r="906" spans="2:16" s="254" customFormat="1" x14ac:dyDescent="0.35">
      <c r="B906" s="279" t="s">
        <v>646</v>
      </c>
      <c r="C906" s="279" t="s">
        <v>651</v>
      </c>
      <c r="D906" s="497"/>
      <c r="E906" s="497"/>
      <c r="F906" s="497"/>
      <c r="G906" s="497"/>
      <c r="H906" s="497"/>
      <c r="I906" s="497">
        <f>I846-I861+I876</f>
        <v>129414.39</v>
      </c>
      <c r="J906" s="497">
        <f t="shared" ref="J906" si="386">J891+J846-J861+J876</f>
        <v>46908.089999999873</v>
      </c>
    </row>
    <row r="907" spans="2:16" s="254" customFormat="1" x14ac:dyDescent="0.35">
      <c r="B907" s="289" t="s">
        <v>649</v>
      </c>
      <c r="C907" s="279" t="s">
        <v>651</v>
      </c>
      <c r="D907" s="423">
        <f t="shared" ref="D907:I907" si="387">SUM(D906)</f>
        <v>0</v>
      </c>
      <c r="E907" s="423">
        <f t="shared" si="387"/>
        <v>0</v>
      </c>
      <c r="F907" s="423">
        <f t="shared" si="387"/>
        <v>0</v>
      </c>
      <c r="G907" s="423">
        <f t="shared" si="387"/>
        <v>0</v>
      </c>
      <c r="H907" s="423">
        <f t="shared" si="387"/>
        <v>0</v>
      </c>
      <c r="I907" s="423">
        <f t="shared" si="387"/>
        <v>129414.39</v>
      </c>
      <c r="J907" s="423">
        <f t="shared" ref="J907" si="388">SUM(J906)</f>
        <v>46908.089999999873</v>
      </c>
    </row>
    <row r="908" spans="2:16" s="254" customFormat="1" x14ac:dyDescent="0.35">
      <c r="B908" s="289" t="s">
        <v>36</v>
      </c>
      <c r="C908" s="279" t="s">
        <v>651</v>
      </c>
      <c r="D908" s="423">
        <f t="shared" ref="D908:I908" si="389">D899+D904+D907</f>
        <v>0</v>
      </c>
      <c r="E908" s="423">
        <f t="shared" si="389"/>
        <v>0</v>
      </c>
      <c r="F908" s="423">
        <f t="shared" si="389"/>
        <v>0</v>
      </c>
      <c r="G908" s="423">
        <f t="shared" si="389"/>
        <v>0</v>
      </c>
      <c r="H908" s="423">
        <f t="shared" si="389"/>
        <v>0</v>
      </c>
      <c r="I908" s="423">
        <f t="shared" si="389"/>
        <v>286337.43000000005</v>
      </c>
      <c r="J908" s="423">
        <f t="shared" ref="J908" si="390">J899+J904+J907</f>
        <v>265340.00999999972</v>
      </c>
    </row>
    <row r="909" spans="2:16" s="254" customFormat="1" x14ac:dyDescent="0.35">
      <c r="B909" s="289"/>
      <c r="C909" s="279"/>
      <c r="D909" s="423"/>
      <c r="E909" s="423"/>
      <c r="F909" s="423"/>
      <c r="G909" s="423"/>
      <c r="H909" s="423"/>
      <c r="I909" s="423"/>
      <c r="J909" s="423"/>
    </row>
    <row r="910" spans="2:16" s="254" customFormat="1" x14ac:dyDescent="0.35">
      <c r="B910" s="289" t="s">
        <v>866</v>
      </c>
      <c r="C910" s="279"/>
      <c r="D910" s="423"/>
      <c r="E910" s="423"/>
      <c r="F910" s="423"/>
      <c r="G910" s="423"/>
      <c r="H910" s="423"/>
      <c r="I910" s="423"/>
      <c r="J910" s="423"/>
    </row>
    <row r="911" spans="2:16" s="254" customFormat="1" x14ac:dyDescent="0.35">
      <c r="B911" s="289" t="s">
        <v>630</v>
      </c>
      <c r="C911" s="289"/>
      <c r="D911" s="423"/>
      <c r="E911" s="423"/>
      <c r="F911" s="423"/>
      <c r="G911" s="423"/>
      <c r="H911" s="423"/>
      <c r="I911" s="423"/>
      <c r="J911" s="423"/>
    </row>
    <row r="912" spans="2:16" s="254" customFormat="1" x14ac:dyDescent="0.35">
      <c r="B912" s="279" t="s">
        <v>631</v>
      </c>
      <c r="C912" s="279" t="s">
        <v>785</v>
      </c>
      <c r="D912" s="422">
        <v>10800090.299999999</v>
      </c>
      <c r="E912" s="497">
        <f t="shared" ref="E912:J913" si="391">D972</f>
        <v>8697689.5999999978</v>
      </c>
      <c r="F912" s="497">
        <f t="shared" si="391"/>
        <v>6386262.799999997</v>
      </c>
      <c r="G912" s="497">
        <f t="shared" si="391"/>
        <v>7728753.6999999974</v>
      </c>
      <c r="H912" s="497">
        <f t="shared" si="391"/>
        <v>4527012.099999994</v>
      </c>
      <c r="I912" s="497">
        <f t="shared" si="391"/>
        <v>31297.59999999401</v>
      </c>
      <c r="J912" s="497">
        <f t="shared" si="391"/>
        <v>3778924.9999999939</v>
      </c>
      <c r="L912" s="254" t="s">
        <v>965</v>
      </c>
      <c r="M912" s="569">
        <f t="shared" ref="M912:M923" si="392">F760</f>
        <v>1021000</v>
      </c>
      <c r="N912" s="569">
        <f t="shared" ref="N912:N923" si="393">G760</f>
        <v>361525.44</v>
      </c>
      <c r="O912" s="569">
        <f t="shared" ref="O912:O923" si="394">H760</f>
        <v>451148.6</v>
      </c>
      <c r="P912" s="569">
        <f t="shared" ref="P912:P923" si="395">I760</f>
        <v>739706.29999999993</v>
      </c>
    </row>
    <row r="913" spans="2:23" s="254" customFormat="1" x14ac:dyDescent="0.35">
      <c r="B913" s="543" t="s">
        <v>776</v>
      </c>
      <c r="C913" s="279" t="s">
        <v>785</v>
      </c>
      <c r="D913" s="422">
        <v>11554716</v>
      </c>
      <c r="E913" s="497">
        <f t="shared" si="391"/>
        <v>3115894</v>
      </c>
      <c r="F913" s="497">
        <f t="shared" si="391"/>
        <v>5954666</v>
      </c>
      <c r="G913" s="497">
        <f t="shared" si="391"/>
        <v>1318358</v>
      </c>
      <c r="H913" s="497">
        <f t="shared" si="391"/>
        <v>1085511</v>
      </c>
      <c r="I913" s="497">
        <f t="shared" si="391"/>
        <v>2966001</v>
      </c>
      <c r="J913" s="497">
        <f t="shared" si="391"/>
        <v>179951</v>
      </c>
      <c r="M913" s="569">
        <f t="shared" si="392"/>
        <v>830481.8</v>
      </c>
      <c r="N913" s="569">
        <f t="shared" si="393"/>
        <v>1047258.9999999999</v>
      </c>
      <c r="O913" s="569">
        <f t="shared" si="394"/>
        <v>919532.7</v>
      </c>
      <c r="P913" s="569">
        <f t="shared" si="395"/>
        <v>463492.7</v>
      </c>
    </row>
    <row r="914" spans="2:23" s="254" customFormat="1" x14ac:dyDescent="0.35">
      <c r="B914" s="289" t="s">
        <v>636</v>
      </c>
      <c r="C914" s="279" t="s">
        <v>785</v>
      </c>
      <c r="D914" s="423">
        <f t="shared" ref="D914:I914" si="396">SUM(D912:D913)</f>
        <v>22354806.299999997</v>
      </c>
      <c r="E914" s="423">
        <f t="shared" si="396"/>
        <v>11813583.599999998</v>
      </c>
      <c r="F914" s="423">
        <f t="shared" si="396"/>
        <v>12340928.799999997</v>
      </c>
      <c r="G914" s="423">
        <f t="shared" si="396"/>
        <v>9047111.6999999974</v>
      </c>
      <c r="H914" s="423">
        <f t="shared" si="396"/>
        <v>5612523.099999994</v>
      </c>
      <c r="I914" s="423">
        <f t="shared" si="396"/>
        <v>2997298.599999994</v>
      </c>
      <c r="J914" s="423">
        <f t="shared" ref="J914" si="397">SUM(J912:J913)</f>
        <v>3958875.9999999939</v>
      </c>
      <c r="M914" s="569">
        <f t="shared" si="392"/>
        <v>1851481.8</v>
      </c>
      <c r="N914" s="569">
        <f t="shared" si="393"/>
        <v>1408784.44</v>
      </c>
      <c r="O914" s="569">
        <f t="shared" si="394"/>
        <v>1370681.2999999998</v>
      </c>
      <c r="P914" s="569">
        <f t="shared" si="395"/>
        <v>1203199</v>
      </c>
    </row>
    <row r="915" spans="2:23" s="254" customFormat="1" x14ac:dyDescent="0.35">
      <c r="B915" s="289" t="s">
        <v>637</v>
      </c>
      <c r="C915" s="279" t="s">
        <v>785</v>
      </c>
      <c r="D915" s="497"/>
      <c r="E915" s="497"/>
      <c r="F915" s="497"/>
      <c r="G915" s="497"/>
      <c r="H915" s="497"/>
      <c r="I915" s="497"/>
      <c r="J915" s="497"/>
      <c r="M915" s="569">
        <f t="shared" si="392"/>
        <v>0</v>
      </c>
      <c r="N915" s="569">
        <f t="shared" si="393"/>
        <v>0</v>
      </c>
      <c r="O915" s="569">
        <f t="shared" si="394"/>
        <v>0</v>
      </c>
      <c r="P915" s="569">
        <f t="shared" si="395"/>
        <v>0</v>
      </c>
    </row>
    <row r="916" spans="2:23" s="254" customFormat="1" x14ac:dyDescent="0.35">
      <c r="B916" s="279" t="s">
        <v>638</v>
      </c>
      <c r="C916" s="279" t="s">
        <v>785</v>
      </c>
      <c r="D916" s="422">
        <v>7183997.0999999996</v>
      </c>
      <c r="E916" s="497">
        <f t="shared" ref="E916:F918" si="398">D976</f>
        <v>3528106.7999999956</v>
      </c>
      <c r="F916" s="497">
        <f t="shared" si="398"/>
        <v>4078021.4999999986</v>
      </c>
      <c r="G916" s="497">
        <f t="shared" ref="G916:J918" si="399">F976</f>
        <v>3659373.1000000015</v>
      </c>
      <c r="H916" s="497">
        <f t="shared" si="399"/>
        <v>2478825.3999999994</v>
      </c>
      <c r="I916" s="497">
        <f t="shared" si="399"/>
        <v>280725.09999999928</v>
      </c>
      <c r="J916" s="497">
        <f t="shared" si="399"/>
        <v>2380590.5999999992</v>
      </c>
      <c r="M916" s="569">
        <f t="shared" si="392"/>
        <v>722750</v>
      </c>
      <c r="N916" s="569">
        <f t="shared" si="393"/>
        <v>870500</v>
      </c>
      <c r="O916" s="569">
        <f t="shared" si="394"/>
        <v>355300</v>
      </c>
      <c r="P916" s="569">
        <f t="shared" si="395"/>
        <v>785365</v>
      </c>
    </row>
    <row r="917" spans="2:23" s="254" customFormat="1" x14ac:dyDescent="0.35">
      <c r="B917" s="279" t="s">
        <v>639</v>
      </c>
      <c r="C917" s="279" t="s">
        <v>785</v>
      </c>
      <c r="D917" s="422">
        <v>5075815.9000000004</v>
      </c>
      <c r="E917" s="497">
        <f t="shared" si="398"/>
        <v>2301796.100000002</v>
      </c>
      <c r="F917" s="497">
        <f t="shared" si="398"/>
        <v>1114419.100000001</v>
      </c>
      <c r="G917" s="497">
        <f t="shared" si="399"/>
        <v>2360347.600000002</v>
      </c>
      <c r="H917" s="497">
        <f t="shared" si="399"/>
        <v>304543.10000000149</v>
      </c>
      <c r="I917" s="497">
        <f t="shared" si="399"/>
        <v>35255.400000001304</v>
      </c>
      <c r="J917" s="497">
        <f t="shared" si="399"/>
        <v>58340.300000001211</v>
      </c>
      <c r="M917" s="569">
        <f t="shared" si="392"/>
        <v>507600</v>
      </c>
      <c r="N917" s="569">
        <f t="shared" si="393"/>
        <v>615240</v>
      </c>
      <c r="O917" s="569">
        <f t="shared" si="394"/>
        <v>215900</v>
      </c>
      <c r="P917" s="569">
        <f t="shared" si="395"/>
        <v>129700</v>
      </c>
    </row>
    <row r="918" spans="2:23" s="254" customFormat="1" x14ac:dyDescent="0.35">
      <c r="B918" s="279" t="s">
        <v>640</v>
      </c>
      <c r="C918" s="279" t="s">
        <v>785</v>
      </c>
      <c r="D918" s="422">
        <v>7228644</v>
      </c>
      <c r="E918" s="497">
        <f t="shared" si="398"/>
        <v>8484836</v>
      </c>
      <c r="F918" s="497">
        <f t="shared" si="398"/>
        <v>7040291</v>
      </c>
      <c r="G918" s="497">
        <f t="shared" si="399"/>
        <v>7208153</v>
      </c>
      <c r="H918" s="497">
        <f t="shared" si="399"/>
        <v>1671270</v>
      </c>
      <c r="I918" s="497">
        <f t="shared" si="399"/>
        <v>1428966</v>
      </c>
      <c r="J918" s="497">
        <f t="shared" si="399"/>
        <v>173831</v>
      </c>
      <c r="M918" s="569">
        <f t="shared" si="392"/>
        <v>1439769.1</v>
      </c>
      <c r="N918" s="569">
        <f t="shared" si="393"/>
        <v>1344017.12</v>
      </c>
      <c r="O918" s="569">
        <f t="shared" si="394"/>
        <v>736181.5</v>
      </c>
      <c r="P918" s="569">
        <f t="shared" si="395"/>
        <v>190300</v>
      </c>
    </row>
    <row r="919" spans="2:23" s="254" customFormat="1" x14ac:dyDescent="0.35">
      <c r="B919" s="289" t="s">
        <v>643</v>
      </c>
      <c r="C919" s="279" t="s">
        <v>785</v>
      </c>
      <c r="D919" s="423">
        <f t="shared" ref="D919:I919" si="400">SUM(D916:D918)</f>
        <v>19488457</v>
      </c>
      <c r="E919" s="423">
        <f t="shared" si="400"/>
        <v>14314738.899999999</v>
      </c>
      <c r="F919" s="423">
        <f t="shared" si="400"/>
        <v>12232731.6</v>
      </c>
      <c r="G919" s="423">
        <f t="shared" si="400"/>
        <v>13227873.700000003</v>
      </c>
      <c r="H919" s="423">
        <f t="shared" si="400"/>
        <v>4454638.5000000009</v>
      </c>
      <c r="I919" s="423">
        <f t="shared" si="400"/>
        <v>1744946.5000000005</v>
      </c>
      <c r="J919" s="423">
        <f t="shared" ref="J919" si="401">SUM(J916:J918)</f>
        <v>2612761.9000000004</v>
      </c>
      <c r="M919" s="569">
        <f t="shared" si="392"/>
        <v>2670119.1</v>
      </c>
      <c r="N919" s="569">
        <f t="shared" si="393"/>
        <v>2829757.12</v>
      </c>
      <c r="O919" s="569">
        <f t="shared" si="394"/>
        <v>1307381.5</v>
      </c>
      <c r="P919" s="569">
        <f t="shared" si="395"/>
        <v>1105365</v>
      </c>
    </row>
    <row r="920" spans="2:23" s="254" customFormat="1" x14ac:dyDescent="0.35">
      <c r="B920" s="289" t="s">
        <v>644</v>
      </c>
      <c r="C920" s="279" t="s">
        <v>785</v>
      </c>
      <c r="D920" s="497"/>
      <c r="E920" s="497"/>
      <c r="F920" s="497"/>
      <c r="G920" s="497"/>
      <c r="H920" s="497"/>
      <c r="I920" s="497"/>
      <c r="J920" s="497"/>
      <c r="M920" s="569">
        <f t="shared" si="392"/>
        <v>0</v>
      </c>
      <c r="N920" s="569">
        <f t="shared" si="393"/>
        <v>0</v>
      </c>
      <c r="O920" s="569">
        <f t="shared" si="394"/>
        <v>0</v>
      </c>
      <c r="P920" s="569">
        <f t="shared" si="395"/>
        <v>0</v>
      </c>
    </row>
    <row r="921" spans="2:23" s="254" customFormat="1" x14ac:dyDescent="0.35">
      <c r="B921" s="279" t="s">
        <v>646</v>
      </c>
      <c r="C921" s="279" t="s">
        <v>785</v>
      </c>
      <c r="D921" s="422">
        <v>9512586</v>
      </c>
      <c r="E921" s="497">
        <f t="shared" ref="E921:J921" si="402">D981</f>
        <v>6706680</v>
      </c>
      <c r="F921" s="497">
        <f t="shared" si="402"/>
        <v>9715495</v>
      </c>
      <c r="G921" s="497">
        <f t="shared" si="402"/>
        <v>7132452</v>
      </c>
      <c r="H921" s="497">
        <f t="shared" si="402"/>
        <v>22517</v>
      </c>
      <c r="I921" s="497">
        <f t="shared" si="402"/>
        <v>22213</v>
      </c>
      <c r="J921" s="497">
        <f t="shared" si="402"/>
        <v>39167</v>
      </c>
      <c r="M921" s="569">
        <f t="shared" si="392"/>
        <v>668441.37</v>
      </c>
      <c r="N921" s="569">
        <f t="shared" si="393"/>
        <v>495610.3</v>
      </c>
      <c r="O921" s="569">
        <f t="shared" si="394"/>
        <v>0</v>
      </c>
      <c r="P921" s="569">
        <f t="shared" si="395"/>
        <v>47000</v>
      </c>
    </row>
    <row r="922" spans="2:23" s="254" customFormat="1" x14ac:dyDescent="0.35">
      <c r="B922" s="289" t="s">
        <v>649</v>
      </c>
      <c r="C922" s="279" t="s">
        <v>785</v>
      </c>
      <c r="D922" s="423">
        <f t="shared" ref="D922:I922" si="403">SUM(D921)</f>
        <v>9512586</v>
      </c>
      <c r="E922" s="423">
        <f t="shared" si="403"/>
        <v>6706680</v>
      </c>
      <c r="F922" s="423">
        <f t="shared" si="403"/>
        <v>9715495</v>
      </c>
      <c r="G922" s="423">
        <f t="shared" si="403"/>
        <v>7132452</v>
      </c>
      <c r="H922" s="423">
        <f t="shared" si="403"/>
        <v>22517</v>
      </c>
      <c r="I922" s="423">
        <f t="shared" si="403"/>
        <v>22213</v>
      </c>
      <c r="J922" s="423">
        <f t="shared" ref="J922" si="404">SUM(J921)</f>
        <v>39167</v>
      </c>
      <c r="M922" s="569">
        <f t="shared" si="392"/>
        <v>668441.37</v>
      </c>
      <c r="N922" s="569">
        <f t="shared" si="393"/>
        <v>495610.3</v>
      </c>
      <c r="O922" s="569">
        <f t="shared" si="394"/>
        <v>0</v>
      </c>
      <c r="P922" s="569">
        <f t="shared" si="395"/>
        <v>47000</v>
      </c>
    </row>
    <row r="923" spans="2:23" s="254" customFormat="1" x14ac:dyDescent="0.35">
      <c r="B923" s="289" t="s">
        <v>36</v>
      </c>
      <c r="C923" s="279" t="s">
        <v>785</v>
      </c>
      <c r="D923" s="423">
        <f t="shared" ref="D923:I923" si="405">D914+D919+D922</f>
        <v>51355849.299999997</v>
      </c>
      <c r="E923" s="423">
        <f t="shared" si="405"/>
        <v>32835002.499999996</v>
      </c>
      <c r="F923" s="423">
        <f t="shared" si="405"/>
        <v>34289155.399999999</v>
      </c>
      <c r="G923" s="423">
        <f t="shared" si="405"/>
        <v>29407437.399999999</v>
      </c>
      <c r="H923" s="423">
        <f t="shared" si="405"/>
        <v>10089678.599999994</v>
      </c>
      <c r="I923" s="423">
        <f t="shared" si="405"/>
        <v>4764458.099999994</v>
      </c>
      <c r="J923" s="423">
        <f t="shared" ref="J923" si="406">J914+J919+J922</f>
        <v>6610804.8999999948</v>
      </c>
      <c r="M923" s="569">
        <f t="shared" si="392"/>
        <v>5190042.2700000005</v>
      </c>
      <c r="N923" s="569">
        <f t="shared" si="393"/>
        <v>4734151.8600000003</v>
      </c>
      <c r="O923" s="569">
        <f t="shared" si="394"/>
        <v>2678062.7999999998</v>
      </c>
      <c r="P923" s="569">
        <f t="shared" si="395"/>
        <v>2355564</v>
      </c>
    </row>
    <row r="924" spans="2:23" s="254" customFormat="1" x14ac:dyDescent="0.35">
      <c r="B924" s="289"/>
      <c r="C924" s="279"/>
      <c r="D924" s="423"/>
      <c r="E924" s="423"/>
      <c r="F924" s="423"/>
      <c r="G924" s="423"/>
      <c r="H924" s="423"/>
      <c r="I924" s="423"/>
      <c r="J924" s="423"/>
    </row>
    <row r="925" spans="2:23" s="254" customFormat="1" x14ac:dyDescent="0.35">
      <c r="B925" s="289" t="s">
        <v>867</v>
      </c>
      <c r="C925" s="279"/>
      <c r="D925" s="423"/>
      <c r="E925" s="423"/>
      <c r="F925" s="423"/>
      <c r="G925" s="423"/>
      <c r="H925" s="423"/>
      <c r="I925" s="423"/>
      <c r="J925" s="423"/>
    </row>
    <row r="926" spans="2:23" s="254" customFormat="1" x14ac:dyDescent="0.35">
      <c r="B926" s="289" t="s">
        <v>630</v>
      </c>
      <c r="C926" s="289"/>
      <c r="D926" s="423"/>
      <c r="E926" s="423"/>
      <c r="F926" s="423"/>
      <c r="G926" s="423"/>
      <c r="H926" s="423"/>
      <c r="I926" s="423"/>
      <c r="J926" s="423"/>
    </row>
    <row r="927" spans="2:23" s="254" customFormat="1" x14ac:dyDescent="0.35">
      <c r="B927" s="279" t="s">
        <v>631</v>
      </c>
      <c r="C927" s="279" t="s">
        <v>785</v>
      </c>
      <c r="D927" s="422">
        <v>21666421.599999998</v>
      </c>
      <c r="E927" s="422">
        <v>14857953.700000001</v>
      </c>
      <c r="F927" s="422">
        <v>20965689</v>
      </c>
      <c r="G927" s="422">
        <v>10668074.399999999</v>
      </c>
      <c r="H927" s="422">
        <v>8516260.5</v>
      </c>
      <c r="I927" s="422">
        <v>16646758.5</v>
      </c>
      <c r="J927" s="422">
        <v>36868372</v>
      </c>
      <c r="L927" s="254" t="s">
        <v>966</v>
      </c>
      <c r="M927" s="621">
        <f>F927/Assumptions!E$109</f>
        <v>906036.68971477961</v>
      </c>
      <c r="N927" s="621">
        <f>G927/Assumptions!F$109</f>
        <v>474136.63999999996</v>
      </c>
      <c r="O927" s="621">
        <f>H927/Assumptions!G$109</f>
        <v>367873.02375809936</v>
      </c>
      <c r="P927" s="621">
        <f>I927/Assumptions!H$109</f>
        <v>752470.08182463096</v>
      </c>
      <c r="Q927" s="621"/>
      <c r="S927" s="569">
        <f t="shared" ref="S927:S936" si="407">M912-M927</f>
        <v>114963.31028522039</v>
      </c>
      <c r="T927" s="569">
        <f t="shared" ref="T927:T936" si="408">N912-N927</f>
        <v>-112611.19999999995</v>
      </c>
      <c r="U927" s="569">
        <f t="shared" ref="U927:U936" si="409">O912-O927</f>
        <v>83275.576241900621</v>
      </c>
      <c r="V927" s="569">
        <f t="shared" ref="V927:V936" si="410">P912-P927</f>
        <v>-12763.781824631034</v>
      </c>
      <c r="W927" s="569">
        <f t="shared" ref="W927:W936" si="411">Q912-Q927</f>
        <v>0</v>
      </c>
    </row>
    <row r="928" spans="2:23" s="254" customFormat="1" x14ac:dyDescent="0.35">
      <c r="B928" s="543" t="s">
        <v>776</v>
      </c>
      <c r="C928" s="279" t="s">
        <v>785</v>
      </c>
      <c r="D928" s="422">
        <v>30111194</v>
      </c>
      <c r="E928" s="422">
        <v>31729108</v>
      </c>
      <c r="F928" s="422">
        <v>19630487</v>
      </c>
      <c r="G928" s="422">
        <v>23547129</v>
      </c>
      <c r="H928" s="422">
        <v>19975252</v>
      </c>
      <c r="I928" s="422">
        <v>11831820</v>
      </c>
      <c r="J928" s="422">
        <v>9139934</v>
      </c>
      <c r="M928" s="621">
        <f>F928/Assumptions!E$109</f>
        <v>848335.65254969744</v>
      </c>
      <c r="N928" s="621">
        <f>G928/Assumptions!F$109</f>
        <v>1046539.0666666667</v>
      </c>
      <c r="O928" s="621">
        <f>H928/Assumptions!G$109</f>
        <v>862861.85745140398</v>
      </c>
      <c r="P928" s="621">
        <f>I928/Assumptions!H$109</f>
        <v>534824.27606157109</v>
      </c>
      <c r="Q928" s="621"/>
      <c r="S928" s="569">
        <f t="shared" si="407"/>
        <v>-17853.852549697389</v>
      </c>
      <c r="T928" s="569">
        <f t="shared" si="408"/>
        <v>719.93333333323244</v>
      </c>
      <c r="U928" s="569">
        <f t="shared" si="409"/>
        <v>56670.842548595974</v>
      </c>
      <c r="V928" s="569">
        <f t="shared" si="410"/>
        <v>-71331.576061571075</v>
      </c>
      <c r="W928" s="569">
        <f t="shared" si="411"/>
        <v>0</v>
      </c>
    </row>
    <row r="929" spans="2:23" s="254" customFormat="1" x14ac:dyDescent="0.35">
      <c r="B929" s="289" t="s">
        <v>636</v>
      </c>
      <c r="C929" s="279" t="s">
        <v>785</v>
      </c>
      <c r="D929" s="423">
        <f t="shared" ref="D929:I929" si="412">SUM(D927:D928)</f>
        <v>51777615.599999994</v>
      </c>
      <c r="E929" s="423">
        <f t="shared" si="412"/>
        <v>46587061.700000003</v>
      </c>
      <c r="F929" s="423">
        <f t="shared" si="412"/>
        <v>40596176</v>
      </c>
      <c r="G929" s="423">
        <f t="shared" si="412"/>
        <v>34215203.399999999</v>
      </c>
      <c r="H929" s="423">
        <f t="shared" si="412"/>
        <v>28491512.5</v>
      </c>
      <c r="I929" s="423">
        <f t="shared" si="412"/>
        <v>28478578.5</v>
      </c>
      <c r="J929" s="423">
        <f t="shared" ref="J929" si="413">SUM(J927:J928)</f>
        <v>46008306</v>
      </c>
      <c r="M929" s="621">
        <f>F929/Assumptions!E$109</f>
        <v>1754372.3422644772</v>
      </c>
      <c r="N929" s="621">
        <f>G929/Assumptions!F$109</f>
        <v>1520675.7066666665</v>
      </c>
      <c r="O929" s="621">
        <f>H929/Assumptions!G$109</f>
        <v>1230734.8812095034</v>
      </c>
      <c r="P929" s="621">
        <f>I929/Assumptions!H$109</f>
        <v>1287294.3578862019</v>
      </c>
      <c r="Q929" s="621"/>
      <c r="S929" s="569">
        <f t="shared" si="407"/>
        <v>97109.457735522883</v>
      </c>
      <c r="T929" s="569">
        <f t="shared" si="408"/>
        <v>-111891.2666666666</v>
      </c>
      <c r="U929" s="569">
        <f t="shared" si="409"/>
        <v>139946.41879049642</v>
      </c>
      <c r="V929" s="569">
        <f t="shared" si="410"/>
        <v>-84095.357886201935</v>
      </c>
      <c r="W929" s="569">
        <f t="shared" si="411"/>
        <v>0</v>
      </c>
    </row>
    <row r="930" spans="2:23" s="254" customFormat="1" x14ac:dyDescent="0.35">
      <c r="B930" s="289" t="s">
        <v>637</v>
      </c>
      <c r="C930" s="279" t="s">
        <v>785</v>
      </c>
      <c r="D930" s="497"/>
      <c r="E930" s="497"/>
      <c r="F930" s="497"/>
      <c r="G930" s="497"/>
      <c r="H930" s="497"/>
      <c r="I930" s="497"/>
      <c r="J930" s="497"/>
      <c r="M930" s="621">
        <f>F930/Assumptions!E$109</f>
        <v>0</v>
      </c>
      <c r="N930" s="621">
        <f>G930/Assumptions!F$109</f>
        <v>0</v>
      </c>
      <c r="O930" s="621">
        <f>H930/Assumptions!G$109</f>
        <v>0</v>
      </c>
      <c r="P930" s="621">
        <f>I930/Assumptions!H$109</f>
        <v>0</v>
      </c>
      <c r="Q930" s="621"/>
      <c r="S930" s="569">
        <f t="shared" si="407"/>
        <v>0</v>
      </c>
      <c r="T930" s="569">
        <f t="shared" si="408"/>
        <v>0</v>
      </c>
      <c r="U930" s="569">
        <f t="shared" si="409"/>
        <v>0</v>
      </c>
      <c r="V930" s="569">
        <f t="shared" si="410"/>
        <v>0</v>
      </c>
      <c r="W930" s="569">
        <f t="shared" si="411"/>
        <v>0</v>
      </c>
    </row>
    <row r="931" spans="2:23" s="254" customFormat="1" x14ac:dyDescent="0.35">
      <c r="B931" s="279" t="s">
        <v>638</v>
      </c>
      <c r="C931" s="279" t="s">
        <v>785</v>
      </c>
      <c r="D931" s="422">
        <v>15666783.099999998</v>
      </c>
      <c r="E931" s="422">
        <v>15718793.600000001</v>
      </c>
      <c r="F931" s="422">
        <v>16172827.100000001</v>
      </c>
      <c r="G931" s="422">
        <v>19685502.099999998</v>
      </c>
      <c r="H931" s="422">
        <v>7241258.7999999998</v>
      </c>
      <c r="I931" s="422">
        <v>19252329.100000001</v>
      </c>
      <c r="J931" s="422">
        <v>2361081.0999999996</v>
      </c>
      <c r="M931" s="621">
        <f>F931/Assumptions!E$109</f>
        <v>698912.14779602422</v>
      </c>
      <c r="N931" s="621">
        <f>G931/Assumptions!F$109</f>
        <v>874911.20444444439</v>
      </c>
      <c r="O931" s="621">
        <f>H931/Assumptions!G$109</f>
        <v>312797.35637149028</v>
      </c>
      <c r="P931" s="621">
        <f>I931/Assumptions!H$109</f>
        <v>870247.60124871903</v>
      </c>
      <c r="Q931" s="621"/>
      <c r="S931" s="569">
        <f t="shared" si="407"/>
        <v>23837.852203975781</v>
      </c>
      <c r="T931" s="569">
        <f t="shared" si="408"/>
        <v>-4411.2044444443891</v>
      </c>
      <c r="U931" s="569">
        <f t="shared" si="409"/>
        <v>42502.643628509715</v>
      </c>
      <c r="V931" s="569">
        <f t="shared" si="410"/>
        <v>-84882.601248719031</v>
      </c>
      <c r="W931" s="569">
        <f t="shared" si="411"/>
        <v>0</v>
      </c>
    </row>
    <row r="932" spans="2:23" s="254" customFormat="1" x14ac:dyDescent="0.35">
      <c r="B932" s="279" t="s">
        <v>639</v>
      </c>
      <c r="C932" s="279" t="s">
        <v>785</v>
      </c>
      <c r="D932" s="422">
        <v>11249920.010000002</v>
      </c>
      <c r="E932" s="422">
        <v>11377937.1</v>
      </c>
      <c r="F932" s="422">
        <v>11824009.4</v>
      </c>
      <c r="G932" s="422">
        <v>13912203.5</v>
      </c>
      <c r="H932" s="422">
        <v>5233397.3</v>
      </c>
      <c r="I932" s="422">
        <v>2604085.4</v>
      </c>
      <c r="J932" s="422">
        <v>785449.7</v>
      </c>
      <c r="M932" s="621">
        <f>F932/Assumptions!E$109</f>
        <v>510977.07000864303</v>
      </c>
      <c r="N932" s="621">
        <f>G932/Assumptions!F$109</f>
        <v>618320.1555555556</v>
      </c>
      <c r="O932" s="621">
        <f>H932/Assumptions!G$109</f>
        <v>226064.67818574514</v>
      </c>
      <c r="P932" s="621">
        <f>I932/Assumptions!H$109</f>
        <v>117710.38511890027</v>
      </c>
      <c r="Q932" s="621"/>
      <c r="S932" s="569">
        <f t="shared" si="407"/>
        <v>-3377.0700086430297</v>
      </c>
      <c r="T932" s="569">
        <f t="shared" si="408"/>
        <v>-3080.1555555555969</v>
      </c>
      <c r="U932" s="569">
        <f t="shared" si="409"/>
        <v>-10164.678185745142</v>
      </c>
      <c r="V932" s="569">
        <f t="shared" si="410"/>
        <v>11989.614881099726</v>
      </c>
      <c r="W932" s="569">
        <f t="shared" si="411"/>
        <v>0</v>
      </c>
    </row>
    <row r="933" spans="2:23" s="254" customFormat="1" x14ac:dyDescent="0.35">
      <c r="B933" s="279" t="s">
        <v>640</v>
      </c>
      <c r="C933" s="279" t="s">
        <v>785</v>
      </c>
      <c r="D933" s="422">
        <v>26457698.5</v>
      </c>
      <c r="E933" s="422">
        <v>18067822</v>
      </c>
      <c r="F933" s="422">
        <v>32357370.5</v>
      </c>
      <c r="G933" s="422">
        <v>28899725</v>
      </c>
      <c r="H933" s="422">
        <v>16255230</v>
      </c>
      <c r="I933" s="422">
        <v>7371078</v>
      </c>
      <c r="J933" s="422">
        <v>9962031</v>
      </c>
      <c r="M933" s="621">
        <f>F933/Assumptions!E$109</f>
        <v>1398330.6179775281</v>
      </c>
      <c r="N933" s="621">
        <f>G933/Assumptions!F$109</f>
        <v>1284432.2222222222</v>
      </c>
      <c r="O933" s="621">
        <f>H933/Assumptions!G$109</f>
        <v>702169.76241900655</v>
      </c>
      <c r="P933" s="621">
        <f>I933/Assumptions!H$109</f>
        <v>333188.93079368799</v>
      </c>
      <c r="Q933" s="621"/>
      <c r="S933" s="569">
        <f t="shared" si="407"/>
        <v>41438.482022471959</v>
      </c>
      <c r="T933" s="569">
        <f t="shared" si="408"/>
        <v>59584.897777777864</v>
      </c>
      <c r="U933" s="569">
        <f t="shared" si="409"/>
        <v>34011.737580993446</v>
      </c>
      <c r="V933" s="569">
        <f t="shared" si="410"/>
        <v>-142888.93079368799</v>
      </c>
      <c r="W933" s="569">
        <f t="shared" si="411"/>
        <v>0</v>
      </c>
    </row>
    <row r="934" spans="2:23" s="254" customFormat="1" x14ac:dyDescent="0.35">
      <c r="B934" s="289" t="s">
        <v>643</v>
      </c>
      <c r="C934" s="279" t="s">
        <v>785</v>
      </c>
      <c r="D934" s="423">
        <f t="shared" ref="D934:I934" si="414">SUM(D931:D933)</f>
        <v>53374401.609999999</v>
      </c>
      <c r="E934" s="423">
        <f t="shared" si="414"/>
        <v>45164552.700000003</v>
      </c>
      <c r="F934" s="423">
        <f t="shared" si="414"/>
        <v>60354207</v>
      </c>
      <c r="G934" s="423">
        <f t="shared" si="414"/>
        <v>62497430.599999994</v>
      </c>
      <c r="H934" s="423">
        <f t="shared" si="414"/>
        <v>28729886.100000001</v>
      </c>
      <c r="I934" s="423">
        <f t="shared" si="414"/>
        <v>29227492.5</v>
      </c>
      <c r="J934" s="423">
        <f t="shared" ref="J934" si="415">SUM(J931:J933)</f>
        <v>13108561.800000001</v>
      </c>
      <c r="M934" s="621">
        <f>F934/Assumptions!E$109</f>
        <v>2608219.8357821954</v>
      </c>
      <c r="N934" s="621">
        <f>G934/Assumptions!F$109</f>
        <v>2777663.5822222219</v>
      </c>
      <c r="O934" s="621">
        <f>H934/Assumptions!G$109</f>
        <v>1241031.796976242</v>
      </c>
      <c r="P934" s="621">
        <f>I934/Assumptions!H$109</f>
        <v>1321146.9171613073</v>
      </c>
      <c r="Q934" s="621"/>
      <c r="S934" s="569">
        <f t="shared" si="407"/>
        <v>61899.264217804652</v>
      </c>
      <c r="T934" s="569">
        <f t="shared" si="408"/>
        <v>52093.537777778227</v>
      </c>
      <c r="U934" s="569">
        <f t="shared" si="409"/>
        <v>66349.703023758018</v>
      </c>
      <c r="V934" s="569">
        <f t="shared" si="410"/>
        <v>-215781.9171613073</v>
      </c>
      <c r="W934" s="569">
        <f t="shared" si="411"/>
        <v>0</v>
      </c>
    </row>
    <row r="935" spans="2:23" s="254" customFormat="1" x14ac:dyDescent="0.35">
      <c r="B935" s="289" t="s">
        <v>644</v>
      </c>
      <c r="C935" s="279" t="s">
        <v>785</v>
      </c>
      <c r="D935" s="497"/>
      <c r="E935" s="497"/>
      <c r="F935" s="497"/>
      <c r="G935" s="497"/>
      <c r="H935" s="497"/>
      <c r="I935" s="497"/>
      <c r="J935" s="497"/>
      <c r="M935" s="621">
        <f>F935/Assumptions!E$109</f>
        <v>0</v>
      </c>
      <c r="N935" s="621">
        <f>G935/Assumptions!F$109</f>
        <v>0</v>
      </c>
      <c r="O935" s="621">
        <f>H935/Assumptions!G$109</f>
        <v>0</v>
      </c>
      <c r="P935" s="621">
        <f>I935/Assumptions!H$109</f>
        <v>0</v>
      </c>
      <c r="Q935" s="621"/>
      <c r="S935" s="569">
        <f t="shared" si="407"/>
        <v>0</v>
      </c>
      <c r="T935" s="569">
        <f t="shared" si="408"/>
        <v>0</v>
      </c>
      <c r="U935" s="569">
        <f t="shared" si="409"/>
        <v>0</v>
      </c>
      <c r="V935" s="569">
        <f t="shared" si="410"/>
        <v>0</v>
      </c>
      <c r="W935" s="569">
        <f t="shared" si="411"/>
        <v>0</v>
      </c>
    </row>
    <row r="936" spans="2:23" s="254" customFormat="1" x14ac:dyDescent="0.35">
      <c r="B936" s="279" t="s">
        <v>646</v>
      </c>
      <c r="C936" s="279" t="s">
        <v>785</v>
      </c>
      <c r="D936" s="422">
        <v>20158239</v>
      </c>
      <c r="E936" s="422">
        <v>20182149</v>
      </c>
      <c r="F936" s="422">
        <v>12213471</v>
      </c>
      <c r="G936" s="422">
        <v>11011300</v>
      </c>
      <c r="H936" s="422">
        <v>0</v>
      </c>
      <c r="I936" s="422">
        <v>3862368</v>
      </c>
      <c r="J936" s="422">
        <v>24682</v>
      </c>
      <c r="M936" s="621">
        <f>F936/Assumptions!E$109</f>
        <v>527807.73552290408</v>
      </c>
      <c r="N936" s="621">
        <f>G936/Assumptions!F$109</f>
        <v>489391.11111111112</v>
      </c>
      <c r="O936" s="621">
        <f>H936/Assumptions!G$109</f>
        <v>0</v>
      </c>
      <c r="P936" s="621">
        <f>I936/Assumptions!H$109</f>
        <v>174587.52495249067</v>
      </c>
      <c r="Q936" s="621"/>
      <c r="S936" s="569">
        <f t="shared" si="407"/>
        <v>140633.63447709591</v>
      </c>
      <c r="T936" s="569">
        <f t="shared" si="408"/>
        <v>6219.1888888888643</v>
      </c>
      <c r="U936" s="569">
        <f t="shared" si="409"/>
        <v>0</v>
      </c>
      <c r="V936" s="569">
        <f t="shared" si="410"/>
        <v>-127587.52495249067</v>
      </c>
      <c r="W936" s="569">
        <f t="shared" si="411"/>
        <v>0</v>
      </c>
    </row>
    <row r="937" spans="2:23" s="254" customFormat="1" x14ac:dyDescent="0.35">
      <c r="B937" s="289" t="s">
        <v>649</v>
      </c>
      <c r="C937" s="279" t="s">
        <v>785</v>
      </c>
      <c r="D937" s="423">
        <f t="shared" ref="D937:I937" si="416">SUM(D936)</f>
        <v>20158239</v>
      </c>
      <c r="E937" s="423">
        <f t="shared" si="416"/>
        <v>20182149</v>
      </c>
      <c r="F937" s="423">
        <f t="shared" si="416"/>
        <v>12213471</v>
      </c>
      <c r="G937" s="423">
        <f t="shared" si="416"/>
        <v>11011300</v>
      </c>
      <c r="H937" s="423">
        <f t="shared" si="416"/>
        <v>0</v>
      </c>
      <c r="I937" s="423">
        <f t="shared" si="416"/>
        <v>3862368</v>
      </c>
      <c r="J937" s="423">
        <f t="shared" ref="J937" si="417">SUM(J936)</f>
        <v>24682</v>
      </c>
    </row>
    <row r="938" spans="2:23" s="254" customFormat="1" x14ac:dyDescent="0.35">
      <c r="B938" s="289" t="s">
        <v>36</v>
      </c>
      <c r="C938" s="279" t="s">
        <v>785</v>
      </c>
      <c r="D938" s="423">
        <f t="shared" ref="D938:I938" si="418">D929+D934+D937</f>
        <v>125310256.20999999</v>
      </c>
      <c r="E938" s="423">
        <f t="shared" si="418"/>
        <v>111933763.40000001</v>
      </c>
      <c r="F938" s="423">
        <f t="shared" si="418"/>
        <v>113163854</v>
      </c>
      <c r="G938" s="423">
        <f t="shared" si="418"/>
        <v>107723934</v>
      </c>
      <c r="H938" s="423">
        <f t="shared" si="418"/>
        <v>57221398.600000001</v>
      </c>
      <c r="I938" s="423">
        <f t="shared" si="418"/>
        <v>61568439</v>
      </c>
      <c r="J938" s="423">
        <f t="shared" ref="J938" si="419">J929+J934+J937</f>
        <v>59141549.799999997</v>
      </c>
    </row>
    <row r="939" spans="2:23" s="254" customFormat="1" x14ac:dyDescent="0.35">
      <c r="B939" s="289"/>
      <c r="C939" s="279"/>
      <c r="D939" s="423"/>
      <c r="E939" s="423"/>
      <c r="F939" s="423"/>
      <c r="G939" s="423"/>
      <c r="H939" s="423"/>
      <c r="I939" s="423"/>
      <c r="J939" s="423"/>
    </row>
    <row r="940" spans="2:23" s="254" customFormat="1" x14ac:dyDescent="0.35">
      <c r="B940" s="289" t="s">
        <v>868</v>
      </c>
      <c r="C940" s="279"/>
      <c r="D940" s="423"/>
      <c r="E940" s="423"/>
      <c r="F940" s="423"/>
      <c r="G940" s="423"/>
      <c r="H940" s="423"/>
      <c r="I940" s="423"/>
      <c r="J940" s="423"/>
    </row>
    <row r="941" spans="2:23" s="254" customFormat="1" x14ac:dyDescent="0.35">
      <c r="B941" s="289" t="s">
        <v>630</v>
      </c>
      <c r="C941" s="289"/>
      <c r="D941" s="423"/>
      <c r="E941" s="423"/>
      <c r="F941" s="423"/>
      <c r="G941" s="423"/>
      <c r="H941" s="423"/>
      <c r="I941" s="423"/>
      <c r="J941" s="423"/>
    </row>
    <row r="942" spans="2:23" s="254" customFormat="1" x14ac:dyDescent="0.35">
      <c r="B942" s="279" t="s">
        <v>631</v>
      </c>
      <c r="C942" s="279" t="s">
        <v>785</v>
      </c>
      <c r="D942" s="422">
        <v>23631574</v>
      </c>
      <c r="E942" s="422">
        <v>17213952</v>
      </c>
      <c r="F942" s="422">
        <v>19567231</v>
      </c>
      <c r="G942" s="422">
        <v>12275066</v>
      </c>
      <c r="H942" s="422">
        <v>12935595</v>
      </c>
      <c r="I942" s="422">
        <v>12845940</v>
      </c>
      <c r="J942" s="422">
        <v>35763172.700000003</v>
      </c>
    </row>
    <row r="943" spans="2:23" s="254" customFormat="1" x14ac:dyDescent="0.35">
      <c r="B943" s="543" t="s">
        <v>776</v>
      </c>
      <c r="C943" s="279" t="s">
        <v>785</v>
      </c>
      <c r="D943" s="422">
        <v>38350167</v>
      </c>
      <c r="E943" s="422">
        <v>28722000</v>
      </c>
      <c r="F943" s="422">
        <v>24174009</v>
      </c>
      <c r="G943" s="422">
        <v>23689000</v>
      </c>
      <c r="H943" s="422">
        <v>18018600</v>
      </c>
      <c r="I943" s="422">
        <f>14511000+26541</f>
        <v>14537541</v>
      </c>
      <c r="J943" s="422">
        <v>9285380</v>
      </c>
    </row>
    <row r="944" spans="2:23" s="254" customFormat="1" x14ac:dyDescent="0.35">
      <c r="B944" s="289" t="s">
        <v>636</v>
      </c>
      <c r="C944" s="279" t="s">
        <v>785</v>
      </c>
      <c r="D944" s="423">
        <f t="shared" ref="D944:I944" si="420">SUM(D942:D943)</f>
        <v>61981741</v>
      </c>
      <c r="E944" s="423">
        <f t="shared" si="420"/>
        <v>45935952</v>
      </c>
      <c r="F944" s="423">
        <f t="shared" si="420"/>
        <v>43741240</v>
      </c>
      <c r="G944" s="423">
        <f t="shared" si="420"/>
        <v>35964066</v>
      </c>
      <c r="H944" s="423">
        <f t="shared" si="420"/>
        <v>30954195</v>
      </c>
      <c r="I944" s="423">
        <f t="shared" si="420"/>
        <v>27383481</v>
      </c>
      <c r="J944" s="423">
        <f t="shared" ref="J944" si="421">SUM(J942:J943)</f>
        <v>45048552.700000003</v>
      </c>
    </row>
    <row r="945" spans="2:10" s="254" customFormat="1" x14ac:dyDescent="0.35">
      <c r="B945" s="289" t="s">
        <v>637</v>
      </c>
      <c r="C945" s="279" t="s">
        <v>785</v>
      </c>
      <c r="D945" s="497"/>
      <c r="E945" s="497"/>
      <c r="F945" s="497"/>
      <c r="G945" s="497"/>
      <c r="H945" s="497"/>
      <c r="I945" s="497"/>
      <c r="J945" s="497"/>
    </row>
    <row r="946" spans="2:10" s="254" customFormat="1" x14ac:dyDescent="0.35">
      <c r="B946" s="279" t="s">
        <v>638</v>
      </c>
      <c r="C946" s="279" t="s">
        <v>785</v>
      </c>
      <c r="D946" s="422">
        <v>19107495</v>
      </c>
      <c r="E946" s="422">
        <v>14982315</v>
      </c>
      <c r="F946" s="422">
        <v>16367400</v>
      </c>
      <c r="G946" s="422">
        <v>20676400</v>
      </c>
      <c r="H946" s="422">
        <v>9319450</v>
      </c>
      <c r="I946" s="422">
        <v>16973963</v>
      </c>
      <c r="J946" s="422">
        <v>4619534.76</v>
      </c>
    </row>
    <row r="947" spans="2:10" s="254" customFormat="1" x14ac:dyDescent="0.35">
      <c r="B947" s="279" t="s">
        <v>639</v>
      </c>
      <c r="C947" s="279" t="s">
        <v>785</v>
      </c>
      <c r="D947" s="422">
        <v>13959915</v>
      </c>
      <c r="E947" s="422">
        <v>12504034</v>
      </c>
      <c r="F947" s="422">
        <v>10531053</v>
      </c>
      <c r="G947" s="422">
        <v>15900940</v>
      </c>
      <c r="H947" s="422">
        <v>5483415</v>
      </c>
      <c r="I947" s="422">
        <v>2571000</v>
      </c>
      <c r="J947" s="422">
        <v>803000</v>
      </c>
    </row>
    <row r="948" spans="2:10" s="254" customFormat="1" x14ac:dyDescent="0.35">
      <c r="B948" s="279" t="s">
        <v>640</v>
      </c>
      <c r="C948" s="279" t="s">
        <v>785</v>
      </c>
      <c r="D948" s="422">
        <v>24949508</v>
      </c>
      <c r="E948" s="422">
        <v>19301800</v>
      </c>
      <c r="F948" s="422">
        <v>31935830</v>
      </c>
      <c r="G948" s="422">
        <v>34241100</v>
      </c>
      <c r="H948" s="422">
        <v>16417300</v>
      </c>
      <c r="I948" s="422">
        <f>8562075+12949</f>
        <v>8575024</v>
      </c>
      <c r="J948" s="422">
        <v>10036400</v>
      </c>
    </row>
    <row r="949" spans="2:10" s="254" customFormat="1" x14ac:dyDescent="0.35">
      <c r="B949" s="289" t="s">
        <v>643</v>
      </c>
      <c r="C949" s="279" t="s">
        <v>785</v>
      </c>
      <c r="D949" s="423">
        <f t="shared" ref="D949:I949" si="422">SUM(D946:D948)</f>
        <v>58016918</v>
      </c>
      <c r="E949" s="423">
        <f t="shared" si="422"/>
        <v>46788149</v>
      </c>
      <c r="F949" s="423">
        <f t="shared" si="422"/>
        <v>58834283</v>
      </c>
      <c r="G949" s="423">
        <f t="shared" si="422"/>
        <v>70818440</v>
      </c>
      <c r="H949" s="423">
        <f t="shared" si="422"/>
        <v>31220165</v>
      </c>
      <c r="I949" s="423">
        <f t="shared" si="422"/>
        <v>28119987</v>
      </c>
      <c r="J949" s="423">
        <f t="shared" ref="J949" si="423">SUM(J946:J948)</f>
        <v>15458934.76</v>
      </c>
    </row>
    <row r="950" spans="2:10" s="254" customFormat="1" x14ac:dyDescent="0.35">
      <c r="B950" s="289" t="s">
        <v>644</v>
      </c>
      <c r="C950" s="279" t="s">
        <v>785</v>
      </c>
      <c r="D950" s="497"/>
      <c r="E950" s="497"/>
      <c r="F950" s="497"/>
      <c r="G950" s="497"/>
      <c r="H950" s="497"/>
      <c r="I950" s="497"/>
      <c r="J950" s="497"/>
    </row>
    <row r="951" spans="2:10" s="254" customFormat="1" x14ac:dyDescent="0.35">
      <c r="B951" s="279" t="s">
        <v>646</v>
      </c>
      <c r="C951" s="279" t="s">
        <v>785</v>
      </c>
      <c r="D951" s="422">
        <v>22846955</v>
      </c>
      <c r="E951" s="422">
        <v>17095600</v>
      </c>
      <c r="F951" s="422">
        <v>14747100</v>
      </c>
      <c r="G951" s="422">
        <v>18058000</v>
      </c>
      <c r="H951" s="422">
        <v>0</v>
      </c>
      <c r="I951" s="422">
        <v>3828000</v>
      </c>
      <c r="J951" s="422">
        <v>29000</v>
      </c>
    </row>
    <row r="952" spans="2:10" s="254" customFormat="1" x14ac:dyDescent="0.35">
      <c r="B952" s="289" t="s">
        <v>649</v>
      </c>
      <c r="C952" s="279" t="s">
        <v>785</v>
      </c>
      <c r="D952" s="423">
        <f t="shared" ref="D952:I952" si="424">SUM(D951)</f>
        <v>22846955</v>
      </c>
      <c r="E952" s="423">
        <f t="shared" si="424"/>
        <v>17095600</v>
      </c>
      <c r="F952" s="423">
        <f t="shared" si="424"/>
        <v>14747100</v>
      </c>
      <c r="G952" s="423">
        <f t="shared" si="424"/>
        <v>18058000</v>
      </c>
      <c r="H952" s="423">
        <f t="shared" si="424"/>
        <v>0</v>
      </c>
      <c r="I952" s="423">
        <f t="shared" si="424"/>
        <v>3828000</v>
      </c>
      <c r="J952" s="423">
        <f t="shared" ref="J952" si="425">SUM(J951)</f>
        <v>29000</v>
      </c>
    </row>
    <row r="953" spans="2:10" s="254" customFormat="1" x14ac:dyDescent="0.35">
      <c r="B953" s="289" t="s">
        <v>36</v>
      </c>
      <c r="C953" s="279" t="s">
        <v>785</v>
      </c>
      <c r="D953" s="423">
        <f t="shared" ref="D953:I953" si="426">D944+D949+D952</f>
        <v>142845614</v>
      </c>
      <c r="E953" s="423">
        <f t="shared" si="426"/>
        <v>109819701</v>
      </c>
      <c r="F953" s="423">
        <f t="shared" si="426"/>
        <v>117322623</v>
      </c>
      <c r="G953" s="423">
        <f t="shared" si="426"/>
        <v>124840506</v>
      </c>
      <c r="H953" s="423">
        <f t="shared" si="426"/>
        <v>62174360</v>
      </c>
      <c r="I953" s="423">
        <f t="shared" si="426"/>
        <v>59331468</v>
      </c>
      <c r="J953" s="423">
        <f t="shared" ref="J953" si="427">J944+J949+J952</f>
        <v>60536487.460000001</v>
      </c>
    </row>
    <row r="954" spans="2:10" s="254" customFormat="1" x14ac:dyDescent="0.35">
      <c r="B954" s="289"/>
      <c r="C954" s="279"/>
      <c r="D954" s="423"/>
      <c r="E954" s="423"/>
      <c r="F954" s="423"/>
      <c r="G954" s="423"/>
      <c r="H954" s="423"/>
      <c r="I954" s="423"/>
      <c r="J954" s="423"/>
    </row>
    <row r="955" spans="2:10" s="254" customFormat="1" x14ac:dyDescent="0.35">
      <c r="B955" s="289" t="s">
        <v>869</v>
      </c>
      <c r="C955" s="279"/>
      <c r="D955" s="423"/>
      <c r="E955" s="423"/>
      <c r="F955" s="423"/>
      <c r="G955" s="423"/>
      <c r="H955" s="423"/>
      <c r="I955" s="423"/>
      <c r="J955" s="423"/>
    </row>
    <row r="956" spans="2:10" s="254" customFormat="1" x14ac:dyDescent="0.35">
      <c r="B956" s="289" t="s">
        <v>630</v>
      </c>
      <c r="C956" s="289"/>
      <c r="D956" s="423"/>
      <c r="E956" s="423"/>
      <c r="F956" s="423"/>
      <c r="G956" s="423"/>
      <c r="H956" s="423"/>
      <c r="I956" s="423"/>
      <c r="J956" s="423"/>
    </row>
    <row r="957" spans="2:10" s="254" customFormat="1" x14ac:dyDescent="0.35">
      <c r="B957" s="279" t="s">
        <v>631</v>
      </c>
      <c r="C957" s="279" t="s">
        <v>785</v>
      </c>
      <c r="D957" s="422">
        <v>-137248.29999999999</v>
      </c>
      <c r="E957" s="422">
        <v>44571.5</v>
      </c>
      <c r="F957" s="422">
        <v>-55967.1</v>
      </c>
      <c r="G957" s="422">
        <v>-1594750</v>
      </c>
      <c r="H957" s="422">
        <v>-76380.000000000029</v>
      </c>
      <c r="I957" s="422">
        <v>-53191.099999999984</v>
      </c>
      <c r="J957" s="422">
        <v>-158579.40000000002</v>
      </c>
    </row>
    <row r="958" spans="2:10" s="254" customFormat="1" x14ac:dyDescent="0.35">
      <c r="B958" s="543" t="s">
        <v>776</v>
      </c>
      <c r="C958" s="279" t="s">
        <v>785</v>
      </c>
      <c r="D958" s="422">
        <v>-199849</v>
      </c>
      <c r="E958" s="422">
        <v>-168336</v>
      </c>
      <c r="F958" s="422">
        <v>-92786</v>
      </c>
      <c r="G958" s="422">
        <v>-90976</v>
      </c>
      <c r="H958" s="422">
        <v>-76162</v>
      </c>
      <c r="I958" s="422">
        <v>-80329</v>
      </c>
      <c r="J958" s="422">
        <v>-34505</v>
      </c>
    </row>
    <row r="959" spans="2:10" s="254" customFormat="1" x14ac:dyDescent="0.35">
      <c r="B959" s="289" t="s">
        <v>636</v>
      </c>
      <c r="C959" s="279" t="s">
        <v>785</v>
      </c>
      <c r="D959" s="423">
        <f t="shared" ref="D959:I959" si="428">SUM(D957:D958)</f>
        <v>-337097.3</v>
      </c>
      <c r="E959" s="423">
        <f t="shared" si="428"/>
        <v>-123764.5</v>
      </c>
      <c r="F959" s="423">
        <f t="shared" si="428"/>
        <v>-148753.1</v>
      </c>
      <c r="G959" s="423">
        <f t="shared" si="428"/>
        <v>-1685726</v>
      </c>
      <c r="H959" s="423">
        <f t="shared" si="428"/>
        <v>-152542.00000000003</v>
      </c>
      <c r="I959" s="423">
        <f t="shared" si="428"/>
        <v>-133520.09999999998</v>
      </c>
      <c r="J959" s="423">
        <f t="shared" ref="J959" si="429">SUM(J957:J958)</f>
        <v>-193084.40000000002</v>
      </c>
    </row>
    <row r="960" spans="2:10" s="254" customFormat="1" x14ac:dyDescent="0.35">
      <c r="B960" s="289" t="s">
        <v>637</v>
      </c>
      <c r="C960" s="279" t="s">
        <v>785</v>
      </c>
      <c r="D960" s="497"/>
      <c r="E960" s="497"/>
      <c r="F960" s="497"/>
      <c r="G960" s="497"/>
      <c r="H960" s="497"/>
      <c r="I960" s="497"/>
      <c r="J960" s="497"/>
    </row>
    <row r="961" spans="2:10" s="254" customFormat="1" x14ac:dyDescent="0.35">
      <c r="B961" s="279" t="s">
        <v>638</v>
      </c>
      <c r="C961" s="279" t="s">
        <v>785</v>
      </c>
      <c r="D961" s="422">
        <v>-215178.4</v>
      </c>
      <c r="E961" s="422">
        <v>-186563.9</v>
      </c>
      <c r="F961" s="422">
        <v>-224075.5</v>
      </c>
      <c r="G961" s="422">
        <v>-189649.8</v>
      </c>
      <c r="H961" s="422">
        <v>-119909.1</v>
      </c>
      <c r="I961" s="422">
        <v>-178500.6</v>
      </c>
      <c r="J961" s="422">
        <v>-23890.399999999998</v>
      </c>
    </row>
    <row r="962" spans="2:10" s="254" customFormat="1" x14ac:dyDescent="0.35">
      <c r="B962" s="279" t="s">
        <v>639</v>
      </c>
      <c r="C962" s="279" t="s">
        <v>785</v>
      </c>
      <c r="D962" s="422">
        <v>-64024.81</v>
      </c>
      <c r="E962" s="422">
        <v>-61280.1</v>
      </c>
      <c r="F962" s="422">
        <v>-47027.9</v>
      </c>
      <c r="G962" s="422">
        <v>-67068</v>
      </c>
      <c r="H962" s="422">
        <v>-19270</v>
      </c>
      <c r="I962" s="422">
        <v>-10000.5</v>
      </c>
      <c r="J962" s="422">
        <v>-3284.7000000000007</v>
      </c>
    </row>
    <row r="963" spans="2:10" s="254" customFormat="1" x14ac:dyDescent="0.35">
      <c r="B963" s="279" t="s">
        <v>640</v>
      </c>
      <c r="C963" s="279" t="s">
        <v>785</v>
      </c>
      <c r="D963" s="422">
        <v>-251998.5</v>
      </c>
      <c r="E963" s="422">
        <v>-210567</v>
      </c>
      <c r="F963" s="422">
        <v>-253678.5</v>
      </c>
      <c r="G963" s="422">
        <v>-195508</v>
      </c>
      <c r="H963" s="422">
        <v>-80234</v>
      </c>
      <c r="I963" s="422">
        <v>-51189</v>
      </c>
      <c r="J963" s="422">
        <f>-56490-7184</f>
        <v>-63674</v>
      </c>
    </row>
    <row r="964" spans="2:10" s="254" customFormat="1" x14ac:dyDescent="0.35">
      <c r="B964" s="289" t="s">
        <v>643</v>
      </c>
      <c r="C964" s="279" t="s">
        <v>785</v>
      </c>
      <c r="D964" s="423">
        <f t="shared" ref="D964:I964" si="430">SUM(D961:D963)</f>
        <v>-531201.71</v>
      </c>
      <c r="E964" s="423">
        <f t="shared" si="430"/>
        <v>-458411</v>
      </c>
      <c r="F964" s="423">
        <f t="shared" si="430"/>
        <v>-524781.9</v>
      </c>
      <c r="G964" s="423">
        <f t="shared" si="430"/>
        <v>-452225.8</v>
      </c>
      <c r="H964" s="423">
        <f t="shared" si="430"/>
        <v>-219413.1</v>
      </c>
      <c r="I964" s="423">
        <f t="shared" si="430"/>
        <v>-239690.1</v>
      </c>
      <c r="J964" s="423">
        <f t="shared" ref="J964" si="431">SUM(J961:J963)</f>
        <v>-90849.1</v>
      </c>
    </row>
    <row r="965" spans="2:10" s="254" customFormat="1" x14ac:dyDescent="0.35">
      <c r="B965" s="289" t="s">
        <v>644</v>
      </c>
      <c r="C965" s="279" t="s">
        <v>785</v>
      </c>
      <c r="D965" s="497"/>
      <c r="E965" s="497"/>
      <c r="F965" s="497"/>
      <c r="G965" s="497"/>
      <c r="H965" s="497"/>
      <c r="I965" s="497"/>
      <c r="J965" s="497"/>
    </row>
    <row r="966" spans="2:10" s="254" customFormat="1" x14ac:dyDescent="0.35">
      <c r="B966" s="279" t="s">
        <v>646</v>
      </c>
      <c r="C966" s="279" t="s">
        <v>785</v>
      </c>
      <c r="D966" s="422">
        <v>-117190</v>
      </c>
      <c r="E966" s="422">
        <v>-77734</v>
      </c>
      <c r="F966" s="422">
        <v>-49414</v>
      </c>
      <c r="G966" s="422">
        <v>-63235</v>
      </c>
      <c r="H966" s="422">
        <v>-304</v>
      </c>
      <c r="I966" s="422">
        <v>-17414</v>
      </c>
      <c r="J966" s="422">
        <v>0</v>
      </c>
    </row>
    <row r="967" spans="2:10" s="254" customFormat="1" x14ac:dyDescent="0.35">
      <c r="B967" s="289" t="s">
        <v>649</v>
      </c>
      <c r="C967" s="279" t="s">
        <v>785</v>
      </c>
      <c r="D967" s="423">
        <f t="shared" ref="D967:I967" si="432">SUM(D966)</f>
        <v>-117190</v>
      </c>
      <c r="E967" s="423">
        <f t="shared" si="432"/>
        <v>-77734</v>
      </c>
      <c r="F967" s="423">
        <f t="shared" si="432"/>
        <v>-49414</v>
      </c>
      <c r="G967" s="423">
        <f t="shared" si="432"/>
        <v>-63235</v>
      </c>
      <c r="H967" s="423">
        <f t="shared" si="432"/>
        <v>-304</v>
      </c>
      <c r="I967" s="423">
        <f t="shared" si="432"/>
        <v>-17414</v>
      </c>
      <c r="J967" s="423">
        <f t="shared" ref="J967" si="433">SUM(J966)</f>
        <v>0</v>
      </c>
    </row>
    <row r="968" spans="2:10" s="254" customFormat="1" x14ac:dyDescent="0.35">
      <c r="B968" s="289" t="s">
        <v>36</v>
      </c>
      <c r="C968" s="279" t="s">
        <v>785</v>
      </c>
      <c r="D968" s="423">
        <f t="shared" ref="D968:I968" si="434">D959+D964+D967</f>
        <v>-985489.01</v>
      </c>
      <c r="E968" s="423">
        <f t="shared" si="434"/>
        <v>-659909.5</v>
      </c>
      <c r="F968" s="423">
        <f t="shared" si="434"/>
        <v>-722949</v>
      </c>
      <c r="G968" s="423">
        <f t="shared" si="434"/>
        <v>-2201186.7999999998</v>
      </c>
      <c r="H968" s="423">
        <f t="shared" si="434"/>
        <v>-372259.10000000003</v>
      </c>
      <c r="I968" s="423">
        <f t="shared" si="434"/>
        <v>-390624.19999999995</v>
      </c>
      <c r="J968" s="423">
        <f t="shared" ref="J968" si="435">J959+J964+J967</f>
        <v>-283933.5</v>
      </c>
    </row>
    <row r="969" spans="2:10" s="254" customFormat="1" x14ac:dyDescent="0.35">
      <c r="B969" s="289"/>
      <c r="C969" s="279"/>
      <c r="D969" s="423"/>
      <c r="E969" s="423"/>
      <c r="F969" s="423"/>
      <c r="G969" s="423"/>
      <c r="H969" s="423"/>
      <c r="I969" s="423"/>
      <c r="J969" s="423"/>
    </row>
    <row r="970" spans="2:10" s="254" customFormat="1" x14ac:dyDescent="0.35">
      <c r="B970" s="289" t="s">
        <v>870</v>
      </c>
      <c r="C970" s="279"/>
      <c r="D970" s="423"/>
      <c r="E970" s="423"/>
      <c r="F970" s="423"/>
      <c r="G970" s="423"/>
      <c r="H970" s="423"/>
      <c r="I970" s="423"/>
      <c r="J970" s="423"/>
    </row>
    <row r="971" spans="2:10" s="254" customFormat="1" x14ac:dyDescent="0.35">
      <c r="B971" s="289" t="s">
        <v>630</v>
      </c>
      <c r="C971" s="289"/>
      <c r="D971" s="423"/>
      <c r="E971" s="423"/>
      <c r="F971" s="423"/>
      <c r="G971" s="423"/>
      <c r="H971" s="423"/>
      <c r="I971" s="423"/>
      <c r="J971" s="423"/>
    </row>
    <row r="972" spans="2:10" s="254" customFormat="1" x14ac:dyDescent="0.35">
      <c r="B972" s="279" t="s">
        <v>631</v>
      </c>
      <c r="C972" s="279" t="s">
        <v>785</v>
      </c>
      <c r="D972" s="497">
        <f t="shared" ref="D972:I973" si="436">D912+D927-D942+D957</f>
        <v>8697689.5999999978</v>
      </c>
      <c r="E972" s="497">
        <f t="shared" si="436"/>
        <v>6386262.799999997</v>
      </c>
      <c r="F972" s="497">
        <f t="shared" si="436"/>
        <v>7728753.6999999974</v>
      </c>
      <c r="G972" s="497">
        <f t="shared" si="436"/>
        <v>4527012.099999994</v>
      </c>
      <c r="H972" s="497">
        <f t="shared" si="436"/>
        <v>31297.59999999401</v>
      </c>
      <c r="I972" s="497">
        <f t="shared" si="436"/>
        <v>3778924.9999999939</v>
      </c>
      <c r="J972" s="497">
        <f t="shared" ref="J972" si="437">J912+J927-J942+J957</f>
        <v>4725544.8999999892</v>
      </c>
    </row>
    <row r="973" spans="2:10" s="254" customFormat="1" x14ac:dyDescent="0.35">
      <c r="B973" s="543" t="s">
        <v>776</v>
      </c>
      <c r="C973" s="279" t="s">
        <v>785</v>
      </c>
      <c r="D973" s="497">
        <f t="shared" si="436"/>
        <v>3115894</v>
      </c>
      <c r="E973" s="497">
        <f t="shared" si="436"/>
        <v>5954666</v>
      </c>
      <c r="F973" s="497">
        <f t="shared" si="436"/>
        <v>1318358</v>
      </c>
      <c r="G973" s="497">
        <f t="shared" si="436"/>
        <v>1085511</v>
      </c>
      <c r="H973" s="497">
        <f t="shared" si="436"/>
        <v>2966001</v>
      </c>
      <c r="I973" s="497">
        <f t="shared" si="436"/>
        <v>179951</v>
      </c>
      <c r="J973" s="497">
        <f t="shared" ref="J973" si="438">J913+J928-J943+J958</f>
        <v>0</v>
      </c>
    </row>
    <row r="974" spans="2:10" s="254" customFormat="1" x14ac:dyDescent="0.35">
      <c r="B974" s="289" t="s">
        <v>636</v>
      </c>
      <c r="C974" s="279" t="s">
        <v>785</v>
      </c>
      <c r="D974" s="423">
        <f t="shared" ref="D974:I974" si="439">SUM(D972:D973)</f>
        <v>11813583.599999998</v>
      </c>
      <c r="E974" s="423">
        <f t="shared" si="439"/>
        <v>12340928.799999997</v>
      </c>
      <c r="F974" s="423">
        <f t="shared" si="439"/>
        <v>9047111.6999999974</v>
      </c>
      <c r="G974" s="423">
        <f t="shared" si="439"/>
        <v>5612523.099999994</v>
      </c>
      <c r="H974" s="423">
        <f t="shared" si="439"/>
        <v>2997298.599999994</v>
      </c>
      <c r="I974" s="423">
        <f t="shared" si="439"/>
        <v>3958875.9999999939</v>
      </c>
      <c r="J974" s="423">
        <f t="shared" ref="J974" si="440">SUM(J972:J973)</f>
        <v>4725544.8999999892</v>
      </c>
    </row>
    <row r="975" spans="2:10" s="254" customFormat="1" x14ac:dyDescent="0.35">
      <c r="B975" s="289" t="s">
        <v>637</v>
      </c>
      <c r="C975" s="279" t="s">
        <v>785</v>
      </c>
      <c r="D975" s="497"/>
      <c r="E975" s="497"/>
      <c r="F975" s="497"/>
      <c r="G975" s="497"/>
      <c r="H975" s="497"/>
      <c r="I975" s="497"/>
      <c r="J975" s="497"/>
    </row>
    <row r="976" spans="2:10" s="254" customFormat="1" x14ac:dyDescent="0.35">
      <c r="B976" s="279" t="s">
        <v>638</v>
      </c>
      <c r="C976" s="279" t="s">
        <v>785</v>
      </c>
      <c r="D976" s="497">
        <f t="shared" ref="D976:I978" si="441">D916+D931-D946+D961</f>
        <v>3528106.7999999956</v>
      </c>
      <c r="E976" s="497">
        <f t="shared" si="441"/>
        <v>4078021.4999999986</v>
      </c>
      <c r="F976" s="497">
        <f t="shared" si="441"/>
        <v>3659373.1000000015</v>
      </c>
      <c r="G976" s="497">
        <f t="shared" si="441"/>
        <v>2478825.3999999994</v>
      </c>
      <c r="H976" s="497">
        <f t="shared" si="441"/>
        <v>280725.09999999928</v>
      </c>
      <c r="I976" s="497">
        <f t="shared" si="441"/>
        <v>2380590.5999999992</v>
      </c>
      <c r="J976" s="497">
        <f t="shared" ref="J976" si="442">J916+J931-J946+J961</f>
        <v>98246.539999999484</v>
      </c>
    </row>
    <row r="977" spans="2:10" s="254" customFormat="1" x14ac:dyDescent="0.35">
      <c r="B977" s="279" t="s">
        <v>639</v>
      </c>
      <c r="C977" s="279" t="s">
        <v>785</v>
      </c>
      <c r="D977" s="497">
        <f t="shared" si="441"/>
        <v>2301796.100000002</v>
      </c>
      <c r="E977" s="497">
        <f t="shared" si="441"/>
        <v>1114419.100000001</v>
      </c>
      <c r="F977" s="497">
        <f t="shared" si="441"/>
        <v>2360347.600000002</v>
      </c>
      <c r="G977" s="497">
        <f t="shared" si="441"/>
        <v>304543.10000000149</v>
      </c>
      <c r="H977" s="497">
        <f t="shared" si="441"/>
        <v>35255.400000001304</v>
      </c>
      <c r="I977" s="497">
        <f t="shared" si="441"/>
        <v>58340.300000001211</v>
      </c>
      <c r="J977" s="497">
        <f t="shared" ref="J977" si="443">J917+J932-J947+J962</f>
        <v>37505.300000001167</v>
      </c>
    </row>
    <row r="978" spans="2:10" s="254" customFormat="1" x14ac:dyDescent="0.35">
      <c r="B978" s="279" t="s">
        <v>640</v>
      </c>
      <c r="C978" s="279" t="s">
        <v>785</v>
      </c>
      <c r="D978" s="497">
        <f t="shared" si="441"/>
        <v>8484836</v>
      </c>
      <c r="E978" s="497">
        <f t="shared" si="441"/>
        <v>7040291</v>
      </c>
      <c r="F978" s="497">
        <f t="shared" si="441"/>
        <v>7208153</v>
      </c>
      <c r="G978" s="497">
        <f t="shared" si="441"/>
        <v>1671270</v>
      </c>
      <c r="H978" s="497">
        <f t="shared" si="441"/>
        <v>1428966</v>
      </c>
      <c r="I978" s="497">
        <f t="shared" si="441"/>
        <v>173831</v>
      </c>
      <c r="J978" s="497">
        <f t="shared" ref="J978" si="444">J918+J933-J948+J963</f>
        <v>35788</v>
      </c>
    </row>
    <row r="979" spans="2:10" s="254" customFormat="1" x14ac:dyDescent="0.35">
      <c r="B979" s="289" t="s">
        <v>643</v>
      </c>
      <c r="C979" s="279" t="s">
        <v>785</v>
      </c>
      <c r="D979" s="423">
        <f t="shared" ref="D979:I979" si="445">SUM(D976:D978)</f>
        <v>14314738.899999999</v>
      </c>
      <c r="E979" s="423">
        <f t="shared" si="445"/>
        <v>12232731.6</v>
      </c>
      <c r="F979" s="423">
        <f t="shared" si="445"/>
        <v>13227873.700000003</v>
      </c>
      <c r="G979" s="423">
        <f t="shared" si="445"/>
        <v>4454638.5000000009</v>
      </c>
      <c r="H979" s="423">
        <f t="shared" si="445"/>
        <v>1744946.5000000005</v>
      </c>
      <c r="I979" s="423">
        <f t="shared" si="445"/>
        <v>2612761.9000000004</v>
      </c>
      <c r="J979" s="423">
        <f t="shared" ref="J979" si="446">SUM(J976:J978)</f>
        <v>171539.84000000067</v>
      </c>
    </row>
    <row r="980" spans="2:10" s="254" customFormat="1" x14ac:dyDescent="0.35">
      <c r="B980" s="289" t="s">
        <v>644</v>
      </c>
      <c r="C980" s="279" t="s">
        <v>785</v>
      </c>
      <c r="D980" s="497"/>
      <c r="E980" s="497"/>
      <c r="F980" s="497"/>
      <c r="G980" s="497"/>
      <c r="H980" s="497"/>
      <c r="I980" s="497"/>
      <c r="J980" s="497"/>
    </row>
    <row r="981" spans="2:10" s="254" customFormat="1" x14ac:dyDescent="0.35">
      <c r="B981" s="279" t="s">
        <v>646</v>
      </c>
      <c r="C981" s="279" t="s">
        <v>785</v>
      </c>
      <c r="D981" s="497">
        <f t="shared" ref="D981:I981" si="447">D921+D936-D951+D966</f>
        <v>6706680</v>
      </c>
      <c r="E981" s="497">
        <f t="shared" si="447"/>
        <v>9715495</v>
      </c>
      <c r="F981" s="497">
        <f t="shared" si="447"/>
        <v>7132452</v>
      </c>
      <c r="G981" s="497">
        <f t="shared" si="447"/>
        <v>22517</v>
      </c>
      <c r="H981" s="497">
        <f t="shared" si="447"/>
        <v>22213</v>
      </c>
      <c r="I981" s="497">
        <f t="shared" si="447"/>
        <v>39167</v>
      </c>
      <c r="J981" s="497">
        <f t="shared" ref="J981" si="448">J921+J936-J951+J966</f>
        <v>34849</v>
      </c>
    </row>
    <row r="982" spans="2:10" s="254" customFormat="1" x14ac:dyDescent="0.35">
      <c r="B982" s="289" t="s">
        <v>649</v>
      </c>
      <c r="C982" s="279" t="s">
        <v>785</v>
      </c>
      <c r="D982" s="423">
        <f t="shared" ref="D982:I982" si="449">SUM(D981)</f>
        <v>6706680</v>
      </c>
      <c r="E982" s="423">
        <f t="shared" si="449"/>
        <v>9715495</v>
      </c>
      <c r="F982" s="423">
        <f t="shared" si="449"/>
        <v>7132452</v>
      </c>
      <c r="G982" s="423">
        <f t="shared" si="449"/>
        <v>22517</v>
      </c>
      <c r="H982" s="423">
        <f t="shared" si="449"/>
        <v>22213</v>
      </c>
      <c r="I982" s="423">
        <f t="shared" si="449"/>
        <v>39167</v>
      </c>
      <c r="J982" s="423">
        <f t="shared" ref="J982" si="450">SUM(J981)</f>
        <v>34849</v>
      </c>
    </row>
    <row r="983" spans="2:10" s="254" customFormat="1" x14ac:dyDescent="0.35">
      <c r="B983" s="289" t="s">
        <v>36</v>
      </c>
      <c r="C983" s="279" t="s">
        <v>785</v>
      </c>
      <c r="D983" s="423">
        <f t="shared" ref="D983:I983" si="451">D974+D979+D982</f>
        <v>32835002.499999996</v>
      </c>
      <c r="E983" s="423">
        <f t="shared" si="451"/>
        <v>34289155.399999999</v>
      </c>
      <c r="F983" s="423">
        <f t="shared" si="451"/>
        <v>29407437.399999999</v>
      </c>
      <c r="G983" s="423">
        <f t="shared" si="451"/>
        <v>10089678.599999994</v>
      </c>
      <c r="H983" s="423">
        <f t="shared" si="451"/>
        <v>4764458.099999994</v>
      </c>
      <c r="I983" s="423">
        <f t="shared" si="451"/>
        <v>6610804.8999999948</v>
      </c>
      <c r="J983" s="423">
        <f t="shared" ref="J983" si="452">J974+J979+J982</f>
        <v>4931933.73999999</v>
      </c>
    </row>
    <row r="984" spans="2:10" s="254" customFormat="1" x14ac:dyDescent="0.35">
      <c r="B984" s="289"/>
      <c r="C984" s="279"/>
      <c r="D984" s="423"/>
      <c r="E984" s="423"/>
      <c r="F984" s="423"/>
      <c r="G984" s="423"/>
      <c r="H984" s="423"/>
      <c r="I984" s="423"/>
      <c r="J984" s="423"/>
    </row>
    <row r="985" spans="2:10" s="254" customFormat="1" x14ac:dyDescent="0.35">
      <c r="B985" s="289" t="s">
        <v>872</v>
      </c>
      <c r="C985" s="279"/>
      <c r="D985" s="423"/>
      <c r="E985" s="423"/>
      <c r="F985" s="423"/>
      <c r="G985" s="423"/>
      <c r="H985" s="423"/>
      <c r="I985" s="423"/>
      <c r="J985" s="423"/>
    </row>
    <row r="986" spans="2:10" s="254" customFormat="1" x14ac:dyDescent="0.35">
      <c r="B986" s="289" t="s">
        <v>630</v>
      </c>
      <c r="C986" s="289"/>
      <c r="D986" s="423"/>
      <c r="E986" s="423"/>
      <c r="F986" s="423"/>
      <c r="G986" s="423"/>
      <c r="H986" s="423"/>
      <c r="I986" s="423"/>
      <c r="J986" s="423"/>
    </row>
    <row r="987" spans="2:10" s="254" customFormat="1" x14ac:dyDescent="0.35">
      <c r="B987" s="279" t="s">
        <v>631</v>
      </c>
      <c r="C987" s="279" t="s">
        <v>785</v>
      </c>
      <c r="D987" s="497"/>
      <c r="E987" s="497"/>
      <c r="F987" s="497"/>
      <c r="G987" s="497"/>
      <c r="H987" s="497"/>
      <c r="I987" s="497"/>
      <c r="J987" s="497"/>
    </row>
    <row r="988" spans="2:10" s="254" customFormat="1" x14ac:dyDescent="0.35">
      <c r="B988" s="543" t="s">
        <v>776</v>
      </c>
      <c r="C988" s="279" t="s">
        <v>785</v>
      </c>
      <c r="D988" s="497"/>
      <c r="E988" s="497"/>
      <c r="F988" s="497"/>
      <c r="G988" s="497"/>
      <c r="H988" s="497"/>
      <c r="I988" s="422">
        <v>14762326</v>
      </c>
      <c r="J988" s="422">
        <v>35878514</v>
      </c>
    </row>
    <row r="989" spans="2:10" s="254" customFormat="1" x14ac:dyDescent="0.35">
      <c r="B989" s="289" t="s">
        <v>636</v>
      </c>
      <c r="C989" s="279" t="s">
        <v>785</v>
      </c>
      <c r="D989" s="423">
        <f t="shared" ref="D989:I989" si="453">SUM(D987:D988)</f>
        <v>0</v>
      </c>
      <c r="E989" s="423">
        <f t="shared" si="453"/>
        <v>0</v>
      </c>
      <c r="F989" s="423">
        <f t="shared" si="453"/>
        <v>0</v>
      </c>
      <c r="G989" s="423">
        <f t="shared" si="453"/>
        <v>0</v>
      </c>
      <c r="H989" s="423">
        <f t="shared" si="453"/>
        <v>0</v>
      </c>
      <c r="I989" s="423">
        <f t="shared" si="453"/>
        <v>14762326</v>
      </c>
      <c r="J989" s="423">
        <f t="shared" ref="J989" si="454">SUM(J987:J988)</f>
        <v>35878514</v>
      </c>
    </row>
    <row r="990" spans="2:10" s="254" customFormat="1" x14ac:dyDescent="0.35">
      <c r="B990" s="289" t="s">
        <v>637</v>
      </c>
      <c r="C990" s="279" t="s">
        <v>785</v>
      </c>
      <c r="D990" s="497"/>
      <c r="E990" s="497"/>
      <c r="F990" s="497"/>
      <c r="G990" s="497"/>
      <c r="H990" s="497"/>
      <c r="I990" s="497"/>
      <c r="J990" s="497"/>
    </row>
    <row r="991" spans="2:10" s="254" customFormat="1" x14ac:dyDescent="0.35">
      <c r="B991" s="279" t="s">
        <v>638</v>
      </c>
      <c r="C991" s="279" t="s">
        <v>785</v>
      </c>
      <c r="D991" s="497"/>
      <c r="E991" s="497"/>
      <c r="F991" s="497"/>
      <c r="G991" s="497"/>
      <c r="H991" s="497"/>
      <c r="I991" s="497"/>
      <c r="J991" s="497">
        <v>17356156.5</v>
      </c>
    </row>
    <row r="992" spans="2:10" s="254" customFormat="1" x14ac:dyDescent="0.35">
      <c r="B992" s="279" t="s">
        <v>639</v>
      </c>
      <c r="C992" s="279" t="s">
        <v>785</v>
      </c>
      <c r="D992" s="497"/>
      <c r="E992" s="497"/>
      <c r="F992" s="497"/>
      <c r="G992" s="497"/>
      <c r="H992" s="497"/>
      <c r="I992" s="497"/>
      <c r="J992" s="497">
        <v>1067037.7</v>
      </c>
    </row>
    <row r="993" spans="2:10" s="254" customFormat="1" x14ac:dyDescent="0.35">
      <c r="B993" s="279" t="s">
        <v>640</v>
      </c>
      <c r="C993" s="279" t="s">
        <v>785</v>
      </c>
      <c r="D993" s="497"/>
      <c r="E993" s="497"/>
      <c r="F993" s="497"/>
      <c r="G993" s="497"/>
      <c r="H993" s="497"/>
      <c r="I993" s="422">
        <v>11380969</v>
      </c>
      <c r="J993" s="422">
        <v>26265348</v>
      </c>
    </row>
    <row r="994" spans="2:10" s="254" customFormat="1" x14ac:dyDescent="0.35">
      <c r="B994" s="289" t="s">
        <v>643</v>
      </c>
      <c r="C994" s="279" t="s">
        <v>785</v>
      </c>
      <c r="D994" s="423">
        <f t="shared" ref="D994:I994" si="455">SUM(D991:D993)</f>
        <v>0</v>
      </c>
      <c r="E994" s="423">
        <f t="shared" si="455"/>
        <v>0</v>
      </c>
      <c r="F994" s="423">
        <f t="shared" si="455"/>
        <v>0</v>
      </c>
      <c r="G994" s="423">
        <f t="shared" si="455"/>
        <v>0</v>
      </c>
      <c r="H994" s="423">
        <f t="shared" si="455"/>
        <v>0</v>
      </c>
      <c r="I994" s="423">
        <f t="shared" si="455"/>
        <v>11380969</v>
      </c>
      <c r="J994" s="423">
        <f t="shared" ref="J994" si="456">SUM(J991:J993)</f>
        <v>44688542.200000003</v>
      </c>
    </row>
    <row r="995" spans="2:10" s="254" customFormat="1" x14ac:dyDescent="0.35">
      <c r="B995" s="289" t="s">
        <v>644</v>
      </c>
      <c r="C995" s="279" t="s">
        <v>785</v>
      </c>
      <c r="D995" s="497"/>
      <c r="E995" s="497"/>
      <c r="F995" s="497"/>
      <c r="G995" s="497"/>
      <c r="H995" s="497"/>
      <c r="I995" s="497"/>
      <c r="J995" s="497"/>
    </row>
    <row r="996" spans="2:10" s="254" customFormat="1" x14ac:dyDescent="0.35">
      <c r="B996" s="279" t="s">
        <v>646</v>
      </c>
      <c r="C996" s="279" t="s">
        <v>785</v>
      </c>
      <c r="D996" s="497"/>
      <c r="E996" s="497"/>
      <c r="F996" s="497"/>
      <c r="G996" s="497"/>
      <c r="H996" s="497"/>
      <c r="I996" s="422">
        <v>3192106</v>
      </c>
      <c r="J996" s="422">
        <v>20871868</v>
      </c>
    </row>
    <row r="997" spans="2:10" s="254" customFormat="1" x14ac:dyDescent="0.35">
      <c r="B997" s="289" t="s">
        <v>649</v>
      </c>
      <c r="C997" s="279" t="s">
        <v>785</v>
      </c>
      <c r="D997" s="423">
        <f t="shared" ref="D997:I997" si="457">SUM(D996)</f>
        <v>0</v>
      </c>
      <c r="E997" s="423">
        <f t="shared" si="457"/>
        <v>0</v>
      </c>
      <c r="F997" s="423">
        <f t="shared" si="457"/>
        <v>0</v>
      </c>
      <c r="G997" s="423">
        <f t="shared" si="457"/>
        <v>0</v>
      </c>
      <c r="H997" s="423">
        <f t="shared" si="457"/>
        <v>0</v>
      </c>
      <c r="I997" s="423">
        <f t="shared" si="457"/>
        <v>3192106</v>
      </c>
      <c r="J997" s="423">
        <f t="shared" ref="J997" si="458">SUM(J996)</f>
        <v>20871868</v>
      </c>
    </row>
    <row r="998" spans="2:10" s="254" customFormat="1" x14ac:dyDescent="0.35">
      <c r="B998" s="289" t="s">
        <v>36</v>
      </c>
      <c r="C998" s="279" t="s">
        <v>785</v>
      </c>
      <c r="D998" s="423">
        <f t="shared" ref="D998:I998" si="459">D989+D994+D997</f>
        <v>0</v>
      </c>
      <c r="E998" s="423">
        <f t="shared" si="459"/>
        <v>0</v>
      </c>
      <c r="F998" s="423">
        <f t="shared" si="459"/>
        <v>0</v>
      </c>
      <c r="G998" s="423">
        <f t="shared" si="459"/>
        <v>0</v>
      </c>
      <c r="H998" s="423">
        <f t="shared" si="459"/>
        <v>0</v>
      </c>
      <c r="I998" s="423">
        <f t="shared" si="459"/>
        <v>29335401</v>
      </c>
      <c r="J998" s="423">
        <f t="shared" ref="J998" si="460">J989+J994+J997</f>
        <v>101438924.2</v>
      </c>
    </row>
    <row r="999" spans="2:10" s="254" customFormat="1" x14ac:dyDescent="0.35">
      <c r="B999" s="289"/>
      <c r="C999" s="279"/>
      <c r="D999" s="423"/>
      <c r="E999" s="423"/>
      <c r="F999" s="423"/>
      <c r="G999" s="423"/>
      <c r="H999" s="423"/>
      <c r="I999" s="423"/>
      <c r="J999" s="423"/>
    </row>
    <row r="1000" spans="2:10" s="254" customFormat="1" x14ac:dyDescent="0.35">
      <c r="B1000" s="289" t="s">
        <v>873</v>
      </c>
      <c r="C1000" s="279"/>
      <c r="D1000" s="423"/>
      <c r="E1000" s="423"/>
      <c r="F1000" s="423"/>
      <c r="G1000" s="423"/>
      <c r="H1000" s="423"/>
      <c r="I1000" s="423"/>
      <c r="J1000" s="423"/>
    </row>
    <row r="1001" spans="2:10" s="254" customFormat="1" x14ac:dyDescent="0.35">
      <c r="B1001" s="289" t="s">
        <v>630</v>
      </c>
      <c r="C1001" s="289"/>
      <c r="D1001" s="423"/>
      <c r="E1001" s="423"/>
      <c r="F1001" s="423"/>
      <c r="G1001" s="423"/>
      <c r="H1001" s="423"/>
      <c r="I1001" s="423"/>
      <c r="J1001" s="423"/>
    </row>
    <row r="1002" spans="2:10" s="254" customFormat="1" x14ac:dyDescent="0.35">
      <c r="B1002" s="279" t="s">
        <v>631</v>
      </c>
      <c r="C1002" s="279" t="s">
        <v>785</v>
      </c>
      <c r="D1002" s="497"/>
      <c r="E1002" s="497"/>
      <c r="F1002" s="497"/>
      <c r="G1002" s="497"/>
      <c r="H1002" s="497"/>
      <c r="I1002" s="497"/>
      <c r="J1002" s="497"/>
    </row>
    <row r="1003" spans="2:10" s="254" customFormat="1" x14ac:dyDescent="0.35">
      <c r="B1003" s="543" t="s">
        <v>776</v>
      </c>
      <c r="C1003" s="279" t="s">
        <v>785</v>
      </c>
      <c r="D1003" s="497"/>
      <c r="E1003" s="497"/>
      <c r="F1003" s="497"/>
      <c r="G1003" s="497"/>
      <c r="H1003" s="497"/>
      <c r="I1003" s="422">
        <v>13117000</v>
      </c>
      <c r="J1003" s="422">
        <v>37362000</v>
      </c>
    </row>
    <row r="1004" spans="2:10" s="254" customFormat="1" x14ac:dyDescent="0.35">
      <c r="B1004" s="289" t="s">
        <v>636</v>
      </c>
      <c r="C1004" s="279" t="s">
        <v>785</v>
      </c>
      <c r="D1004" s="423">
        <f t="shared" ref="D1004:I1004" si="461">SUM(D1002:D1003)</f>
        <v>0</v>
      </c>
      <c r="E1004" s="423">
        <f t="shared" si="461"/>
        <v>0</v>
      </c>
      <c r="F1004" s="423">
        <f t="shared" si="461"/>
        <v>0</v>
      </c>
      <c r="G1004" s="423">
        <f t="shared" si="461"/>
        <v>0</v>
      </c>
      <c r="H1004" s="423">
        <f t="shared" si="461"/>
        <v>0</v>
      </c>
      <c r="I1004" s="423">
        <f t="shared" si="461"/>
        <v>13117000</v>
      </c>
      <c r="J1004" s="423">
        <f t="shared" ref="J1004" si="462">SUM(J1002:J1003)</f>
        <v>37362000</v>
      </c>
    </row>
    <row r="1005" spans="2:10" s="254" customFormat="1" x14ac:dyDescent="0.35">
      <c r="B1005" s="289" t="s">
        <v>637</v>
      </c>
      <c r="C1005" s="279" t="s">
        <v>785</v>
      </c>
      <c r="D1005" s="497"/>
      <c r="E1005" s="497"/>
      <c r="F1005" s="497"/>
      <c r="G1005" s="497"/>
      <c r="H1005" s="497"/>
      <c r="I1005" s="497"/>
      <c r="J1005" s="497"/>
    </row>
    <row r="1006" spans="2:10" s="254" customFormat="1" x14ac:dyDescent="0.35">
      <c r="B1006" s="279" t="s">
        <v>638</v>
      </c>
      <c r="C1006" s="279" t="s">
        <v>785</v>
      </c>
      <c r="D1006" s="497"/>
      <c r="E1006" s="497"/>
      <c r="F1006" s="497"/>
      <c r="G1006" s="497"/>
      <c r="H1006" s="497"/>
      <c r="I1006" s="497"/>
      <c r="J1006" s="497">
        <v>16903000</v>
      </c>
    </row>
    <row r="1007" spans="2:10" s="254" customFormat="1" x14ac:dyDescent="0.35">
      <c r="B1007" s="279" t="s">
        <v>639</v>
      </c>
      <c r="C1007" s="279" t="s">
        <v>785</v>
      </c>
      <c r="D1007" s="497"/>
      <c r="E1007" s="497"/>
      <c r="F1007" s="497"/>
      <c r="G1007" s="497"/>
      <c r="H1007" s="497"/>
      <c r="I1007" s="497"/>
      <c r="J1007" s="497"/>
    </row>
    <row r="1008" spans="2:10" s="254" customFormat="1" x14ac:dyDescent="0.35">
      <c r="B1008" s="279" t="s">
        <v>640</v>
      </c>
      <c r="C1008" s="279" t="s">
        <v>785</v>
      </c>
      <c r="D1008" s="497"/>
      <c r="E1008" s="497"/>
      <c r="F1008" s="497"/>
      <c r="G1008" s="497"/>
      <c r="H1008" s="497"/>
      <c r="I1008" s="422">
        <v>9406000</v>
      </c>
      <c r="J1008" s="422">
        <v>27198000</v>
      </c>
    </row>
    <row r="1009" spans="2:10" s="254" customFormat="1" x14ac:dyDescent="0.35">
      <c r="B1009" s="289" t="s">
        <v>643</v>
      </c>
      <c r="C1009" s="279" t="s">
        <v>785</v>
      </c>
      <c r="D1009" s="423">
        <f t="shared" ref="D1009:I1009" si="463">SUM(D1006:D1008)</f>
        <v>0</v>
      </c>
      <c r="E1009" s="423">
        <f t="shared" si="463"/>
        <v>0</v>
      </c>
      <c r="F1009" s="423">
        <f t="shared" si="463"/>
        <v>0</v>
      </c>
      <c r="G1009" s="423">
        <f t="shared" si="463"/>
        <v>0</v>
      </c>
      <c r="H1009" s="423">
        <f t="shared" si="463"/>
        <v>0</v>
      </c>
      <c r="I1009" s="423">
        <f t="shared" si="463"/>
        <v>9406000</v>
      </c>
      <c r="J1009" s="423">
        <f t="shared" ref="J1009" si="464">SUM(J1006:J1008)</f>
        <v>44101000</v>
      </c>
    </row>
    <row r="1010" spans="2:10" s="254" customFormat="1" x14ac:dyDescent="0.35">
      <c r="B1010" s="289" t="s">
        <v>644</v>
      </c>
      <c r="C1010" s="279" t="s">
        <v>785</v>
      </c>
      <c r="D1010" s="497"/>
      <c r="E1010" s="497"/>
      <c r="F1010" s="497"/>
      <c r="G1010" s="497"/>
      <c r="H1010" s="497"/>
      <c r="I1010" s="497"/>
      <c r="J1010" s="497"/>
    </row>
    <row r="1011" spans="2:10" s="254" customFormat="1" x14ac:dyDescent="0.35">
      <c r="B1011" s="279" t="s">
        <v>646</v>
      </c>
      <c r="C1011" s="279" t="s">
        <v>785</v>
      </c>
      <c r="D1011" s="497"/>
      <c r="E1011" s="497"/>
      <c r="F1011" s="497"/>
      <c r="G1011" s="497"/>
      <c r="H1011" s="497"/>
      <c r="I1011" s="422">
        <v>2447000</v>
      </c>
      <c r="J1011" s="422">
        <v>20848000</v>
      </c>
    </row>
    <row r="1012" spans="2:10" s="254" customFormat="1" x14ac:dyDescent="0.35">
      <c r="B1012" s="289" t="s">
        <v>649</v>
      </c>
      <c r="C1012" s="279" t="s">
        <v>785</v>
      </c>
      <c r="D1012" s="423">
        <f t="shared" ref="D1012:I1012" si="465">SUM(D1011)</f>
        <v>0</v>
      </c>
      <c r="E1012" s="423">
        <f t="shared" si="465"/>
        <v>0</v>
      </c>
      <c r="F1012" s="423">
        <f t="shared" si="465"/>
        <v>0</v>
      </c>
      <c r="G1012" s="423">
        <f t="shared" si="465"/>
        <v>0</v>
      </c>
      <c r="H1012" s="423">
        <f t="shared" si="465"/>
        <v>0</v>
      </c>
      <c r="I1012" s="423">
        <f t="shared" si="465"/>
        <v>2447000</v>
      </c>
      <c r="J1012" s="423">
        <f t="shared" ref="J1012" si="466">SUM(J1011)</f>
        <v>20848000</v>
      </c>
    </row>
    <row r="1013" spans="2:10" s="254" customFormat="1" x14ac:dyDescent="0.35">
      <c r="B1013" s="289" t="s">
        <v>36</v>
      </c>
      <c r="C1013" s="279" t="s">
        <v>785</v>
      </c>
      <c r="D1013" s="423">
        <f t="shared" ref="D1013:I1013" si="467">D1004+D1009+D1012</f>
        <v>0</v>
      </c>
      <c r="E1013" s="423">
        <f t="shared" si="467"/>
        <v>0</v>
      </c>
      <c r="F1013" s="423">
        <f t="shared" si="467"/>
        <v>0</v>
      </c>
      <c r="G1013" s="423">
        <f t="shared" si="467"/>
        <v>0</v>
      </c>
      <c r="H1013" s="423">
        <f t="shared" si="467"/>
        <v>0</v>
      </c>
      <c r="I1013" s="423">
        <f t="shared" si="467"/>
        <v>24970000</v>
      </c>
      <c r="J1013" s="423">
        <f t="shared" ref="J1013" si="468">J1004+J1009+J1012</f>
        <v>102311000</v>
      </c>
    </row>
    <row r="1014" spans="2:10" s="254" customFormat="1" x14ac:dyDescent="0.35">
      <c r="B1014" s="289"/>
      <c r="C1014" s="279"/>
      <c r="D1014" s="423"/>
      <c r="E1014" s="423"/>
      <c r="F1014" s="423"/>
      <c r="G1014" s="423"/>
      <c r="H1014" s="423"/>
      <c r="I1014" s="423"/>
      <c r="J1014" s="423"/>
    </row>
    <row r="1015" spans="2:10" s="254" customFormat="1" x14ac:dyDescent="0.35">
      <c r="B1015" s="289" t="s">
        <v>874</v>
      </c>
      <c r="C1015" s="279"/>
      <c r="D1015" s="423"/>
      <c r="E1015" s="423"/>
      <c r="F1015" s="423"/>
      <c r="G1015" s="423"/>
      <c r="H1015" s="423"/>
      <c r="I1015" s="423"/>
      <c r="J1015" s="423"/>
    </row>
    <row r="1016" spans="2:10" s="254" customFormat="1" x14ac:dyDescent="0.35">
      <c r="B1016" s="289" t="s">
        <v>630</v>
      </c>
      <c r="C1016" s="289"/>
      <c r="D1016" s="423"/>
      <c r="E1016" s="423"/>
      <c r="F1016" s="423"/>
      <c r="G1016" s="423"/>
      <c r="H1016" s="423"/>
      <c r="I1016" s="423"/>
      <c r="J1016" s="423"/>
    </row>
    <row r="1017" spans="2:10" s="254" customFormat="1" x14ac:dyDescent="0.35">
      <c r="B1017" s="279" t="s">
        <v>631</v>
      </c>
      <c r="C1017" s="279" t="s">
        <v>785</v>
      </c>
      <c r="D1017" s="497"/>
      <c r="E1017" s="497"/>
      <c r="F1017" s="497"/>
      <c r="G1017" s="497"/>
      <c r="H1017" s="497"/>
      <c r="I1017" s="497"/>
      <c r="J1017" s="497">
        <v>0</v>
      </c>
    </row>
    <row r="1018" spans="2:10" s="254" customFormat="1" x14ac:dyDescent="0.35">
      <c r="B1018" s="543" t="s">
        <v>776</v>
      </c>
      <c r="C1018" s="279" t="s">
        <v>785</v>
      </c>
      <c r="D1018" s="497"/>
      <c r="E1018" s="497"/>
      <c r="F1018" s="497"/>
      <c r="G1018" s="497"/>
      <c r="H1018" s="497"/>
      <c r="I1018" s="497">
        <v>-48227</v>
      </c>
      <c r="J1018" s="497">
        <v>-113613</v>
      </c>
    </row>
    <row r="1019" spans="2:10" s="254" customFormat="1" x14ac:dyDescent="0.35">
      <c r="B1019" s="289" t="s">
        <v>636</v>
      </c>
      <c r="C1019" s="279" t="s">
        <v>785</v>
      </c>
      <c r="D1019" s="423">
        <f t="shared" ref="D1019:I1019" si="469">SUM(D1017:D1018)</f>
        <v>0</v>
      </c>
      <c r="E1019" s="423">
        <f t="shared" si="469"/>
        <v>0</v>
      </c>
      <c r="F1019" s="423">
        <f t="shared" si="469"/>
        <v>0</v>
      </c>
      <c r="G1019" s="423">
        <f t="shared" si="469"/>
        <v>0</v>
      </c>
      <c r="H1019" s="423">
        <f t="shared" si="469"/>
        <v>0</v>
      </c>
      <c r="I1019" s="423">
        <f t="shared" si="469"/>
        <v>-48227</v>
      </c>
      <c r="J1019" s="423">
        <f t="shared" ref="J1019" si="470">SUM(J1017:J1018)</f>
        <v>-113613</v>
      </c>
    </row>
    <row r="1020" spans="2:10" s="254" customFormat="1" x14ac:dyDescent="0.35">
      <c r="B1020" s="289" t="s">
        <v>637</v>
      </c>
      <c r="C1020" s="279" t="s">
        <v>785</v>
      </c>
      <c r="D1020" s="497"/>
      <c r="E1020" s="497"/>
      <c r="F1020" s="497"/>
      <c r="G1020" s="497"/>
      <c r="H1020" s="497"/>
      <c r="I1020" s="497"/>
      <c r="J1020" s="497"/>
    </row>
    <row r="1021" spans="2:10" s="254" customFormat="1" x14ac:dyDescent="0.35">
      <c r="B1021" s="279" t="s">
        <v>638</v>
      </c>
      <c r="C1021" s="279" t="s">
        <v>785</v>
      </c>
      <c r="D1021" s="497"/>
      <c r="E1021" s="497"/>
      <c r="F1021" s="497"/>
      <c r="G1021" s="497"/>
      <c r="H1021" s="497"/>
      <c r="I1021" s="497"/>
      <c r="J1021" s="497">
        <v>-121847</v>
      </c>
    </row>
    <row r="1022" spans="2:10" s="254" customFormat="1" x14ac:dyDescent="0.35">
      <c r="B1022" s="279" t="s">
        <v>639</v>
      </c>
      <c r="C1022" s="279" t="s">
        <v>785</v>
      </c>
      <c r="D1022" s="497"/>
      <c r="E1022" s="497"/>
      <c r="F1022" s="497"/>
      <c r="G1022" s="497"/>
      <c r="H1022" s="497"/>
      <c r="I1022" s="497"/>
      <c r="J1022" s="497">
        <v>-1740.8</v>
      </c>
    </row>
    <row r="1023" spans="2:10" s="254" customFormat="1" x14ac:dyDescent="0.35">
      <c r="B1023" s="279" t="s">
        <v>640</v>
      </c>
      <c r="C1023" s="279" t="s">
        <v>785</v>
      </c>
      <c r="D1023" s="497"/>
      <c r="E1023" s="497"/>
      <c r="F1023" s="497"/>
      <c r="G1023" s="497"/>
      <c r="H1023" s="497"/>
      <c r="I1023" s="497">
        <v>-53600</v>
      </c>
      <c r="J1023" s="497">
        <v>-123647</v>
      </c>
    </row>
    <row r="1024" spans="2:10" s="254" customFormat="1" x14ac:dyDescent="0.35">
      <c r="B1024" s="289" t="s">
        <v>643</v>
      </c>
      <c r="C1024" s="279" t="s">
        <v>785</v>
      </c>
      <c r="D1024" s="423">
        <f t="shared" ref="D1024:I1024" si="471">SUM(D1021:D1023)</f>
        <v>0</v>
      </c>
      <c r="E1024" s="423">
        <f t="shared" si="471"/>
        <v>0</v>
      </c>
      <c r="F1024" s="423">
        <f t="shared" si="471"/>
        <v>0</v>
      </c>
      <c r="G1024" s="423">
        <f t="shared" si="471"/>
        <v>0</v>
      </c>
      <c r="H1024" s="423">
        <f t="shared" si="471"/>
        <v>0</v>
      </c>
      <c r="I1024" s="423">
        <f t="shared" si="471"/>
        <v>-53600</v>
      </c>
      <c r="J1024" s="423">
        <f t="shared" ref="J1024" si="472">SUM(J1021:J1023)</f>
        <v>-247234.8</v>
      </c>
    </row>
    <row r="1025" spans="2:10" s="254" customFormat="1" x14ac:dyDescent="0.35">
      <c r="B1025" s="289" t="s">
        <v>644</v>
      </c>
      <c r="C1025" s="279" t="s">
        <v>785</v>
      </c>
      <c r="D1025" s="497"/>
      <c r="E1025" s="497"/>
      <c r="F1025" s="497"/>
      <c r="G1025" s="497"/>
      <c r="H1025" s="497"/>
      <c r="I1025" s="497"/>
      <c r="J1025" s="497"/>
    </row>
    <row r="1026" spans="2:10" s="254" customFormat="1" x14ac:dyDescent="0.35">
      <c r="B1026" s="279" t="s">
        <v>646</v>
      </c>
      <c r="C1026" s="279" t="s">
        <v>785</v>
      </c>
      <c r="D1026" s="497"/>
      <c r="E1026" s="497"/>
      <c r="F1026" s="497"/>
      <c r="G1026" s="497"/>
      <c r="H1026" s="497"/>
      <c r="I1026" s="497">
        <v>-11204</v>
      </c>
      <c r="J1026" s="497">
        <v>-78854</v>
      </c>
    </row>
    <row r="1027" spans="2:10" s="254" customFormat="1" x14ac:dyDescent="0.35">
      <c r="B1027" s="289" t="s">
        <v>649</v>
      </c>
      <c r="C1027" s="279" t="s">
        <v>785</v>
      </c>
      <c r="D1027" s="423">
        <f t="shared" ref="D1027:I1027" si="473">SUM(D1026)</f>
        <v>0</v>
      </c>
      <c r="E1027" s="423">
        <f t="shared" si="473"/>
        <v>0</v>
      </c>
      <c r="F1027" s="423">
        <f t="shared" si="473"/>
        <v>0</v>
      </c>
      <c r="G1027" s="423">
        <f t="shared" si="473"/>
        <v>0</v>
      </c>
      <c r="H1027" s="423">
        <f t="shared" si="473"/>
        <v>0</v>
      </c>
      <c r="I1027" s="423">
        <f t="shared" si="473"/>
        <v>-11204</v>
      </c>
      <c r="J1027" s="423">
        <f t="shared" ref="J1027" si="474">SUM(J1026)</f>
        <v>-78854</v>
      </c>
    </row>
    <row r="1028" spans="2:10" s="254" customFormat="1" x14ac:dyDescent="0.35">
      <c r="B1028" s="289" t="s">
        <v>36</v>
      </c>
      <c r="C1028" s="279" t="s">
        <v>785</v>
      </c>
      <c r="D1028" s="423">
        <f t="shared" ref="D1028:I1028" si="475">D1019+D1024+D1027</f>
        <v>0</v>
      </c>
      <c r="E1028" s="423">
        <f t="shared" si="475"/>
        <v>0</v>
      </c>
      <c r="F1028" s="423">
        <f t="shared" si="475"/>
        <v>0</v>
      </c>
      <c r="G1028" s="423">
        <f t="shared" si="475"/>
        <v>0</v>
      </c>
      <c r="H1028" s="423">
        <f t="shared" si="475"/>
        <v>0</v>
      </c>
      <c r="I1028" s="423">
        <f t="shared" si="475"/>
        <v>-113031</v>
      </c>
      <c r="J1028" s="423">
        <f t="shared" ref="J1028" si="476">J1019+J1024+J1027</f>
        <v>-439701.8</v>
      </c>
    </row>
    <row r="1029" spans="2:10" s="254" customFormat="1" x14ac:dyDescent="0.35">
      <c r="B1029" s="289"/>
      <c r="C1029" s="279"/>
      <c r="D1029" s="423"/>
      <c r="E1029" s="423"/>
      <c r="F1029" s="423"/>
      <c r="G1029" s="423"/>
      <c r="H1029" s="423"/>
      <c r="I1029" s="423"/>
      <c r="J1029" s="423"/>
    </row>
    <row r="1030" spans="2:10" s="254" customFormat="1" x14ac:dyDescent="0.35">
      <c r="B1030" s="289" t="s">
        <v>1609</v>
      </c>
      <c r="C1030" s="279"/>
      <c r="D1030" s="423"/>
      <c r="E1030" s="423"/>
      <c r="F1030" s="423"/>
      <c r="G1030" s="423"/>
      <c r="H1030" s="423"/>
      <c r="I1030" s="423"/>
      <c r="J1030" s="423"/>
    </row>
    <row r="1031" spans="2:10" s="254" customFormat="1" x14ac:dyDescent="0.35">
      <c r="B1031" s="289" t="s">
        <v>630</v>
      </c>
      <c r="C1031" s="289"/>
      <c r="D1031" s="423"/>
      <c r="E1031" s="423"/>
      <c r="F1031" s="423"/>
      <c r="G1031" s="423"/>
      <c r="H1031" s="423"/>
      <c r="I1031" s="423"/>
      <c r="J1031" s="423"/>
    </row>
    <row r="1032" spans="2:10" s="254" customFormat="1" x14ac:dyDescent="0.35">
      <c r="B1032" s="279" t="s">
        <v>631</v>
      </c>
      <c r="C1032" s="279" t="s">
        <v>785</v>
      </c>
      <c r="D1032" s="423"/>
      <c r="E1032" s="423"/>
      <c r="F1032" s="423"/>
      <c r="G1032" s="423"/>
      <c r="H1032" s="423"/>
      <c r="I1032" s="497">
        <f>H1048</f>
        <v>0</v>
      </c>
      <c r="J1032" s="497">
        <f>I1048</f>
        <v>0</v>
      </c>
    </row>
    <row r="1033" spans="2:10" s="254" customFormat="1" x14ac:dyDescent="0.35">
      <c r="B1033" s="591" t="s">
        <v>776</v>
      </c>
      <c r="C1033" s="279" t="s">
        <v>785</v>
      </c>
      <c r="D1033" s="423"/>
      <c r="E1033" s="423"/>
      <c r="F1033" s="423"/>
      <c r="G1033" s="423"/>
      <c r="H1033" s="423"/>
      <c r="I1033" s="497">
        <f>H1049</f>
        <v>0</v>
      </c>
      <c r="J1033" s="497">
        <f>I1049</f>
        <v>1597099</v>
      </c>
    </row>
    <row r="1034" spans="2:10" s="254" customFormat="1" x14ac:dyDescent="0.35">
      <c r="B1034" s="289" t="s">
        <v>636</v>
      </c>
      <c r="C1034" s="279" t="s">
        <v>785</v>
      </c>
      <c r="D1034" s="423"/>
      <c r="E1034" s="423"/>
      <c r="F1034" s="423"/>
      <c r="G1034" s="423"/>
      <c r="H1034" s="423"/>
      <c r="I1034" s="423">
        <f t="shared" ref="I1034:J1034" si="477">SUM(I1032:I1033)</f>
        <v>0</v>
      </c>
      <c r="J1034" s="423">
        <f t="shared" si="477"/>
        <v>1597099</v>
      </c>
    </row>
    <row r="1035" spans="2:10" s="254" customFormat="1" x14ac:dyDescent="0.35">
      <c r="B1035" s="289" t="s">
        <v>637</v>
      </c>
      <c r="C1035" s="279" t="s">
        <v>785</v>
      </c>
      <c r="D1035" s="423"/>
      <c r="E1035" s="423"/>
      <c r="F1035" s="423"/>
      <c r="G1035" s="423"/>
      <c r="H1035" s="423"/>
      <c r="I1035" s="497"/>
      <c r="J1035" s="497"/>
    </row>
    <row r="1036" spans="2:10" s="254" customFormat="1" x14ac:dyDescent="0.35">
      <c r="B1036" s="279" t="s">
        <v>638</v>
      </c>
      <c r="C1036" s="279" t="s">
        <v>785</v>
      </c>
      <c r="D1036" s="423"/>
      <c r="E1036" s="423"/>
      <c r="F1036" s="423"/>
      <c r="G1036" s="423"/>
      <c r="H1036" s="423"/>
      <c r="I1036" s="497">
        <f t="shared" ref="I1036:J1038" si="478">H1052</f>
        <v>0</v>
      </c>
      <c r="J1036" s="497">
        <f t="shared" si="478"/>
        <v>0</v>
      </c>
    </row>
    <row r="1037" spans="2:10" s="254" customFormat="1" x14ac:dyDescent="0.35">
      <c r="B1037" s="279" t="s">
        <v>639</v>
      </c>
      <c r="C1037" s="279" t="s">
        <v>785</v>
      </c>
      <c r="D1037" s="423"/>
      <c r="E1037" s="423"/>
      <c r="F1037" s="423"/>
      <c r="G1037" s="423"/>
      <c r="H1037" s="423"/>
      <c r="I1037" s="497">
        <f t="shared" si="478"/>
        <v>0</v>
      </c>
      <c r="J1037" s="497">
        <f t="shared" si="478"/>
        <v>0</v>
      </c>
    </row>
    <row r="1038" spans="2:10" s="254" customFormat="1" x14ac:dyDescent="0.35">
      <c r="B1038" s="279" t="s">
        <v>640</v>
      </c>
      <c r="C1038" s="279" t="s">
        <v>785</v>
      </c>
      <c r="D1038" s="423"/>
      <c r="E1038" s="423"/>
      <c r="F1038" s="423"/>
      <c r="G1038" s="423"/>
      <c r="H1038" s="423"/>
      <c r="I1038" s="497">
        <f t="shared" si="478"/>
        <v>0</v>
      </c>
      <c r="J1038" s="497">
        <f t="shared" si="478"/>
        <v>1921369</v>
      </c>
    </row>
    <row r="1039" spans="2:10" s="254" customFormat="1" x14ac:dyDescent="0.35">
      <c r="B1039" s="289" t="s">
        <v>643</v>
      </c>
      <c r="C1039" s="279" t="s">
        <v>785</v>
      </c>
      <c r="D1039" s="423"/>
      <c r="E1039" s="423"/>
      <c r="F1039" s="423"/>
      <c r="G1039" s="423"/>
      <c r="H1039" s="423"/>
      <c r="I1039" s="423">
        <f t="shared" ref="I1039:J1039" si="479">SUM(I1036:I1038)</f>
        <v>0</v>
      </c>
      <c r="J1039" s="423">
        <f t="shared" si="479"/>
        <v>1921369</v>
      </c>
    </row>
    <row r="1040" spans="2:10" s="254" customFormat="1" x14ac:dyDescent="0.35">
      <c r="B1040" s="289" t="s">
        <v>644</v>
      </c>
      <c r="C1040" s="279" t="s">
        <v>785</v>
      </c>
      <c r="D1040" s="423"/>
      <c r="E1040" s="423"/>
      <c r="F1040" s="423"/>
      <c r="G1040" s="423"/>
      <c r="H1040" s="423"/>
      <c r="I1040" s="497"/>
      <c r="J1040" s="497"/>
    </row>
    <row r="1041" spans="2:10" s="254" customFormat="1" x14ac:dyDescent="0.35">
      <c r="B1041" s="279" t="s">
        <v>646</v>
      </c>
      <c r="C1041" s="279" t="s">
        <v>785</v>
      </c>
      <c r="D1041" s="423"/>
      <c r="E1041" s="423"/>
      <c r="F1041" s="423"/>
      <c r="G1041" s="423"/>
      <c r="H1041" s="423"/>
      <c r="I1041" s="497">
        <f t="shared" ref="I1041:J1041" si="480">H1057</f>
        <v>0</v>
      </c>
      <c r="J1041" s="497">
        <f t="shared" si="480"/>
        <v>733902</v>
      </c>
    </row>
    <row r="1042" spans="2:10" s="254" customFormat="1" x14ac:dyDescent="0.35">
      <c r="B1042" s="289" t="s">
        <v>649</v>
      </c>
      <c r="C1042" s="279" t="s">
        <v>785</v>
      </c>
      <c r="D1042" s="423"/>
      <c r="E1042" s="423"/>
      <c r="F1042" s="423"/>
      <c r="G1042" s="423"/>
      <c r="H1042" s="423"/>
      <c r="I1042" s="423">
        <f t="shared" ref="I1042:J1042" si="481">SUM(I1041)</f>
        <v>0</v>
      </c>
      <c r="J1042" s="423">
        <f t="shared" si="481"/>
        <v>733902</v>
      </c>
    </row>
    <row r="1043" spans="2:10" s="254" customFormat="1" x14ac:dyDescent="0.35">
      <c r="B1043" s="289" t="s">
        <v>36</v>
      </c>
      <c r="C1043" s="279" t="s">
        <v>785</v>
      </c>
      <c r="D1043" s="423"/>
      <c r="E1043" s="423"/>
      <c r="F1043" s="423"/>
      <c r="G1043" s="423"/>
      <c r="H1043" s="423"/>
      <c r="I1043" s="423">
        <f t="shared" ref="I1043:J1043" si="482">I1034+I1039+I1042</f>
        <v>0</v>
      </c>
      <c r="J1043" s="423">
        <f t="shared" si="482"/>
        <v>4252370</v>
      </c>
    </row>
    <row r="1044" spans="2:10" s="254" customFormat="1" x14ac:dyDescent="0.35">
      <c r="B1044" s="289"/>
      <c r="C1044" s="279"/>
      <c r="D1044" s="423"/>
      <c r="E1044" s="423"/>
      <c r="F1044" s="423"/>
      <c r="G1044" s="423"/>
      <c r="H1044" s="423"/>
      <c r="I1044" s="423"/>
      <c r="J1044" s="423"/>
    </row>
    <row r="1045" spans="2:10" s="254" customFormat="1" x14ac:dyDescent="0.35">
      <c r="B1045" s="289"/>
      <c r="C1045" s="279"/>
      <c r="D1045" s="423"/>
      <c r="E1045" s="423"/>
      <c r="F1045" s="423"/>
      <c r="G1045" s="423"/>
      <c r="H1045" s="423"/>
      <c r="I1045" s="423"/>
      <c r="J1045" s="423"/>
    </row>
    <row r="1046" spans="2:10" s="254" customFormat="1" x14ac:dyDescent="0.35">
      <c r="B1046" s="289" t="s">
        <v>875</v>
      </c>
      <c r="C1046" s="279"/>
      <c r="D1046" s="423"/>
      <c r="E1046" s="423"/>
      <c r="F1046" s="423"/>
      <c r="G1046" s="423"/>
      <c r="H1046" s="423"/>
      <c r="I1046" s="423"/>
      <c r="J1046" s="423"/>
    </row>
    <row r="1047" spans="2:10" s="254" customFormat="1" x14ac:dyDescent="0.35">
      <c r="B1047" s="289" t="s">
        <v>630</v>
      </c>
      <c r="C1047" s="289"/>
      <c r="D1047" s="423"/>
      <c r="E1047" s="423"/>
      <c r="F1047" s="423"/>
      <c r="G1047" s="423"/>
      <c r="H1047" s="423"/>
      <c r="I1047" s="423"/>
      <c r="J1047" s="423"/>
    </row>
    <row r="1048" spans="2:10" s="254" customFormat="1" x14ac:dyDescent="0.35">
      <c r="B1048" s="279" t="s">
        <v>631</v>
      </c>
      <c r="C1048" s="279" t="s">
        <v>785</v>
      </c>
      <c r="D1048" s="497"/>
      <c r="E1048" s="497"/>
      <c r="F1048" s="497"/>
      <c r="G1048" s="497"/>
      <c r="H1048" s="497"/>
      <c r="I1048" s="497">
        <f>I987-I1002+I1017</f>
        <v>0</v>
      </c>
      <c r="J1048" s="497">
        <f>J1032+J987-J1002+J1017</f>
        <v>0</v>
      </c>
    </row>
    <row r="1049" spans="2:10" s="254" customFormat="1" x14ac:dyDescent="0.35">
      <c r="B1049" s="543" t="s">
        <v>776</v>
      </c>
      <c r="C1049" s="279" t="s">
        <v>785</v>
      </c>
      <c r="D1049" s="497"/>
      <c r="E1049" s="497"/>
      <c r="F1049" s="497"/>
      <c r="G1049" s="497"/>
      <c r="H1049" s="497"/>
      <c r="I1049" s="497">
        <f>I988-I1003+I1018</f>
        <v>1597099</v>
      </c>
      <c r="J1049" s="497">
        <f>J1033+J988-J1003+J1018</f>
        <v>0</v>
      </c>
    </row>
    <row r="1050" spans="2:10" s="254" customFormat="1" x14ac:dyDescent="0.35">
      <c r="B1050" s="289" t="s">
        <v>636</v>
      </c>
      <c r="C1050" s="279" t="s">
        <v>785</v>
      </c>
      <c r="D1050" s="423">
        <f t="shared" ref="D1050:I1050" si="483">SUM(D1048:D1049)</f>
        <v>0</v>
      </c>
      <c r="E1050" s="423">
        <f t="shared" si="483"/>
        <v>0</v>
      </c>
      <c r="F1050" s="423">
        <f t="shared" si="483"/>
        <v>0</v>
      </c>
      <c r="G1050" s="423">
        <f t="shared" si="483"/>
        <v>0</v>
      </c>
      <c r="H1050" s="423">
        <f t="shared" si="483"/>
        <v>0</v>
      </c>
      <c r="I1050" s="423">
        <f t="shared" si="483"/>
        <v>1597099</v>
      </c>
      <c r="J1050" s="423">
        <f t="shared" ref="J1050" si="484">SUM(J1048:J1049)</f>
        <v>0</v>
      </c>
    </row>
    <row r="1051" spans="2:10" s="254" customFormat="1" x14ac:dyDescent="0.35">
      <c r="B1051" s="289" t="s">
        <v>637</v>
      </c>
      <c r="C1051" s="279" t="s">
        <v>785</v>
      </c>
      <c r="D1051" s="497"/>
      <c r="E1051" s="497"/>
      <c r="F1051" s="497"/>
      <c r="G1051" s="497"/>
      <c r="H1051" s="497"/>
      <c r="I1051" s="497"/>
      <c r="J1051" s="497"/>
    </row>
    <row r="1052" spans="2:10" s="254" customFormat="1" x14ac:dyDescent="0.35">
      <c r="B1052" s="279" t="s">
        <v>638</v>
      </c>
      <c r="C1052" s="279" t="s">
        <v>785</v>
      </c>
      <c r="D1052" s="497"/>
      <c r="E1052" s="497"/>
      <c r="F1052" s="497"/>
      <c r="G1052" s="497"/>
      <c r="H1052" s="497"/>
      <c r="I1052" s="497">
        <f>I991-I1006+I1021</f>
        <v>0</v>
      </c>
      <c r="J1052" s="497">
        <f t="shared" ref="J1052:J1054" si="485">J1036+J991-J1006+J1021</f>
        <v>331309.5</v>
      </c>
    </row>
    <row r="1053" spans="2:10" s="254" customFormat="1" x14ac:dyDescent="0.35">
      <c r="B1053" s="279" t="s">
        <v>639</v>
      </c>
      <c r="C1053" s="279" t="s">
        <v>785</v>
      </c>
      <c r="D1053" s="497"/>
      <c r="E1053" s="497"/>
      <c r="F1053" s="497"/>
      <c r="G1053" s="497"/>
      <c r="H1053" s="497"/>
      <c r="I1053" s="497">
        <f>I992-I1007+I1022</f>
        <v>0</v>
      </c>
      <c r="J1053" s="497">
        <f t="shared" si="485"/>
        <v>1065296.8999999999</v>
      </c>
    </row>
    <row r="1054" spans="2:10" s="254" customFormat="1" x14ac:dyDescent="0.35">
      <c r="B1054" s="279" t="s">
        <v>640</v>
      </c>
      <c r="C1054" s="279" t="s">
        <v>785</v>
      </c>
      <c r="D1054" s="497"/>
      <c r="E1054" s="497"/>
      <c r="F1054" s="497"/>
      <c r="G1054" s="497"/>
      <c r="H1054" s="497"/>
      <c r="I1054" s="497">
        <f>I993-I1008+I1023</f>
        <v>1921369</v>
      </c>
      <c r="J1054" s="497">
        <f t="shared" si="485"/>
        <v>865070</v>
      </c>
    </row>
    <row r="1055" spans="2:10" s="254" customFormat="1" x14ac:dyDescent="0.35">
      <c r="B1055" s="289" t="s">
        <v>643</v>
      </c>
      <c r="C1055" s="279" t="s">
        <v>785</v>
      </c>
      <c r="D1055" s="423">
        <f t="shared" ref="D1055:I1055" si="486">SUM(D1052:D1054)</f>
        <v>0</v>
      </c>
      <c r="E1055" s="423">
        <f t="shared" si="486"/>
        <v>0</v>
      </c>
      <c r="F1055" s="423">
        <f t="shared" si="486"/>
        <v>0</v>
      </c>
      <c r="G1055" s="423">
        <f t="shared" si="486"/>
        <v>0</v>
      </c>
      <c r="H1055" s="423">
        <f t="shared" si="486"/>
        <v>0</v>
      </c>
      <c r="I1055" s="423">
        <f t="shared" si="486"/>
        <v>1921369</v>
      </c>
      <c r="J1055" s="423">
        <f t="shared" ref="J1055" si="487">SUM(J1052:J1054)</f>
        <v>2261676.4</v>
      </c>
    </row>
    <row r="1056" spans="2:10" s="254" customFormat="1" x14ac:dyDescent="0.35">
      <c r="B1056" s="289" t="s">
        <v>644</v>
      </c>
      <c r="C1056" s="279" t="s">
        <v>785</v>
      </c>
      <c r="D1056" s="497"/>
      <c r="E1056" s="497"/>
      <c r="F1056" s="497"/>
      <c r="G1056" s="497"/>
      <c r="H1056" s="497"/>
      <c r="I1056" s="497"/>
      <c r="J1056" s="497"/>
    </row>
    <row r="1057" spans="2:10" s="254" customFormat="1" x14ac:dyDescent="0.35">
      <c r="B1057" s="279" t="s">
        <v>646</v>
      </c>
      <c r="C1057" s="279" t="s">
        <v>785</v>
      </c>
      <c r="D1057" s="497"/>
      <c r="E1057" s="497"/>
      <c r="F1057" s="497"/>
      <c r="G1057" s="497"/>
      <c r="H1057" s="497"/>
      <c r="I1057" s="497">
        <f>I996-I1011+I1026</f>
        <v>733902</v>
      </c>
      <c r="J1057" s="497">
        <f t="shared" ref="J1057" si="488">J1041+J996-J1011+J1026</f>
        <v>678916</v>
      </c>
    </row>
    <row r="1058" spans="2:10" s="254" customFormat="1" x14ac:dyDescent="0.35">
      <c r="B1058" s="289" t="s">
        <v>649</v>
      </c>
      <c r="C1058" s="279" t="s">
        <v>785</v>
      </c>
      <c r="D1058" s="423">
        <f t="shared" ref="D1058:I1058" si="489">SUM(D1057)</f>
        <v>0</v>
      </c>
      <c r="E1058" s="423">
        <f t="shared" si="489"/>
        <v>0</v>
      </c>
      <c r="F1058" s="423">
        <f t="shared" si="489"/>
        <v>0</v>
      </c>
      <c r="G1058" s="423">
        <f t="shared" si="489"/>
        <v>0</v>
      </c>
      <c r="H1058" s="423">
        <f t="shared" si="489"/>
        <v>0</v>
      </c>
      <c r="I1058" s="423">
        <f t="shared" si="489"/>
        <v>733902</v>
      </c>
      <c r="J1058" s="423">
        <f t="shared" ref="J1058" si="490">SUM(J1057)</f>
        <v>678916</v>
      </c>
    </row>
    <row r="1059" spans="2:10" s="254" customFormat="1" x14ac:dyDescent="0.35">
      <c r="B1059" s="289" t="s">
        <v>36</v>
      </c>
      <c r="C1059" s="279" t="s">
        <v>785</v>
      </c>
      <c r="D1059" s="423">
        <f t="shared" ref="D1059:I1059" si="491">D1050+D1055+D1058</f>
        <v>0</v>
      </c>
      <c r="E1059" s="423">
        <f t="shared" si="491"/>
        <v>0</v>
      </c>
      <c r="F1059" s="423">
        <f t="shared" si="491"/>
        <v>0</v>
      </c>
      <c r="G1059" s="423">
        <f t="shared" si="491"/>
        <v>0</v>
      </c>
      <c r="H1059" s="423">
        <f t="shared" si="491"/>
        <v>0</v>
      </c>
      <c r="I1059" s="423">
        <f t="shared" si="491"/>
        <v>4252370</v>
      </c>
      <c r="J1059" s="423">
        <f t="shared" ref="J1059" si="492">J1050+J1055+J1058</f>
        <v>2940592.4</v>
      </c>
    </row>
    <row r="1060" spans="2:10" s="254" customFormat="1" x14ac:dyDescent="0.35">
      <c r="B1060" s="289"/>
      <c r="C1060" s="279"/>
      <c r="D1060" s="423"/>
      <c r="E1060" s="423"/>
      <c r="F1060" s="423"/>
      <c r="G1060" s="423"/>
      <c r="H1060" s="423"/>
      <c r="I1060" s="423"/>
      <c r="J1060" s="423"/>
    </row>
    <row r="1061" spans="2:10" s="254" customFormat="1" x14ac:dyDescent="0.35">
      <c r="B1061" s="289" t="s">
        <v>1622</v>
      </c>
      <c r="C1061" s="279"/>
      <c r="D1061" s="423"/>
      <c r="E1061" s="423"/>
      <c r="F1061" s="423"/>
      <c r="G1061" s="423"/>
      <c r="H1061" s="423"/>
      <c r="I1061" s="423"/>
      <c r="J1061" s="423"/>
    </row>
    <row r="1062" spans="2:10" s="254" customFormat="1" x14ac:dyDescent="0.35">
      <c r="B1062" s="289" t="s">
        <v>630</v>
      </c>
      <c r="C1062" s="289"/>
      <c r="D1062" s="423"/>
      <c r="E1062" s="423"/>
      <c r="F1062" s="423"/>
      <c r="G1062" s="423"/>
      <c r="H1062" s="423"/>
      <c r="I1062" s="423"/>
      <c r="J1062" s="423"/>
    </row>
    <row r="1063" spans="2:10" s="254" customFormat="1" x14ac:dyDescent="0.35">
      <c r="B1063" s="279" t="s">
        <v>631</v>
      </c>
      <c r="C1063" s="279" t="s">
        <v>785</v>
      </c>
      <c r="D1063" s="497"/>
      <c r="E1063" s="497"/>
      <c r="F1063" s="497"/>
      <c r="G1063" s="497"/>
      <c r="H1063" s="497"/>
      <c r="I1063" s="497"/>
      <c r="J1063" s="497"/>
    </row>
    <row r="1064" spans="2:10" s="254" customFormat="1" x14ac:dyDescent="0.35">
      <c r="B1064" s="591" t="s">
        <v>776</v>
      </c>
      <c r="C1064" s="279" t="s">
        <v>785</v>
      </c>
      <c r="D1064" s="497"/>
      <c r="E1064" s="497"/>
      <c r="F1064" s="497"/>
      <c r="G1064" s="497"/>
      <c r="H1064" s="497"/>
      <c r="I1064" s="497"/>
      <c r="J1064" s="497"/>
    </row>
    <row r="1065" spans="2:10" s="254" customFormat="1" x14ac:dyDescent="0.35">
      <c r="B1065" s="289" t="s">
        <v>636</v>
      </c>
      <c r="C1065" s="279" t="s">
        <v>785</v>
      </c>
      <c r="D1065" s="423">
        <f t="shared" ref="D1065:H1065" si="493">SUM(D1063:D1064)</f>
        <v>0</v>
      </c>
      <c r="E1065" s="423">
        <f t="shared" si="493"/>
        <v>0</v>
      </c>
      <c r="F1065" s="423">
        <f t="shared" si="493"/>
        <v>0</v>
      </c>
      <c r="G1065" s="423">
        <f t="shared" si="493"/>
        <v>0</v>
      </c>
      <c r="H1065" s="423">
        <f t="shared" si="493"/>
        <v>0</v>
      </c>
      <c r="I1065" s="423">
        <f t="shared" ref="I1065:J1065" si="494">SUM(I1063:I1064)</f>
        <v>0</v>
      </c>
      <c r="J1065" s="423">
        <f t="shared" si="494"/>
        <v>0</v>
      </c>
    </row>
    <row r="1066" spans="2:10" s="254" customFormat="1" x14ac:dyDescent="0.35">
      <c r="B1066" s="289" t="s">
        <v>637</v>
      </c>
      <c r="C1066" s="279" t="s">
        <v>785</v>
      </c>
      <c r="D1066" s="497"/>
      <c r="E1066" s="497"/>
      <c r="F1066" s="497"/>
      <c r="G1066" s="497"/>
      <c r="H1066" s="497"/>
      <c r="I1066" s="497"/>
      <c r="J1066" s="497"/>
    </row>
    <row r="1067" spans="2:10" s="254" customFormat="1" x14ac:dyDescent="0.35">
      <c r="B1067" s="279" t="s">
        <v>638</v>
      </c>
      <c r="C1067" s="279" t="s">
        <v>785</v>
      </c>
      <c r="D1067" s="497"/>
      <c r="E1067" s="497"/>
      <c r="F1067" s="497"/>
      <c r="G1067" s="497"/>
      <c r="H1067" s="497"/>
      <c r="I1067" s="497"/>
      <c r="J1067" s="497"/>
    </row>
    <row r="1068" spans="2:10" s="254" customFormat="1" x14ac:dyDescent="0.35">
      <c r="B1068" s="279" t="s">
        <v>639</v>
      </c>
      <c r="C1068" s="279" t="s">
        <v>785</v>
      </c>
      <c r="D1068" s="497"/>
      <c r="E1068" s="497"/>
      <c r="F1068" s="497"/>
      <c r="G1068" s="497"/>
      <c r="H1068" s="497"/>
      <c r="I1068" s="497"/>
      <c r="J1068" s="497"/>
    </row>
    <row r="1069" spans="2:10" s="254" customFormat="1" x14ac:dyDescent="0.35">
      <c r="B1069" s="279" t="s">
        <v>640</v>
      </c>
      <c r="C1069" s="279" t="s">
        <v>785</v>
      </c>
      <c r="D1069" s="497"/>
      <c r="E1069" s="497"/>
      <c r="F1069" s="497"/>
      <c r="G1069" s="497"/>
      <c r="H1069" s="497"/>
      <c r="I1069" s="497"/>
      <c r="J1069" s="497"/>
    </row>
    <row r="1070" spans="2:10" s="254" customFormat="1" x14ac:dyDescent="0.35">
      <c r="B1070" s="289" t="s">
        <v>643</v>
      </c>
      <c r="C1070" s="279" t="s">
        <v>785</v>
      </c>
      <c r="D1070" s="423">
        <f t="shared" ref="D1070:H1070" si="495">SUM(D1067:D1069)</f>
        <v>0</v>
      </c>
      <c r="E1070" s="423">
        <f t="shared" si="495"/>
        <v>0</v>
      </c>
      <c r="F1070" s="423">
        <f t="shared" si="495"/>
        <v>0</v>
      </c>
      <c r="G1070" s="423">
        <f t="shared" si="495"/>
        <v>0</v>
      </c>
      <c r="H1070" s="423">
        <f t="shared" si="495"/>
        <v>0</v>
      </c>
      <c r="I1070" s="423">
        <f t="shared" ref="I1070:J1070" si="496">SUM(I1067:I1069)</f>
        <v>0</v>
      </c>
      <c r="J1070" s="423">
        <f t="shared" si="496"/>
        <v>0</v>
      </c>
    </row>
    <row r="1071" spans="2:10" s="254" customFormat="1" x14ac:dyDescent="0.35">
      <c r="B1071" s="289" t="s">
        <v>644</v>
      </c>
      <c r="C1071" s="279" t="s">
        <v>785</v>
      </c>
      <c r="D1071" s="497"/>
      <c r="E1071" s="497"/>
      <c r="F1071" s="497"/>
      <c r="G1071" s="497"/>
      <c r="H1071" s="497"/>
      <c r="I1071" s="497"/>
      <c r="J1071" s="497"/>
    </row>
    <row r="1072" spans="2:10" s="254" customFormat="1" x14ac:dyDescent="0.35">
      <c r="B1072" s="279" t="s">
        <v>646</v>
      </c>
      <c r="C1072" s="279" t="s">
        <v>785</v>
      </c>
      <c r="D1072" s="497"/>
      <c r="E1072" s="497"/>
      <c r="F1072" s="497"/>
      <c r="G1072" s="497"/>
      <c r="H1072" s="497"/>
      <c r="I1072" s="497"/>
      <c r="J1072" s="497">
        <v>12679989</v>
      </c>
    </row>
    <row r="1073" spans="2:10" s="254" customFormat="1" x14ac:dyDescent="0.35">
      <c r="B1073" s="289" t="s">
        <v>649</v>
      </c>
      <c r="C1073" s="279" t="s">
        <v>785</v>
      </c>
      <c r="D1073" s="423">
        <f t="shared" ref="D1073:H1073" si="497">SUM(D1072)</f>
        <v>0</v>
      </c>
      <c r="E1073" s="423">
        <f t="shared" si="497"/>
        <v>0</v>
      </c>
      <c r="F1073" s="423">
        <f t="shared" si="497"/>
        <v>0</v>
      </c>
      <c r="G1073" s="423">
        <f t="shared" si="497"/>
        <v>0</v>
      </c>
      <c r="H1073" s="423">
        <f t="shared" si="497"/>
        <v>0</v>
      </c>
      <c r="I1073" s="423">
        <f t="shared" ref="I1073:J1073" si="498">SUM(I1072)</f>
        <v>0</v>
      </c>
      <c r="J1073" s="423">
        <f t="shared" si="498"/>
        <v>12679989</v>
      </c>
    </row>
    <row r="1074" spans="2:10" s="254" customFormat="1" x14ac:dyDescent="0.35">
      <c r="B1074" s="289" t="s">
        <v>36</v>
      </c>
      <c r="C1074" s="279" t="s">
        <v>785</v>
      </c>
      <c r="D1074" s="423">
        <f t="shared" ref="D1074:H1074" si="499">D1065+D1070+D1073</f>
        <v>0</v>
      </c>
      <c r="E1074" s="423">
        <f t="shared" si="499"/>
        <v>0</v>
      </c>
      <c r="F1074" s="423">
        <f t="shared" si="499"/>
        <v>0</v>
      </c>
      <c r="G1074" s="423">
        <f t="shared" si="499"/>
        <v>0</v>
      </c>
      <c r="H1074" s="423">
        <f t="shared" si="499"/>
        <v>0</v>
      </c>
      <c r="I1074" s="423">
        <f t="shared" ref="I1074:J1074" si="500">I1065+I1070+I1073</f>
        <v>0</v>
      </c>
      <c r="J1074" s="423">
        <f t="shared" si="500"/>
        <v>12679989</v>
      </c>
    </row>
    <row r="1075" spans="2:10" s="254" customFormat="1" x14ac:dyDescent="0.35">
      <c r="B1075" s="289"/>
      <c r="C1075" s="279"/>
      <c r="D1075" s="423"/>
      <c r="E1075" s="423"/>
      <c r="F1075" s="423"/>
      <c r="G1075" s="423"/>
      <c r="H1075" s="423"/>
      <c r="I1075" s="423"/>
      <c r="J1075" s="423"/>
    </row>
    <row r="1076" spans="2:10" s="254" customFormat="1" x14ac:dyDescent="0.35">
      <c r="B1076" s="289" t="s">
        <v>1623</v>
      </c>
      <c r="C1076" s="279"/>
      <c r="D1076" s="423"/>
      <c r="E1076" s="423"/>
      <c r="F1076" s="423"/>
      <c r="G1076" s="423"/>
      <c r="H1076" s="423"/>
      <c r="I1076" s="423"/>
      <c r="J1076" s="423"/>
    </row>
    <row r="1077" spans="2:10" s="254" customFormat="1" x14ac:dyDescent="0.35">
      <c r="B1077" s="289" t="s">
        <v>630</v>
      </c>
      <c r="C1077" s="289"/>
      <c r="D1077" s="423"/>
      <c r="E1077" s="423"/>
      <c r="F1077" s="423"/>
      <c r="G1077" s="423"/>
      <c r="H1077" s="423"/>
      <c r="I1077" s="423"/>
      <c r="J1077" s="423"/>
    </row>
    <row r="1078" spans="2:10" s="254" customFormat="1" x14ac:dyDescent="0.35">
      <c r="B1078" s="279" t="s">
        <v>631</v>
      </c>
      <c r="C1078" s="279" t="s">
        <v>785</v>
      </c>
      <c r="D1078" s="497"/>
      <c r="E1078" s="497"/>
      <c r="F1078" s="497"/>
      <c r="G1078" s="497"/>
      <c r="H1078" s="497"/>
      <c r="I1078" s="497"/>
      <c r="J1078" s="497"/>
    </row>
    <row r="1079" spans="2:10" s="254" customFormat="1" x14ac:dyDescent="0.35">
      <c r="B1079" s="591" t="s">
        <v>776</v>
      </c>
      <c r="C1079" s="279" t="s">
        <v>785</v>
      </c>
      <c r="D1079" s="497"/>
      <c r="E1079" s="497"/>
      <c r="F1079" s="497"/>
      <c r="G1079" s="497"/>
      <c r="H1079" s="497"/>
      <c r="I1079" s="497"/>
      <c r="J1079" s="497"/>
    </row>
    <row r="1080" spans="2:10" s="254" customFormat="1" x14ac:dyDescent="0.35">
      <c r="B1080" s="289" t="s">
        <v>636</v>
      </c>
      <c r="C1080" s="279" t="s">
        <v>785</v>
      </c>
      <c r="D1080" s="423">
        <f t="shared" ref="D1080:H1080" si="501">SUM(D1078:D1079)</f>
        <v>0</v>
      </c>
      <c r="E1080" s="423">
        <f t="shared" si="501"/>
        <v>0</v>
      </c>
      <c r="F1080" s="423">
        <f t="shared" si="501"/>
        <v>0</v>
      </c>
      <c r="G1080" s="423">
        <f t="shared" si="501"/>
        <v>0</v>
      </c>
      <c r="H1080" s="423">
        <f t="shared" si="501"/>
        <v>0</v>
      </c>
      <c r="I1080" s="423">
        <f t="shared" ref="I1080:J1080" si="502">SUM(I1078:I1079)</f>
        <v>0</v>
      </c>
      <c r="J1080" s="423">
        <f t="shared" si="502"/>
        <v>0</v>
      </c>
    </row>
    <row r="1081" spans="2:10" s="254" customFormat="1" x14ac:dyDescent="0.35">
      <c r="B1081" s="289" t="s">
        <v>637</v>
      </c>
      <c r="C1081" s="279" t="s">
        <v>785</v>
      </c>
      <c r="D1081" s="497"/>
      <c r="E1081" s="497"/>
      <c r="F1081" s="497"/>
      <c r="G1081" s="497"/>
      <c r="H1081" s="497"/>
      <c r="I1081" s="497"/>
      <c r="J1081" s="497"/>
    </row>
    <row r="1082" spans="2:10" s="254" customFormat="1" x14ac:dyDescent="0.35">
      <c r="B1082" s="279" t="s">
        <v>638</v>
      </c>
      <c r="C1082" s="279" t="s">
        <v>785</v>
      </c>
      <c r="D1082" s="497"/>
      <c r="E1082" s="497"/>
      <c r="F1082" s="497"/>
      <c r="G1082" s="497"/>
      <c r="H1082" s="497"/>
      <c r="I1082" s="497"/>
      <c r="J1082" s="497"/>
    </row>
    <row r="1083" spans="2:10" s="254" customFormat="1" x14ac:dyDescent="0.35">
      <c r="B1083" s="279" t="s">
        <v>639</v>
      </c>
      <c r="C1083" s="279" t="s">
        <v>785</v>
      </c>
      <c r="D1083" s="497"/>
      <c r="E1083" s="497"/>
      <c r="F1083" s="497"/>
      <c r="G1083" s="497"/>
      <c r="H1083" s="497"/>
      <c r="I1083" s="497"/>
      <c r="J1083" s="497"/>
    </row>
    <row r="1084" spans="2:10" s="254" customFormat="1" x14ac:dyDescent="0.35">
      <c r="B1084" s="279" t="s">
        <v>640</v>
      </c>
      <c r="C1084" s="279" t="s">
        <v>785</v>
      </c>
      <c r="D1084" s="497"/>
      <c r="E1084" s="497"/>
      <c r="F1084" s="497"/>
      <c r="G1084" s="497"/>
      <c r="H1084" s="497"/>
      <c r="I1084" s="497"/>
      <c r="J1084" s="497"/>
    </row>
    <row r="1085" spans="2:10" s="254" customFormat="1" x14ac:dyDescent="0.35">
      <c r="B1085" s="289" t="s">
        <v>643</v>
      </c>
      <c r="C1085" s="279" t="s">
        <v>785</v>
      </c>
      <c r="D1085" s="423">
        <f t="shared" ref="D1085:H1085" si="503">SUM(D1082:D1084)</f>
        <v>0</v>
      </c>
      <c r="E1085" s="423">
        <f t="shared" si="503"/>
        <v>0</v>
      </c>
      <c r="F1085" s="423">
        <f t="shared" si="503"/>
        <v>0</v>
      </c>
      <c r="G1085" s="423">
        <f t="shared" si="503"/>
        <v>0</v>
      </c>
      <c r="H1085" s="423">
        <f t="shared" si="503"/>
        <v>0</v>
      </c>
      <c r="I1085" s="423">
        <f t="shared" ref="I1085:J1085" si="504">SUM(I1082:I1084)</f>
        <v>0</v>
      </c>
      <c r="J1085" s="423">
        <f t="shared" si="504"/>
        <v>0</v>
      </c>
    </row>
    <row r="1086" spans="2:10" s="254" customFormat="1" x14ac:dyDescent="0.35">
      <c r="B1086" s="289" t="s">
        <v>644</v>
      </c>
      <c r="C1086" s="279" t="s">
        <v>785</v>
      </c>
      <c r="D1086" s="497"/>
      <c r="E1086" s="497"/>
      <c r="F1086" s="497"/>
      <c r="G1086" s="497"/>
      <c r="H1086" s="497"/>
      <c r="I1086" s="497"/>
      <c r="J1086" s="497"/>
    </row>
    <row r="1087" spans="2:10" s="254" customFormat="1" x14ac:dyDescent="0.35">
      <c r="B1087" s="279" t="s">
        <v>646</v>
      </c>
      <c r="C1087" s="279" t="s">
        <v>785</v>
      </c>
      <c r="D1087" s="497"/>
      <c r="E1087" s="497"/>
      <c r="F1087" s="497"/>
      <c r="G1087" s="497"/>
      <c r="H1087" s="497"/>
      <c r="I1087" s="497"/>
      <c r="J1087" s="497">
        <v>12633000</v>
      </c>
    </row>
    <row r="1088" spans="2:10" s="254" customFormat="1" x14ac:dyDescent="0.35">
      <c r="B1088" s="289" t="s">
        <v>649</v>
      </c>
      <c r="C1088" s="279" t="s">
        <v>785</v>
      </c>
      <c r="D1088" s="423">
        <f t="shared" ref="D1088:H1088" si="505">SUM(D1087)</f>
        <v>0</v>
      </c>
      <c r="E1088" s="423">
        <f t="shared" si="505"/>
        <v>0</v>
      </c>
      <c r="F1088" s="423">
        <f t="shared" si="505"/>
        <v>0</v>
      </c>
      <c r="G1088" s="423">
        <f t="shared" si="505"/>
        <v>0</v>
      </c>
      <c r="H1088" s="423">
        <f t="shared" si="505"/>
        <v>0</v>
      </c>
      <c r="I1088" s="423">
        <f t="shared" ref="I1088:J1088" si="506">SUM(I1087)</f>
        <v>0</v>
      </c>
      <c r="J1088" s="423">
        <f t="shared" si="506"/>
        <v>12633000</v>
      </c>
    </row>
    <row r="1089" spans="2:10" s="254" customFormat="1" x14ac:dyDescent="0.35">
      <c r="B1089" s="289" t="s">
        <v>36</v>
      </c>
      <c r="C1089" s="279" t="s">
        <v>785</v>
      </c>
      <c r="D1089" s="423">
        <f t="shared" ref="D1089:H1089" si="507">D1080+D1085+D1088</f>
        <v>0</v>
      </c>
      <c r="E1089" s="423">
        <f t="shared" si="507"/>
        <v>0</v>
      </c>
      <c r="F1089" s="423">
        <f t="shared" si="507"/>
        <v>0</v>
      </c>
      <c r="G1089" s="423">
        <f t="shared" si="507"/>
        <v>0</v>
      </c>
      <c r="H1089" s="423">
        <f t="shared" si="507"/>
        <v>0</v>
      </c>
      <c r="I1089" s="423">
        <f t="shared" ref="I1089:J1089" si="508">I1080+I1085+I1088</f>
        <v>0</v>
      </c>
      <c r="J1089" s="423">
        <f t="shared" si="508"/>
        <v>12633000</v>
      </c>
    </row>
    <row r="1090" spans="2:10" s="254" customFormat="1" x14ac:dyDescent="0.35">
      <c r="B1090" s="289"/>
      <c r="C1090" s="279"/>
      <c r="D1090" s="423"/>
      <c r="E1090" s="423"/>
      <c r="F1090" s="423"/>
      <c r="G1090" s="423"/>
      <c r="H1090" s="423"/>
      <c r="I1090" s="423"/>
      <c r="J1090" s="423"/>
    </row>
    <row r="1091" spans="2:10" s="254" customFormat="1" x14ac:dyDescent="0.35">
      <c r="B1091" s="289" t="s">
        <v>1624</v>
      </c>
      <c r="C1091" s="279"/>
      <c r="D1091" s="423"/>
      <c r="E1091" s="423"/>
      <c r="F1091" s="423"/>
      <c r="G1091" s="423"/>
      <c r="H1091" s="423"/>
      <c r="I1091" s="423"/>
      <c r="J1091" s="423"/>
    </row>
    <row r="1092" spans="2:10" s="254" customFormat="1" x14ac:dyDescent="0.35">
      <c r="B1092" s="289" t="s">
        <v>630</v>
      </c>
      <c r="C1092" s="289"/>
      <c r="D1092" s="423"/>
      <c r="E1092" s="423"/>
      <c r="F1092" s="423"/>
      <c r="G1092" s="423"/>
      <c r="H1092" s="423"/>
      <c r="I1092" s="423"/>
      <c r="J1092" s="423"/>
    </row>
    <row r="1093" spans="2:10" s="254" customFormat="1" x14ac:dyDescent="0.35">
      <c r="B1093" s="279" t="s">
        <v>631</v>
      </c>
      <c r="C1093" s="279" t="s">
        <v>785</v>
      </c>
      <c r="D1093" s="497"/>
      <c r="E1093" s="497"/>
      <c r="F1093" s="497"/>
      <c r="G1093" s="497"/>
      <c r="H1093" s="497"/>
      <c r="I1093" s="497"/>
      <c r="J1093" s="497"/>
    </row>
    <row r="1094" spans="2:10" s="254" customFormat="1" x14ac:dyDescent="0.35">
      <c r="B1094" s="591" t="s">
        <v>776</v>
      </c>
      <c r="C1094" s="279" t="s">
        <v>785</v>
      </c>
      <c r="D1094" s="497"/>
      <c r="E1094" s="497"/>
      <c r="F1094" s="497"/>
      <c r="G1094" s="497"/>
      <c r="H1094" s="497"/>
      <c r="I1094" s="497"/>
      <c r="J1094" s="497"/>
    </row>
    <row r="1095" spans="2:10" s="254" customFormat="1" x14ac:dyDescent="0.35">
      <c r="B1095" s="289" t="s">
        <v>636</v>
      </c>
      <c r="C1095" s="279" t="s">
        <v>785</v>
      </c>
      <c r="D1095" s="423">
        <f t="shared" ref="D1095:H1095" si="509">SUM(D1093:D1094)</f>
        <v>0</v>
      </c>
      <c r="E1095" s="423">
        <f t="shared" si="509"/>
        <v>0</v>
      </c>
      <c r="F1095" s="423">
        <f t="shared" si="509"/>
        <v>0</v>
      </c>
      <c r="G1095" s="423">
        <f t="shared" si="509"/>
        <v>0</v>
      </c>
      <c r="H1095" s="423">
        <f t="shared" si="509"/>
        <v>0</v>
      </c>
      <c r="I1095" s="423">
        <f t="shared" ref="I1095:J1095" si="510">SUM(I1093:I1094)</f>
        <v>0</v>
      </c>
      <c r="J1095" s="423">
        <f t="shared" si="510"/>
        <v>0</v>
      </c>
    </row>
    <row r="1096" spans="2:10" s="254" customFormat="1" x14ac:dyDescent="0.35">
      <c r="B1096" s="289" t="s">
        <v>637</v>
      </c>
      <c r="C1096" s="279" t="s">
        <v>785</v>
      </c>
      <c r="D1096" s="497"/>
      <c r="E1096" s="497"/>
      <c r="F1096" s="497"/>
      <c r="G1096" s="497"/>
      <c r="H1096" s="497"/>
      <c r="I1096" s="497"/>
      <c r="J1096" s="497"/>
    </row>
    <row r="1097" spans="2:10" s="254" customFormat="1" x14ac:dyDescent="0.35">
      <c r="B1097" s="279" t="s">
        <v>638</v>
      </c>
      <c r="C1097" s="279" t="s">
        <v>785</v>
      </c>
      <c r="D1097" s="497"/>
      <c r="E1097" s="497"/>
      <c r="F1097" s="497"/>
      <c r="G1097" s="497"/>
      <c r="H1097" s="497"/>
      <c r="I1097" s="497"/>
      <c r="J1097" s="497"/>
    </row>
    <row r="1098" spans="2:10" s="254" customFormat="1" x14ac:dyDescent="0.35">
      <c r="B1098" s="279" t="s">
        <v>639</v>
      </c>
      <c r="C1098" s="279" t="s">
        <v>785</v>
      </c>
      <c r="D1098" s="497"/>
      <c r="E1098" s="497"/>
      <c r="F1098" s="497"/>
      <c r="G1098" s="497"/>
      <c r="H1098" s="497"/>
      <c r="I1098" s="497"/>
      <c r="J1098" s="497"/>
    </row>
    <row r="1099" spans="2:10" s="254" customFormat="1" x14ac:dyDescent="0.35">
      <c r="B1099" s="279" t="s">
        <v>640</v>
      </c>
      <c r="C1099" s="279" t="s">
        <v>785</v>
      </c>
      <c r="D1099" s="497"/>
      <c r="E1099" s="497"/>
      <c r="F1099" s="497"/>
      <c r="G1099" s="497"/>
      <c r="H1099" s="497"/>
      <c r="I1099" s="497"/>
      <c r="J1099" s="497"/>
    </row>
    <row r="1100" spans="2:10" s="254" customFormat="1" x14ac:dyDescent="0.35">
      <c r="B1100" s="289" t="s">
        <v>643</v>
      </c>
      <c r="C1100" s="279" t="s">
        <v>785</v>
      </c>
      <c r="D1100" s="423">
        <f t="shared" ref="D1100:H1100" si="511">SUM(D1097:D1099)</f>
        <v>0</v>
      </c>
      <c r="E1100" s="423">
        <f t="shared" si="511"/>
        <v>0</v>
      </c>
      <c r="F1100" s="423">
        <f t="shared" si="511"/>
        <v>0</v>
      </c>
      <c r="G1100" s="423">
        <f t="shared" si="511"/>
        <v>0</v>
      </c>
      <c r="H1100" s="423">
        <f t="shared" si="511"/>
        <v>0</v>
      </c>
      <c r="I1100" s="423">
        <f t="shared" ref="I1100:J1100" si="512">SUM(I1097:I1099)</f>
        <v>0</v>
      </c>
      <c r="J1100" s="423">
        <f t="shared" si="512"/>
        <v>0</v>
      </c>
    </row>
    <row r="1101" spans="2:10" s="254" customFormat="1" x14ac:dyDescent="0.35">
      <c r="B1101" s="289" t="s">
        <v>644</v>
      </c>
      <c r="C1101" s="279" t="s">
        <v>785</v>
      </c>
      <c r="D1101" s="497"/>
      <c r="E1101" s="497"/>
      <c r="F1101" s="497"/>
      <c r="G1101" s="497"/>
      <c r="H1101" s="497"/>
      <c r="I1101" s="497"/>
      <c r="J1101" s="497"/>
    </row>
    <row r="1102" spans="2:10" s="254" customFormat="1" x14ac:dyDescent="0.35">
      <c r="B1102" s="279" t="s">
        <v>646</v>
      </c>
      <c r="C1102" s="279" t="s">
        <v>785</v>
      </c>
      <c r="D1102" s="497"/>
      <c r="E1102" s="497"/>
      <c r="F1102" s="497"/>
      <c r="G1102" s="497"/>
      <c r="H1102" s="497"/>
      <c r="I1102" s="497"/>
      <c r="J1102" s="497">
        <v>-46989</v>
      </c>
    </row>
    <row r="1103" spans="2:10" s="254" customFormat="1" x14ac:dyDescent="0.35">
      <c r="B1103" s="289" t="s">
        <v>649</v>
      </c>
      <c r="C1103" s="279" t="s">
        <v>785</v>
      </c>
      <c r="D1103" s="423">
        <f t="shared" ref="D1103:H1103" si="513">SUM(D1102)</f>
        <v>0</v>
      </c>
      <c r="E1103" s="423">
        <f t="shared" si="513"/>
        <v>0</v>
      </c>
      <c r="F1103" s="423">
        <f t="shared" si="513"/>
        <v>0</v>
      </c>
      <c r="G1103" s="423">
        <f t="shared" si="513"/>
        <v>0</v>
      </c>
      <c r="H1103" s="423">
        <f t="shared" si="513"/>
        <v>0</v>
      </c>
      <c r="I1103" s="423">
        <f t="shared" ref="I1103:J1103" si="514">SUM(I1102)</f>
        <v>0</v>
      </c>
      <c r="J1103" s="423">
        <f t="shared" si="514"/>
        <v>-46989</v>
      </c>
    </row>
    <row r="1104" spans="2:10" s="254" customFormat="1" x14ac:dyDescent="0.35">
      <c r="B1104" s="289" t="s">
        <v>36</v>
      </c>
      <c r="C1104" s="279" t="s">
        <v>785</v>
      </c>
      <c r="D1104" s="423">
        <f t="shared" ref="D1104:H1104" si="515">D1095+D1100+D1103</f>
        <v>0</v>
      </c>
      <c r="E1104" s="423">
        <f t="shared" si="515"/>
        <v>0</v>
      </c>
      <c r="F1104" s="423">
        <f t="shared" si="515"/>
        <v>0</v>
      </c>
      <c r="G1104" s="423">
        <f t="shared" si="515"/>
        <v>0</v>
      </c>
      <c r="H1104" s="423">
        <f t="shared" si="515"/>
        <v>0</v>
      </c>
      <c r="I1104" s="423">
        <f t="shared" ref="I1104:J1104" si="516">I1095+I1100+I1103</f>
        <v>0</v>
      </c>
      <c r="J1104" s="423">
        <f t="shared" si="516"/>
        <v>-46989</v>
      </c>
    </row>
    <row r="1105" spans="2:10" s="254" customFormat="1" x14ac:dyDescent="0.35">
      <c r="B1105" s="289"/>
      <c r="C1105" s="279"/>
      <c r="D1105" s="423"/>
      <c r="E1105" s="423"/>
      <c r="F1105" s="423"/>
      <c r="G1105" s="423"/>
      <c r="H1105" s="423"/>
      <c r="I1105" s="423"/>
      <c r="J1105" s="423"/>
    </row>
    <row r="1106" spans="2:10" s="254" customFormat="1" x14ac:dyDescent="0.35">
      <c r="B1106" s="289" t="s">
        <v>1625</v>
      </c>
      <c r="C1106" s="279"/>
      <c r="D1106" s="423"/>
      <c r="E1106" s="423"/>
      <c r="F1106" s="423"/>
      <c r="G1106" s="423"/>
      <c r="H1106" s="423"/>
      <c r="I1106" s="423"/>
      <c r="J1106" s="423"/>
    </row>
    <row r="1107" spans="2:10" s="254" customFormat="1" x14ac:dyDescent="0.35">
      <c r="B1107" s="289" t="s">
        <v>630</v>
      </c>
      <c r="C1107" s="289"/>
      <c r="D1107" s="423"/>
      <c r="E1107" s="423"/>
      <c r="F1107" s="423"/>
      <c r="G1107" s="423"/>
      <c r="H1107" s="423"/>
      <c r="I1107" s="423"/>
      <c r="J1107" s="423"/>
    </row>
    <row r="1108" spans="2:10" s="254" customFormat="1" x14ac:dyDescent="0.35">
      <c r="B1108" s="279" t="s">
        <v>631</v>
      </c>
      <c r="C1108" s="279" t="s">
        <v>785</v>
      </c>
      <c r="D1108" s="423"/>
      <c r="E1108" s="423"/>
      <c r="F1108" s="423"/>
      <c r="G1108" s="423"/>
      <c r="H1108" s="423"/>
      <c r="I1108" s="423"/>
      <c r="J1108" s="423">
        <v>0</v>
      </c>
    </row>
    <row r="1109" spans="2:10" s="254" customFormat="1" x14ac:dyDescent="0.35">
      <c r="B1109" s="591" t="s">
        <v>776</v>
      </c>
      <c r="C1109" s="279" t="s">
        <v>785</v>
      </c>
      <c r="D1109" s="423"/>
      <c r="E1109" s="423"/>
      <c r="F1109" s="423"/>
      <c r="G1109" s="423"/>
      <c r="H1109" s="423"/>
      <c r="I1109" s="423"/>
      <c r="J1109" s="423">
        <v>0</v>
      </c>
    </row>
    <row r="1110" spans="2:10" s="254" customFormat="1" x14ac:dyDescent="0.35">
      <c r="B1110" s="289" t="s">
        <v>636</v>
      </c>
      <c r="C1110" s="279" t="s">
        <v>785</v>
      </c>
      <c r="D1110" s="423"/>
      <c r="E1110" s="423"/>
      <c r="F1110" s="423"/>
      <c r="G1110" s="423"/>
      <c r="H1110" s="423"/>
      <c r="I1110" s="423">
        <f>SUM(I1108:I1109)</f>
        <v>0</v>
      </c>
      <c r="J1110" s="423">
        <f>SUM(J1108:J1109)</f>
        <v>0</v>
      </c>
    </row>
    <row r="1111" spans="2:10" s="254" customFormat="1" x14ac:dyDescent="0.35">
      <c r="B1111" s="289" t="s">
        <v>637</v>
      </c>
      <c r="C1111" s="279" t="s">
        <v>785</v>
      </c>
      <c r="D1111" s="423"/>
      <c r="E1111" s="423"/>
      <c r="F1111" s="423"/>
      <c r="G1111" s="423"/>
      <c r="H1111" s="423"/>
      <c r="I1111" s="423"/>
      <c r="J1111" s="423"/>
    </row>
    <row r="1112" spans="2:10" s="254" customFormat="1" x14ac:dyDescent="0.35">
      <c r="B1112" s="279" t="s">
        <v>638</v>
      </c>
      <c r="C1112" s="279" t="s">
        <v>785</v>
      </c>
      <c r="D1112" s="423"/>
      <c r="E1112" s="423"/>
      <c r="F1112" s="423"/>
      <c r="G1112" s="423"/>
      <c r="H1112" s="423"/>
      <c r="I1112" s="423"/>
      <c r="J1112" s="423">
        <v>0</v>
      </c>
    </row>
    <row r="1113" spans="2:10" s="254" customFormat="1" x14ac:dyDescent="0.35">
      <c r="B1113" s="279" t="s">
        <v>639</v>
      </c>
      <c r="C1113" s="279" t="s">
        <v>785</v>
      </c>
      <c r="D1113" s="423"/>
      <c r="E1113" s="423"/>
      <c r="F1113" s="423"/>
      <c r="G1113" s="423"/>
      <c r="H1113" s="423"/>
      <c r="I1113" s="423"/>
      <c r="J1113" s="423">
        <v>0</v>
      </c>
    </row>
    <row r="1114" spans="2:10" s="254" customFormat="1" x14ac:dyDescent="0.35">
      <c r="B1114" s="279" t="s">
        <v>640</v>
      </c>
      <c r="C1114" s="279" t="s">
        <v>785</v>
      </c>
      <c r="D1114" s="423"/>
      <c r="E1114" s="423"/>
      <c r="F1114" s="423"/>
      <c r="G1114" s="423"/>
      <c r="H1114" s="423"/>
      <c r="I1114" s="423"/>
      <c r="J1114" s="423">
        <v>0</v>
      </c>
    </row>
    <row r="1115" spans="2:10" s="254" customFormat="1" x14ac:dyDescent="0.35">
      <c r="B1115" s="289" t="s">
        <v>643</v>
      </c>
      <c r="C1115" s="279" t="s">
        <v>785</v>
      </c>
      <c r="D1115" s="423"/>
      <c r="E1115" s="423"/>
      <c r="F1115" s="423"/>
      <c r="G1115" s="423"/>
      <c r="H1115" s="423"/>
      <c r="I1115" s="423">
        <f>SUM(I1112:I1114)</f>
        <v>0</v>
      </c>
      <c r="J1115" s="423">
        <f>SUM(J1112:J1114)</f>
        <v>0</v>
      </c>
    </row>
    <row r="1116" spans="2:10" s="254" customFormat="1" x14ac:dyDescent="0.35">
      <c r="B1116" s="289" t="s">
        <v>644</v>
      </c>
      <c r="C1116" s="279" t="s">
        <v>785</v>
      </c>
      <c r="D1116" s="423"/>
      <c r="E1116" s="423"/>
      <c r="F1116" s="423"/>
      <c r="G1116" s="423"/>
      <c r="H1116" s="423"/>
      <c r="I1116" s="423"/>
      <c r="J1116" s="423"/>
    </row>
    <row r="1117" spans="2:10" s="254" customFormat="1" x14ac:dyDescent="0.35">
      <c r="B1117" s="279" t="s">
        <v>646</v>
      </c>
      <c r="C1117" s="279" t="s">
        <v>785</v>
      </c>
      <c r="D1117" s="423"/>
      <c r="E1117" s="423"/>
      <c r="F1117" s="423"/>
      <c r="G1117" s="423"/>
      <c r="H1117" s="423"/>
      <c r="I1117" s="423"/>
      <c r="J1117" s="423">
        <v>0</v>
      </c>
    </row>
    <row r="1118" spans="2:10" s="254" customFormat="1" x14ac:dyDescent="0.35">
      <c r="B1118" s="289" t="s">
        <v>649</v>
      </c>
      <c r="C1118" s="279" t="s">
        <v>785</v>
      </c>
      <c r="D1118" s="423"/>
      <c r="E1118" s="423"/>
      <c r="F1118" s="423"/>
      <c r="G1118" s="423"/>
      <c r="H1118" s="423"/>
      <c r="I1118" s="423">
        <f>SUM(I1117)</f>
        <v>0</v>
      </c>
      <c r="J1118" s="423">
        <f>SUM(J1117)</f>
        <v>0</v>
      </c>
    </row>
    <row r="1119" spans="2:10" s="254" customFormat="1" x14ac:dyDescent="0.35">
      <c r="B1119" s="289" t="s">
        <v>36</v>
      </c>
      <c r="C1119" s="279" t="s">
        <v>785</v>
      </c>
      <c r="D1119" s="423"/>
      <c r="E1119" s="423"/>
      <c r="F1119" s="423"/>
      <c r="G1119" s="423"/>
      <c r="H1119" s="423"/>
      <c r="I1119" s="423">
        <f>I1110+I1115+I1118</f>
        <v>0</v>
      </c>
      <c r="J1119" s="423">
        <f>J1110+J1115+J1118</f>
        <v>0</v>
      </c>
    </row>
    <row r="1120" spans="2:10" s="254" customFormat="1" x14ac:dyDescent="0.35">
      <c r="B1120" s="289"/>
      <c r="C1120" s="279"/>
      <c r="D1120" s="423"/>
      <c r="E1120" s="423"/>
      <c r="F1120" s="423"/>
      <c r="G1120" s="423"/>
      <c r="H1120" s="423"/>
      <c r="I1120" s="423"/>
      <c r="J1120" s="423"/>
    </row>
    <row r="1121" spans="2:10" s="254" customFormat="1" x14ac:dyDescent="0.35">
      <c r="B1121" s="289" t="s">
        <v>1626</v>
      </c>
      <c r="C1121" s="279"/>
      <c r="D1121" s="423"/>
      <c r="E1121" s="423"/>
      <c r="F1121" s="423"/>
      <c r="G1121" s="423"/>
      <c r="H1121" s="423"/>
      <c r="I1121" s="423"/>
      <c r="J1121" s="423"/>
    </row>
    <row r="1122" spans="2:10" s="254" customFormat="1" x14ac:dyDescent="0.35">
      <c r="B1122" s="289" t="s">
        <v>630</v>
      </c>
      <c r="C1122" s="289"/>
      <c r="D1122" s="423"/>
      <c r="E1122" s="423"/>
      <c r="F1122" s="423"/>
      <c r="G1122" s="423"/>
      <c r="H1122" s="423"/>
      <c r="I1122" s="423"/>
      <c r="J1122" s="423"/>
    </row>
    <row r="1123" spans="2:10" s="254" customFormat="1" x14ac:dyDescent="0.35">
      <c r="B1123" s="279" t="s">
        <v>631</v>
      </c>
      <c r="C1123" s="279" t="s">
        <v>785</v>
      </c>
      <c r="D1123" s="497"/>
      <c r="E1123" s="497"/>
      <c r="F1123" s="497"/>
      <c r="G1123" s="497"/>
      <c r="H1123" s="497"/>
      <c r="I1123" s="497">
        <f>I1063-I1078+I1093+I1108</f>
        <v>0</v>
      </c>
      <c r="J1123" s="497">
        <f>J1063-J1078+J1093+J1108</f>
        <v>0</v>
      </c>
    </row>
    <row r="1124" spans="2:10" s="254" customFormat="1" x14ac:dyDescent="0.35">
      <c r="B1124" s="591" t="s">
        <v>776</v>
      </c>
      <c r="C1124" s="279" t="s">
        <v>785</v>
      </c>
      <c r="D1124" s="497"/>
      <c r="E1124" s="497"/>
      <c r="F1124" s="497"/>
      <c r="G1124" s="497"/>
      <c r="H1124" s="497"/>
      <c r="I1124" s="497">
        <f>I1064-I1079+I1094+I1109</f>
        <v>0</v>
      </c>
      <c r="J1124" s="497">
        <f>J1064-J1079+J1094+J1109</f>
        <v>0</v>
      </c>
    </row>
    <row r="1125" spans="2:10" s="254" customFormat="1" x14ac:dyDescent="0.35">
      <c r="B1125" s="289" t="s">
        <v>636</v>
      </c>
      <c r="C1125" s="279" t="s">
        <v>785</v>
      </c>
      <c r="D1125" s="423">
        <f t="shared" ref="D1125:H1125" si="517">SUM(D1123:D1124)</f>
        <v>0</v>
      </c>
      <c r="E1125" s="423">
        <f t="shared" si="517"/>
        <v>0</v>
      </c>
      <c r="F1125" s="423">
        <f t="shared" si="517"/>
        <v>0</v>
      </c>
      <c r="G1125" s="423">
        <f t="shared" si="517"/>
        <v>0</v>
      </c>
      <c r="H1125" s="423">
        <f t="shared" si="517"/>
        <v>0</v>
      </c>
      <c r="I1125" s="423">
        <f t="shared" ref="I1125:J1125" si="518">SUM(I1123:I1124)</f>
        <v>0</v>
      </c>
      <c r="J1125" s="423">
        <f t="shared" si="518"/>
        <v>0</v>
      </c>
    </row>
    <row r="1126" spans="2:10" s="254" customFormat="1" x14ac:dyDescent="0.35">
      <c r="B1126" s="289" t="s">
        <v>637</v>
      </c>
      <c r="C1126" s="279" t="s">
        <v>785</v>
      </c>
      <c r="D1126" s="497"/>
      <c r="E1126" s="497"/>
      <c r="F1126" s="497"/>
      <c r="G1126" s="497"/>
      <c r="H1126" s="497"/>
      <c r="I1126" s="497"/>
      <c r="J1126" s="497"/>
    </row>
    <row r="1127" spans="2:10" s="254" customFormat="1" x14ac:dyDescent="0.35">
      <c r="B1127" s="279" t="s">
        <v>638</v>
      </c>
      <c r="C1127" s="279" t="s">
        <v>785</v>
      </c>
      <c r="D1127" s="497"/>
      <c r="E1127" s="497"/>
      <c r="F1127" s="497"/>
      <c r="G1127" s="497"/>
      <c r="H1127" s="497"/>
      <c r="I1127" s="497">
        <f t="shared" ref="I1127:J1127" si="519">I1067-I1082+I1097+I1112</f>
        <v>0</v>
      </c>
      <c r="J1127" s="497">
        <f t="shared" si="519"/>
        <v>0</v>
      </c>
    </row>
    <row r="1128" spans="2:10" s="254" customFormat="1" x14ac:dyDescent="0.35">
      <c r="B1128" s="279" t="s">
        <v>639</v>
      </c>
      <c r="C1128" s="279" t="s">
        <v>785</v>
      </c>
      <c r="D1128" s="497"/>
      <c r="E1128" s="497"/>
      <c r="F1128" s="497"/>
      <c r="G1128" s="497"/>
      <c r="H1128" s="497"/>
      <c r="I1128" s="497">
        <f t="shared" ref="I1128:J1128" si="520">I1068-I1083+I1098+I1113</f>
        <v>0</v>
      </c>
      <c r="J1128" s="497">
        <f t="shared" si="520"/>
        <v>0</v>
      </c>
    </row>
    <row r="1129" spans="2:10" s="254" customFormat="1" x14ac:dyDescent="0.35">
      <c r="B1129" s="279" t="s">
        <v>640</v>
      </c>
      <c r="C1129" s="279" t="s">
        <v>785</v>
      </c>
      <c r="D1129" s="497"/>
      <c r="E1129" s="497"/>
      <c r="F1129" s="497"/>
      <c r="G1129" s="497"/>
      <c r="H1129" s="497"/>
      <c r="I1129" s="497">
        <f t="shared" ref="I1129:J1129" si="521">I1069-I1084+I1099+I1114</f>
        <v>0</v>
      </c>
      <c r="J1129" s="497">
        <f t="shared" si="521"/>
        <v>0</v>
      </c>
    </row>
    <row r="1130" spans="2:10" s="254" customFormat="1" x14ac:dyDescent="0.35">
      <c r="B1130" s="289" t="s">
        <v>643</v>
      </c>
      <c r="C1130" s="279" t="s">
        <v>785</v>
      </c>
      <c r="D1130" s="423">
        <f t="shared" ref="D1130:H1130" si="522">SUM(D1127:D1129)</f>
        <v>0</v>
      </c>
      <c r="E1130" s="423">
        <f t="shared" si="522"/>
        <v>0</v>
      </c>
      <c r="F1130" s="423">
        <f t="shared" si="522"/>
        <v>0</v>
      </c>
      <c r="G1130" s="423">
        <f t="shared" si="522"/>
        <v>0</v>
      </c>
      <c r="H1130" s="423">
        <f t="shared" si="522"/>
        <v>0</v>
      </c>
      <c r="I1130" s="423">
        <f t="shared" ref="I1130:J1130" si="523">SUM(I1127:I1129)</f>
        <v>0</v>
      </c>
      <c r="J1130" s="423">
        <f t="shared" si="523"/>
        <v>0</v>
      </c>
    </row>
    <row r="1131" spans="2:10" s="254" customFormat="1" x14ac:dyDescent="0.35">
      <c r="B1131" s="289" t="s">
        <v>644</v>
      </c>
      <c r="C1131" s="279" t="s">
        <v>785</v>
      </c>
      <c r="D1131" s="497"/>
      <c r="E1131" s="497"/>
      <c r="F1131" s="497"/>
      <c r="G1131" s="497"/>
      <c r="H1131" s="497"/>
      <c r="I1131" s="497"/>
      <c r="J1131" s="497"/>
    </row>
    <row r="1132" spans="2:10" s="254" customFormat="1" x14ac:dyDescent="0.35">
      <c r="B1132" s="279" t="s">
        <v>646</v>
      </c>
      <c r="C1132" s="279" t="s">
        <v>785</v>
      </c>
      <c r="D1132" s="497"/>
      <c r="E1132" s="497"/>
      <c r="F1132" s="497"/>
      <c r="G1132" s="497"/>
      <c r="H1132" s="497"/>
      <c r="I1132" s="497">
        <f>I1072-I1087+I1102+I1117</f>
        <v>0</v>
      </c>
      <c r="J1132" s="497">
        <f>J1072-J1087+J1102+J1117</f>
        <v>0</v>
      </c>
    </row>
    <row r="1133" spans="2:10" s="254" customFormat="1" x14ac:dyDescent="0.35">
      <c r="B1133" s="289" t="s">
        <v>649</v>
      </c>
      <c r="C1133" s="279" t="s">
        <v>785</v>
      </c>
      <c r="D1133" s="423">
        <f t="shared" ref="D1133:H1133" si="524">SUM(D1132)</f>
        <v>0</v>
      </c>
      <c r="E1133" s="423">
        <f t="shared" si="524"/>
        <v>0</v>
      </c>
      <c r="F1133" s="423">
        <f t="shared" si="524"/>
        <v>0</v>
      </c>
      <c r="G1133" s="423">
        <f t="shared" si="524"/>
        <v>0</v>
      </c>
      <c r="H1133" s="423">
        <f t="shared" si="524"/>
        <v>0</v>
      </c>
      <c r="I1133" s="423">
        <f t="shared" ref="I1133:J1133" si="525">SUM(I1132)</f>
        <v>0</v>
      </c>
      <c r="J1133" s="423">
        <f t="shared" si="525"/>
        <v>0</v>
      </c>
    </row>
    <row r="1134" spans="2:10" s="254" customFormat="1" x14ac:dyDescent="0.35">
      <c r="B1134" s="289" t="s">
        <v>36</v>
      </c>
      <c r="C1134" s="279" t="s">
        <v>785</v>
      </c>
      <c r="D1134" s="423">
        <f t="shared" ref="D1134:H1134" si="526">D1125+D1130+D1133</f>
        <v>0</v>
      </c>
      <c r="E1134" s="423">
        <f t="shared" si="526"/>
        <v>0</v>
      </c>
      <c r="F1134" s="423">
        <f t="shared" si="526"/>
        <v>0</v>
      </c>
      <c r="G1134" s="423">
        <f t="shared" si="526"/>
        <v>0</v>
      </c>
      <c r="H1134" s="423">
        <f t="shared" si="526"/>
        <v>0</v>
      </c>
      <c r="I1134" s="423">
        <f t="shared" ref="I1134:J1134" si="527">I1125+I1130+I1133</f>
        <v>0</v>
      </c>
      <c r="J1134" s="423">
        <f t="shared" si="527"/>
        <v>0</v>
      </c>
    </row>
    <row r="1135" spans="2:10" s="254" customFormat="1" x14ac:dyDescent="0.35">
      <c r="B1135" s="289"/>
      <c r="C1135" s="279"/>
      <c r="D1135" s="423"/>
      <c r="E1135" s="423"/>
      <c r="F1135" s="423"/>
      <c r="G1135" s="423"/>
      <c r="H1135" s="423"/>
      <c r="I1135" s="423"/>
      <c r="J1135" s="423"/>
    </row>
    <row r="1136" spans="2:10" s="254" customFormat="1" x14ac:dyDescent="0.35">
      <c r="B1136" s="289"/>
      <c r="C1136" s="279"/>
      <c r="D1136" s="423"/>
      <c r="E1136" s="423"/>
      <c r="F1136" s="423"/>
      <c r="G1136" s="423"/>
      <c r="H1136" s="423"/>
      <c r="I1136" s="423"/>
      <c r="J1136" s="423"/>
    </row>
    <row r="1137" spans="2:10" s="254" customFormat="1" x14ac:dyDescent="0.35">
      <c r="B1137" s="289" t="s">
        <v>1620</v>
      </c>
      <c r="C1137" s="279"/>
      <c r="D1137" s="423"/>
      <c r="E1137" s="423"/>
      <c r="F1137" s="423"/>
      <c r="G1137" s="423"/>
      <c r="H1137" s="423"/>
      <c r="I1137" s="423"/>
      <c r="J1137" s="423"/>
    </row>
    <row r="1138" spans="2:10" s="254" customFormat="1" x14ac:dyDescent="0.35">
      <c r="B1138" s="289" t="s">
        <v>630</v>
      </c>
      <c r="C1138" s="289"/>
      <c r="D1138" s="423"/>
      <c r="E1138" s="423"/>
      <c r="F1138" s="423"/>
      <c r="G1138" s="423"/>
      <c r="H1138" s="423"/>
      <c r="I1138" s="423"/>
      <c r="J1138" s="423"/>
    </row>
    <row r="1139" spans="2:10" s="254" customFormat="1" x14ac:dyDescent="0.35">
      <c r="B1139" s="279" t="s">
        <v>631</v>
      </c>
      <c r="C1139" s="279" t="s">
        <v>651</v>
      </c>
      <c r="D1139" s="423"/>
      <c r="E1139" s="423"/>
      <c r="F1139" s="423"/>
      <c r="G1139" s="423"/>
      <c r="H1139" s="423"/>
      <c r="I1139" s="423"/>
      <c r="J1139" s="497">
        <v>0</v>
      </c>
    </row>
    <row r="1140" spans="2:10" s="254" customFormat="1" x14ac:dyDescent="0.35">
      <c r="B1140" s="591" t="s">
        <v>776</v>
      </c>
      <c r="C1140" s="279" t="s">
        <v>651</v>
      </c>
      <c r="D1140" s="423"/>
      <c r="E1140" s="423"/>
      <c r="F1140" s="423"/>
      <c r="G1140" s="423"/>
      <c r="H1140" s="423"/>
      <c r="I1140" s="423"/>
      <c r="J1140" s="497">
        <v>0</v>
      </c>
    </row>
    <row r="1141" spans="2:10" s="254" customFormat="1" x14ac:dyDescent="0.35">
      <c r="B1141" s="289" t="s">
        <v>636</v>
      </c>
      <c r="C1141" s="279" t="s">
        <v>651</v>
      </c>
      <c r="D1141" s="423"/>
      <c r="E1141" s="423"/>
      <c r="F1141" s="423"/>
      <c r="G1141" s="423"/>
      <c r="H1141" s="423"/>
      <c r="I1141" s="423">
        <f>SUM(I1139:I1140)</f>
        <v>0</v>
      </c>
      <c r="J1141" s="423">
        <f>SUM(J1139:J1140)</f>
        <v>0</v>
      </c>
    </row>
    <row r="1142" spans="2:10" s="254" customFormat="1" x14ac:dyDescent="0.35">
      <c r="B1142" s="289" t="s">
        <v>637</v>
      </c>
      <c r="C1142" s="279" t="s">
        <v>651</v>
      </c>
      <c r="D1142" s="423"/>
      <c r="E1142" s="423"/>
      <c r="F1142" s="423"/>
      <c r="G1142" s="423"/>
      <c r="H1142" s="423"/>
      <c r="I1142" s="423"/>
      <c r="J1142" s="423"/>
    </row>
    <row r="1143" spans="2:10" s="254" customFormat="1" x14ac:dyDescent="0.35">
      <c r="B1143" s="279" t="s">
        <v>638</v>
      </c>
      <c r="C1143" s="279" t="s">
        <v>651</v>
      </c>
      <c r="D1143" s="423"/>
      <c r="E1143" s="423"/>
      <c r="F1143" s="423"/>
      <c r="G1143" s="423"/>
      <c r="H1143" s="423"/>
      <c r="I1143" s="423"/>
      <c r="J1143" s="497">
        <v>0</v>
      </c>
    </row>
    <row r="1144" spans="2:10" s="254" customFormat="1" x14ac:dyDescent="0.35">
      <c r="B1144" s="279" t="s">
        <v>639</v>
      </c>
      <c r="C1144" s="279" t="s">
        <v>651</v>
      </c>
      <c r="D1144" s="423"/>
      <c r="E1144" s="423"/>
      <c r="F1144" s="423"/>
      <c r="G1144" s="423"/>
      <c r="H1144" s="423"/>
      <c r="I1144" s="423"/>
      <c r="J1144" s="497">
        <v>0</v>
      </c>
    </row>
    <row r="1145" spans="2:10" s="254" customFormat="1" x14ac:dyDescent="0.35">
      <c r="B1145" s="279" t="s">
        <v>640</v>
      </c>
      <c r="C1145" s="279" t="s">
        <v>651</v>
      </c>
      <c r="D1145" s="423"/>
      <c r="E1145" s="423"/>
      <c r="F1145" s="423"/>
      <c r="G1145" s="423"/>
      <c r="H1145" s="423"/>
      <c r="I1145" s="423"/>
      <c r="J1145" s="497">
        <v>0</v>
      </c>
    </row>
    <row r="1146" spans="2:10" s="254" customFormat="1" x14ac:dyDescent="0.35">
      <c r="B1146" s="289" t="s">
        <v>643</v>
      </c>
      <c r="C1146" s="279" t="s">
        <v>651</v>
      </c>
      <c r="D1146" s="423"/>
      <c r="E1146" s="423"/>
      <c r="F1146" s="423"/>
      <c r="G1146" s="423"/>
      <c r="H1146" s="423"/>
      <c r="I1146" s="423">
        <f>SUM(I1143:I1145)</f>
        <v>0</v>
      </c>
      <c r="J1146" s="423">
        <f>SUM(J1143:J1145)</f>
        <v>0</v>
      </c>
    </row>
    <row r="1147" spans="2:10" s="254" customFormat="1" x14ac:dyDescent="0.35">
      <c r="B1147" s="289" t="s">
        <v>644</v>
      </c>
      <c r="C1147" s="279" t="s">
        <v>651</v>
      </c>
      <c r="D1147" s="423"/>
      <c r="E1147" s="423"/>
      <c r="F1147" s="423"/>
      <c r="G1147" s="423"/>
      <c r="H1147" s="423"/>
      <c r="I1147" s="423"/>
      <c r="J1147" s="423"/>
    </row>
    <row r="1148" spans="2:10" s="254" customFormat="1" x14ac:dyDescent="0.35">
      <c r="B1148" s="279" t="s">
        <v>646</v>
      </c>
      <c r="C1148" s="279" t="s">
        <v>651</v>
      </c>
      <c r="D1148" s="423"/>
      <c r="E1148" s="423"/>
      <c r="F1148" s="423"/>
      <c r="G1148" s="423"/>
      <c r="H1148" s="423"/>
      <c r="I1148" s="423"/>
      <c r="J1148" s="497">
        <v>0</v>
      </c>
    </row>
    <row r="1149" spans="2:10" s="254" customFormat="1" x14ac:dyDescent="0.35">
      <c r="B1149" s="289" t="s">
        <v>649</v>
      </c>
      <c r="C1149" s="279" t="s">
        <v>651</v>
      </c>
      <c r="D1149" s="423"/>
      <c r="E1149" s="423"/>
      <c r="F1149" s="423"/>
      <c r="G1149" s="423"/>
      <c r="H1149" s="423"/>
      <c r="I1149" s="423">
        <f>SUM(I1148:I1148)</f>
        <v>0</v>
      </c>
      <c r="J1149" s="423">
        <f>SUM(J1148:J1148)</f>
        <v>0</v>
      </c>
    </row>
    <row r="1150" spans="2:10" s="254" customFormat="1" x14ac:dyDescent="0.35">
      <c r="B1150" s="289" t="s">
        <v>36</v>
      </c>
      <c r="C1150" s="279" t="s">
        <v>651</v>
      </c>
      <c r="D1150" s="423"/>
      <c r="E1150" s="423"/>
      <c r="F1150" s="423"/>
      <c r="G1150" s="423"/>
      <c r="H1150" s="423"/>
      <c r="I1150" s="423">
        <f>I1141+I1146+I1149</f>
        <v>0</v>
      </c>
      <c r="J1150" s="423">
        <f>J1141+J1146+J1149</f>
        <v>0</v>
      </c>
    </row>
    <row r="1151" spans="2:10" s="254" customFormat="1" x14ac:dyDescent="0.35">
      <c r="B1151" s="289"/>
      <c r="C1151" s="279"/>
      <c r="D1151" s="423"/>
      <c r="E1151" s="423"/>
      <c r="F1151" s="423"/>
      <c r="G1151" s="423"/>
      <c r="H1151" s="423"/>
      <c r="I1151" s="423"/>
      <c r="J1151" s="423"/>
    </row>
    <row r="1152" spans="2:10" s="254" customFormat="1" x14ac:dyDescent="0.35">
      <c r="B1152" s="289" t="s">
        <v>1614</v>
      </c>
      <c r="C1152" s="279"/>
      <c r="D1152" s="423"/>
      <c r="E1152" s="423"/>
      <c r="F1152" s="423"/>
      <c r="G1152" s="423"/>
      <c r="H1152" s="423"/>
      <c r="I1152" s="423"/>
      <c r="J1152" s="423"/>
    </row>
    <row r="1153" spans="2:10" s="254" customFormat="1" x14ac:dyDescent="0.35">
      <c r="B1153" s="289" t="s">
        <v>630</v>
      </c>
      <c r="C1153" s="289"/>
      <c r="D1153" s="423"/>
      <c r="E1153" s="423"/>
      <c r="F1153" s="423"/>
      <c r="G1153" s="423"/>
      <c r="H1153" s="423"/>
      <c r="I1153" s="423"/>
      <c r="J1153" s="423"/>
    </row>
    <row r="1154" spans="2:10" s="254" customFormat="1" x14ac:dyDescent="0.35">
      <c r="B1154" s="279" t="s">
        <v>631</v>
      </c>
      <c r="C1154" s="279" t="s">
        <v>651</v>
      </c>
      <c r="D1154" s="423"/>
      <c r="E1154" s="423"/>
      <c r="F1154" s="423"/>
      <c r="G1154" s="423"/>
      <c r="H1154" s="423"/>
      <c r="I1154" s="423"/>
      <c r="J1154" s="497">
        <v>0</v>
      </c>
    </row>
    <row r="1155" spans="2:10" s="254" customFormat="1" x14ac:dyDescent="0.35">
      <c r="B1155" s="591" t="s">
        <v>776</v>
      </c>
      <c r="C1155" s="279" t="s">
        <v>651</v>
      </c>
      <c r="D1155" s="423"/>
      <c r="E1155" s="423"/>
      <c r="F1155" s="423"/>
      <c r="G1155" s="423"/>
      <c r="H1155" s="423"/>
      <c r="I1155" s="423"/>
      <c r="J1155" s="497">
        <v>0</v>
      </c>
    </row>
    <row r="1156" spans="2:10" s="254" customFormat="1" x14ac:dyDescent="0.35">
      <c r="B1156" s="289" t="s">
        <v>636</v>
      </c>
      <c r="C1156" s="279" t="s">
        <v>651</v>
      </c>
      <c r="D1156" s="423"/>
      <c r="E1156" s="423"/>
      <c r="F1156" s="423"/>
      <c r="G1156" s="423"/>
      <c r="H1156" s="423"/>
      <c r="I1156" s="423">
        <f>SUM(I1154:I1155)</f>
        <v>0</v>
      </c>
      <c r="J1156" s="423">
        <f>SUM(J1154:J1155)</f>
        <v>0</v>
      </c>
    </row>
    <row r="1157" spans="2:10" s="254" customFormat="1" x14ac:dyDescent="0.35">
      <c r="B1157" s="289" t="s">
        <v>637</v>
      </c>
      <c r="C1157" s="279" t="s">
        <v>651</v>
      </c>
      <c r="D1157" s="423"/>
      <c r="E1157" s="423"/>
      <c r="F1157" s="423"/>
      <c r="G1157" s="423"/>
      <c r="H1157" s="423"/>
      <c r="I1157" s="423"/>
      <c r="J1157" s="423"/>
    </row>
    <row r="1158" spans="2:10" s="254" customFormat="1" x14ac:dyDescent="0.35">
      <c r="B1158" s="279" t="s">
        <v>638</v>
      </c>
      <c r="C1158" s="279" t="s">
        <v>651</v>
      </c>
      <c r="D1158" s="423"/>
      <c r="E1158" s="423"/>
      <c r="F1158" s="423"/>
      <c r="G1158" s="423"/>
      <c r="H1158" s="423"/>
      <c r="I1158" s="423"/>
      <c r="J1158" s="497">
        <v>0</v>
      </c>
    </row>
    <row r="1159" spans="2:10" s="254" customFormat="1" x14ac:dyDescent="0.35">
      <c r="B1159" s="279" t="s">
        <v>639</v>
      </c>
      <c r="C1159" s="279" t="s">
        <v>651</v>
      </c>
      <c r="D1159" s="423"/>
      <c r="E1159" s="423"/>
      <c r="F1159" s="423"/>
      <c r="G1159" s="423"/>
      <c r="H1159" s="423"/>
      <c r="I1159" s="423"/>
      <c r="J1159" s="497">
        <v>0</v>
      </c>
    </row>
    <row r="1160" spans="2:10" s="254" customFormat="1" x14ac:dyDescent="0.35">
      <c r="B1160" s="279" t="s">
        <v>640</v>
      </c>
      <c r="C1160" s="279" t="s">
        <v>651</v>
      </c>
      <c r="D1160" s="423"/>
      <c r="E1160" s="423"/>
      <c r="F1160" s="423"/>
      <c r="G1160" s="423"/>
      <c r="H1160" s="423"/>
      <c r="I1160" s="423"/>
      <c r="J1160" s="497">
        <v>0</v>
      </c>
    </row>
    <row r="1161" spans="2:10" s="254" customFormat="1" x14ac:dyDescent="0.35">
      <c r="B1161" s="289" t="s">
        <v>643</v>
      </c>
      <c r="C1161" s="279" t="s">
        <v>651</v>
      </c>
      <c r="D1161" s="423"/>
      <c r="E1161" s="423"/>
      <c r="F1161" s="423"/>
      <c r="G1161" s="423"/>
      <c r="H1161" s="423"/>
      <c r="I1161" s="423">
        <f>SUM(I1158:I1160)</f>
        <v>0</v>
      </c>
      <c r="J1161" s="423">
        <f>SUM(J1158:J1160)</f>
        <v>0</v>
      </c>
    </row>
    <row r="1162" spans="2:10" s="254" customFormat="1" x14ac:dyDescent="0.35">
      <c r="B1162" s="289" t="s">
        <v>644</v>
      </c>
      <c r="C1162" s="279" t="s">
        <v>651</v>
      </c>
      <c r="D1162" s="423"/>
      <c r="E1162" s="423"/>
      <c r="F1162" s="423"/>
      <c r="G1162" s="423"/>
      <c r="H1162" s="423"/>
      <c r="I1162" s="423"/>
      <c r="J1162" s="423"/>
    </row>
    <row r="1163" spans="2:10" s="254" customFormat="1" x14ac:dyDescent="0.35">
      <c r="B1163" s="279" t="s">
        <v>646</v>
      </c>
      <c r="C1163" s="279" t="s">
        <v>651</v>
      </c>
      <c r="D1163" s="423"/>
      <c r="E1163" s="423"/>
      <c r="F1163" s="423"/>
      <c r="G1163" s="423"/>
      <c r="H1163" s="423"/>
      <c r="I1163" s="423"/>
      <c r="J1163" s="497">
        <v>407200</v>
      </c>
    </row>
    <row r="1164" spans="2:10" s="254" customFormat="1" x14ac:dyDescent="0.35">
      <c r="B1164" s="289" t="s">
        <v>649</v>
      </c>
      <c r="C1164" s="279" t="s">
        <v>651</v>
      </c>
      <c r="D1164" s="423"/>
      <c r="E1164" s="423"/>
      <c r="F1164" s="423"/>
      <c r="G1164" s="423"/>
      <c r="H1164" s="423"/>
      <c r="I1164" s="423">
        <f>SUM(I1163:I1163)</f>
        <v>0</v>
      </c>
      <c r="J1164" s="423">
        <f>SUM(J1163:J1163)</f>
        <v>407200</v>
      </c>
    </row>
    <row r="1165" spans="2:10" s="254" customFormat="1" x14ac:dyDescent="0.35">
      <c r="B1165" s="289" t="s">
        <v>36</v>
      </c>
      <c r="C1165" s="279" t="s">
        <v>651</v>
      </c>
      <c r="D1165" s="423"/>
      <c r="E1165" s="423"/>
      <c r="F1165" s="423"/>
      <c r="G1165" s="423"/>
      <c r="H1165" s="423"/>
      <c r="I1165" s="423">
        <f>I1156+I1161+I1164</f>
        <v>0</v>
      </c>
      <c r="J1165" s="423">
        <f>J1156+J1161+J1164</f>
        <v>407200</v>
      </c>
    </row>
    <row r="1166" spans="2:10" s="254" customFormat="1" x14ac:dyDescent="0.35">
      <c r="B1166" s="289"/>
      <c r="C1166" s="279"/>
      <c r="D1166" s="423"/>
      <c r="E1166" s="423"/>
      <c r="F1166" s="423"/>
      <c r="G1166" s="423"/>
      <c r="H1166" s="423"/>
      <c r="I1166" s="423"/>
      <c r="J1166" s="423"/>
    </row>
    <row r="1167" spans="2:10" s="254" customFormat="1" x14ac:dyDescent="0.35">
      <c r="B1167" s="289" t="s">
        <v>1615</v>
      </c>
      <c r="C1167" s="279"/>
      <c r="D1167" s="423"/>
      <c r="E1167" s="423"/>
      <c r="F1167" s="423"/>
      <c r="G1167" s="423"/>
      <c r="H1167" s="423"/>
      <c r="I1167" s="423"/>
      <c r="J1167" s="423"/>
    </row>
    <row r="1168" spans="2:10" s="254" customFormat="1" x14ac:dyDescent="0.35">
      <c r="B1168" s="289" t="s">
        <v>630</v>
      </c>
      <c r="C1168" s="289"/>
      <c r="D1168" s="423"/>
      <c r="E1168" s="423"/>
      <c r="F1168" s="423"/>
      <c r="G1168" s="423"/>
      <c r="H1168" s="423"/>
      <c r="I1168" s="423"/>
      <c r="J1168" s="423"/>
    </row>
    <row r="1169" spans="2:10" s="254" customFormat="1" x14ac:dyDescent="0.35">
      <c r="B1169" s="279" t="s">
        <v>631</v>
      </c>
      <c r="C1169" s="279" t="s">
        <v>651</v>
      </c>
      <c r="D1169" s="423"/>
      <c r="E1169" s="423"/>
      <c r="F1169" s="423"/>
      <c r="G1169" s="423"/>
      <c r="H1169" s="423"/>
      <c r="I1169" s="423"/>
      <c r="J1169" s="497">
        <v>0</v>
      </c>
    </row>
    <row r="1170" spans="2:10" s="254" customFormat="1" x14ac:dyDescent="0.35">
      <c r="B1170" s="591" t="s">
        <v>776</v>
      </c>
      <c r="C1170" s="279" t="s">
        <v>651</v>
      </c>
      <c r="D1170" s="423"/>
      <c r="E1170" s="423"/>
      <c r="F1170" s="423"/>
      <c r="G1170" s="423"/>
      <c r="H1170" s="423"/>
      <c r="I1170" s="423"/>
      <c r="J1170" s="497">
        <v>0</v>
      </c>
    </row>
    <row r="1171" spans="2:10" s="254" customFormat="1" x14ac:dyDescent="0.35">
      <c r="B1171" s="289" t="s">
        <v>636</v>
      </c>
      <c r="C1171" s="279" t="s">
        <v>651</v>
      </c>
      <c r="D1171" s="423"/>
      <c r="E1171" s="423"/>
      <c r="F1171" s="423"/>
      <c r="G1171" s="423"/>
      <c r="H1171" s="423"/>
      <c r="I1171" s="423">
        <f>SUM(I1169:I1170)</f>
        <v>0</v>
      </c>
      <c r="J1171" s="423">
        <f>SUM(J1169:J1170)</f>
        <v>0</v>
      </c>
    </row>
    <row r="1172" spans="2:10" s="254" customFormat="1" x14ac:dyDescent="0.35">
      <c r="B1172" s="289" t="s">
        <v>637</v>
      </c>
      <c r="C1172" s="279" t="s">
        <v>651</v>
      </c>
      <c r="D1172" s="423"/>
      <c r="E1172" s="423"/>
      <c r="F1172" s="423"/>
      <c r="G1172" s="423"/>
      <c r="H1172" s="423"/>
      <c r="I1172" s="423"/>
      <c r="J1172" s="423"/>
    </row>
    <row r="1173" spans="2:10" s="254" customFormat="1" x14ac:dyDescent="0.35">
      <c r="B1173" s="279" t="s">
        <v>638</v>
      </c>
      <c r="C1173" s="279" t="s">
        <v>651</v>
      </c>
      <c r="D1173" s="423"/>
      <c r="E1173" s="423"/>
      <c r="F1173" s="423"/>
      <c r="G1173" s="423"/>
      <c r="H1173" s="423"/>
      <c r="I1173" s="423"/>
      <c r="J1173" s="497">
        <v>0</v>
      </c>
    </row>
    <row r="1174" spans="2:10" s="254" customFormat="1" x14ac:dyDescent="0.35">
      <c r="B1174" s="279" t="s">
        <v>639</v>
      </c>
      <c r="C1174" s="279" t="s">
        <v>651</v>
      </c>
      <c r="D1174" s="423"/>
      <c r="E1174" s="423"/>
      <c r="F1174" s="423"/>
      <c r="G1174" s="423"/>
      <c r="H1174" s="423"/>
      <c r="I1174" s="423"/>
      <c r="J1174" s="497">
        <v>0</v>
      </c>
    </row>
    <row r="1175" spans="2:10" s="254" customFormat="1" x14ac:dyDescent="0.35">
      <c r="B1175" s="279" t="s">
        <v>640</v>
      </c>
      <c r="C1175" s="279" t="s">
        <v>651</v>
      </c>
      <c r="D1175" s="423"/>
      <c r="E1175" s="423"/>
      <c r="F1175" s="423"/>
      <c r="G1175" s="423"/>
      <c r="H1175" s="423"/>
      <c r="I1175" s="423"/>
      <c r="J1175" s="497">
        <v>0</v>
      </c>
    </row>
    <row r="1176" spans="2:10" s="254" customFormat="1" x14ac:dyDescent="0.35">
      <c r="B1176" s="289" t="s">
        <v>643</v>
      </c>
      <c r="C1176" s="279" t="s">
        <v>651</v>
      </c>
      <c r="D1176" s="423"/>
      <c r="E1176" s="423"/>
      <c r="F1176" s="423"/>
      <c r="G1176" s="423"/>
      <c r="H1176" s="423"/>
      <c r="I1176" s="423">
        <f>SUM(I1173:I1175)</f>
        <v>0</v>
      </c>
      <c r="J1176" s="423">
        <f>SUM(J1173:J1175)</f>
        <v>0</v>
      </c>
    </row>
    <row r="1177" spans="2:10" s="254" customFormat="1" x14ac:dyDescent="0.35">
      <c r="B1177" s="289" t="s">
        <v>644</v>
      </c>
      <c r="C1177" s="279" t="s">
        <v>651</v>
      </c>
      <c r="D1177" s="423"/>
      <c r="E1177" s="423"/>
      <c r="F1177" s="423"/>
      <c r="G1177" s="423"/>
      <c r="H1177" s="423"/>
      <c r="I1177" s="423"/>
      <c r="J1177" s="423"/>
    </row>
    <row r="1178" spans="2:10" s="254" customFormat="1" x14ac:dyDescent="0.35">
      <c r="B1178" s="279" t="s">
        <v>646</v>
      </c>
      <c r="C1178" s="279" t="s">
        <v>651</v>
      </c>
      <c r="D1178" s="423"/>
      <c r="E1178" s="423"/>
      <c r="F1178" s="423"/>
      <c r="G1178" s="423"/>
      <c r="H1178" s="423"/>
      <c r="I1178" s="423"/>
      <c r="J1178" s="497">
        <v>407200</v>
      </c>
    </row>
    <row r="1179" spans="2:10" s="254" customFormat="1" x14ac:dyDescent="0.35">
      <c r="B1179" s="289" t="s">
        <v>649</v>
      </c>
      <c r="C1179" s="279" t="s">
        <v>651</v>
      </c>
      <c r="D1179" s="423"/>
      <c r="E1179" s="423"/>
      <c r="F1179" s="423"/>
      <c r="G1179" s="423"/>
      <c r="H1179" s="423"/>
      <c r="I1179" s="423">
        <f>SUM(I1178:I1178)</f>
        <v>0</v>
      </c>
      <c r="J1179" s="423">
        <f>SUM(J1178:J1178)</f>
        <v>407200</v>
      </c>
    </row>
    <row r="1180" spans="2:10" s="254" customFormat="1" x14ac:dyDescent="0.35">
      <c r="B1180" s="289" t="s">
        <v>36</v>
      </c>
      <c r="C1180" s="279" t="s">
        <v>651</v>
      </c>
      <c r="D1180" s="423"/>
      <c r="E1180" s="423"/>
      <c r="F1180" s="423"/>
      <c r="G1180" s="423"/>
      <c r="H1180" s="423"/>
      <c r="I1180" s="423">
        <f>I1171+I1176+I1179</f>
        <v>0</v>
      </c>
      <c r="J1180" s="423">
        <f>J1171+J1176+J1179</f>
        <v>407200</v>
      </c>
    </row>
    <row r="1181" spans="2:10" s="254" customFormat="1" x14ac:dyDescent="0.35">
      <c r="B1181" s="289"/>
      <c r="C1181" s="279"/>
      <c r="D1181" s="423"/>
      <c r="E1181" s="423"/>
      <c r="F1181" s="423"/>
      <c r="G1181" s="423"/>
      <c r="H1181" s="423"/>
      <c r="I1181" s="423"/>
      <c r="J1181" s="423"/>
    </row>
    <row r="1182" spans="2:10" s="254" customFormat="1" x14ac:dyDescent="0.35">
      <c r="B1182" s="289" t="s">
        <v>1621</v>
      </c>
      <c r="C1182" s="279"/>
      <c r="D1182" s="423"/>
      <c r="E1182" s="423"/>
      <c r="F1182" s="423"/>
      <c r="G1182" s="423"/>
      <c r="H1182" s="423"/>
      <c r="I1182" s="423"/>
      <c r="J1182" s="423"/>
    </row>
    <row r="1183" spans="2:10" s="254" customFormat="1" x14ac:dyDescent="0.35">
      <c r="B1183" s="289" t="s">
        <v>630</v>
      </c>
      <c r="C1183" s="289"/>
      <c r="D1183" s="423"/>
      <c r="E1183" s="423"/>
      <c r="F1183" s="423"/>
      <c r="G1183" s="423"/>
      <c r="H1183" s="423"/>
      <c r="I1183" s="423"/>
      <c r="J1183" s="423"/>
    </row>
    <row r="1184" spans="2:10" s="254" customFormat="1" x14ac:dyDescent="0.35">
      <c r="B1184" s="279" t="s">
        <v>631</v>
      </c>
      <c r="C1184" s="279" t="s">
        <v>651</v>
      </c>
      <c r="D1184" s="423"/>
      <c r="E1184" s="423"/>
      <c r="F1184" s="423"/>
      <c r="G1184" s="423"/>
      <c r="H1184" s="423"/>
      <c r="I1184" s="497">
        <f>I1139+I1154-I1169</f>
        <v>0</v>
      </c>
      <c r="J1184" s="497">
        <f>J1139+J1154-J1169</f>
        <v>0</v>
      </c>
    </row>
    <row r="1185" spans="2:10" s="254" customFormat="1" x14ac:dyDescent="0.35">
      <c r="B1185" s="591" t="s">
        <v>776</v>
      </c>
      <c r="C1185" s="279" t="s">
        <v>651</v>
      </c>
      <c r="D1185" s="423"/>
      <c r="E1185" s="423"/>
      <c r="F1185" s="423"/>
      <c r="G1185" s="423"/>
      <c r="H1185" s="423"/>
      <c r="I1185" s="497">
        <f>I1140+I1155-I1170</f>
        <v>0</v>
      </c>
      <c r="J1185" s="497">
        <f>J1140+J1155-J1170</f>
        <v>0</v>
      </c>
    </row>
    <row r="1186" spans="2:10" s="254" customFormat="1" x14ac:dyDescent="0.35">
      <c r="B1186" s="289" t="s">
        <v>636</v>
      </c>
      <c r="C1186" s="279" t="s">
        <v>651</v>
      </c>
      <c r="D1186" s="423"/>
      <c r="E1186" s="423"/>
      <c r="F1186" s="423"/>
      <c r="G1186" s="423"/>
      <c r="H1186" s="423"/>
      <c r="I1186" s="423">
        <f>SUM(I1184:I1185)</f>
        <v>0</v>
      </c>
      <c r="J1186" s="423">
        <f>SUM(J1184:J1185)</f>
        <v>0</v>
      </c>
    </row>
    <row r="1187" spans="2:10" s="254" customFormat="1" x14ac:dyDescent="0.35">
      <c r="B1187" s="289" t="s">
        <v>637</v>
      </c>
      <c r="C1187" s="279" t="s">
        <v>651</v>
      </c>
      <c r="D1187" s="423"/>
      <c r="E1187" s="423"/>
      <c r="F1187" s="423"/>
      <c r="G1187" s="423"/>
      <c r="H1187" s="423"/>
      <c r="I1187" s="423"/>
      <c r="J1187" s="423"/>
    </row>
    <row r="1188" spans="2:10" s="254" customFormat="1" x14ac:dyDescent="0.35">
      <c r="B1188" s="279" t="s">
        <v>638</v>
      </c>
      <c r="C1188" s="279" t="s">
        <v>651</v>
      </c>
      <c r="D1188" s="423"/>
      <c r="E1188" s="423"/>
      <c r="F1188" s="423"/>
      <c r="G1188" s="423"/>
      <c r="H1188" s="423"/>
      <c r="I1188" s="497">
        <f t="shared" ref="I1188:J1188" si="528">I1143+I1158-I1173</f>
        <v>0</v>
      </c>
      <c r="J1188" s="497">
        <f t="shared" si="528"/>
        <v>0</v>
      </c>
    </row>
    <row r="1189" spans="2:10" s="254" customFormat="1" x14ac:dyDescent="0.35">
      <c r="B1189" s="279" t="s">
        <v>639</v>
      </c>
      <c r="C1189" s="279" t="s">
        <v>651</v>
      </c>
      <c r="D1189" s="423"/>
      <c r="E1189" s="423"/>
      <c r="F1189" s="423"/>
      <c r="G1189" s="423"/>
      <c r="H1189" s="423"/>
      <c r="I1189" s="497">
        <f t="shared" ref="I1189:J1189" si="529">I1144+I1159-I1174</f>
        <v>0</v>
      </c>
      <c r="J1189" s="497">
        <f t="shared" si="529"/>
        <v>0</v>
      </c>
    </row>
    <row r="1190" spans="2:10" s="254" customFormat="1" x14ac:dyDescent="0.35">
      <c r="B1190" s="279" t="s">
        <v>640</v>
      </c>
      <c r="C1190" s="279" t="s">
        <v>651</v>
      </c>
      <c r="D1190" s="423"/>
      <c r="E1190" s="423"/>
      <c r="F1190" s="423"/>
      <c r="G1190" s="423"/>
      <c r="H1190" s="423"/>
      <c r="I1190" s="497">
        <f t="shared" ref="I1190:J1190" si="530">I1145+I1160-I1175</f>
        <v>0</v>
      </c>
      <c r="J1190" s="497">
        <f t="shared" si="530"/>
        <v>0</v>
      </c>
    </row>
    <row r="1191" spans="2:10" s="254" customFormat="1" x14ac:dyDescent="0.35">
      <c r="B1191" s="289" t="s">
        <v>643</v>
      </c>
      <c r="C1191" s="279" t="s">
        <v>651</v>
      </c>
      <c r="D1191" s="423"/>
      <c r="E1191" s="423"/>
      <c r="F1191" s="423"/>
      <c r="G1191" s="423"/>
      <c r="H1191" s="423"/>
      <c r="I1191" s="423">
        <f>SUM(I1188:I1190)</f>
        <v>0</v>
      </c>
      <c r="J1191" s="423">
        <f>SUM(J1188:J1190)</f>
        <v>0</v>
      </c>
    </row>
    <row r="1192" spans="2:10" s="254" customFormat="1" x14ac:dyDescent="0.35">
      <c r="B1192" s="289" t="s">
        <v>644</v>
      </c>
      <c r="C1192" s="279" t="s">
        <v>651</v>
      </c>
      <c r="D1192" s="423"/>
      <c r="E1192" s="423"/>
      <c r="F1192" s="423"/>
      <c r="G1192" s="423"/>
      <c r="H1192" s="423"/>
      <c r="I1192" s="423"/>
      <c r="J1192" s="423"/>
    </row>
    <row r="1193" spans="2:10" s="254" customFormat="1" x14ac:dyDescent="0.35">
      <c r="B1193" s="279" t="s">
        <v>646</v>
      </c>
      <c r="C1193" s="279" t="s">
        <v>651</v>
      </c>
      <c r="D1193" s="423"/>
      <c r="E1193" s="423"/>
      <c r="F1193" s="423"/>
      <c r="G1193" s="423"/>
      <c r="H1193" s="423"/>
      <c r="I1193" s="497">
        <f>I1148+I1163-I1178</f>
        <v>0</v>
      </c>
      <c r="J1193" s="497">
        <f>J1148+J1163-J1178</f>
        <v>0</v>
      </c>
    </row>
    <row r="1194" spans="2:10" s="254" customFormat="1" x14ac:dyDescent="0.35">
      <c r="B1194" s="289" t="s">
        <v>649</v>
      </c>
      <c r="C1194" s="279" t="s">
        <v>651</v>
      </c>
      <c r="D1194" s="423"/>
      <c r="E1194" s="423"/>
      <c r="F1194" s="423"/>
      <c r="G1194" s="423"/>
      <c r="H1194" s="423"/>
      <c r="I1194" s="423">
        <f>SUM(I1193:I1193)</f>
        <v>0</v>
      </c>
      <c r="J1194" s="423">
        <f>SUM(J1193:J1193)</f>
        <v>0</v>
      </c>
    </row>
    <row r="1195" spans="2:10" s="254" customFormat="1" x14ac:dyDescent="0.35">
      <c r="B1195" s="289" t="s">
        <v>36</v>
      </c>
      <c r="C1195" s="279" t="s">
        <v>651</v>
      </c>
      <c r="D1195" s="423"/>
      <c r="E1195" s="423"/>
      <c r="F1195" s="423"/>
      <c r="G1195" s="423"/>
      <c r="H1195" s="423"/>
      <c r="I1195" s="423">
        <f>I1186+I1191+I1194</f>
        <v>0</v>
      </c>
      <c r="J1195" s="423">
        <f>J1186+J1191+J1194</f>
        <v>0</v>
      </c>
    </row>
    <row r="1196" spans="2:10" s="254" customFormat="1" x14ac:dyDescent="0.35">
      <c r="B1196" s="289"/>
      <c r="C1196" s="279"/>
      <c r="D1196" s="423"/>
      <c r="E1196" s="423"/>
      <c r="F1196" s="423"/>
      <c r="G1196" s="423"/>
      <c r="H1196" s="423"/>
      <c r="I1196" s="423"/>
      <c r="J1196" s="423"/>
    </row>
    <row r="1197" spans="2:10" x14ac:dyDescent="0.35">
      <c r="B1197" s="283" t="s">
        <v>11</v>
      </c>
      <c r="C1197" s="286"/>
      <c r="D1197" s="415"/>
      <c r="E1197" s="415"/>
      <c r="F1197" s="415"/>
      <c r="G1197" s="415"/>
      <c r="H1197" s="415"/>
      <c r="I1197" s="415"/>
      <c r="J1197" s="415"/>
    </row>
    <row r="1198" spans="2:10" x14ac:dyDescent="0.35">
      <c r="B1198" s="411" t="s">
        <v>876</v>
      </c>
      <c r="C1198" s="412"/>
      <c r="D1198" s="412"/>
      <c r="E1198" s="412"/>
      <c r="F1198" s="412"/>
      <c r="G1198" s="412"/>
      <c r="H1198" s="412"/>
      <c r="I1198" s="412"/>
      <c r="J1198" s="412"/>
    </row>
    <row r="1199" spans="2:10" x14ac:dyDescent="0.35">
      <c r="B1199" s="199" t="s">
        <v>664</v>
      </c>
      <c r="C1199" s="199" t="s">
        <v>369</v>
      </c>
      <c r="D1199" s="198"/>
      <c r="E1199" s="198"/>
      <c r="F1199" s="198"/>
      <c r="G1199" s="198"/>
      <c r="H1199" s="198"/>
      <c r="I1199" s="198"/>
      <c r="J1199" s="198"/>
    </row>
    <row r="1200" spans="2:10" x14ac:dyDescent="0.35">
      <c r="B1200" s="199" t="s">
        <v>630</v>
      </c>
      <c r="C1200" s="199"/>
      <c r="D1200" s="198"/>
      <c r="E1200" s="198"/>
      <c r="F1200" s="198"/>
      <c r="G1200" s="198"/>
      <c r="H1200" s="198"/>
      <c r="I1200" s="198"/>
      <c r="J1200" s="198"/>
    </row>
    <row r="1201" spans="2:10" s="254" customFormat="1" x14ac:dyDescent="0.35">
      <c r="B1201" s="279" t="s">
        <v>631</v>
      </c>
      <c r="C1201" s="279" t="s">
        <v>651</v>
      </c>
      <c r="D1201" s="422">
        <v>4331211.2</v>
      </c>
      <c r="E1201" s="422">
        <v>3749025</v>
      </c>
      <c r="F1201" s="422">
        <v>4344216.2</v>
      </c>
      <c r="G1201" s="422">
        <v>4881915</v>
      </c>
      <c r="H1201" s="422">
        <v>4686137.72</v>
      </c>
      <c r="I1201" s="422">
        <v>5175685</v>
      </c>
      <c r="J1201" s="422">
        <v>4882055</v>
      </c>
    </row>
    <row r="1202" spans="2:10" s="254" customFormat="1" x14ac:dyDescent="0.35">
      <c r="B1202" s="279" t="s">
        <v>632</v>
      </c>
      <c r="C1202" s="279" t="s">
        <v>651</v>
      </c>
      <c r="D1202" s="422">
        <v>2170799.7000000002</v>
      </c>
      <c r="E1202" s="422">
        <v>2948851.3</v>
      </c>
      <c r="F1202" s="422">
        <v>3556875.17</v>
      </c>
      <c r="G1202" s="422">
        <v>4086651.93</v>
      </c>
      <c r="H1202" s="422">
        <v>3690749.56</v>
      </c>
      <c r="I1202" s="422">
        <v>4191038</v>
      </c>
      <c r="J1202" s="422">
        <v>3451457.36</v>
      </c>
    </row>
    <row r="1203" spans="2:10" s="254" customFormat="1" x14ac:dyDescent="0.35">
      <c r="B1203" s="279" t="s">
        <v>633</v>
      </c>
      <c r="C1203" s="279" t="s">
        <v>651</v>
      </c>
      <c r="D1203" s="422">
        <v>3505422.6499974215</v>
      </c>
      <c r="E1203" s="422">
        <v>3489808.2982978728</v>
      </c>
      <c r="F1203" s="422">
        <v>3804891.0300000003</v>
      </c>
      <c r="G1203" s="422">
        <v>3858926.4699999997</v>
      </c>
      <c r="H1203" s="422">
        <v>3786051.33</v>
      </c>
      <c r="I1203" s="422">
        <v>4056671.14</v>
      </c>
      <c r="J1203" s="422">
        <v>3597536.09</v>
      </c>
    </row>
    <row r="1204" spans="2:10" s="254" customFormat="1" x14ac:dyDescent="0.35">
      <c r="B1204" s="279" t="s">
        <v>634</v>
      </c>
      <c r="C1204" s="279" t="s">
        <v>651</v>
      </c>
      <c r="D1204" s="422">
        <v>3191993.6042980002</v>
      </c>
      <c r="E1204" s="422">
        <v>3106835.0114569999</v>
      </c>
      <c r="F1204" s="422">
        <v>3257828.12</v>
      </c>
      <c r="G1204" s="422">
        <v>3538076.14</v>
      </c>
      <c r="H1204" s="422">
        <v>3614862.87</v>
      </c>
      <c r="I1204" s="422">
        <v>4385468.68</v>
      </c>
      <c r="J1204" s="422">
        <v>3679751.1599999992</v>
      </c>
    </row>
    <row r="1205" spans="2:10" s="254" customFormat="1" x14ac:dyDescent="0.35">
      <c r="B1205" s="279" t="s">
        <v>635</v>
      </c>
      <c r="C1205" s="279" t="s">
        <v>651</v>
      </c>
      <c r="D1205" s="422">
        <v>945361</v>
      </c>
      <c r="E1205" s="422">
        <v>1829220</v>
      </c>
      <c r="F1205" s="422">
        <v>2505435</v>
      </c>
      <c r="G1205" s="422">
        <v>2485944</v>
      </c>
      <c r="H1205" s="422">
        <v>2422684</v>
      </c>
      <c r="I1205" s="422">
        <v>2949720</v>
      </c>
      <c r="J1205" s="422">
        <v>2495015.0500000003</v>
      </c>
    </row>
    <row r="1206" spans="2:10" s="254" customFormat="1" x14ac:dyDescent="0.35">
      <c r="B1206" s="289" t="s">
        <v>636</v>
      </c>
      <c r="C1206" s="279" t="s">
        <v>651</v>
      </c>
      <c r="D1206" s="425">
        <f t="shared" ref="D1206:I1206" si="531">SUM(D1201:D1205)</f>
        <v>14144788.154295422</v>
      </c>
      <c r="E1206" s="425">
        <f t="shared" si="531"/>
        <v>15123739.609754872</v>
      </c>
      <c r="F1206" s="425">
        <f t="shared" si="531"/>
        <v>17469245.52</v>
      </c>
      <c r="G1206" s="425">
        <f t="shared" si="531"/>
        <v>18851513.539999999</v>
      </c>
      <c r="H1206" s="425">
        <f t="shared" si="531"/>
        <v>18200485.48</v>
      </c>
      <c r="I1206" s="425">
        <f t="shared" si="531"/>
        <v>20758582.82</v>
      </c>
      <c r="J1206" s="425">
        <f t="shared" ref="J1206" si="532">SUM(J1201:J1205)</f>
        <v>18105814.66</v>
      </c>
    </row>
    <row r="1207" spans="2:10" s="254" customFormat="1" x14ac:dyDescent="0.35">
      <c r="B1207" s="289" t="s">
        <v>637</v>
      </c>
      <c r="C1207" s="279" t="s">
        <v>651</v>
      </c>
      <c r="D1207" s="424"/>
      <c r="E1207" s="424"/>
      <c r="F1207" s="424"/>
      <c r="G1207" s="424"/>
      <c r="H1207" s="424"/>
      <c r="I1207" s="424"/>
      <c r="J1207" s="424"/>
    </row>
    <row r="1208" spans="2:10" s="254" customFormat="1" x14ac:dyDescent="0.35">
      <c r="B1208" s="279" t="s">
        <v>638</v>
      </c>
      <c r="C1208" s="279" t="s">
        <v>651</v>
      </c>
      <c r="D1208" s="422">
        <v>4103828.5</v>
      </c>
      <c r="E1208" s="422">
        <v>4766190.1100000003</v>
      </c>
      <c r="F1208" s="422">
        <v>5362995.75</v>
      </c>
      <c r="G1208" s="422">
        <v>6969714.4699999997</v>
      </c>
      <c r="H1208" s="422">
        <v>5296779.22</v>
      </c>
      <c r="I1208" s="422">
        <v>5287421.76</v>
      </c>
      <c r="J1208" s="422">
        <v>3687964.7199999997</v>
      </c>
    </row>
    <row r="1209" spans="2:10" s="254" customFormat="1" x14ac:dyDescent="0.35">
      <c r="B1209" s="279" t="s">
        <v>639</v>
      </c>
      <c r="C1209" s="279" t="s">
        <v>651</v>
      </c>
      <c r="D1209" s="422">
        <v>3482677.3</v>
      </c>
      <c r="E1209" s="422">
        <v>3891297.71</v>
      </c>
      <c r="F1209" s="422">
        <v>4179600</v>
      </c>
      <c r="G1209" s="422">
        <v>4539650</v>
      </c>
      <c r="H1209" s="422">
        <v>4314587</v>
      </c>
      <c r="I1209" s="422">
        <v>3923871</v>
      </c>
      <c r="J1209" s="422">
        <v>2594850</v>
      </c>
    </row>
    <row r="1210" spans="2:10" s="254" customFormat="1" x14ac:dyDescent="0.35">
      <c r="B1210" s="279" t="s">
        <v>640</v>
      </c>
      <c r="C1210" s="279" t="s">
        <v>651</v>
      </c>
      <c r="D1210" s="422">
        <v>3120457</v>
      </c>
      <c r="E1210" s="422">
        <v>3423625</v>
      </c>
      <c r="F1210" s="422">
        <v>3438910</v>
      </c>
      <c r="G1210" s="422">
        <v>4077825</v>
      </c>
      <c r="H1210" s="422">
        <v>3852195.24</v>
      </c>
      <c r="I1210" s="422">
        <v>3454690.59</v>
      </c>
      <c r="J1210" s="422">
        <v>2302128.6</v>
      </c>
    </row>
    <row r="1211" spans="2:10" s="254" customFormat="1" x14ac:dyDescent="0.35">
      <c r="B1211" s="279" t="s">
        <v>641</v>
      </c>
      <c r="C1211" s="279" t="s">
        <v>651</v>
      </c>
      <c r="D1211" s="422">
        <v>1387038</v>
      </c>
      <c r="E1211" s="422">
        <v>2115740</v>
      </c>
      <c r="F1211" s="422">
        <v>2713354</v>
      </c>
      <c r="G1211" s="422">
        <v>3033086</v>
      </c>
      <c r="H1211" s="422">
        <v>2819380</v>
      </c>
      <c r="I1211" s="422">
        <v>2938237.87</v>
      </c>
      <c r="J1211" s="422">
        <v>2493310</v>
      </c>
    </row>
    <row r="1212" spans="2:10" s="254" customFormat="1" x14ac:dyDescent="0.35">
      <c r="B1212" s="279" t="s">
        <v>642</v>
      </c>
      <c r="C1212" s="279" t="s">
        <v>651</v>
      </c>
      <c r="D1212" s="422">
        <v>1215647.2600188742</v>
      </c>
      <c r="E1212" s="422">
        <v>1935935.73</v>
      </c>
      <c r="F1212" s="422">
        <v>2359285.6500000004</v>
      </c>
      <c r="G1212" s="422">
        <v>3333393.36</v>
      </c>
      <c r="H1212" s="422">
        <v>2378409.79</v>
      </c>
      <c r="I1212" s="422">
        <v>1999429.5</v>
      </c>
      <c r="J1212" s="422">
        <v>1553330.35</v>
      </c>
    </row>
    <row r="1213" spans="2:10" s="254" customFormat="1" x14ac:dyDescent="0.35">
      <c r="B1213" s="289" t="s">
        <v>643</v>
      </c>
      <c r="C1213" s="279" t="s">
        <v>651</v>
      </c>
      <c r="D1213" s="423">
        <f t="shared" ref="D1213:I1213" si="533">SUM(D1208:D1212)</f>
        <v>13309648.060018875</v>
      </c>
      <c r="E1213" s="423">
        <f t="shared" si="533"/>
        <v>16132788.550000001</v>
      </c>
      <c r="F1213" s="423">
        <f t="shared" si="533"/>
        <v>18054145.399999999</v>
      </c>
      <c r="G1213" s="423">
        <f t="shared" si="533"/>
        <v>21953668.829999998</v>
      </c>
      <c r="H1213" s="423">
        <f t="shared" si="533"/>
        <v>18661351.25</v>
      </c>
      <c r="I1213" s="423">
        <f t="shared" si="533"/>
        <v>17603650.719999999</v>
      </c>
      <c r="J1213" s="423">
        <f t="shared" ref="J1213" si="534">SUM(J1208:J1212)</f>
        <v>12631583.67</v>
      </c>
    </row>
    <row r="1214" spans="2:10" s="254" customFormat="1" x14ac:dyDescent="0.35">
      <c r="B1214" s="289" t="s">
        <v>644</v>
      </c>
      <c r="C1214" s="279" t="s">
        <v>651</v>
      </c>
      <c r="D1214" s="424"/>
      <c r="E1214" s="424"/>
      <c r="F1214" s="424"/>
      <c r="G1214" s="424"/>
      <c r="H1214" s="424"/>
      <c r="I1214" s="424"/>
      <c r="J1214" s="424"/>
    </row>
    <row r="1215" spans="2:10" s="254" customFormat="1" x14ac:dyDescent="0.35">
      <c r="B1215" s="279" t="s">
        <v>645</v>
      </c>
      <c r="C1215" s="279" t="s">
        <v>651</v>
      </c>
      <c r="D1215" s="422">
        <v>416218</v>
      </c>
      <c r="E1215" s="422">
        <v>341302</v>
      </c>
      <c r="F1215" s="422">
        <v>585438</v>
      </c>
      <c r="G1215" s="422">
        <v>769586</v>
      </c>
      <c r="H1215" s="545">
        <v>816076</v>
      </c>
      <c r="I1215" s="545">
        <v>471880</v>
      </c>
      <c r="J1215" s="545">
        <v>342897.54000000004</v>
      </c>
    </row>
    <row r="1216" spans="2:10" s="254" customFormat="1" x14ac:dyDescent="0.35">
      <c r="B1216" s="279" t="s">
        <v>646</v>
      </c>
      <c r="C1216" s="279" t="s">
        <v>651</v>
      </c>
      <c r="D1216" s="422">
        <v>1000020</v>
      </c>
      <c r="E1216" s="422">
        <v>813216</v>
      </c>
      <c r="F1216" s="422">
        <v>1678411.57</v>
      </c>
      <c r="G1216" s="422">
        <v>1834600</v>
      </c>
      <c r="H1216" s="545">
        <v>1823943.04</v>
      </c>
      <c r="I1216" s="545">
        <v>704337</v>
      </c>
      <c r="J1216" s="545">
        <v>585510</v>
      </c>
    </row>
    <row r="1217" spans="2:10" s="254" customFormat="1" x14ac:dyDescent="0.35">
      <c r="B1217" s="279" t="s">
        <v>647</v>
      </c>
      <c r="C1217" s="279" t="s">
        <v>651</v>
      </c>
      <c r="D1217" s="422">
        <v>1456852.9</v>
      </c>
      <c r="E1217" s="422">
        <v>1705818.14</v>
      </c>
      <c r="F1217" s="422">
        <v>2017890.06</v>
      </c>
      <c r="G1217" s="422">
        <v>2113360</v>
      </c>
      <c r="H1217" s="545">
        <v>2161746.9299999997</v>
      </c>
      <c r="I1217" s="545">
        <v>1431486</v>
      </c>
      <c r="J1217" s="545">
        <v>1050182</v>
      </c>
    </row>
    <row r="1218" spans="2:10" s="254" customFormat="1" x14ac:dyDescent="0.35">
      <c r="B1218" s="279" t="s">
        <v>648</v>
      </c>
      <c r="C1218" s="279" t="s">
        <v>651</v>
      </c>
      <c r="D1218" s="422">
        <v>2092077.03</v>
      </c>
      <c r="E1218" s="422">
        <v>2285523.4300000002</v>
      </c>
      <c r="F1218" s="422">
        <v>3215221.15</v>
      </c>
      <c r="G1218" s="422">
        <v>3128342.09</v>
      </c>
      <c r="H1218" s="545">
        <v>2956277.4</v>
      </c>
      <c r="I1218" s="545">
        <v>2275360.06</v>
      </c>
      <c r="J1218" s="545">
        <v>1792493.4000000001</v>
      </c>
    </row>
    <row r="1219" spans="2:10" s="254" customFormat="1" x14ac:dyDescent="0.35">
      <c r="B1219" s="289" t="s">
        <v>649</v>
      </c>
      <c r="C1219" s="279" t="s">
        <v>651</v>
      </c>
      <c r="D1219" s="425">
        <f t="shared" ref="D1219:I1219" si="535">SUM(D1215:D1218)</f>
        <v>4965167.93</v>
      </c>
      <c r="E1219" s="425">
        <f t="shared" si="535"/>
        <v>5145859.57</v>
      </c>
      <c r="F1219" s="425">
        <f t="shared" si="535"/>
        <v>7496960.7800000012</v>
      </c>
      <c r="G1219" s="425">
        <f t="shared" si="535"/>
        <v>7845888.0899999999</v>
      </c>
      <c r="H1219" s="425">
        <f t="shared" si="535"/>
        <v>7758043.3699999992</v>
      </c>
      <c r="I1219" s="425">
        <f t="shared" si="535"/>
        <v>4883063.0600000005</v>
      </c>
      <c r="J1219" s="425">
        <f t="shared" ref="J1219" si="536">SUM(J1215:J1218)</f>
        <v>3771082.9400000004</v>
      </c>
    </row>
    <row r="1220" spans="2:10" s="254" customFormat="1" x14ac:dyDescent="0.35">
      <c r="B1220" s="289" t="s">
        <v>36</v>
      </c>
      <c r="C1220" s="279" t="s">
        <v>651</v>
      </c>
      <c r="D1220" s="425">
        <f t="shared" ref="D1220:I1220" si="537">D1219+D1213+D1206</f>
        <v>32419604.144314297</v>
      </c>
      <c r="E1220" s="425">
        <f t="shared" si="537"/>
        <v>36402387.729754873</v>
      </c>
      <c r="F1220" s="425">
        <f t="shared" si="537"/>
        <v>43020351.700000003</v>
      </c>
      <c r="G1220" s="425">
        <f t="shared" si="537"/>
        <v>48651070.459999993</v>
      </c>
      <c r="H1220" s="425">
        <f t="shared" si="537"/>
        <v>44619880.099999994</v>
      </c>
      <c r="I1220" s="425">
        <f t="shared" si="537"/>
        <v>43245296.600000001</v>
      </c>
      <c r="J1220" s="425">
        <f t="shared" ref="J1220" si="538">J1219+J1213+J1206</f>
        <v>34508481.269999996</v>
      </c>
    </row>
    <row r="1221" spans="2:10" x14ac:dyDescent="0.35">
      <c r="B1221" s="411" t="s">
        <v>659</v>
      </c>
      <c r="C1221" s="412"/>
      <c r="D1221" s="414"/>
      <c r="E1221" s="414"/>
      <c r="F1221" s="414"/>
      <c r="G1221" s="414"/>
      <c r="H1221" s="414"/>
      <c r="I1221" s="414"/>
      <c r="J1221" s="414"/>
    </row>
    <row r="1222" spans="2:10" x14ac:dyDescent="0.35">
      <c r="B1222" s="199" t="s">
        <v>664</v>
      </c>
      <c r="C1222" s="199" t="s">
        <v>369</v>
      </c>
      <c r="D1222" s="198"/>
      <c r="E1222" s="198"/>
      <c r="F1222" s="198"/>
      <c r="G1222" s="198"/>
      <c r="H1222" s="198"/>
      <c r="I1222" s="198"/>
      <c r="J1222" s="198"/>
    </row>
    <row r="1223" spans="2:10" x14ac:dyDescent="0.35">
      <c r="B1223" s="199" t="s">
        <v>630</v>
      </c>
      <c r="C1223" s="199"/>
      <c r="D1223" s="198"/>
      <c r="E1223" s="198"/>
      <c r="F1223" s="198"/>
      <c r="G1223" s="198"/>
      <c r="H1223" s="198"/>
      <c r="I1223" s="198"/>
      <c r="J1223" s="198"/>
    </row>
    <row r="1224" spans="2:10" s="254" customFormat="1" x14ac:dyDescent="0.35">
      <c r="B1224" s="279" t="s">
        <v>631</v>
      </c>
      <c r="C1224" s="279" t="s">
        <v>651</v>
      </c>
      <c r="D1224" s="422">
        <v>226333.40000000002</v>
      </c>
      <c r="E1224" s="497">
        <f t="shared" ref="E1224:J1228" si="539">D1320</f>
        <v>216183.80000000066</v>
      </c>
      <c r="F1224" s="497">
        <f t="shared" si="539"/>
        <v>61815.900000000838</v>
      </c>
      <c r="G1224" s="497">
        <f t="shared" si="539"/>
        <v>159581.09999999963</v>
      </c>
      <c r="H1224" s="497">
        <f t="shared" si="539"/>
        <v>6389</v>
      </c>
      <c r="I1224" s="497">
        <f t="shared" si="539"/>
        <v>21322</v>
      </c>
      <c r="J1224" s="497">
        <f t="shared" si="539"/>
        <v>12406</v>
      </c>
    </row>
    <row r="1225" spans="2:10" s="254" customFormat="1" x14ac:dyDescent="0.35">
      <c r="B1225" s="279" t="s">
        <v>632</v>
      </c>
      <c r="C1225" s="279" t="s">
        <v>651</v>
      </c>
      <c r="D1225" s="422">
        <v>234355.6</v>
      </c>
      <c r="E1225" s="497">
        <f t="shared" si="539"/>
        <v>36737.100000000093</v>
      </c>
      <c r="F1225" s="497">
        <f t="shared" si="539"/>
        <v>214059.39999999982</v>
      </c>
      <c r="G1225" s="497">
        <f t="shared" si="539"/>
        <v>200141.0999999998</v>
      </c>
      <c r="H1225" s="497">
        <f t="shared" si="539"/>
        <v>87064.300000000279</v>
      </c>
      <c r="I1225" s="497">
        <f t="shared" si="539"/>
        <v>61969.700000000186</v>
      </c>
      <c r="J1225" s="497">
        <f t="shared" si="539"/>
        <v>200819.60000000009</v>
      </c>
    </row>
    <row r="1226" spans="2:10" s="254" customFormat="1" x14ac:dyDescent="0.35">
      <c r="B1226" s="279" t="s">
        <v>633</v>
      </c>
      <c r="C1226" s="279" t="s">
        <v>651</v>
      </c>
      <c r="D1226" s="422">
        <v>62824.32</v>
      </c>
      <c r="E1226" s="497">
        <f t="shared" si="539"/>
        <v>54165.659997421404</v>
      </c>
      <c r="F1226" s="497">
        <f t="shared" si="539"/>
        <v>149849.75829529428</v>
      </c>
      <c r="G1226" s="497">
        <f t="shared" si="539"/>
        <v>29794.659999999654</v>
      </c>
      <c r="H1226" s="497">
        <f t="shared" si="539"/>
        <v>20589.089999999291</v>
      </c>
      <c r="I1226" s="497">
        <f t="shared" si="539"/>
        <v>16523.55999999959</v>
      </c>
      <c r="J1226" s="497">
        <f t="shared" si="539"/>
        <v>244880.68999999994</v>
      </c>
    </row>
    <row r="1227" spans="2:10" s="254" customFormat="1" x14ac:dyDescent="0.35">
      <c r="B1227" s="279" t="s">
        <v>634</v>
      </c>
      <c r="C1227" s="279" t="s">
        <v>651</v>
      </c>
      <c r="D1227" s="422">
        <v>59461.98</v>
      </c>
      <c r="E1227" s="497">
        <f t="shared" si="539"/>
        <v>134793.33429800021</v>
      </c>
      <c r="F1227" s="497">
        <f t="shared" si="539"/>
        <v>32634.735755000263</v>
      </c>
      <c r="G1227" s="497">
        <f t="shared" si="539"/>
        <v>59278.699999999895</v>
      </c>
      <c r="H1227" s="497">
        <f t="shared" si="539"/>
        <v>52916.82999999998</v>
      </c>
      <c r="I1227" s="497">
        <f t="shared" si="539"/>
        <v>39278.790000000037</v>
      </c>
      <c r="J1227" s="497">
        <f t="shared" si="539"/>
        <v>277653.34999999963</v>
      </c>
    </row>
    <row r="1228" spans="2:10" s="254" customFormat="1" x14ac:dyDescent="0.35">
      <c r="B1228" s="279" t="s">
        <v>635</v>
      </c>
      <c r="C1228" s="279" t="s">
        <v>651</v>
      </c>
      <c r="D1228" s="422">
        <v>54050.9</v>
      </c>
      <c r="E1228" s="497">
        <f t="shared" si="539"/>
        <v>4995.3000000000466</v>
      </c>
      <c r="F1228" s="497">
        <f t="shared" si="539"/>
        <v>147898.69999999995</v>
      </c>
      <c r="G1228" s="497">
        <f t="shared" si="539"/>
        <v>150586</v>
      </c>
      <c r="H1228" s="497">
        <f t="shared" si="539"/>
        <v>25613</v>
      </c>
      <c r="I1228" s="497">
        <f t="shared" si="539"/>
        <v>8780.2999999998137</v>
      </c>
      <c r="J1228" s="497">
        <f t="shared" si="539"/>
        <v>136686</v>
      </c>
    </row>
    <row r="1229" spans="2:10" s="254" customFormat="1" x14ac:dyDescent="0.35">
      <c r="B1229" s="289" t="s">
        <v>636</v>
      </c>
      <c r="C1229" s="279" t="s">
        <v>651</v>
      </c>
      <c r="D1229" s="425">
        <f t="shared" ref="D1229:I1229" si="540">SUM(D1224:D1228)</f>
        <v>637026.20000000007</v>
      </c>
      <c r="E1229" s="425">
        <f t="shared" si="540"/>
        <v>446875.19429542241</v>
      </c>
      <c r="F1229" s="425">
        <f t="shared" si="540"/>
        <v>606258.49405029509</v>
      </c>
      <c r="G1229" s="425">
        <f t="shared" si="540"/>
        <v>599381.55999999889</v>
      </c>
      <c r="H1229" s="425">
        <f t="shared" si="540"/>
        <v>192572.21999999956</v>
      </c>
      <c r="I1229" s="425">
        <f t="shared" si="540"/>
        <v>147874.34999999963</v>
      </c>
      <c r="J1229" s="425">
        <f t="shared" ref="J1229" si="541">SUM(J1224:J1228)</f>
        <v>872445.63999999966</v>
      </c>
    </row>
    <row r="1230" spans="2:10" s="254" customFormat="1" x14ac:dyDescent="0.35">
      <c r="B1230" s="289" t="s">
        <v>637</v>
      </c>
      <c r="C1230" s="279" t="s">
        <v>651</v>
      </c>
      <c r="D1230" s="424"/>
      <c r="E1230" s="424"/>
      <c r="F1230" s="424"/>
      <c r="G1230" s="424"/>
      <c r="H1230" s="424"/>
      <c r="I1230" s="424"/>
      <c r="J1230" s="424"/>
    </row>
    <row r="1231" spans="2:10" s="254" customFormat="1" x14ac:dyDescent="0.35">
      <c r="B1231" s="279" t="s">
        <v>638</v>
      </c>
      <c r="C1231" s="279" t="s">
        <v>651</v>
      </c>
      <c r="D1231" s="422">
        <v>191047.56</v>
      </c>
      <c r="E1231" s="497">
        <f t="shared" ref="E1231:J1235" si="542">D1327</f>
        <v>146437.79999999952</v>
      </c>
      <c r="F1231" s="497">
        <f t="shared" si="542"/>
        <v>211484.62000000011</v>
      </c>
      <c r="G1231" s="497">
        <f t="shared" si="542"/>
        <v>86959.200000000186</v>
      </c>
      <c r="H1231" s="497">
        <f t="shared" si="542"/>
        <v>108300</v>
      </c>
      <c r="I1231" s="497">
        <f t="shared" si="542"/>
        <v>40000</v>
      </c>
      <c r="J1231" s="497">
        <f t="shared" si="542"/>
        <v>83175</v>
      </c>
    </row>
    <row r="1232" spans="2:10" s="254" customFormat="1" x14ac:dyDescent="0.35">
      <c r="B1232" s="279" t="s">
        <v>639</v>
      </c>
      <c r="C1232" s="279" t="s">
        <v>651</v>
      </c>
      <c r="D1232" s="422">
        <v>226772.01</v>
      </c>
      <c r="E1232" s="497">
        <f t="shared" si="542"/>
        <v>69663.829999999609</v>
      </c>
      <c r="F1232" s="497">
        <f t="shared" si="542"/>
        <v>222019.39999999944</v>
      </c>
      <c r="G1232" s="497">
        <f t="shared" si="542"/>
        <v>264393.59999999963</v>
      </c>
      <c r="H1232" s="497">
        <f t="shared" si="542"/>
        <v>175697.64999999944</v>
      </c>
      <c r="I1232" s="497">
        <f t="shared" si="542"/>
        <v>260820.07999999914</v>
      </c>
      <c r="J1232" s="497">
        <f t="shared" si="542"/>
        <v>89392.859999999404</v>
      </c>
    </row>
    <row r="1233" spans="2:12" s="254" customFormat="1" x14ac:dyDescent="0.35">
      <c r="B1233" s="279" t="s">
        <v>640</v>
      </c>
      <c r="C1233" s="279" t="s">
        <v>651</v>
      </c>
      <c r="D1233" s="422">
        <v>428082.3</v>
      </c>
      <c r="E1233" s="497">
        <f t="shared" si="542"/>
        <v>313611.39999999991</v>
      </c>
      <c r="F1233" s="497">
        <f t="shared" si="542"/>
        <v>208182.69999999972</v>
      </c>
      <c r="G1233" s="497">
        <f t="shared" si="542"/>
        <v>-60396.899999999907</v>
      </c>
      <c r="H1233" s="497">
        <f t="shared" si="542"/>
        <v>39304</v>
      </c>
      <c r="I1233" s="497">
        <f t="shared" si="542"/>
        <v>68861</v>
      </c>
      <c r="J1233" s="497">
        <f t="shared" si="542"/>
        <v>102104</v>
      </c>
    </row>
    <row r="1234" spans="2:12" s="254" customFormat="1" x14ac:dyDescent="0.35">
      <c r="B1234" s="279" t="s">
        <v>641</v>
      </c>
      <c r="C1234" s="279" t="s">
        <v>651</v>
      </c>
      <c r="D1234" s="422">
        <v>48033.84</v>
      </c>
      <c r="E1234" s="497">
        <f t="shared" si="542"/>
        <v>37371.500000000138</v>
      </c>
      <c r="F1234" s="497">
        <f t="shared" si="542"/>
        <v>202988.50000000006</v>
      </c>
      <c r="G1234" s="497">
        <f t="shared" si="542"/>
        <v>54970.259999999966</v>
      </c>
      <c r="H1234" s="497">
        <f t="shared" si="542"/>
        <v>101705.6799999997</v>
      </c>
      <c r="I1234" s="497">
        <f t="shared" si="542"/>
        <v>278507.9299999997</v>
      </c>
      <c r="J1234" s="497">
        <f t="shared" si="542"/>
        <v>286508.55999999959</v>
      </c>
    </row>
    <row r="1235" spans="2:12" s="254" customFormat="1" x14ac:dyDescent="0.35">
      <c r="B1235" s="279" t="s">
        <v>642</v>
      </c>
      <c r="C1235" s="279" t="s">
        <v>651</v>
      </c>
      <c r="D1235" s="422">
        <v>22539.73</v>
      </c>
      <c r="E1235" s="497">
        <f t="shared" si="542"/>
        <v>19787.610018874286</v>
      </c>
      <c r="F1235" s="497">
        <f t="shared" si="542"/>
        <v>47580.790018874221</v>
      </c>
      <c r="G1235" s="497">
        <f t="shared" si="542"/>
        <v>20383.370018874761</v>
      </c>
      <c r="H1235" s="497">
        <f t="shared" si="542"/>
        <v>40083.360018874519</v>
      </c>
      <c r="I1235" s="497">
        <f t="shared" si="542"/>
        <v>193932.23001887463</v>
      </c>
      <c r="J1235" s="497">
        <f t="shared" si="542"/>
        <v>158000.01001887466</v>
      </c>
    </row>
    <row r="1236" spans="2:12" s="254" customFormat="1" x14ac:dyDescent="0.35">
      <c r="B1236" s="289" t="s">
        <v>643</v>
      </c>
      <c r="C1236" s="279" t="s">
        <v>651</v>
      </c>
      <c r="D1236" s="425">
        <f t="shared" ref="D1236:I1236" si="543">SUM(D1231:D1235)</f>
        <v>916475.44</v>
      </c>
      <c r="E1236" s="425">
        <f t="shared" si="543"/>
        <v>586872.1400188735</v>
      </c>
      <c r="F1236" s="425">
        <f t="shared" si="543"/>
        <v>892256.01001887349</v>
      </c>
      <c r="G1236" s="425">
        <f t="shared" si="543"/>
        <v>366309.53001887462</v>
      </c>
      <c r="H1236" s="425">
        <f t="shared" si="543"/>
        <v>465090.69001887366</v>
      </c>
      <c r="I1236" s="425">
        <f t="shared" si="543"/>
        <v>842121.24001887348</v>
      </c>
      <c r="J1236" s="425">
        <f t="shared" ref="J1236" si="544">SUM(J1231:J1235)</f>
        <v>719180.43001887365</v>
      </c>
    </row>
    <row r="1237" spans="2:12" s="254" customFormat="1" x14ac:dyDescent="0.35">
      <c r="B1237" s="289" t="s">
        <v>644</v>
      </c>
      <c r="C1237" s="279" t="s">
        <v>651</v>
      </c>
      <c r="D1237" s="424"/>
      <c r="E1237" s="424"/>
      <c r="F1237" s="424"/>
      <c r="G1237" s="424"/>
      <c r="H1237" s="424"/>
      <c r="I1237" s="424"/>
      <c r="J1237" s="424"/>
    </row>
    <row r="1238" spans="2:12" s="254" customFormat="1" x14ac:dyDescent="0.35">
      <c r="B1238" s="279" t="s">
        <v>645</v>
      </c>
      <c r="C1238" s="279" t="s">
        <v>651</v>
      </c>
      <c r="D1238" s="422">
        <v>51999.6</v>
      </c>
      <c r="E1238" s="497">
        <f t="shared" ref="E1238:J1241" si="545">D1334</f>
        <v>30587.399999999965</v>
      </c>
      <c r="F1238" s="497">
        <f t="shared" si="545"/>
        <v>1493.8999999999651</v>
      </c>
      <c r="G1238" s="497">
        <f t="shared" si="545"/>
        <v>-20127.599999999977</v>
      </c>
      <c r="H1238" s="497">
        <f t="shared" si="545"/>
        <v>0</v>
      </c>
      <c r="I1238" s="497">
        <f t="shared" si="545"/>
        <v>0</v>
      </c>
      <c r="J1238" s="497">
        <f t="shared" si="545"/>
        <v>0</v>
      </c>
    </row>
    <row r="1239" spans="2:12" s="254" customFormat="1" x14ac:dyDescent="0.35">
      <c r="B1239" s="279" t="s">
        <v>646</v>
      </c>
      <c r="C1239" s="279" t="s">
        <v>651</v>
      </c>
      <c r="D1239" s="422">
        <v>176527.9</v>
      </c>
      <c r="E1239" s="497">
        <f t="shared" si="545"/>
        <v>78745.5</v>
      </c>
      <c r="F1239" s="497">
        <f t="shared" si="545"/>
        <v>185758.91000000003</v>
      </c>
      <c r="G1239" s="497">
        <f t="shared" si="545"/>
        <v>256936.2800000002</v>
      </c>
      <c r="H1239" s="497">
        <f t="shared" si="545"/>
        <v>412149.28000000026</v>
      </c>
      <c r="I1239" s="497">
        <f t="shared" si="545"/>
        <v>627635.12000000034</v>
      </c>
      <c r="J1239" s="497">
        <f t="shared" si="545"/>
        <v>344087.8200000003</v>
      </c>
    </row>
    <row r="1240" spans="2:12" s="254" customFormat="1" x14ac:dyDescent="0.35">
      <c r="B1240" s="279" t="s">
        <v>647</v>
      </c>
      <c r="C1240" s="279" t="s">
        <v>651</v>
      </c>
      <c r="D1240" s="422">
        <v>34695.5</v>
      </c>
      <c r="E1240" s="497">
        <f t="shared" si="545"/>
        <v>38878.6</v>
      </c>
      <c r="F1240" s="497">
        <f t="shared" si="545"/>
        <v>51209</v>
      </c>
      <c r="G1240" s="497">
        <f t="shared" si="545"/>
        <v>21715.299999999952</v>
      </c>
      <c r="H1240" s="497">
        <f t="shared" si="545"/>
        <v>45614.399999999907</v>
      </c>
      <c r="I1240" s="497">
        <f t="shared" si="545"/>
        <v>67502.699999999721</v>
      </c>
      <c r="J1240" s="497">
        <f t="shared" si="545"/>
        <v>30521.899999999674</v>
      </c>
    </row>
    <row r="1241" spans="2:12" s="254" customFormat="1" x14ac:dyDescent="0.35">
      <c r="B1241" s="279" t="s">
        <v>648</v>
      </c>
      <c r="C1241" s="279" t="s">
        <v>651</v>
      </c>
      <c r="D1241" s="422">
        <v>118049.7</v>
      </c>
      <c r="E1241" s="497">
        <f t="shared" si="545"/>
        <v>60431.05999999991</v>
      </c>
      <c r="F1241" s="497">
        <f t="shared" si="545"/>
        <v>159064.38000000035</v>
      </c>
      <c r="G1241" s="497">
        <f t="shared" si="545"/>
        <v>186518.01000000024</v>
      </c>
      <c r="H1241" s="497">
        <f t="shared" si="545"/>
        <v>32875.020000000019</v>
      </c>
      <c r="I1241" s="497">
        <f t="shared" si="545"/>
        <v>185985.87999999989</v>
      </c>
      <c r="J1241" s="497">
        <f t="shared" si="545"/>
        <v>314609.43000000017</v>
      </c>
    </row>
    <row r="1242" spans="2:12" s="254" customFormat="1" x14ac:dyDescent="0.35">
      <c r="B1242" s="289" t="s">
        <v>649</v>
      </c>
      <c r="C1242" s="279" t="s">
        <v>651</v>
      </c>
      <c r="D1242" s="425">
        <f t="shared" ref="D1242:I1242" si="546">SUM(D1238:D1241)</f>
        <v>381272.7</v>
      </c>
      <c r="E1242" s="425">
        <f t="shared" si="546"/>
        <v>208642.55999999988</v>
      </c>
      <c r="F1242" s="425">
        <f t="shared" si="546"/>
        <v>397526.19000000035</v>
      </c>
      <c r="G1242" s="425">
        <f t="shared" si="546"/>
        <v>445041.99000000046</v>
      </c>
      <c r="H1242" s="425">
        <f t="shared" si="546"/>
        <v>490638.70000000019</v>
      </c>
      <c r="I1242" s="425">
        <f t="shared" si="546"/>
        <v>881123.7</v>
      </c>
      <c r="J1242" s="425">
        <f t="shared" ref="J1242" si="547">SUM(J1238:J1241)</f>
        <v>689219.15000000014</v>
      </c>
    </row>
    <row r="1243" spans="2:12" s="254" customFormat="1" x14ac:dyDescent="0.35">
      <c r="B1243" s="289" t="s">
        <v>36</v>
      </c>
      <c r="C1243" s="279" t="s">
        <v>651</v>
      </c>
      <c r="D1243" s="425">
        <f>D1242+D1236+D1229</f>
        <v>1934774.3399999999</v>
      </c>
      <c r="E1243" s="425">
        <f>E1242+E1236+E1229</f>
        <v>1242389.8943142958</v>
      </c>
      <c r="F1243" s="425">
        <f>F1242+F1236+F1229</f>
        <v>1896040.694069169</v>
      </c>
      <c r="G1243" s="425">
        <f>G1242+G1236+G1229</f>
        <v>1410733.080018874</v>
      </c>
      <c r="H1243" s="425">
        <f>H1242+H1236+H1229</f>
        <v>1148301.6100188734</v>
      </c>
      <c r="I1243" s="425">
        <f>I1229+I1236+I1242</f>
        <v>1871119.2900188731</v>
      </c>
      <c r="J1243" s="425">
        <f>J1229+J1236+J1242</f>
        <v>2280845.2200188735</v>
      </c>
      <c r="K1243" s="254">
        <v>2280845.2140000002</v>
      </c>
      <c r="L1243" s="569">
        <f>J1243-K1243</f>
        <v>6.0188733041286469E-3</v>
      </c>
    </row>
    <row r="1244" spans="2:12" s="254" customFormat="1" x14ac:dyDescent="0.35">
      <c r="B1244" s="289"/>
      <c r="C1244" s="279"/>
      <c r="D1244" s="425"/>
      <c r="E1244" s="425"/>
      <c r="F1244" s="425"/>
      <c r="G1244" s="425"/>
      <c r="H1244" s="425"/>
      <c r="I1244" s="425"/>
      <c r="J1244" s="425"/>
    </row>
    <row r="1245" spans="2:12" x14ac:dyDescent="0.35">
      <c r="B1245" s="411" t="s">
        <v>1002</v>
      </c>
      <c r="C1245" s="412"/>
      <c r="D1245" s="414"/>
      <c r="E1245" s="414"/>
      <c r="F1245" s="414"/>
      <c r="G1245" s="414"/>
      <c r="H1245" s="414"/>
      <c r="I1245" s="414"/>
      <c r="J1245" s="414"/>
    </row>
    <row r="1246" spans="2:12" x14ac:dyDescent="0.35">
      <c r="B1246" s="199" t="s">
        <v>664</v>
      </c>
      <c r="C1246" s="199" t="s">
        <v>369</v>
      </c>
      <c r="D1246" s="198"/>
      <c r="E1246" s="198"/>
      <c r="F1246" s="198"/>
      <c r="G1246" s="198"/>
      <c r="H1246" s="198"/>
      <c r="I1246" s="198"/>
      <c r="J1246" s="198"/>
    </row>
    <row r="1247" spans="2:12" x14ac:dyDescent="0.35">
      <c r="B1247" s="199" t="s">
        <v>630</v>
      </c>
      <c r="C1247" s="199"/>
      <c r="D1247" s="198"/>
      <c r="E1247" s="198"/>
      <c r="F1247" s="198"/>
      <c r="G1247" s="198"/>
      <c r="H1247" s="198"/>
      <c r="I1247" s="198"/>
      <c r="J1247" s="198"/>
    </row>
    <row r="1248" spans="2:12" s="254" customFormat="1" x14ac:dyDescent="0.35">
      <c r="B1248" s="279" t="s">
        <v>631</v>
      </c>
      <c r="C1248" s="279" t="s">
        <v>651</v>
      </c>
      <c r="D1248" s="422">
        <v>4141520.4</v>
      </c>
      <c r="E1248" s="422">
        <v>3903392.9</v>
      </c>
      <c r="F1248" s="422">
        <v>4236960.5999999996</v>
      </c>
      <c r="G1248" s="422">
        <v>5035107.0999999996</v>
      </c>
      <c r="H1248" s="422">
        <v>4671204.72</v>
      </c>
      <c r="I1248" s="422">
        <v>5184601</v>
      </c>
      <c r="J1248" s="422">
        <v>4787985</v>
      </c>
    </row>
    <row r="1249" spans="2:10" s="254" customFormat="1" x14ac:dyDescent="0.35">
      <c r="B1249" s="279" t="s">
        <v>632</v>
      </c>
      <c r="C1249" s="279" t="s">
        <v>651</v>
      </c>
      <c r="D1249" s="422">
        <v>2368418.2000000002</v>
      </c>
      <c r="E1249" s="422">
        <v>2764389.1</v>
      </c>
      <c r="F1249" s="422">
        <v>3289163.77</v>
      </c>
      <c r="G1249" s="422">
        <v>4169635.23</v>
      </c>
      <c r="H1249" s="422">
        <v>3715844.16</v>
      </c>
      <c r="I1249" s="422">
        <v>4092188.1</v>
      </c>
      <c r="J1249" s="422">
        <v>3299326.3600000008</v>
      </c>
    </row>
    <row r="1250" spans="2:10" s="254" customFormat="1" x14ac:dyDescent="0.35">
      <c r="B1250" s="279" t="s">
        <v>633</v>
      </c>
      <c r="C1250" s="279" t="s">
        <v>651</v>
      </c>
      <c r="D1250" s="422">
        <v>3290800.21</v>
      </c>
      <c r="E1250" s="422">
        <v>3216529.8</v>
      </c>
      <c r="F1250" s="422">
        <v>3762870.23</v>
      </c>
      <c r="G1250" s="422">
        <v>3863968.14</v>
      </c>
      <c r="H1250" s="422">
        <v>3790116.86</v>
      </c>
      <c r="I1250" s="422">
        <v>3828314.01</v>
      </c>
      <c r="J1250" s="422">
        <v>3607735.8000000012</v>
      </c>
    </row>
    <row r="1251" spans="2:10" s="254" customFormat="1" x14ac:dyDescent="0.35">
      <c r="B1251" s="279" t="s">
        <v>634</v>
      </c>
      <c r="C1251" s="279" t="s">
        <v>651</v>
      </c>
      <c r="D1251" s="422">
        <v>2749387.25</v>
      </c>
      <c r="E1251" s="422">
        <v>2939488.11</v>
      </c>
      <c r="F1251" s="422">
        <v>2975941.35</v>
      </c>
      <c r="G1251" s="422">
        <v>3541583.11</v>
      </c>
      <c r="H1251" s="422">
        <v>3628500.91</v>
      </c>
      <c r="I1251" s="422">
        <v>4147094.12</v>
      </c>
      <c r="J1251" s="422">
        <v>3549161.1799999997</v>
      </c>
    </row>
    <row r="1252" spans="2:10" s="254" customFormat="1" x14ac:dyDescent="0.35">
      <c r="B1252" s="279" t="s">
        <v>635</v>
      </c>
      <c r="C1252" s="279" t="s">
        <v>651</v>
      </c>
      <c r="D1252" s="422">
        <v>994416.6</v>
      </c>
      <c r="E1252" s="422">
        <v>1686316.6</v>
      </c>
      <c r="F1252" s="422">
        <v>2500852.4</v>
      </c>
      <c r="G1252" s="422">
        <v>2610917</v>
      </c>
      <c r="H1252" s="422">
        <v>2439516.7000000002</v>
      </c>
      <c r="I1252" s="422">
        <v>2821814.3</v>
      </c>
      <c r="J1252" s="422">
        <v>2501692.5</v>
      </c>
    </row>
    <row r="1253" spans="2:10" s="254" customFormat="1" x14ac:dyDescent="0.35">
      <c r="B1253" s="289" t="s">
        <v>636</v>
      </c>
      <c r="C1253" s="279" t="s">
        <v>651</v>
      </c>
      <c r="D1253" s="425">
        <f t="shared" ref="D1253:I1253" si="548">SUM(D1248:D1252)</f>
        <v>13544542.659999998</v>
      </c>
      <c r="E1253" s="425">
        <f t="shared" si="548"/>
        <v>14510116.51</v>
      </c>
      <c r="F1253" s="425">
        <f t="shared" si="548"/>
        <v>16765788.35</v>
      </c>
      <c r="G1253" s="425">
        <f t="shared" si="548"/>
        <v>19221210.579999998</v>
      </c>
      <c r="H1253" s="425">
        <f t="shared" si="548"/>
        <v>18245183.350000001</v>
      </c>
      <c r="I1253" s="425">
        <f t="shared" si="548"/>
        <v>20074011.530000001</v>
      </c>
      <c r="J1253" s="425">
        <f t="shared" ref="J1253" si="549">SUM(J1248:J1252)</f>
        <v>17745900.840000004</v>
      </c>
    </row>
    <row r="1254" spans="2:10" s="254" customFormat="1" x14ac:dyDescent="0.35">
      <c r="B1254" s="289" t="s">
        <v>637</v>
      </c>
      <c r="C1254" s="279" t="s">
        <v>651</v>
      </c>
      <c r="D1254" s="424"/>
      <c r="E1254" s="424"/>
      <c r="F1254" s="424"/>
      <c r="G1254" s="424"/>
      <c r="H1254" s="424"/>
      <c r="I1254" s="424"/>
      <c r="J1254" s="424"/>
    </row>
    <row r="1255" spans="2:10" s="254" customFormat="1" x14ac:dyDescent="0.35">
      <c r="B1255" s="279" t="s">
        <v>638</v>
      </c>
      <c r="C1255" s="279" t="s">
        <v>651</v>
      </c>
      <c r="D1255" s="422">
        <v>3998661.06</v>
      </c>
      <c r="E1255" s="422">
        <v>4537093.79</v>
      </c>
      <c r="F1255" s="422">
        <v>5487521.1699999999</v>
      </c>
      <c r="G1255" s="422">
        <v>6948373.6699999999</v>
      </c>
      <c r="H1255" s="422">
        <v>5365079.22</v>
      </c>
      <c r="I1255" s="422">
        <v>5244246.76</v>
      </c>
      <c r="J1255" s="422">
        <v>3567384.92</v>
      </c>
    </row>
    <row r="1256" spans="2:10" s="254" customFormat="1" x14ac:dyDescent="0.35">
      <c r="B1256" s="279" t="s">
        <v>639</v>
      </c>
      <c r="C1256" s="279" t="s">
        <v>651</v>
      </c>
      <c r="D1256" s="422">
        <v>3510672.98</v>
      </c>
      <c r="E1256" s="422">
        <v>3738942.14</v>
      </c>
      <c r="F1256" s="422">
        <v>4137225.8</v>
      </c>
      <c r="G1256" s="422">
        <v>4628345.95</v>
      </c>
      <c r="H1256" s="422">
        <v>4229464.57</v>
      </c>
      <c r="I1256" s="422">
        <v>4195298.22</v>
      </c>
      <c r="J1256" s="422">
        <v>2457410.8640000001</v>
      </c>
    </row>
    <row r="1257" spans="2:10" s="254" customFormat="1" x14ac:dyDescent="0.35">
      <c r="B1257" s="279" t="s">
        <v>640</v>
      </c>
      <c r="C1257" s="279" t="s">
        <v>651</v>
      </c>
      <c r="D1257" s="422">
        <v>3234927.9</v>
      </c>
      <c r="E1257" s="422">
        <v>3529053.7</v>
      </c>
      <c r="F1257" s="422">
        <v>3558959.5</v>
      </c>
      <c r="G1257" s="422">
        <v>3978124.1</v>
      </c>
      <c r="H1257" s="422">
        <v>3822638.24</v>
      </c>
      <c r="I1257" s="422">
        <v>3421447.59</v>
      </c>
      <c r="J1257" s="422">
        <v>2271292.7999999998</v>
      </c>
    </row>
    <row r="1258" spans="2:10" s="254" customFormat="1" x14ac:dyDescent="0.35">
      <c r="B1258" s="279" t="s">
        <v>641</v>
      </c>
      <c r="C1258" s="279" t="s">
        <v>651</v>
      </c>
      <c r="D1258" s="422">
        <v>1393983.44</v>
      </c>
      <c r="E1258" s="422">
        <v>1856783.2</v>
      </c>
      <c r="F1258" s="422">
        <v>2784815.04</v>
      </c>
      <c r="G1258" s="422">
        <v>2986350.58</v>
      </c>
      <c r="H1258" s="422">
        <v>2642577.75</v>
      </c>
      <c r="I1258" s="422">
        <v>2930237.24</v>
      </c>
      <c r="J1258" s="422">
        <v>2467799.35</v>
      </c>
    </row>
    <row r="1259" spans="2:10" s="254" customFormat="1" x14ac:dyDescent="0.35">
      <c r="B1259" s="279" t="s">
        <v>642</v>
      </c>
      <c r="C1259" s="279" t="s">
        <v>651</v>
      </c>
      <c r="D1259" s="422">
        <v>1218399.3799999999</v>
      </c>
      <c r="E1259" s="422">
        <v>1908142.55</v>
      </c>
      <c r="F1259" s="422">
        <v>2386483.0699999998</v>
      </c>
      <c r="G1259" s="422">
        <v>3313693.37</v>
      </c>
      <c r="H1259" s="422">
        <v>2224560.92</v>
      </c>
      <c r="I1259" s="422">
        <v>2035361.72</v>
      </c>
      <c r="J1259" s="422">
        <v>1415544.6199999999</v>
      </c>
    </row>
    <row r="1260" spans="2:10" s="254" customFormat="1" x14ac:dyDescent="0.35">
      <c r="B1260" s="289" t="s">
        <v>643</v>
      </c>
      <c r="C1260" s="279" t="s">
        <v>651</v>
      </c>
      <c r="D1260" s="425">
        <f t="shared" ref="D1260:I1260" si="550">SUM(D1255:D1259)</f>
        <v>13356644.759999998</v>
      </c>
      <c r="E1260" s="425">
        <f t="shared" si="550"/>
        <v>15570015.379999999</v>
      </c>
      <c r="F1260" s="425">
        <f t="shared" si="550"/>
        <v>18355004.579999998</v>
      </c>
      <c r="G1260" s="425">
        <f t="shared" si="550"/>
        <v>21854887.670000002</v>
      </c>
      <c r="H1260" s="425">
        <f t="shared" si="550"/>
        <v>18284320.699999999</v>
      </c>
      <c r="I1260" s="425">
        <f t="shared" si="550"/>
        <v>17826591.530000001</v>
      </c>
      <c r="J1260" s="425">
        <f t="shared" ref="J1260" si="551">SUM(J1255:J1259)</f>
        <v>12179432.554</v>
      </c>
    </row>
    <row r="1261" spans="2:10" s="254" customFormat="1" x14ac:dyDescent="0.35">
      <c r="B1261" s="289" t="s">
        <v>644</v>
      </c>
      <c r="C1261" s="279" t="s">
        <v>651</v>
      </c>
      <c r="D1261" s="424"/>
      <c r="E1261" s="424"/>
      <c r="F1261" s="424"/>
      <c r="G1261" s="424"/>
      <c r="H1261" s="424"/>
      <c r="I1261" s="424"/>
      <c r="J1261" s="424"/>
    </row>
    <row r="1262" spans="2:10" s="254" customFormat="1" x14ac:dyDescent="0.35">
      <c r="B1262" s="279" t="s">
        <v>645</v>
      </c>
      <c r="C1262" s="279" t="s">
        <v>651</v>
      </c>
      <c r="D1262" s="422">
        <v>437630.2</v>
      </c>
      <c r="E1262" s="422">
        <v>370395.5</v>
      </c>
      <c r="F1262" s="422">
        <v>586931.9</v>
      </c>
      <c r="G1262" s="422">
        <v>749458.4</v>
      </c>
      <c r="H1262" s="422">
        <v>816076</v>
      </c>
      <c r="I1262" s="422">
        <v>471880</v>
      </c>
      <c r="J1262" s="422">
        <v>342897.54000000004</v>
      </c>
    </row>
    <row r="1263" spans="2:10" s="254" customFormat="1" x14ac:dyDescent="0.35">
      <c r="B1263" s="279" t="s">
        <v>646</v>
      </c>
      <c r="C1263" s="279" t="s">
        <v>651</v>
      </c>
      <c r="D1263" s="422">
        <v>1097802.3999999999</v>
      </c>
      <c r="E1263" s="422">
        <v>706202.59</v>
      </c>
      <c r="F1263" s="422">
        <v>1582829.64</v>
      </c>
      <c r="G1263" s="422">
        <v>1679387</v>
      </c>
      <c r="H1263" s="422">
        <v>1519059.7</v>
      </c>
      <c r="I1263" s="422">
        <v>987884.3</v>
      </c>
      <c r="J1263" s="422">
        <v>657585.43999999994</v>
      </c>
    </row>
    <row r="1264" spans="2:10" s="254" customFormat="1" x14ac:dyDescent="0.35">
      <c r="B1264" s="279" t="s">
        <v>647</v>
      </c>
      <c r="C1264" s="279" t="s">
        <v>651</v>
      </c>
      <c r="D1264" s="422">
        <v>1441635.9</v>
      </c>
      <c r="E1264" s="422">
        <v>1693487.74</v>
      </c>
      <c r="F1264" s="422">
        <v>2037602.36</v>
      </c>
      <c r="G1264" s="422">
        <v>2089460.9</v>
      </c>
      <c r="H1264" s="422">
        <v>2139858.63</v>
      </c>
      <c r="I1264" s="422">
        <v>1468466.8</v>
      </c>
      <c r="J1264" s="422">
        <v>1135562.2599999998</v>
      </c>
    </row>
    <row r="1265" spans="2:10" s="254" customFormat="1" x14ac:dyDescent="0.35">
      <c r="B1265" s="279" t="s">
        <v>648</v>
      </c>
      <c r="C1265" s="279" t="s">
        <v>651</v>
      </c>
      <c r="D1265" s="422">
        <v>2075379.57</v>
      </c>
      <c r="E1265" s="422">
        <v>2186890.11</v>
      </c>
      <c r="F1265" s="422">
        <v>3187767.52</v>
      </c>
      <c r="G1265" s="422">
        <v>3281985.08</v>
      </c>
      <c r="H1265" s="422">
        <v>2803166.54</v>
      </c>
      <c r="I1265" s="422">
        <v>2146736.5099999998</v>
      </c>
      <c r="J1265" s="422">
        <v>1940212.7510000002</v>
      </c>
    </row>
    <row r="1266" spans="2:10" s="254" customFormat="1" x14ac:dyDescent="0.35">
      <c r="B1266" s="289" t="s">
        <v>649</v>
      </c>
      <c r="C1266" s="279" t="s">
        <v>651</v>
      </c>
      <c r="D1266" s="425">
        <f t="shared" ref="D1266:I1266" si="552">SUM(D1262:D1265)</f>
        <v>5052448.07</v>
      </c>
      <c r="E1266" s="425">
        <f t="shared" si="552"/>
        <v>4956975.9399999995</v>
      </c>
      <c r="F1266" s="425">
        <f t="shared" si="552"/>
        <v>7395131.4199999999</v>
      </c>
      <c r="G1266" s="425">
        <f t="shared" si="552"/>
        <v>7800291.3799999999</v>
      </c>
      <c r="H1266" s="425">
        <f t="shared" si="552"/>
        <v>7278160.8700000001</v>
      </c>
      <c r="I1266" s="425">
        <f t="shared" si="552"/>
        <v>5074967.6099999994</v>
      </c>
      <c r="J1266" s="425">
        <f t="shared" ref="J1266" si="553">SUM(J1262:J1265)</f>
        <v>4076257.9909999999</v>
      </c>
    </row>
    <row r="1267" spans="2:10" s="254" customFormat="1" x14ac:dyDescent="0.35">
      <c r="B1267" s="289" t="s">
        <v>36</v>
      </c>
      <c r="C1267" s="279" t="s">
        <v>651</v>
      </c>
      <c r="D1267" s="425">
        <f>D1266+D1260+D1253</f>
        <v>31953635.489999995</v>
      </c>
      <c r="E1267" s="425">
        <f>E1266+E1260+E1253</f>
        <v>35037107.829999998</v>
      </c>
      <c r="F1267" s="425">
        <f>F1266+F1260+F1253</f>
        <v>42515924.350000001</v>
      </c>
      <c r="G1267" s="425">
        <f>G1266+G1260+G1253</f>
        <v>48876389.629999995</v>
      </c>
      <c r="H1267" s="425">
        <f>H1266+H1260+H1253</f>
        <v>43807664.920000002</v>
      </c>
      <c r="I1267" s="425">
        <f>I1253+I1260+I1266</f>
        <v>42975570.670000002</v>
      </c>
      <c r="J1267" s="425">
        <f>J1253+J1260+J1266</f>
        <v>34001591.384999998</v>
      </c>
    </row>
    <row r="1268" spans="2:10" s="254" customFormat="1" x14ac:dyDescent="0.35">
      <c r="B1268" s="289"/>
      <c r="C1268" s="279"/>
      <c r="D1268" s="425"/>
      <c r="E1268" s="425"/>
      <c r="F1268" s="425"/>
      <c r="G1268" s="425"/>
      <c r="H1268" s="425"/>
      <c r="I1268" s="425"/>
      <c r="J1268" s="425"/>
    </row>
    <row r="1269" spans="2:10" x14ac:dyDescent="0.35">
      <c r="B1269" s="411" t="s">
        <v>786</v>
      </c>
      <c r="C1269" s="412"/>
      <c r="D1269" s="414"/>
      <c r="E1269" s="414"/>
      <c r="F1269" s="414"/>
      <c r="G1269" s="414"/>
      <c r="H1269" s="414"/>
      <c r="I1269" s="414"/>
      <c r="J1269" s="414"/>
    </row>
    <row r="1270" spans="2:10" x14ac:dyDescent="0.35">
      <c r="B1270" s="199" t="s">
        <v>664</v>
      </c>
      <c r="C1270" s="199" t="s">
        <v>369</v>
      </c>
      <c r="D1270" s="198"/>
      <c r="E1270" s="198"/>
      <c r="F1270" s="198"/>
      <c r="G1270" s="198"/>
      <c r="H1270" s="198"/>
      <c r="I1270" s="198"/>
      <c r="J1270" s="198"/>
    </row>
    <row r="1271" spans="2:10" s="254" customFormat="1" x14ac:dyDescent="0.35">
      <c r="B1271" s="289" t="s">
        <v>630</v>
      </c>
      <c r="C1271" s="289"/>
      <c r="D1271" s="279"/>
      <c r="E1271" s="279"/>
      <c r="F1271" s="279"/>
      <c r="G1271" s="279"/>
      <c r="H1271" s="279"/>
      <c r="I1271" s="279"/>
      <c r="J1271" s="279"/>
    </row>
    <row r="1272" spans="2:10" s="254" customFormat="1" x14ac:dyDescent="0.35">
      <c r="B1272" s="279" t="s">
        <v>631</v>
      </c>
      <c r="C1272" s="279" t="s">
        <v>651</v>
      </c>
      <c r="D1272" s="422">
        <v>199840.4</v>
      </c>
      <c r="E1272" s="422"/>
      <c r="F1272" s="422"/>
      <c r="G1272" s="422"/>
      <c r="H1272" s="422"/>
      <c r="I1272" s="422">
        <v>0</v>
      </c>
      <c r="J1272" s="422">
        <v>0</v>
      </c>
    </row>
    <row r="1273" spans="2:10" s="254" customFormat="1" x14ac:dyDescent="0.35">
      <c r="B1273" s="279" t="s">
        <v>632</v>
      </c>
      <c r="C1273" s="279" t="s">
        <v>651</v>
      </c>
      <c r="D1273" s="422">
        <v>0</v>
      </c>
      <c r="E1273" s="422">
        <v>7139.9</v>
      </c>
      <c r="F1273" s="422">
        <v>281629.7</v>
      </c>
      <c r="G1273" s="422">
        <v>30093.5</v>
      </c>
      <c r="H1273" s="422"/>
      <c r="I1273" s="422">
        <v>0</v>
      </c>
      <c r="J1273" s="422">
        <v>0</v>
      </c>
    </row>
    <row r="1274" spans="2:10" s="254" customFormat="1" x14ac:dyDescent="0.35">
      <c r="B1274" s="279" t="s">
        <v>633</v>
      </c>
      <c r="C1274" s="279" t="s">
        <v>651</v>
      </c>
      <c r="D1274" s="422">
        <v>223281.1</v>
      </c>
      <c r="E1274" s="422">
        <v>177594.4</v>
      </c>
      <c r="F1274" s="422">
        <v>162075.9</v>
      </c>
      <c r="G1274" s="422">
        <v>4163.8999999999996</v>
      </c>
      <c r="H1274" s="422"/>
      <c r="I1274" s="422">
        <v>0</v>
      </c>
      <c r="J1274" s="422">
        <v>0</v>
      </c>
    </row>
    <row r="1275" spans="2:10" s="254" customFormat="1" x14ac:dyDescent="0.35">
      <c r="B1275" s="279" t="s">
        <v>634</v>
      </c>
      <c r="C1275" s="279" t="s">
        <v>651</v>
      </c>
      <c r="D1275" s="422">
        <v>367275</v>
      </c>
      <c r="E1275" s="422">
        <v>269505.5</v>
      </c>
      <c r="F1275" s="422">
        <v>255242.8</v>
      </c>
      <c r="G1275" s="422">
        <v>2854.9</v>
      </c>
      <c r="H1275" s="422"/>
      <c r="I1275" s="422">
        <v>0</v>
      </c>
      <c r="J1275" s="422">
        <v>199706.5</v>
      </c>
    </row>
    <row r="1276" spans="2:10" s="254" customFormat="1" x14ac:dyDescent="0.35">
      <c r="B1276" s="279" t="s">
        <v>635</v>
      </c>
      <c r="C1276" s="279" t="s">
        <v>651</v>
      </c>
      <c r="D1276" s="422"/>
      <c r="E1276" s="422"/>
      <c r="F1276" s="422"/>
      <c r="G1276" s="422"/>
      <c r="H1276" s="422"/>
      <c r="I1276" s="422">
        <v>0</v>
      </c>
      <c r="J1276" s="422">
        <v>0</v>
      </c>
    </row>
    <row r="1277" spans="2:10" s="254" customFormat="1" x14ac:dyDescent="0.35">
      <c r="B1277" s="289" t="s">
        <v>636</v>
      </c>
      <c r="C1277" s="279" t="s">
        <v>651</v>
      </c>
      <c r="D1277" s="425">
        <f t="shared" ref="D1277:I1277" si="554">SUM(D1272:D1276)</f>
        <v>790396.5</v>
      </c>
      <c r="E1277" s="425">
        <f t="shared" si="554"/>
        <v>454239.8</v>
      </c>
      <c r="F1277" s="425">
        <f t="shared" si="554"/>
        <v>698948.39999999991</v>
      </c>
      <c r="G1277" s="425">
        <f t="shared" si="554"/>
        <v>37112.300000000003</v>
      </c>
      <c r="H1277" s="425">
        <f t="shared" si="554"/>
        <v>0</v>
      </c>
      <c r="I1277" s="425">
        <f t="shared" si="554"/>
        <v>0</v>
      </c>
      <c r="J1277" s="425">
        <f t="shared" ref="J1277" si="555">SUM(J1272:J1276)</f>
        <v>199706.5</v>
      </c>
    </row>
    <row r="1278" spans="2:10" s="254" customFormat="1" x14ac:dyDescent="0.35">
      <c r="B1278" s="289" t="s">
        <v>637</v>
      </c>
      <c r="C1278" s="279" t="s">
        <v>651</v>
      </c>
      <c r="D1278" s="424"/>
      <c r="E1278" s="424"/>
      <c r="F1278" s="424"/>
      <c r="G1278" s="424"/>
      <c r="H1278" s="424"/>
      <c r="I1278" s="424"/>
      <c r="J1278" s="424"/>
    </row>
    <row r="1279" spans="2:10" s="254" customFormat="1" x14ac:dyDescent="0.35">
      <c r="B1279" s="279" t="s">
        <v>638</v>
      </c>
      <c r="C1279" s="279" t="s">
        <v>651</v>
      </c>
      <c r="D1279" s="422">
        <v>149777.20000000001</v>
      </c>
      <c r="E1279" s="422">
        <v>164049.5</v>
      </c>
      <c r="F1279" s="422"/>
      <c r="G1279" s="422"/>
      <c r="H1279" s="422"/>
      <c r="I1279" s="422">
        <v>0</v>
      </c>
      <c r="J1279" s="422">
        <v>0</v>
      </c>
    </row>
    <row r="1280" spans="2:10" s="254" customFormat="1" x14ac:dyDescent="0.35">
      <c r="B1280" s="279" t="s">
        <v>639</v>
      </c>
      <c r="C1280" s="279" t="s">
        <v>651</v>
      </c>
      <c r="D1280" s="422">
        <v>129112.5</v>
      </c>
      <c r="E1280" s="422"/>
      <c r="F1280" s="422"/>
      <c r="G1280" s="422"/>
      <c r="H1280" s="422"/>
      <c r="I1280" s="422">
        <v>0</v>
      </c>
      <c r="J1280" s="422">
        <v>0</v>
      </c>
    </row>
    <row r="1281" spans="2:10" s="254" customFormat="1" x14ac:dyDescent="0.35">
      <c r="B1281" s="279" t="s">
        <v>640</v>
      </c>
      <c r="C1281" s="279" t="s">
        <v>651</v>
      </c>
      <c r="D1281" s="422"/>
      <c r="E1281" s="422"/>
      <c r="F1281" s="422"/>
      <c r="G1281" s="422"/>
      <c r="H1281" s="422"/>
      <c r="I1281" s="422">
        <v>0</v>
      </c>
      <c r="J1281" s="422">
        <v>0</v>
      </c>
    </row>
    <row r="1282" spans="2:10" s="254" customFormat="1" x14ac:dyDescent="0.35">
      <c r="B1282" s="279" t="s">
        <v>641</v>
      </c>
      <c r="C1282" s="279" t="s">
        <v>651</v>
      </c>
      <c r="D1282" s="422">
        <v>3716.9</v>
      </c>
      <c r="E1282" s="422">
        <v>93339.8</v>
      </c>
      <c r="F1282" s="422">
        <v>76557.2</v>
      </c>
      <c r="G1282" s="422"/>
      <c r="H1282" s="422"/>
      <c r="I1282" s="422">
        <v>0</v>
      </c>
      <c r="J1282" s="422">
        <v>0</v>
      </c>
    </row>
    <row r="1283" spans="2:10" s="254" customFormat="1" x14ac:dyDescent="0.35">
      <c r="B1283" s="279" t="s">
        <v>642</v>
      </c>
      <c r="C1283" s="279" t="s">
        <v>651</v>
      </c>
      <c r="D1283" s="422"/>
      <c r="E1283" s="422"/>
      <c r="F1283" s="422"/>
      <c r="G1283" s="422"/>
      <c r="H1283" s="422"/>
      <c r="I1283" s="422">
        <v>0</v>
      </c>
      <c r="J1283" s="422">
        <v>0</v>
      </c>
    </row>
    <row r="1284" spans="2:10" s="254" customFormat="1" x14ac:dyDescent="0.35">
      <c r="B1284" s="289" t="s">
        <v>643</v>
      </c>
      <c r="C1284" s="279" t="s">
        <v>651</v>
      </c>
      <c r="D1284" s="425">
        <f t="shared" ref="D1284:I1284" si="556">SUM(D1279:D1283)</f>
        <v>282606.60000000003</v>
      </c>
      <c r="E1284" s="425">
        <f t="shared" si="556"/>
        <v>257389.3</v>
      </c>
      <c r="F1284" s="425">
        <f t="shared" si="556"/>
        <v>76557.2</v>
      </c>
      <c r="G1284" s="425">
        <f t="shared" si="556"/>
        <v>0</v>
      </c>
      <c r="H1284" s="425">
        <f t="shared" si="556"/>
        <v>0</v>
      </c>
      <c r="I1284" s="425">
        <f t="shared" si="556"/>
        <v>0</v>
      </c>
      <c r="J1284" s="425">
        <f t="shared" ref="J1284" si="557">SUM(J1279:J1283)</f>
        <v>0</v>
      </c>
    </row>
    <row r="1285" spans="2:10" s="254" customFormat="1" x14ac:dyDescent="0.35">
      <c r="B1285" s="289" t="s">
        <v>644</v>
      </c>
      <c r="C1285" s="279" t="s">
        <v>651</v>
      </c>
      <c r="D1285" s="424"/>
      <c r="E1285" s="424"/>
      <c r="F1285" s="424"/>
      <c r="G1285" s="424"/>
      <c r="H1285" s="424"/>
      <c r="I1285" s="424"/>
      <c r="J1285" s="424"/>
    </row>
    <row r="1286" spans="2:10" s="254" customFormat="1" x14ac:dyDescent="0.35">
      <c r="B1286" s="279" t="s">
        <v>645</v>
      </c>
      <c r="C1286" s="279" t="s">
        <v>651</v>
      </c>
      <c r="D1286" s="422"/>
      <c r="E1286" s="422"/>
      <c r="F1286" s="422"/>
      <c r="G1286" s="422"/>
      <c r="H1286" s="422">
        <v>0</v>
      </c>
      <c r="I1286" s="422">
        <v>0</v>
      </c>
      <c r="J1286" s="422">
        <v>0</v>
      </c>
    </row>
    <row r="1287" spans="2:10" s="254" customFormat="1" x14ac:dyDescent="0.35">
      <c r="B1287" s="279" t="s">
        <v>646</v>
      </c>
      <c r="C1287" s="279" t="s">
        <v>651</v>
      </c>
      <c r="D1287" s="422"/>
      <c r="E1287" s="422"/>
      <c r="F1287" s="422"/>
      <c r="G1287" s="422"/>
      <c r="H1287" s="422">
        <v>89397.5</v>
      </c>
      <c r="I1287" s="422">
        <v>0</v>
      </c>
      <c r="J1287" s="422">
        <v>0</v>
      </c>
    </row>
    <row r="1288" spans="2:10" s="254" customFormat="1" x14ac:dyDescent="0.35">
      <c r="B1288" s="279" t="s">
        <v>647</v>
      </c>
      <c r="C1288" s="279" t="s">
        <v>651</v>
      </c>
      <c r="D1288" s="422">
        <v>11033.9</v>
      </c>
      <c r="E1288" s="422"/>
      <c r="F1288" s="422">
        <v>9781.4</v>
      </c>
      <c r="G1288" s="422"/>
      <c r="H1288" s="422"/>
      <c r="I1288" s="422">
        <v>0</v>
      </c>
      <c r="J1288" s="422">
        <v>0</v>
      </c>
    </row>
    <row r="1289" spans="2:10" s="254" customFormat="1" x14ac:dyDescent="0.35">
      <c r="B1289" s="279" t="s">
        <v>648</v>
      </c>
      <c r="C1289" s="279" t="s">
        <v>651</v>
      </c>
      <c r="D1289" s="422">
        <v>74316.100000000006</v>
      </c>
      <c r="E1289" s="422"/>
      <c r="F1289" s="422"/>
      <c r="G1289" s="422"/>
      <c r="H1289" s="422"/>
      <c r="I1289" s="422">
        <v>0</v>
      </c>
      <c r="J1289" s="422">
        <v>0</v>
      </c>
    </row>
    <row r="1290" spans="2:10" s="254" customFormat="1" x14ac:dyDescent="0.35">
      <c r="B1290" s="289" t="s">
        <v>649</v>
      </c>
      <c r="C1290" s="279" t="s">
        <v>651</v>
      </c>
      <c r="D1290" s="425">
        <f t="shared" ref="D1290:I1290" si="558">SUM(D1286:D1289)</f>
        <v>85350</v>
      </c>
      <c r="E1290" s="425">
        <f t="shared" si="558"/>
        <v>0</v>
      </c>
      <c r="F1290" s="425">
        <f t="shared" si="558"/>
        <v>9781.4</v>
      </c>
      <c r="G1290" s="425">
        <f t="shared" si="558"/>
        <v>0</v>
      </c>
      <c r="H1290" s="425">
        <f t="shared" si="558"/>
        <v>89397.5</v>
      </c>
      <c r="I1290" s="425">
        <f t="shared" si="558"/>
        <v>0</v>
      </c>
      <c r="J1290" s="425">
        <f t="shared" ref="J1290" si="559">SUM(J1286:J1289)</f>
        <v>0</v>
      </c>
    </row>
    <row r="1291" spans="2:10" s="254" customFormat="1" x14ac:dyDescent="0.35">
      <c r="B1291" s="289" t="s">
        <v>36</v>
      </c>
      <c r="C1291" s="279" t="s">
        <v>651</v>
      </c>
      <c r="D1291" s="425">
        <f>D1290+D1284+D1277</f>
        <v>1158353.1000000001</v>
      </c>
      <c r="E1291" s="425">
        <f>E1290+E1284+E1277</f>
        <v>711629.1</v>
      </c>
      <c r="F1291" s="425">
        <f>F1290+F1284+F1277</f>
        <v>785286.99999999988</v>
      </c>
      <c r="G1291" s="425">
        <f>G1290+G1284+G1277</f>
        <v>37112.300000000003</v>
      </c>
      <c r="H1291" s="425">
        <f>H1290+H1284+H1277</f>
        <v>89397.5</v>
      </c>
      <c r="I1291" s="425">
        <f>I1277+I1284+I1290</f>
        <v>0</v>
      </c>
      <c r="J1291" s="425">
        <f>J1277+J1284+J1290</f>
        <v>199706.5</v>
      </c>
    </row>
    <row r="1292" spans="2:10" s="254" customFormat="1" x14ac:dyDescent="0.35">
      <c r="B1292" s="289"/>
      <c r="C1292" s="279"/>
      <c r="D1292" s="425"/>
      <c r="E1292" s="425"/>
      <c r="F1292" s="425"/>
      <c r="G1292" s="425"/>
      <c r="H1292" s="425"/>
      <c r="I1292" s="425"/>
      <c r="J1292" s="425"/>
    </row>
    <row r="1293" spans="2:10" x14ac:dyDescent="0.35">
      <c r="B1293" s="411" t="s">
        <v>879</v>
      </c>
      <c r="C1293" s="412"/>
      <c r="D1293" s="414"/>
      <c r="E1293" s="414"/>
      <c r="F1293" s="414"/>
      <c r="G1293" s="414"/>
      <c r="H1293" s="414"/>
      <c r="I1293" s="414"/>
      <c r="J1293" s="414"/>
    </row>
    <row r="1294" spans="2:10" x14ac:dyDescent="0.35">
      <c r="B1294" s="199" t="s">
        <v>664</v>
      </c>
      <c r="C1294" s="199" t="s">
        <v>369</v>
      </c>
      <c r="D1294" s="198"/>
      <c r="E1294" s="198"/>
      <c r="F1294" s="198"/>
      <c r="G1294" s="198"/>
      <c r="H1294" s="198"/>
      <c r="I1294" s="198"/>
      <c r="J1294" s="198"/>
    </row>
    <row r="1295" spans="2:10" s="254" customFormat="1" x14ac:dyDescent="0.35">
      <c r="B1295" s="289" t="s">
        <v>630</v>
      </c>
      <c r="C1295" s="289"/>
      <c r="D1295" s="279"/>
      <c r="E1295" s="279"/>
      <c r="F1295" s="279"/>
      <c r="G1295" s="279"/>
      <c r="H1295" s="279"/>
      <c r="I1295" s="279"/>
      <c r="J1295" s="279"/>
    </row>
    <row r="1296" spans="2:10" s="254" customFormat="1" x14ac:dyDescent="0.35">
      <c r="B1296" s="279" t="s">
        <v>631</v>
      </c>
      <c r="C1296" s="279" t="s">
        <v>651</v>
      </c>
      <c r="D1296" s="422"/>
      <c r="E1296" s="422"/>
      <c r="F1296" s="422">
        <v>-9490.4000000022352</v>
      </c>
      <c r="G1296" s="422"/>
      <c r="H1296" s="422"/>
      <c r="I1296" s="422">
        <v>0</v>
      </c>
      <c r="J1296" s="422">
        <v>0</v>
      </c>
    </row>
    <row r="1297" spans="2:10" s="254" customFormat="1" x14ac:dyDescent="0.35">
      <c r="B1297" s="279" t="s">
        <v>632</v>
      </c>
      <c r="C1297" s="279" t="s">
        <v>651</v>
      </c>
      <c r="D1297" s="422"/>
      <c r="E1297" s="422"/>
      <c r="F1297" s="422">
        <v>0</v>
      </c>
      <c r="G1297" s="422"/>
      <c r="H1297" s="422"/>
      <c r="I1297" s="422">
        <v>40000</v>
      </c>
      <c r="J1297" s="422">
        <v>0</v>
      </c>
    </row>
    <row r="1298" spans="2:10" s="254" customFormat="1" x14ac:dyDescent="0.35">
      <c r="B1298" s="279" t="s">
        <v>633</v>
      </c>
      <c r="C1298" s="279" t="s">
        <v>651</v>
      </c>
      <c r="D1298" s="422"/>
      <c r="E1298" s="422"/>
      <c r="F1298" s="422">
        <v>1.7047050059773028E-3</v>
      </c>
      <c r="G1298" s="422"/>
      <c r="H1298" s="422"/>
      <c r="I1298" s="422">
        <v>0</v>
      </c>
      <c r="J1298" s="422">
        <v>20000</v>
      </c>
    </row>
    <row r="1299" spans="2:10" s="254" customFormat="1" x14ac:dyDescent="0.35">
      <c r="B1299" s="279" t="s">
        <v>634</v>
      </c>
      <c r="C1299" s="279" t="s">
        <v>651</v>
      </c>
      <c r="D1299" s="422"/>
      <c r="E1299" s="422"/>
      <c r="F1299" s="422">
        <v>-5.7550003984943032E-3</v>
      </c>
      <c r="G1299" s="422"/>
      <c r="H1299" s="422"/>
      <c r="I1299" s="422">
        <v>0</v>
      </c>
      <c r="J1299" s="422">
        <v>0</v>
      </c>
    </row>
    <row r="1300" spans="2:10" s="254" customFormat="1" x14ac:dyDescent="0.35">
      <c r="B1300" s="279" t="s">
        <v>635</v>
      </c>
      <c r="C1300" s="279" t="s">
        <v>651</v>
      </c>
      <c r="D1300" s="422"/>
      <c r="E1300" s="422"/>
      <c r="F1300" s="422">
        <v>-1895.3000000002794</v>
      </c>
      <c r="G1300" s="422"/>
      <c r="H1300" s="422"/>
      <c r="I1300" s="422">
        <v>0</v>
      </c>
      <c r="J1300" s="422">
        <v>0</v>
      </c>
    </row>
    <row r="1301" spans="2:10" s="254" customFormat="1" x14ac:dyDescent="0.35">
      <c r="B1301" s="289" t="s">
        <v>636</v>
      </c>
      <c r="C1301" s="279" t="s">
        <v>651</v>
      </c>
      <c r="D1301" s="425">
        <f t="shared" ref="D1301:I1301" si="560">SUM(D1296:D1300)</f>
        <v>0</v>
      </c>
      <c r="E1301" s="425">
        <f t="shared" si="560"/>
        <v>0</v>
      </c>
      <c r="F1301" s="425">
        <f t="shared" si="560"/>
        <v>-11385.704050297907</v>
      </c>
      <c r="G1301" s="425">
        <f t="shared" si="560"/>
        <v>0</v>
      </c>
      <c r="H1301" s="425">
        <f t="shared" si="560"/>
        <v>0</v>
      </c>
      <c r="I1301" s="425">
        <f t="shared" si="560"/>
        <v>40000</v>
      </c>
      <c r="J1301" s="425">
        <f t="shared" ref="J1301" si="561">SUM(J1296:J1300)</f>
        <v>20000</v>
      </c>
    </row>
    <row r="1302" spans="2:10" s="254" customFormat="1" x14ac:dyDescent="0.35">
      <c r="B1302" s="289" t="s">
        <v>637</v>
      </c>
      <c r="C1302" s="279" t="s">
        <v>651</v>
      </c>
      <c r="D1302" s="424"/>
      <c r="E1302" s="424"/>
      <c r="F1302" s="424"/>
      <c r="G1302" s="424"/>
      <c r="H1302" s="424"/>
      <c r="I1302" s="424"/>
      <c r="J1302" s="424"/>
    </row>
    <row r="1303" spans="2:10" s="254" customFormat="1" x14ac:dyDescent="0.35">
      <c r="B1303" s="279" t="s">
        <v>638</v>
      </c>
      <c r="C1303" s="279" t="s">
        <v>651</v>
      </c>
      <c r="D1303" s="422"/>
      <c r="E1303" s="422"/>
      <c r="F1303" s="422">
        <v>0</v>
      </c>
      <c r="G1303" s="422"/>
      <c r="H1303" s="422"/>
      <c r="I1303" s="422">
        <v>0</v>
      </c>
      <c r="J1303" s="422">
        <v>0</v>
      </c>
    </row>
    <row r="1304" spans="2:10" s="254" customFormat="1" x14ac:dyDescent="0.35">
      <c r="B1304" s="279" t="s">
        <v>639</v>
      </c>
      <c r="C1304" s="279" t="s">
        <v>651</v>
      </c>
      <c r="D1304" s="422"/>
      <c r="E1304" s="422"/>
      <c r="F1304" s="422">
        <v>0</v>
      </c>
      <c r="G1304" s="422"/>
      <c r="H1304" s="422"/>
      <c r="I1304" s="422">
        <v>100000</v>
      </c>
      <c r="J1304" s="422">
        <v>0</v>
      </c>
    </row>
    <row r="1305" spans="2:10" s="254" customFormat="1" x14ac:dyDescent="0.35">
      <c r="B1305" s="279" t="s">
        <v>640</v>
      </c>
      <c r="C1305" s="279" t="s">
        <v>651</v>
      </c>
      <c r="D1305" s="422"/>
      <c r="E1305" s="422"/>
      <c r="F1305" s="422">
        <v>-148530.09999999963</v>
      </c>
      <c r="G1305" s="422"/>
      <c r="H1305" s="422"/>
      <c r="I1305" s="422">
        <v>0</v>
      </c>
      <c r="J1305" s="422">
        <v>0</v>
      </c>
    </row>
    <row r="1306" spans="2:10" s="254" customFormat="1" x14ac:dyDescent="0.35">
      <c r="B1306" s="279" t="s">
        <v>641</v>
      </c>
      <c r="C1306" s="279" t="s">
        <v>651</v>
      </c>
      <c r="D1306" s="422"/>
      <c r="E1306" s="422"/>
      <c r="F1306" s="422">
        <v>0</v>
      </c>
      <c r="G1306" s="422"/>
      <c r="H1306" s="422"/>
      <c r="I1306" s="422">
        <v>0</v>
      </c>
      <c r="J1306" s="422">
        <v>50000</v>
      </c>
    </row>
    <row r="1307" spans="2:10" s="254" customFormat="1" x14ac:dyDescent="0.35">
      <c r="B1307" s="279" t="s">
        <v>642</v>
      </c>
      <c r="C1307" s="279" t="s">
        <v>651</v>
      </c>
      <c r="D1307" s="422"/>
      <c r="E1307" s="422"/>
      <c r="F1307" s="422">
        <v>0</v>
      </c>
      <c r="G1307" s="422"/>
      <c r="H1307" s="422"/>
      <c r="I1307" s="422">
        <v>0</v>
      </c>
      <c r="J1307" s="422">
        <v>0</v>
      </c>
    </row>
    <row r="1308" spans="2:10" s="254" customFormat="1" x14ac:dyDescent="0.35">
      <c r="B1308" s="289" t="s">
        <v>643</v>
      </c>
      <c r="C1308" s="279" t="s">
        <v>651</v>
      </c>
      <c r="D1308" s="425">
        <f t="shared" ref="D1308:I1308" si="562">SUM(D1303:D1307)</f>
        <v>0</v>
      </c>
      <c r="E1308" s="425">
        <f t="shared" si="562"/>
        <v>0</v>
      </c>
      <c r="F1308" s="425">
        <f t="shared" si="562"/>
        <v>-148530.09999999963</v>
      </c>
      <c r="G1308" s="425">
        <f t="shared" si="562"/>
        <v>0</v>
      </c>
      <c r="H1308" s="425">
        <f t="shared" si="562"/>
        <v>0</v>
      </c>
      <c r="I1308" s="425">
        <f t="shared" si="562"/>
        <v>100000</v>
      </c>
      <c r="J1308" s="425">
        <f t="shared" ref="J1308" si="563">SUM(J1303:J1307)</f>
        <v>50000</v>
      </c>
    </row>
    <row r="1309" spans="2:10" s="254" customFormat="1" x14ac:dyDescent="0.35">
      <c r="B1309" s="289" t="s">
        <v>644</v>
      </c>
      <c r="C1309" s="279" t="s">
        <v>651</v>
      </c>
      <c r="D1309" s="424"/>
      <c r="E1309" s="424"/>
      <c r="F1309" s="424"/>
      <c r="G1309" s="424"/>
      <c r="H1309" s="424"/>
      <c r="I1309" s="424"/>
      <c r="J1309" s="424"/>
    </row>
    <row r="1310" spans="2:10" s="254" customFormat="1" x14ac:dyDescent="0.35">
      <c r="B1310" s="279" t="s">
        <v>645</v>
      </c>
      <c r="C1310" s="279" t="s">
        <v>651</v>
      </c>
      <c r="D1310" s="422"/>
      <c r="E1310" s="422"/>
      <c r="F1310" s="422">
        <v>-20127.59999999986</v>
      </c>
      <c r="G1310" s="422"/>
      <c r="H1310" s="422">
        <v>0</v>
      </c>
      <c r="I1310" s="422">
        <v>0</v>
      </c>
      <c r="J1310" s="422">
        <v>0</v>
      </c>
    </row>
    <row r="1311" spans="2:10" s="254" customFormat="1" x14ac:dyDescent="0.35">
      <c r="B1311" s="279" t="s">
        <v>646</v>
      </c>
      <c r="C1311" s="279" t="s">
        <v>651</v>
      </c>
      <c r="D1311" s="422"/>
      <c r="E1311" s="422"/>
      <c r="F1311" s="422">
        <v>-24404.559999999881</v>
      </c>
      <c r="G1311" s="422"/>
      <c r="H1311" s="422"/>
      <c r="I1311" s="422">
        <v>0</v>
      </c>
      <c r="J1311" s="422">
        <v>0</v>
      </c>
    </row>
    <row r="1312" spans="2:10" s="254" customFormat="1" x14ac:dyDescent="0.35">
      <c r="B1312" s="279" t="s">
        <v>647</v>
      </c>
      <c r="C1312" s="279" t="s">
        <v>651</v>
      </c>
      <c r="D1312" s="422"/>
      <c r="E1312" s="422"/>
      <c r="F1312" s="422"/>
      <c r="G1312" s="422"/>
      <c r="H1312" s="422"/>
      <c r="I1312" s="422">
        <v>0</v>
      </c>
      <c r="J1312" s="422">
        <v>68000</v>
      </c>
    </row>
    <row r="1313" spans="2:13" s="254" customFormat="1" x14ac:dyDescent="0.35">
      <c r="B1313" s="279" t="s">
        <v>648</v>
      </c>
      <c r="C1313" s="279" t="s">
        <v>651</v>
      </c>
      <c r="D1313" s="422"/>
      <c r="E1313" s="422"/>
      <c r="F1313" s="422"/>
      <c r="G1313" s="422"/>
      <c r="H1313" s="422"/>
      <c r="I1313" s="422">
        <v>0</v>
      </c>
      <c r="J1313" s="422">
        <v>85000</v>
      </c>
    </row>
    <row r="1314" spans="2:13" s="254" customFormat="1" x14ac:dyDescent="0.35">
      <c r="B1314" s="289" t="s">
        <v>649</v>
      </c>
      <c r="C1314" s="279" t="s">
        <v>651</v>
      </c>
      <c r="D1314" s="425">
        <f t="shared" ref="D1314:I1314" si="564">SUM(D1310:D1313)</f>
        <v>0</v>
      </c>
      <c r="E1314" s="425">
        <f t="shared" si="564"/>
        <v>0</v>
      </c>
      <c r="F1314" s="425">
        <f t="shared" si="564"/>
        <v>-44532.159999999742</v>
      </c>
      <c r="G1314" s="425">
        <f t="shared" si="564"/>
        <v>0</v>
      </c>
      <c r="H1314" s="425">
        <f t="shared" si="564"/>
        <v>0</v>
      </c>
      <c r="I1314" s="425">
        <f t="shared" si="564"/>
        <v>0</v>
      </c>
      <c r="J1314" s="425">
        <f t="shared" ref="J1314" si="565">SUM(J1310:J1313)</f>
        <v>153000</v>
      </c>
    </row>
    <row r="1315" spans="2:13" s="254" customFormat="1" x14ac:dyDescent="0.35">
      <c r="B1315" s="289" t="s">
        <v>36</v>
      </c>
      <c r="C1315" s="279" t="s">
        <v>651</v>
      </c>
      <c r="D1315" s="425">
        <f>D1314+D1308+D1301</f>
        <v>0</v>
      </c>
      <c r="E1315" s="425">
        <f>E1314+E1308+E1301</f>
        <v>0</v>
      </c>
      <c r="F1315" s="425">
        <f>F1314+F1308+F1301</f>
        <v>-204447.96405029728</v>
      </c>
      <c r="G1315" s="425">
        <f>G1314+G1308+G1301</f>
        <v>0</v>
      </c>
      <c r="H1315" s="425">
        <f>H1314+H1308+H1301</f>
        <v>0</v>
      </c>
      <c r="I1315" s="425">
        <f>I1301+I1308+I1314</f>
        <v>140000</v>
      </c>
      <c r="J1315" s="425">
        <f>J1301+J1308+J1314</f>
        <v>223000</v>
      </c>
    </row>
    <row r="1316" spans="2:13" s="254" customFormat="1" x14ac:dyDescent="0.35">
      <c r="B1316" s="289"/>
      <c r="C1316" s="279"/>
      <c r="D1316" s="425"/>
      <c r="E1316" s="425"/>
      <c r="F1316" s="425"/>
      <c r="G1316" s="425"/>
      <c r="H1316" s="425"/>
      <c r="I1316" s="425"/>
      <c r="J1316" s="425"/>
    </row>
    <row r="1317" spans="2:13" x14ac:dyDescent="0.35">
      <c r="B1317" s="411" t="s">
        <v>787</v>
      </c>
      <c r="C1317" s="412"/>
      <c r="D1317" s="414"/>
      <c r="E1317" s="414"/>
      <c r="F1317" s="414"/>
      <c r="G1317" s="414"/>
      <c r="H1317" s="414"/>
      <c r="I1317" s="414"/>
      <c r="J1317" s="414"/>
    </row>
    <row r="1318" spans="2:13" x14ac:dyDescent="0.35">
      <c r="B1318" s="199" t="s">
        <v>664</v>
      </c>
      <c r="C1318" s="199" t="s">
        <v>369</v>
      </c>
      <c r="D1318" s="198"/>
      <c r="E1318" s="198"/>
      <c r="F1318" s="198"/>
      <c r="G1318" s="198"/>
      <c r="H1318" s="198"/>
      <c r="I1318" s="198"/>
      <c r="J1318" s="198"/>
    </row>
    <row r="1319" spans="2:13" x14ac:dyDescent="0.35">
      <c r="B1319" s="199" t="s">
        <v>630</v>
      </c>
      <c r="C1319" s="199"/>
      <c r="D1319" s="198"/>
      <c r="E1319" s="198"/>
      <c r="F1319" s="198"/>
      <c r="G1319" s="198"/>
      <c r="H1319" s="198"/>
      <c r="I1319" s="198"/>
      <c r="J1319" s="198"/>
    </row>
    <row r="1320" spans="2:13" s="254" customFormat="1" x14ac:dyDescent="0.35">
      <c r="B1320" s="279" t="s">
        <v>631</v>
      </c>
      <c r="C1320" s="279" t="s">
        <v>651</v>
      </c>
      <c r="D1320" s="497">
        <f t="shared" ref="D1320:I1324" si="566">D1201+D1224-D1248-D1272+D1296</f>
        <v>216183.80000000066</v>
      </c>
      <c r="E1320" s="497">
        <f t="shared" si="566"/>
        <v>61815.900000000838</v>
      </c>
      <c r="F1320" s="497">
        <f t="shared" si="566"/>
        <v>159581.09999999963</v>
      </c>
      <c r="G1320" s="497">
        <f t="shared" si="566"/>
        <v>6389</v>
      </c>
      <c r="H1320" s="497">
        <f t="shared" si="566"/>
        <v>21322</v>
      </c>
      <c r="I1320" s="497">
        <f t="shared" si="566"/>
        <v>12406</v>
      </c>
      <c r="J1320" s="497">
        <f t="shared" ref="J1320" si="567">J1201+J1224-J1248-J1272+J1296</f>
        <v>106476</v>
      </c>
      <c r="L1320" s="569"/>
      <c r="M1320" s="569"/>
    </row>
    <row r="1321" spans="2:13" s="254" customFormat="1" x14ac:dyDescent="0.35">
      <c r="B1321" s="279" t="s">
        <v>632</v>
      </c>
      <c r="C1321" s="279" t="s">
        <v>651</v>
      </c>
      <c r="D1321" s="497">
        <f t="shared" si="566"/>
        <v>36737.100000000093</v>
      </c>
      <c r="E1321" s="497">
        <f t="shared" si="566"/>
        <v>214059.39999999982</v>
      </c>
      <c r="F1321" s="497">
        <f t="shared" si="566"/>
        <v>200141.0999999998</v>
      </c>
      <c r="G1321" s="497">
        <f t="shared" si="566"/>
        <v>87064.300000000279</v>
      </c>
      <c r="H1321" s="497">
        <f t="shared" si="566"/>
        <v>61969.700000000186</v>
      </c>
      <c r="I1321" s="497">
        <f t="shared" si="566"/>
        <v>200819.60000000009</v>
      </c>
      <c r="J1321" s="497">
        <f t="shared" ref="J1321" si="568">J1202+J1225-J1249-J1273+J1297</f>
        <v>352950.59999999916</v>
      </c>
      <c r="L1321" s="569"/>
      <c r="M1321" s="569"/>
    </row>
    <row r="1322" spans="2:13" s="254" customFormat="1" x14ac:dyDescent="0.35">
      <c r="B1322" s="279" t="s">
        <v>633</v>
      </c>
      <c r="C1322" s="279" t="s">
        <v>651</v>
      </c>
      <c r="D1322" s="497">
        <f t="shared" si="566"/>
        <v>54165.659997421404</v>
      </c>
      <c r="E1322" s="497">
        <f t="shared" si="566"/>
        <v>149849.75829529428</v>
      </c>
      <c r="F1322" s="497">
        <f t="shared" si="566"/>
        <v>29794.659999999654</v>
      </c>
      <c r="G1322" s="497">
        <f t="shared" si="566"/>
        <v>20589.089999999291</v>
      </c>
      <c r="H1322" s="497">
        <f t="shared" si="566"/>
        <v>16523.55999999959</v>
      </c>
      <c r="I1322" s="497">
        <f t="shared" si="566"/>
        <v>244880.68999999994</v>
      </c>
      <c r="J1322" s="497">
        <f t="shared" ref="J1322" si="569">J1203+J1226-J1250-J1274+J1298</f>
        <v>254680.97999999858</v>
      </c>
      <c r="L1322" s="569"/>
      <c r="M1322" s="569"/>
    </row>
    <row r="1323" spans="2:13" s="254" customFormat="1" x14ac:dyDescent="0.35">
      <c r="B1323" s="279" t="s">
        <v>634</v>
      </c>
      <c r="C1323" s="279" t="s">
        <v>651</v>
      </c>
      <c r="D1323" s="497">
        <f t="shared" si="566"/>
        <v>134793.33429800021</v>
      </c>
      <c r="E1323" s="497">
        <f t="shared" si="566"/>
        <v>32634.735755000263</v>
      </c>
      <c r="F1323" s="497">
        <f t="shared" si="566"/>
        <v>59278.699999999895</v>
      </c>
      <c r="G1323" s="497">
        <f t="shared" si="566"/>
        <v>52916.82999999998</v>
      </c>
      <c r="H1323" s="497">
        <f t="shared" si="566"/>
        <v>39278.790000000037</v>
      </c>
      <c r="I1323" s="497">
        <f t="shared" si="566"/>
        <v>277653.34999999963</v>
      </c>
      <c r="J1323" s="497">
        <f t="shared" ref="J1323" si="570">J1204+J1227-J1251-J1275+J1299</f>
        <v>208536.82999999914</v>
      </c>
      <c r="L1323" s="569"/>
      <c r="M1323" s="569"/>
    </row>
    <row r="1324" spans="2:13" s="254" customFormat="1" x14ac:dyDescent="0.35">
      <c r="B1324" s="279" t="s">
        <v>635</v>
      </c>
      <c r="C1324" s="279" t="s">
        <v>651</v>
      </c>
      <c r="D1324" s="497">
        <f t="shared" si="566"/>
        <v>4995.3000000000466</v>
      </c>
      <c r="E1324" s="497">
        <f t="shared" si="566"/>
        <v>147898.69999999995</v>
      </c>
      <c r="F1324" s="497">
        <f t="shared" si="566"/>
        <v>150586</v>
      </c>
      <c r="G1324" s="497">
        <f t="shared" si="566"/>
        <v>25613</v>
      </c>
      <c r="H1324" s="497">
        <f t="shared" si="566"/>
        <v>8780.2999999998137</v>
      </c>
      <c r="I1324" s="497">
        <f t="shared" si="566"/>
        <v>136686</v>
      </c>
      <c r="J1324" s="497">
        <f t="shared" ref="J1324" si="571">J1205+J1228-J1252-J1276+J1300</f>
        <v>130008.55000000028</v>
      </c>
      <c r="L1324" s="569"/>
      <c r="M1324" s="569"/>
    </row>
    <row r="1325" spans="2:13" s="254" customFormat="1" x14ac:dyDescent="0.35">
      <c r="B1325" s="289" t="s">
        <v>636</v>
      </c>
      <c r="C1325" s="279" t="s">
        <v>651</v>
      </c>
      <c r="D1325" s="423">
        <f t="shared" ref="D1325:I1325" si="572">SUM(D1320:D1324)</f>
        <v>446875.19429542241</v>
      </c>
      <c r="E1325" s="423">
        <f t="shared" si="572"/>
        <v>606258.49405029509</v>
      </c>
      <c r="F1325" s="423">
        <f t="shared" si="572"/>
        <v>599381.55999999889</v>
      </c>
      <c r="G1325" s="423">
        <f t="shared" si="572"/>
        <v>192572.21999999956</v>
      </c>
      <c r="H1325" s="423">
        <f t="shared" si="572"/>
        <v>147874.34999999963</v>
      </c>
      <c r="I1325" s="423">
        <f t="shared" si="572"/>
        <v>872445.63999999966</v>
      </c>
      <c r="J1325" s="423">
        <f t="shared" ref="J1325" si="573">SUM(J1320:J1324)</f>
        <v>1052652.9599999972</v>
      </c>
      <c r="L1325" s="423"/>
    </row>
    <row r="1326" spans="2:13" s="254" customFormat="1" x14ac:dyDescent="0.35">
      <c r="B1326" s="289" t="s">
        <v>637</v>
      </c>
      <c r="C1326" s="279" t="s">
        <v>651</v>
      </c>
      <c r="D1326" s="497"/>
      <c r="E1326" s="497"/>
      <c r="F1326" s="497"/>
      <c r="G1326" s="497"/>
      <c r="H1326" s="497"/>
      <c r="I1326" s="497"/>
      <c r="J1326" s="497"/>
    </row>
    <row r="1327" spans="2:13" s="254" customFormat="1" x14ac:dyDescent="0.35">
      <c r="B1327" s="279" t="s">
        <v>638</v>
      </c>
      <c r="C1327" s="279" t="s">
        <v>651</v>
      </c>
      <c r="D1327" s="497">
        <f t="shared" ref="D1327:I1331" si="574">D1208+D1231-D1255-D1279+D1303</f>
        <v>146437.79999999952</v>
      </c>
      <c r="E1327" s="497">
        <f t="shared" si="574"/>
        <v>211484.62000000011</v>
      </c>
      <c r="F1327" s="497">
        <f t="shared" si="574"/>
        <v>86959.200000000186</v>
      </c>
      <c r="G1327" s="497">
        <f t="shared" si="574"/>
        <v>108300</v>
      </c>
      <c r="H1327" s="497">
        <f t="shared" si="574"/>
        <v>40000</v>
      </c>
      <c r="I1327" s="497">
        <f t="shared" si="574"/>
        <v>83175</v>
      </c>
      <c r="J1327" s="497">
        <f t="shared" ref="J1327" si="575">J1208+J1231-J1255-J1279+J1303</f>
        <v>203754.79999999981</v>
      </c>
      <c r="L1327" s="569"/>
      <c r="M1327" s="569"/>
    </row>
    <row r="1328" spans="2:13" s="254" customFormat="1" x14ac:dyDescent="0.35">
      <c r="B1328" s="279" t="s">
        <v>639</v>
      </c>
      <c r="C1328" s="279" t="s">
        <v>651</v>
      </c>
      <c r="D1328" s="497">
        <f t="shared" si="574"/>
        <v>69663.829999999609</v>
      </c>
      <c r="E1328" s="497">
        <f t="shared" si="574"/>
        <v>222019.39999999944</v>
      </c>
      <c r="F1328" s="497">
        <f t="shared" si="574"/>
        <v>264393.59999999963</v>
      </c>
      <c r="G1328" s="497">
        <f t="shared" si="574"/>
        <v>175697.64999999944</v>
      </c>
      <c r="H1328" s="497">
        <f t="shared" si="574"/>
        <v>260820.07999999914</v>
      </c>
      <c r="I1328" s="497">
        <f t="shared" si="574"/>
        <v>89392.859999999404</v>
      </c>
      <c r="J1328" s="497">
        <f t="shared" ref="J1328" si="576">J1209+J1232-J1256-J1280+J1304</f>
        <v>226831.99599999934</v>
      </c>
      <c r="L1328" s="569"/>
      <c r="M1328" s="569"/>
    </row>
    <row r="1329" spans="2:13" s="254" customFormat="1" x14ac:dyDescent="0.35">
      <c r="B1329" s="279" t="s">
        <v>640</v>
      </c>
      <c r="C1329" s="279" t="s">
        <v>651</v>
      </c>
      <c r="D1329" s="497">
        <f t="shared" si="574"/>
        <v>313611.39999999991</v>
      </c>
      <c r="E1329" s="497">
        <f t="shared" si="574"/>
        <v>208182.69999999972</v>
      </c>
      <c r="F1329" s="497">
        <f t="shared" si="574"/>
        <v>-60396.899999999907</v>
      </c>
      <c r="G1329" s="497">
        <f t="shared" si="574"/>
        <v>39304</v>
      </c>
      <c r="H1329" s="497">
        <f t="shared" si="574"/>
        <v>68861</v>
      </c>
      <c r="I1329" s="497">
        <f t="shared" si="574"/>
        <v>102104</v>
      </c>
      <c r="J1329" s="497">
        <f t="shared" ref="J1329" si="577">J1210+J1233-J1257-J1281+J1305</f>
        <v>132939.80000000028</v>
      </c>
      <c r="L1329" s="569"/>
      <c r="M1329" s="569"/>
    </row>
    <row r="1330" spans="2:13" s="254" customFormat="1" x14ac:dyDescent="0.35">
      <c r="B1330" s="279" t="s">
        <v>641</v>
      </c>
      <c r="C1330" s="279" t="s">
        <v>651</v>
      </c>
      <c r="D1330" s="497">
        <f t="shared" si="574"/>
        <v>37371.500000000138</v>
      </c>
      <c r="E1330" s="497">
        <f t="shared" si="574"/>
        <v>202988.50000000006</v>
      </c>
      <c r="F1330" s="497">
        <f t="shared" si="574"/>
        <v>54970.259999999966</v>
      </c>
      <c r="G1330" s="497">
        <f t="shared" si="574"/>
        <v>101705.6799999997</v>
      </c>
      <c r="H1330" s="497">
        <f t="shared" si="574"/>
        <v>278507.9299999997</v>
      </c>
      <c r="I1330" s="497">
        <f t="shared" si="574"/>
        <v>286508.55999999959</v>
      </c>
      <c r="J1330" s="497">
        <f t="shared" ref="J1330" si="578">J1211+J1234-J1258-J1282+J1306</f>
        <v>362019.2099999995</v>
      </c>
      <c r="L1330" s="569"/>
      <c r="M1330" s="569"/>
    </row>
    <row r="1331" spans="2:13" s="254" customFormat="1" x14ac:dyDescent="0.35">
      <c r="B1331" s="279" t="s">
        <v>642</v>
      </c>
      <c r="C1331" s="279" t="s">
        <v>651</v>
      </c>
      <c r="D1331" s="497">
        <f t="shared" si="574"/>
        <v>19787.610018874286</v>
      </c>
      <c r="E1331" s="497">
        <f t="shared" si="574"/>
        <v>47580.790018874221</v>
      </c>
      <c r="F1331" s="497">
        <f t="shared" si="574"/>
        <v>20383.370018874761</v>
      </c>
      <c r="G1331" s="497">
        <f t="shared" si="574"/>
        <v>40083.360018874519</v>
      </c>
      <c r="H1331" s="497">
        <f t="shared" si="574"/>
        <v>193932.23001887463</v>
      </c>
      <c r="I1331" s="497">
        <f t="shared" si="574"/>
        <v>158000.01001887466</v>
      </c>
      <c r="J1331" s="497">
        <f t="shared" ref="J1331" si="579">J1212+J1235-J1259-J1283+J1307</f>
        <v>295785.74001887487</v>
      </c>
      <c r="L1331" s="569"/>
      <c r="M1331" s="569"/>
    </row>
    <row r="1332" spans="2:13" s="254" customFormat="1" x14ac:dyDescent="0.35">
      <c r="B1332" s="289" t="s">
        <v>643</v>
      </c>
      <c r="C1332" s="279" t="s">
        <v>651</v>
      </c>
      <c r="D1332" s="423">
        <f t="shared" ref="D1332:I1332" si="580">SUM(D1327:D1331)</f>
        <v>586872.1400188735</v>
      </c>
      <c r="E1332" s="423">
        <f t="shared" si="580"/>
        <v>892256.01001887349</v>
      </c>
      <c r="F1332" s="423">
        <f t="shared" si="580"/>
        <v>366309.53001887462</v>
      </c>
      <c r="G1332" s="423">
        <f t="shared" si="580"/>
        <v>465090.69001887366</v>
      </c>
      <c r="H1332" s="423">
        <f t="shared" si="580"/>
        <v>842121.24001887348</v>
      </c>
      <c r="I1332" s="423">
        <f t="shared" si="580"/>
        <v>719180.43001887365</v>
      </c>
      <c r="J1332" s="423">
        <f t="shared" ref="J1332" si="581">SUM(J1327:J1331)</f>
        <v>1221331.5460188738</v>
      </c>
      <c r="L1332" s="423"/>
    </row>
    <row r="1333" spans="2:13" s="254" customFormat="1" x14ac:dyDescent="0.35">
      <c r="B1333" s="289" t="s">
        <v>644</v>
      </c>
      <c r="C1333" s="279" t="s">
        <v>651</v>
      </c>
      <c r="D1333" s="497"/>
      <c r="E1333" s="497"/>
      <c r="F1333" s="497"/>
      <c r="G1333" s="497"/>
      <c r="H1333" s="497"/>
      <c r="I1333" s="497"/>
      <c r="J1333" s="497"/>
    </row>
    <row r="1334" spans="2:13" s="254" customFormat="1" x14ac:dyDescent="0.35">
      <c r="B1334" s="279" t="s">
        <v>645</v>
      </c>
      <c r="C1334" s="279" t="s">
        <v>651</v>
      </c>
      <c r="D1334" s="497">
        <f t="shared" ref="D1334:I1337" si="582">D1215+D1238-D1262-D1286+D1310</f>
        <v>30587.399999999965</v>
      </c>
      <c r="E1334" s="497">
        <f t="shared" si="582"/>
        <v>1493.8999999999651</v>
      </c>
      <c r="F1334" s="497">
        <f t="shared" si="582"/>
        <v>-20127.599999999977</v>
      </c>
      <c r="G1334" s="497">
        <f t="shared" si="582"/>
        <v>0</v>
      </c>
      <c r="H1334" s="497">
        <f t="shared" si="582"/>
        <v>0</v>
      </c>
      <c r="I1334" s="497">
        <f t="shared" si="582"/>
        <v>0</v>
      </c>
      <c r="J1334" s="497">
        <f t="shared" ref="J1334" si="583">J1215+J1238-J1262-J1286+J1310</f>
        <v>0</v>
      </c>
      <c r="L1334" s="569"/>
      <c r="M1334" s="569"/>
    </row>
    <row r="1335" spans="2:13" s="254" customFormat="1" x14ac:dyDescent="0.35">
      <c r="B1335" s="279" t="s">
        <v>646</v>
      </c>
      <c r="C1335" s="279" t="s">
        <v>651</v>
      </c>
      <c r="D1335" s="497">
        <f t="shared" si="582"/>
        <v>78745.5</v>
      </c>
      <c r="E1335" s="497">
        <f t="shared" si="582"/>
        <v>185758.91000000003</v>
      </c>
      <c r="F1335" s="497">
        <f t="shared" si="582"/>
        <v>256936.2800000002</v>
      </c>
      <c r="G1335" s="497">
        <f t="shared" si="582"/>
        <v>412149.28000000026</v>
      </c>
      <c r="H1335" s="497">
        <f t="shared" si="582"/>
        <v>627635.12000000034</v>
      </c>
      <c r="I1335" s="497">
        <f t="shared" si="582"/>
        <v>344087.8200000003</v>
      </c>
      <c r="J1335" s="497">
        <f t="shared" ref="J1335" si="584">J1216+J1239-J1263-J1287+J1311</f>
        <v>272012.38000000035</v>
      </c>
      <c r="L1335" s="569"/>
      <c r="M1335" s="569"/>
    </row>
    <row r="1336" spans="2:13" s="254" customFormat="1" x14ac:dyDescent="0.35">
      <c r="B1336" s="279" t="s">
        <v>647</v>
      </c>
      <c r="C1336" s="279" t="s">
        <v>651</v>
      </c>
      <c r="D1336" s="497">
        <f t="shared" si="582"/>
        <v>38878.6</v>
      </c>
      <c r="E1336" s="497">
        <f t="shared" si="582"/>
        <v>51209</v>
      </c>
      <c r="F1336" s="497">
        <f t="shared" si="582"/>
        <v>21715.299999999952</v>
      </c>
      <c r="G1336" s="497">
        <f t="shared" si="582"/>
        <v>45614.399999999907</v>
      </c>
      <c r="H1336" s="497">
        <f t="shared" si="582"/>
        <v>67502.699999999721</v>
      </c>
      <c r="I1336" s="497">
        <f t="shared" si="582"/>
        <v>30521.899999999674</v>
      </c>
      <c r="J1336" s="497">
        <f t="shared" ref="J1336" si="585">J1217+J1240-J1264-J1288+J1312</f>
        <v>13141.639999999898</v>
      </c>
      <c r="L1336" s="569"/>
      <c r="M1336" s="569"/>
    </row>
    <row r="1337" spans="2:13" s="254" customFormat="1" x14ac:dyDescent="0.35">
      <c r="B1337" s="279" t="s">
        <v>648</v>
      </c>
      <c r="C1337" s="279" t="s">
        <v>651</v>
      </c>
      <c r="D1337" s="497">
        <f t="shared" si="582"/>
        <v>60431.05999999991</v>
      </c>
      <c r="E1337" s="497">
        <f t="shared" si="582"/>
        <v>159064.38000000035</v>
      </c>
      <c r="F1337" s="497">
        <f t="shared" si="582"/>
        <v>186518.01000000024</v>
      </c>
      <c r="G1337" s="497">
        <f t="shared" si="582"/>
        <v>32875.020000000019</v>
      </c>
      <c r="H1337" s="497">
        <f t="shared" si="582"/>
        <v>185985.87999999989</v>
      </c>
      <c r="I1337" s="497">
        <f t="shared" si="582"/>
        <v>314609.43000000017</v>
      </c>
      <c r="J1337" s="497">
        <f t="shared" ref="J1337" si="586">J1218+J1241-J1265-J1289+J1313</f>
        <v>251890.07899999991</v>
      </c>
      <c r="L1337" s="569"/>
      <c r="M1337" s="569"/>
    </row>
    <row r="1338" spans="2:13" s="254" customFormat="1" x14ac:dyDescent="0.35">
      <c r="B1338" s="289" t="s">
        <v>649</v>
      </c>
      <c r="C1338" s="279" t="s">
        <v>651</v>
      </c>
      <c r="D1338" s="423">
        <f t="shared" ref="D1338:I1338" si="587">SUM(D1334:D1337)</f>
        <v>208642.55999999988</v>
      </c>
      <c r="E1338" s="423">
        <f t="shared" si="587"/>
        <v>397526.19000000035</v>
      </c>
      <c r="F1338" s="423">
        <f t="shared" si="587"/>
        <v>445041.99000000046</v>
      </c>
      <c r="G1338" s="423">
        <f t="shared" si="587"/>
        <v>490638.70000000019</v>
      </c>
      <c r="H1338" s="423">
        <f t="shared" si="587"/>
        <v>881123.7</v>
      </c>
      <c r="I1338" s="423">
        <f t="shared" si="587"/>
        <v>689219.15000000014</v>
      </c>
      <c r="J1338" s="423">
        <f t="shared" ref="J1338" si="588">SUM(J1334:J1337)</f>
        <v>537044.09900000016</v>
      </c>
      <c r="L1338" s="423"/>
    </row>
    <row r="1339" spans="2:13" s="254" customFormat="1" x14ac:dyDescent="0.35">
      <c r="B1339" s="289" t="s">
        <v>36</v>
      </c>
      <c r="C1339" s="279" t="s">
        <v>651</v>
      </c>
      <c r="D1339" s="423">
        <f t="shared" ref="D1339:I1339" si="589">D1325+D1332+D1338</f>
        <v>1242389.8943142958</v>
      </c>
      <c r="E1339" s="423">
        <f t="shared" si="589"/>
        <v>1896040.694069169</v>
      </c>
      <c r="F1339" s="423">
        <f t="shared" si="589"/>
        <v>1410733.080018874</v>
      </c>
      <c r="G1339" s="423">
        <f t="shared" si="589"/>
        <v>1148301.6100188734</v>
      </c>
      <c r="H1339" s="423">
        <f t="shared" si="589"/>
        <v>1871119.2900188731</v>
      </c>
      <c r="I1339" s="423">
        <f t="shared" si="589"/>
        <v>2280845.2200188735</v>
      </c>
      <c r="J1339" s="423">
        <f t="shared" ref="J1339" si="590">J1325+J1332+J1338</f>
        <v>2811028.6050188709</v>
      </c>
      <c r="L1339" s="423"/>
    </row>
    <row r="1340" spans="2:13" s="254" customFormat="1" x14ac:dyDescent="0.35">
      <c r="B1340" s="289"/>
      <c r="C1340" s="279"/>
      <c r="D1340" s="425"/>
      <c r="E1340" s="425"/>
      <c r="F1340" s="425"/>
      <c r="G1340" s="425"/>
      <c r="H1340" s="425"/>
      <c r="I1340" s="425"/>
      <c r="J1340" s="425"/>
      <c r="L1340" s="569"/>
    </row>
    <row r="1341" spans="2:13" s="254" customFormat="1" x14ac:dyDescent="0.35">
      <c r="B1341" s="289" t="s">
        <v>788</v>
      </c>
      <c r="C1341" s="279"/>
      <c r="D1341" s="425"/>
      <c r="E1341" s="425"/>
      <c r="F1341" s="425"/>
      <c r="G1341" s="425"/>
      <c r="H1341" s="425"/>
      <c r="I1341" s="425"/>
      <c r="J1341" s="425"/>
    </row>
    <row r="1342" spans="2:13" s="254" customFormat="1" x14ac:dyDescent="0.35">
      <c r="B1342" s="289" t="s">
        <v>789</v>
      </c>
      <c r="C1342" s="279"/>
      <c r="D1342" s="425"/>
      <c r="E1342" s="425"/>
      <c r="F1342" s="425"/>
      <c r="G1342" s="425"/>
      <c r="H1342" s="425"/>
      <c r="I1342" s="425"/>
      <c r="J1342" s="425"/>
    </row>
    <row r="1343" spans="2:13" x14ac:dyDescent="0.35">
      <c r="B1343" s="199" t="s">
        <v>664</v>
      </c>
      <c r="C1343" s="199" t="s">
        <v>369</v>
      </c>
      <c r="D1343" s="198"/>
      <c r="E1343" s="198"/>
      <c r="F1343" s="198"/>
      <c r="G1343" s="198"/>
      <c r="H1343" s="198"/>
      <c r="I1343" s="198"/>
      <c r="J1343" s="198"/>
    </row>
    <row r="1344" spans="2:13" x14ac:dyDescent="0.35">
      <c r="B1344" s="199" t="s">
        <v>630</v>
      </c>
      <c r="C1344" s="199"/>
      <c r="D1344" s="198"/>
      <c r="E1344" s="198"/>
      <c r="F1344" s="198"/>
      <c r="G1344" s="198"/>
      <c r="H1344" s="198"/>
      <c r="I1344" s="198"/>
      <c r="J1344" s="198"/>
    </row>
    <row r="1345" spans="2:10" s="254" customFormat="1" x14ac:dyDescent="0.35">
      <c r="B1345" s="279" t="s">
        <v>631</v>
      </c>
      <c r="C1345" s="279" t="s">
        <v>651</v>
      </c>
      <c r="D1345" s="422"/>
      <c r="E1345" s="422"/>
      <c r="F1345" s="422"/>
      <c r="G1345" s="422"/>
      <c r="H1345" s="422">
        <v>9490.4</v>
      </c>
      <c r="I1345" s="422">
        <f>H1441</f>
        <v>57992.030000000261</v>
      </c>
      <c r="J1345" s="422">
        <f>I1441</f>
        <v>62854.129999999888</v>
      </c>
    </row>
    <row r="1346" spans="2:10" s="254" customFormat="1" x14ac:dyDescent="0.35">
      <c r="B1346" s="279" t="s">
        <v>632</v>
      </c>
      <c r="C1346" s="279" t="s">
        <v>651</v>
      </c>
      <c r="D1346" s="422"/>
      <c r="E1346" s="422"/>
      <c r="F1346" s="422"/>
      <c r="G1346" s="422"/>
      <c r="H1346" s="422">
        <v>0</v>
      </c>
      <c r="I1346" s="422">
        <f t="shared" ref="I1346:J1349" si="591">H1442</f>
        <v>0</v>
      </c>
      <c r="J1346" s="422">
        <f t="shared" si="591"/>
        <v>0</v>
      </c>
    </row>
    <row r="1347" spans="2:10" s="254" customFormat="1" x14ac:dyDescent="0.35">
      <c r="B1347" s="279" t="s">
        <v>633</v>
      </c>
      <c r="C1347" s="279" t="s">
        <v>651</v>
      </c>
      <c r="D1347" s="422"/>
      <c r="E1347" s="422"/>
      <c r="F1347" s="422"/>
      <c r="G1347" s="422"/>
      <c r="H1347" s="422">
        <v>0</v>
      </c>
      <c r="I1347" s="422">
        <f t="shared" si="591"/>
        <v>0</v>
      </c>
      <c r="J1347" s="422">
        <f t="shared" si="591"/>
        <v>0</v>
      </c>
    </row>
    <row r="1348" spans="2:10" s="254" customFormat="1" x14ac:dyDescent="0.35">
      <c r="B1348" s="279" t="s">
        <v>634</v>
      </c>
      <c r="C1348" s="279" t="s">
        <v>651</v>
      </c>
      <c r="D1348" s="422"/>
      <c r="E1348" s="422"/>
      <c r="F1348" s="422"/>
      <c r="G1348" s="422"/>
      <c r="H1348" s="422">
        <v>0</v>
      </c>
      <c r="I1348" s="422">
        <f t="shared" si="591"/>
        <v>0</v>
      </c>
      <c r="J1348" s="422">
        <f t="shared" si="591"/>
        <v>0</v>
      </c>
    </row>
    <row r="1349" spans="2:10" s="254" customFormat="1" x14ac:dyDescent="0.35">
      <c r="B1349" s="279" t="s">
        <v>635</v>
      </c>
      <c r="C1349" s="279" t="s">
        <v>651</v>
      </c>
      <c r="D1349" s="422"/>
      <c r="E1349" s="422"/>
      <c r="F1349" s="422"/>
      <c r="G1349" s="422"/>
      <c r="H1349" s="422">
        <v>1895.3</v>
      </c>
      <c r="I1349" s="422">
        <f t="shared" si="591"/>
        <v>0</v>
      </c>
      <c r="J1349" s="422">
        <f t="shared" si="591"/>
        <v>0</v>
      </c>
    </row>
    <row r="1350" spans="2:10" s="254" customFormat="1" x14ac:dyDescent="0.35">
      <c r="B1350" s="289" t="s">
        <v>636</v>
      </c>
      <c r="C1350" s="279" t="s">
        <v>651</v>
      </c>
      <c r="D1350" s="425">
        <f t="shared" ref="D1350:I1350" si="592">SUM(D1345:D1349)</f>
        <v>0</v>
      </c>
      <c r="E1350" s="425">
        <f t="shared" si="592"/>
        <v>0</v>
      </c>
      <c r="F1350" s="425">
        <f t="shared" si="592"/>
        <v>0</v>
      </c>
      <c r="G1350" s="425">
        <f t="shared" si="592"/>
        <v>0</v>
      </c>
      <c r="H1350" s="425">
        <f t="shared" si="592"/>
        <v>11385.699999999999</v>
      </c>
      <c r="I1350" s="425">
        <f t="shared" si="592"/>
        <v>57992.030000000261</v>
      </c>
      <c r="J1350" s="425">
        <f t="shared" ref="J1350" si="593">SUM(J1345:J1349)</f>
        <v>62854.129999999888</v>
      </c>
    </row>
    <row r="1351" spans="2:10" s="254" customFormat="1" x14ac:dyDescent="0.35">
      <c r="B1351" s="289" t="s">
        <v>637</v>
      </c>
      <c r="C1351" s="279" t="s">
        <v>651</v>
      </c>
      <c r="D1351" s="424"/>
      <c r="E1351" s="424"/>
      <c r="F1351" s="424"/>
      <c r="G1351" s="424"/>
      <c r="H1351" s="424"/>
      <c r="I1351" s="424"/>
      <c r="J1351" s="424"/>
    </row>
    <row r="1352" spans="2:10" s="254" customFormat="1" x14ac:dyDescent="0.35">
      <c r="B1352" s="279" t="s">
        <v>638</v>
      </c>
      <c r="C1352" s="279" t="s">
        <v>651</v>
      </c>
      <c r="D1352" s="422"/>
      <c r="E1352" s="422"/>
      <c r="F1352" s="422"/>
      <c r="G1352" s="422"/>
      <c r="H1352" s="422">
        <v>0</v>
      </c>
      <c r="I1352" s="422">
        <f t="shared" ref="I1352:J1356" si="594">H1448</f>
        <v>24260.5</v>
      </c>
      <c r="J1352" s="422">
        <f t="shared" si="594"/>
        <v>9130</v>
      </c>
    </row>
    <row r="1353" spans="2:10" s="254" customFormat="1" x14ac:dyDescent="0.35">
      <c r="B1353" s="279" t="s">
        <v>639</v>
      </c>
      <c r="C1353" s="279" t="s">
        <v>651</v>
      </c>
      <c r="D1353" s="422"/>
      <c r="E1353" s="422"/>
      <c r="F1353" s="422"/>
      <c r="G1353" s="422"/>
      <c r="H1353" s="422">
        <v>0</v>
      </c>
      <c r="I1353" s="422">
        <f t="shared" si="594"/>
        <v>0</v>
      </c>
      <c r="J1353" s="422">
        <f t="shared" si="594"/>
        <v>0</v>
      </c>
    </row>
    <row r="1354" spans="2:10" s="254" customFormat="1" x14ac:dyDescent="0.35">
      <c r="B1354" s="279" t="s">
        <v>640</v>
      </c>
      <c r="C1354" s="279" t="s">
        <v>651</v>
      </c>
      <c r="D1354" s="422"/>
      <c r="E1354" s="422"/>
      <c r="F1354" s="422"/>
      <c r="G1354" s="422"/>
      <c r="H1354" s="422">
        <v>148530.1</v>
      </c>
      <c r="I1354" s="422">
        <f t="shared" si="594"/>
        <v>70000.199999999721</v>
      </c>
      <c r="J1354" s="422">
        <f t="shared" si="594"/>
        <v>307761.69999999925</v>
      </c>
    </row>
    <row r="1355" spans="2:10" s="254" customFormat="1" x14ac:dyDescent="0.35">
      <c r="B1355" s="279" t="s">
        <v>641</v>
      </c>
      <c r="C1355" s="279" t="s">
        <v>651</v>
      </c>
      <c r="D1355" s="422"/>
      <c r="E1355" s="422"/>
      <c r="F1355" s="422"/>
      <c r="G1355" s="422"/>
      <c r="H1355" s="422">
        <v>0</v>
      </c>
      <c r="I1355" s="422">
        <f t="shared" si="594"/>
        <v>0</v>
      </c>
      <c r="J1355" s="422">
        <f t="shared" si="594"/>
        <v>0</v>
      </c>
    </row>
    <row r="1356" spans="2:10" s="254" customFormat="1" x14ac:dyDescent="0.35">
      <c r="B1356" s="279" t="s">
        <v>642</v>
      </c>
      <c r="C1356" s="279" t="s">
        <v>651</v>
      </c>
      <c r="D1356" s="422"/>
      <c r="E1356" s="422"/>
      <c r="F1356" s="422"/>
      <c r="G1356" s="422"/>
      <c r="H1356" s="422">
        <v>0</v>
      </c>
      <c r="I1356" s="422">
        <f t="shared" si="594"/>
        <v>0</v>
      </c>
      <c r="J1356" s="422">
        <f t="shared" si="594"/>
        <v>0</v>
      </c>
    </row>
    <row r="1357" spans="2:10" s="254" customFormat="1" x14ac:dyDescent="0.35">
      <c r="B1357" s="289" t="s">
        <v>643</v>
      </c>
      <c r="C1357" s="279" t="s">
        <v>651</v>
      </c>
      <c r="D1357" s="425">
        <f t="shared" ref="D1357:I1357" si="595">SUM(D1352:D1356)</f>
        <v>0</v>
      </c>
      <c r="E1357" s="425">
        <f t="shared" si="595"/>
        <v>0</v>
      </c>
      <c r="F1357" s="425">
        <f t="shared" si="595"/>
        <v>0</v>
      </c>
      <c r="G1357" s="425">
        <f t="shared" si="595"/>
        <v>0</v>
      </c>
      <c r="H1357" s="425">
        <f t="shared" si="595"/>
        <v>148530.1</v>
      </c>
      <c r="I1357" s="425">
        <f t="shared" si="595"/>
        <v>94260.699999999721</v>
      </c>
      <c r="J1357" s="425">
        <f t="shared" ref="J1357" si="596">SUM(J1352:J1356)</f>
        <v>316891.69999999925</v>
      </c>
    </row>
    <row r="1358" spans="2:10" s="254" customFormat="1" x14ac:dyDescent="0.35">
      <c r="B1358" s="289" t="s">
        <v>644</v>
      </c>
      <c r="C1358" s="279" t="s">
        <v>651</v>
      </c>
      <c r="D1358" s="424"/>
      <c r="E1358" s="424"/>
      <c r="F1358" s="424"/>
      <c r="G1358" s="424"/>
      <c r="H1358" s="424"/>
      <c r="I1358" s="424"/>
      <c r="J1358" s="424"/>
    </row>
    <row r="1359" spans="2:10" s="254" customFormat="1" x14ac:dyDescent="0.35">
      <c r="B1359" s="279" t="s">
        <v>645</v>
      </c>
      <c r="C1359" s="279" t="s">
        <v>651</v>
      </c>
      <c r="D1359" s="422"/>
      <c r="E1359" s="422"/>
      <c r="F1359" s="422"/>
      <c r="G1359" s="422"/>
      <c r="H1359" s="422">
        <v>20127.599999999999</v>
      </c>
      <c r="I1359" s="422">
        <f t="shared" ref="I1359:J1362" si="597">H1455</f>
        <v>35258.099999999977</v>
      </c>
      <c r="J1359" s="422">
        <f t="shared" si="597"/>
        <v>31669.099999999977</v>
      </c>
    </row>
    <row r="1360" spans="2:10" s="254" customFormat="1" x14ac:dyDescent="0.35">
      <c r="B1360" s="279" t="s">
        <v>646</v>
      </c>
      <c r="C1360" s="279" t="s">
        <v>651</v>
      </c>
      <c r="D1360" s="422"/>
      <c r="E1360" s="422"/>
      <c r="F1360" s="422"/>
      <c r="G1360" s="422"/>
      <c r="H1360" s="422">
        <v>24404.560000000001</v>
      </c>
      <c r="I1360" s="422">
        <f t="shared" si="597"/>
        <v>24404.560000000056</v>
      </c>
      <c r="J1360" s="422">
        <f t="shared" si="597"/>
        <v>41694.560000000056</v>
      </c>
    </row>
    <row r="1361" spans="2:10" s="254" customFormat="1" x14ac:dyDescent="0.35">
      <c r="B1361" s="279" t="s">
        <v>647</v>
      </c>
      <c r="C1361" s="279" t="s">
        <v>651</v>
      </c>
      <c r="D1361" s="422"/>
      <c r="E1361" s="422"/>
      <c r="F1361" s="422"/>
      <c r="G1361" s="422"/>
      <c r="H1361" s="422">
        <v>0</v>
      </c>
      <c r="I1361" s="422">
        <f t="shared" si="597"/>
        <v>0</v>
      </c>
      <c r="J1361" s="422">
        <f t="shared" si="597"/>
        <v>0</v>
      </c>
    </row>
    <row r="1362" spans="2:10" s="254" customFormat="1" x14ac:dyDescent="0.35">
      <c r="B1362" s="279" t="s">
        <v>648</v>
      </c>
      <c r="C1362" s="279" t="s">
        <v>651</v>
      </c>
      <c r="D1362" s="422"/>
      <c r="E1362" s="422"/>
      <c r="F1362" s="422"/>
      <c r="G1362" s="422"/>
      <c r="H1362" s="422">
        <v>0</v>
      </c>
      <c r="I1362" s="422">
        <f t="shared" si="597"/>
        <v>0</v>
      </c>
      <c r="J1362" s="422">
        <f t="shared" si="597"/>
        <v>0</v>
      </c>
    </row>
    <row r="1363" spans="2:10" s="254" customFormat="1" x14ac:dyDescent="0.35">
      <c r="B1363" s="289" t="s">
        <v>649</v>
      </c>
      <c r="C1363" s="279" t="s">
        <v>651</v>
      </c>
      <c r="D1363" s="425">
        <f t="shared" ref="D1363:I1363" si="598">SUM(D1359:D1362)</f>
        <v>0</v>
      </c>
      <c r="E1363" s="425">
        <f t="shared" si="598"/>
        <v>0</v>
      </c>
      <c r="F1363" s="425">
        <f t="shared" si="598"/>
        <v>0</v>
      </c>
      <c r="G1363" s="425">
        <f t="shared" si="598"/>
        <v>0</v>
      </c>
      <c r="H1363" s="425">
        <f t="shared" si="598"/>
        <v>44532.160000000003</v>
      </c>
      <c r="I1363" s="425">
        <f t="shared" si="598"/>
        <v>59662.660000000033</v>
      </c>
      <c r="J1363" s="425">
        <f t="shared" ref="J1363" si="599">SUM(J1359:J1362)</f>
        <v>73363.660000000033</v>
      </c>
    </row>
    <row r="1364" spans="2:10" s="254" customFormat="1" x14ac:dyDescent="0.35">
      <c r="B1364" s="289" t="s">
        <v>36</v>
      </c>
      <c r="C1364" s="279" t="s">
        <v>651</v>
      </c>
      <c r="D1364" s="425">
        <f>D1363+D1357+D1350</f>
        <v>0</v>
      </c>
      <c r="E1364" s="425">
        <f>E1363+E1357+E1350</f>
        <v>0</v>
      </c>
      <c r="F1364" s="425">
        <f>F1363+F1357+F1350</f>
        <v>0</v>
      </c>
      <c r="G1364" s="425">
        <f>G1363+G1357+G1350</f>
        <v>0</v>
      </c>
      <c r="H1364" s="425">
        <f>H1363+H1357+H1350</f>
        <v>204447.96000000002</v>
      </c>
      <c r="I1364" s="425">
        <f>I1350+I1357+I1363</f>
        <v>211915.39</v>
      </c>
      <c r="J1364" s="425">
        <f>J1350+J1357+J1363</f>
        <v>453109.48999999918</v>
      </c>
    </row>
    <row r="1365" spans="2:10" s="254" customFormat="1" x14ac:dyDescent="0.35">
      <c r="B1365" s="289"/>
      <c r="C1365" s="279"/>
      <c r="D1365" s="425"/>
      <c r="E1365" s="425"/>
      <c r="F1365" s="425"/>
      <c r="G1365" s="425"/>
      <c r="H1365" s="425"/>
      <c r="I1365" s="425"/>
      <c r="J1365" s="425"/>
    </row>
    <row r="1366" spans="2:10" s="254" customFormat="1" x14ac:dyDescent="0.35">
      <c r="B1366" s="289" t="s">
        <v>790</v>
      </c>
      <c r="C1366" s="279"/>
      <c r="D1366" s="425"/>
      <c r="E1366" s="425"/>
      <c r="F1366" s="425"/>
      <c r="G1366" s="425"/>
      <c r="H1366" s="425"/>
      <c r="I1366" s="425"/>
      <c r="J1366" s="425"/>
    </row>
    <row r="1367" spans="2:10" s="254" customFormat="1" x14ac:dyDescent="0.35">
      <c r="B1367" s="289" t="s">
        <v>664</v>
      </c>
      <c r="C1367" s="289" t="s">
        <v>369</v>
      </c>
      <c r="D1367" s="279"/>
      <c r="E1367" s="279"/>
      <c r="F1367" s="279"/>
      <c r="G1367" s="279"/>
      <c r="H1367" s="279"/>
      <c r="I1367" s="279"/>
      <c r="J1367" s="279"/>
    </row>
    <row r="1368" spans="2:10" s="254" customFormat="1" x14ac:dyDescent="0.35">
      <c r="B1368" s="289" t="s">
        <v>630</v>
      </c>
      <c r="C1368" s="289"/>
      <c r="D1368" s="279"/>
      <c r="E1368" s="279"/>
      <c r="F1368" s="279"/>
      <c r="G1368" s="279"/>
      <c r="H1368" s="279"/>
      <c r="I1368" s="279"/>
      <c r="J1368" s="279"/>
    </row>
    <row r="1369" spans="2:10" s="254" customFormat="1" x14ac:dyDescent="0.35">
      <c r="B1369" s="279" t="s">
        <v>631</v>
      </c>
      <c r="C1369" s="279" t="s">
        <v>651</v>
      </c>
      <c r="D1369" s="422"/>
      <c r="E1369" s="422"/>
      <c r="F1369" s="422"/>
      <c r="G1369" s="422"/>
      <c r="H1369" s="422">
        <v>4785676.32</v>
      </c>
      <c r="I1369" s="422">
        <v>5308365.5999999996</v>
      </c>
      <c r="J1369" s="422">
        <v>5521246.2000000011</v>
      </c>
    </row>
    <row r="1370" spans="2:10" s="254" customFormat="1" x14ac:dyDescent="0.35">
      <c r="B1370" s="279" t="s">
        <v>632</v>
      </c>
      <c r="C1370" s="279" t="s">
        <v>651</v>
      </c>
      <c r="D1370" s="422"/>
      <c r="E1370" s="422"/>
      <c r="F1370" s="422"/>
      <c r="G1370" s="422"/>
      <c r="H1370" s="422">
        <v>3510580.66</v>
      </c>
      <c r="I1370" s="422">
        <v>3785022.8</v>
      </c>
      <c r="J1370" s="422">
        <v>2875918.66</v>
      </c>
    </row>
    <row r="1371" spans="2:10" s="254" customFormat="1" x14ac:dyDescent="0.35">
      <c r="B1371" s="279" t="s">
        <v>633</v>
      </c>
      <c r="C1371" s="279" t="s">
        <v>651</v>
      </c>
      <c r="D1371" s="422"/>
      <c r="E1371" s="422"/>
      <c r="F1371" s="422"/>
      <c r="G1371" s="422"/>
      <c r="H1371" s="422">
        <v>3765621.46</v>
      </c>
      <c r="I1371" s="422">
        <v>3754446.48</v>
      </c>
      <c r="J1371" s="422">
        <v>3122872.5</v>
      </c>
    </row>
    <row r="1372" spans="2:10" s="254" customFormat="1" x14ac:dyDescent="0.35">
      <c r="B1372" s="279" t="s">
        <v>634</v>
      </c>
      <c r="C1372" s="279" t="s">
        <v>651</v>
      </c>
      <c r="D1372" s="422"/>
      <c r="E1372" s="422"/>
      <c r="F1372" s="422"/>
      <c r="G1372" s="422"/>
      <c r="H1372" s="422">
        <v>3486558.31</v>
      </c>
      <c r="I1372" s="422">
        <v>3969230.32</v>
      </c>
      <c r="J1372" s="422">
        <v>3241873.08</v>
      </c>
    </row>
    <row r="1373" spans="2:10" s="254" customFormat="1" x14ac:dyDescent="0.35">
      <c r="B1373" s="279" t="s">
        <v>635</v>
      </c>
      <c r="C1373" s="279" t="s">
        <v>651</v>
      </c>
      <c r="D1373" s="422"/>
      <c r="E1373" s="422"/>
      <c r="F1373" s="422"/>
      <c r="G1373" s="422"/>
      <c r="H1373" s="422">
        <v>2924991.2</v>
      </c>
      <c r="I1373" s="422">
        <v>3330315.7</v>
      </c>
      <c r="J1373" s="422">
        <v>2983990.4</v>
      </c>
    </row>
    <row r="1374" spans="2:10" s="254" customFormat="1" x14ac:dyDescent="0.35">
      <c r="B1374" s="289" t="s">
        <v>636</v>
      </c>
      <c r="C1374" s="279" t="s">
        <v>651</v>
      </c>
      <c r="D1374" s="425">
        <f t="shared" ref="D1374:I1374" si="600">SUM(D1369:D1373)</f>
        <v>0</v>
      </c>
      <c r="E1374" s="425">
        <f t="shared" si="600"/>
        <v>0</v>
      </c>
      <c r="F1374" s="425">
        <f t="shared" si="600"/>
        <v>0</v>
      </c>
      <c r="G1374" s="425">
        <f t="shared" si="600"/>
        <v>0</v>
      </c>
      <c r="H1374" s="425">
        <f t="shared" si="600"/>
        <v>18473427.950000003</v>
      </c>
      <c r="I1374" s="425">
        <f t="shared" si="600"/>
        <v>20147380.899999999</v>
      </c>
      <c r="J1374" s="425">
        <f t="shared" ref="J1374" si="601">SUM(J1369:J1373)</f>
        <v>17745900.84</v>
      </c>
    </row>
    <row r="1375" spans="2:10" s="254" customFormat="1" x14ac:dyDescent="0.35">
      <c r="B1375" s="289" t="s">
        <v>637</v>
      </c>
      <c r="C1375" s="279" t="s">
        <v>651</v>
      </c>
      <c r="D1375" s="424"/>
      <c r="E1375" s="424"/>
      <c r="F1375" s="424"/>
      <c r="G1375" s="424"/>
      <c r="H1375" s="424"/>
      <c r="I1375" s="424"/>
      <c r="J1375" s="424"/>
    </row>
    <row r="1376" spans="2:10" s="254" customFormat="1" x14ac:dyDescent="0.35">
      <c r="B1376" s="279" t="s">
        <v>638</v>
      </c>
      <c r="C1376" s="279" t="s">
        <v>651</v>
      </c>
      <c r="D1376" s="422"/>
      <c r="E1376" s="422"/>
      <c r="F1376" s="422"/>
      <c r="G1376" s="422"/>
      <c r="H1376" s="422">
        <v>5449339.1200000001</v>
      </c>
      <c r="I1376" s="422">
        <v>5541273.46</v>
      </c>
      <c r="J1376" s="422">
        <v>3976999.42</v>
      </c>
    </row>
    <row r="1377" spans="2:10" s="254" customFormat="1" x14ac:dyDescent="0.35">
      <c r="B1377" s="279" t="s">
        <v>639</v>
      </c>
      <c r="C1377" s="279" t="s">
        <v>651</v>
      </c>
      <c r="D1377" s="422"/>
      <c r="E1377" s="422"/>
      <c r="F1377" s="422"/>
      <c r="G1377" s="422"/>
      <c r="H1377" s="422">
        <v>4145204.67</v>
      </c>
      <c r="I1377" s="422">
        <v>3897013.3200000003</v>
      </c>
      <c r="J1377" s="422">
        <v>2457410.8640000001</v>
      </c>
    </row>
    <row r="1378" spans="2:10" s="254" customFormat="1" x14ac:dyDescent="0.35">
      <c r="B1378" s="279" t="s">
        <v>640</v>
      </c>
      <c r="C1378" s="279" t="s">
        <v>651</v>
      </c>
      <c r="D1378" s="422"/>
      <c r="E1378" s="422"/>
      <c r="F1378" s="422"/>
      <c r="G1378" s="422"/>
      <c r="H1378" s="422">
        <v>4033068.34</v>
      </c>
      <c r="I1378" s="422">
        <v>3809117.76</v>
      </c>
      <c r="J1378" s="422">
        <v>2298804.2999999998</v>
      </c>
    </row>
    <row r="1379" spans="2:10" s="254" customFormat="1" x14ac:dyDescent="0.35">
      <c r="B1379" s="279" t="s">
        <v>641</v>
      </c>
      <c r="C1379" s="279" t="s">
        <v>651</v>
      </c>
      <c r="D1379" s="422"/>
      <c r="E1379" s="422"/>
      <c r="F1379" s="422"/>
      <c r="G1379" s="422"/>
      <c r="H1379" s="422">
        <v>2467719.65</v>
      </c>
      <c r="I1379" s="422">
        <v>2726806.04</v>
      </c>
      <c r="J1379" s="422">
        <v>2137098.25</v>
      </c>
    </row>
    <row r="1380" spans="2:10" s="254" customFormat="1" x14ac:dyDescent="0.35">
      <c r="B1380" s="279" t="s">
        <v>642</v>
      </c>
      <c r="C1380" s="279" t="s">
        <v>651</v>
      </c>
      <c r="D1380" s="422"/>
      <c r="E1380" s="422"/>
      <c r="F1380" s="422"/>
      <c r="G1380" s="422"/>
      <c r="H1380" s="422">
        <v>2224560.92</v>
      </c>
      <c r="I1380" s="422">
        <v>1914357.42</v>
      </c>
      <c r="J1380" s="422">
        <v>1309119.72</v>
      </c>
    </row>
    <row r="1381" spans="2:10" s="254" customFormat="1" x14ac:dyDescent="0.35">
      <c r="B1381" s="289" t="s">
        <v>643</v>
      </c>
      <c r="C1381" s="279" t="s">
        <v>651</v>
      </c>
      <c r="D1381" s="425">
        <f t="shared" ref="D1381:I1381" si="602">SUM(D1376:D1380)</f>
        <v>0</v>
      </c>
      <c r="E1381" s="425">
        <f t="shared" si="602"/>
        <v>0</v>
      </c>
      <c r="F1381" s="425">
        <f t="shared" si="602"/>
        <v>0</v>
      </c>
      <c r="G1381" s="425">
        <f t="shared" si="602"/>
        <v>0</v>
      </c>
      <c r="H1381" s="425">
        <f t="shared" si="602"/>
        <v>18319892.699999999</v>
      </c>
      <c r="I1381" s="425">
        <f t="shared" si="602"/>
        <v>17888568</v>
      </c>
      <c r="J1381" s="425">
        <f t="shared" ref="J1381" si="603">SUM(J1376:J1380)</f>
        <v>12179432.554</v>
      </c>
    </row>
    <row r="1382" spans="2:10" s="254" customFormat="1" x14ac:dyDescent="0.35">
      <c r="B1382" s="289" t="s">
        <v>644</v>
      </c>
      <c r="C1382" s="279" t="s">
        <v>651</v>
      </c>
      <c r="D1382" s="424"/>
      <c r="E1382" s="424"/>
      <c r="F1382" s="424"/>
      <c r="G1382" s="424"/>
      <c r="H1382" s="424"/>
      <c r="I1382" s="424"/>
      <c r="J1382" s="424"/>
    </row>
    <row r="1383" spans="2:10" s="254" customFormat="1" x14ac:dyDescent="0.35">
      <c r="B1383" s="279" t="s">
        <v>645</v>
      </c>
      <c r="C1383" s="279" t="s">
        <v>651</v>
      </c>
      <c r="D1383" s="422"/>
      <c r="E1383" s="422"/>
      <c r="F1383" s="422"/>
      <c r="G1383" s="422"/>
      <c r="H1383" s="422">
        <v>873477.5</v>
      </c>
      <c r="I1383" s="422">
        <v>495490.5</v>
      </c>
      <c r="J1383" s="422">
        <v>363743.54</v>
      </c>
    </row>
    <row r="1384" spans="2:10" s="254" customFormat="1" x14ac:dyDescent="0.35">
      <c r="B1384" s="279" t="s">
        <v>646</v>
      </c>
      <c r="C1384" s="279" t="s">
        <v>651</v>
      </c>
      <c r="D1384" s="422"/>
      <c r="E1384" s="422"/>
      <c r="F1384" s="422"/>
      <c r="G1384" s="422"/>
      <c r="H1384" s="422">
        <v>1189921</v>
      </c>
      <c r="I1384" s="422">
        <f>480258+362462</f>
        <v>842720</v>
      </c>
      <c r="J1384" s="422">
        <v>1320108.3400000003</v>
      </c>
    </row>
    <row r="1385" spans="2:10" s="254" customFormat="1" x14ac:dyDescent="0.35">
      <c r="B1385" s="279" t="s">
        <v>647</v>
      </c>
      <c r="C1385" s="279" t="s">
        <v>651</v>
      </c>
      <c r="D1385" s="422"/>
      <c r="E1385" s="422"/>
      <c r="F1385" s="422"/>
      <c r="G1385" s="422"/>
      <c r="H1385" s="422">
        <v>2147779.23</v>
      </c>
      <c r="I1385" s="422">
        <v>1454675</v>
      </c>
      <c r="J1385" s="422">
        <v>905432.96</v>
      </c>
    </row>
    <row r="1386" spans="2:10" s="254" customFormat="1" x14ac:dyDescent="0.35">
      <c r="B1386" s="279" t="s">
        <v>648</v>
      </c>
      <c r="C1386" s="279" t="s">
        <v>651</v>
      </c>
      <c r="D1386" s="422"/>
      <c r="E1386" s="422"/>
      <c r="F1386" s="422"/>
      <c r="G1386" s="422"/>
      <c r="H1386" s="422">
        <v>2803166.5399999996</v>
      </c>
      <c r="I1386" s="422">
        <v>2146736.5100000002</v>
      </c>
      <c r="J1386" s="422">
        <v>1486973.1509999998</v>
      </c>
    </row>
    <row r="1387" spans="2:10" s="254" customFormat="1" x14ac:dyDescent="0.35">
      <c r="B1387" s="289" t="s">
        <v>649</v>
      </c>
      <c r="C1387" s="279" t="s">
        <v>651</v>
      </c>
      <c r="D1387" s="425">
        <f t="shared" ref="D1387:I1387" si="604">SUM(D1383:D1386)</f>
        <v>0</v>
      </c>
      <c r="E1387" s="425">
        <f t="shared" si="604"/>
        <v>0</v>
      </c>
      <c r="F1387" s="425">
        <f t="shared" si="604"/>
        <v>0</v>
      </c>
      <c r="G1387" s="425">
        <f t="shared" si="604"/>
        <v>0</v>
      </c>
      <c r="H1387" s="425">
        <f t="shared" si="604"/>
        <v>7014344.2699999996</v>
      </c>
      <c r="I1387" s="425">
        <f t="shared" si="604"/>
        <v>4939622.01</v>
      </c>
      <c r="J1387" s="425">
        <f t="shared" ref="J1387" si="605">SUM(J1383:J1386)</f>
        <v>4076257.9910000004</v>
      </c>
    </row>
    <row r="1388" spans="2:10" s="254" customFormat="1" x14ac:dyDescent="0.35">
      <c r="B1388" s="289" t="s">
        <v>36</v>
      </c>
      <c r="C1388" s="279" t="s">
        <v>651</v>
      </c>
      <c r="D1388" s="425">
        <f>D1387+D1381+D1374</f>
        <v>0</v>
      </c>
      <c r="E1388" s="425">
        <f>E1387+E1381+E1374</f>
        <v>0</v>
      </c>
      <c r="F1388" s="425">
        <f>F1387+F1381+F1374</f>
        <v>0</v>
      </c>
      <c r="G1388" s="425">
        <f>G1387+G1381+G1374</f>
        <v>0</v>
      </c>
      <c r="H1388" s="425">
        <f>H1387+H1381+H1374</f>
        <v>43807664.920000002</v>
      </c>
      <c r="I1388" s="425">
        <f>I1374+I1381+I1387</f>
        <v>42975570.909999996</v>
      </c>
      <c r="J1388" s="425">
        <f>J1374+J1381+J1387</f>
        <v>34001591.385000005</v>
      </c>
    </row>
    <row r="1389" spans="2:10" s="254" customFormat="1" x14ac:dyDescent="0.35">
      <c r="B1389" s="289"/>
      <c r="C1389" s="279"/>
      <c r="D1389" s="425"/>
      <c r="E1389" s="425"/>
      <c r="F1389" s="425"/>
      <c r="G1389" s="425"/>
      <c r="H1389" s="425"/>
      <c r="I1389" s="425"/>
      <c r="J1389" s="425"/>
    </row>
    <row r="1390" spans="2:10" s="254" customFormat="1" x14ac:dyDescent="0.35">
      <c r="B1390" s="289" t="s">
        <v>791</v>
      </c>
      <c r="C1390" s="279"/>
      <c r="D1390" s="425"/>
      <c r="E1390" s="425"/>
      <c r="F1390" s="425"/>
      <c r="G1390" s="425"/>
      <c r="H1390" s="425"/>
      <c r="I1390" s="425"/>
      <c r="J1390" s="425"/>
    </row>
    <row r="1391" spans="2:10" s="254" customFormat="1" x14ac:dyDescent="0.35">
      <c r="B1391" s="289" t="s">
        <v>664</v>
      </c>
      <c r="C1391" s="289" t="s">
        <v>369</v>
      </c>
      <c r="D1391" s="279"/>
      <c r="E1391" s="279"/>
      <c r="F1391" s="279"/>
      <c r="G1391" s="279"/>
      <c r="H1391" s="279"/>
      <c r="I1391" s="279"/>
      <c r="J1391" s="279"/>
    </row>
    <row r="1392" spans="2:10" s="254" customFormat="1" x14ac:dyDescent="0.35">
      <c r="B1392" s="289" t="s">
        <v>630</v>
      </c>
      <c r="C1392" s="289"/>
      <c r="D1392" s="279"/>
      <c r="E1392" s="279"/>
      <c r="F1392" s="279"/>
      <c r="G1392" s="279"/>
      <c r="H1392" s="279"/>
      <c r="I1392" s="279"/>
      <c r="J1392" s="279"/>
    </row>
    <row r="1393" spans="2:10" s="254" customFormat="1" x14ac:dyDescent="0.35">
      <c r="B1393" s="279" t="s">
        <v>631</v>
      </c>
      <c r="C1393" s="279" t="s">
        <v>651</v>
      </c>
      <c r="D1393" s="422"/>
      <c r="E1393" s="422"/>
      <c r="F1393" s="422"/>
      <c r="G1393" s="422"/>
      <c r="H1393" s="422">
        <v>96882.73</v>
      </c>
      <c r="I1393" s="422">
        <v>10335.5</v>
      </c>
      <c r="J1393" s="422">
        <v>0</v>
      </c>
    </row>
    <row r="1394" spans="2:10" s="254" customFormat="1" x14ac:dyDescent="0.35">
      <c r="B1394" s="279" t="s">
        <v>632</v>
      </c>
      <c r="C1394" s="279" t="s">
        <v>651</v>
      </c>
      <c r="D1394" s="422"/>
      <c r="E1394" s="422"/>
      <c r="F1394" s="422"/>
      <c r="G1394" s="422"/>
      <c r="H1394" s="422">
        <v>0</v>
      </c>
      <c r="I1394" s="422">
        <v>0</v>
      </c>
      <c r="J1394" s="422">
        <v>0</v>
      </c>
    </row>
    <row r="1395" spans="2:10" s="254" customFormat="1" x14ac:dyDescent="0.35">
      <c r="B1395" s="279" t="s">
        <v>633</v>
      </c>
      <c r="C1395" s="279" t="s">
        <v>651</v>
      </c>
      <c r="D1395" s="422"/>
      <c r="E1395" s="422"/>
      <c r="F1395" s="422"/>
      <c r="G1395" s="422"/>
      <c r="H1395" s="422">
        <v>0</v>
      </c>
      <c r="I1395" s="422">
        <v>0</v>
      </c>
      <c r="J1395" s="422">
        <v>0</v>
      </c>
    </row>
    <row r="1396" spans="2:10" s="254" customFormat="1" x14ac:dyDescent="0.35">
      <c r="B1396" s="279" t="s">
        <v>634</v>
      </c>
      <c r="C1396" s="279" t="s">
        <v>651</v>
      </c>
      <c r="D1396" s="422"/>
      <c r="E1396" s="422"/>
      <c r="F1396" s="422"/>
      <c r="G1396" s="422"/>
      <c r="H1396" s="422">
        <v>0</v>
      </c>
      <c r="I1396" s="422">
        <v>0</v>
      </c>
      <c r="J1396" s="422">
        <v>0</v>
      </c>
    </row>
    <row r="1397" spans="2:10" s="254" customFormat="1" x14ac:dyDescent="0.35">
      <c r="B1397" s="279" t="s">
        <v>635</v>
      </c>
      <c r="C1397" s="279" t="s">
        <v>651</v>
      </c>
      <c r="D1397" s="422"/>
      <c r="E1397" s="422"/>
      <c r="F1397" s="422"/>
      <c r="G1397" s="422"/>
      <c r="H1397" s="422">
        <v>187474.6</v>
      </c>
      <c r="I1397" s="422">
        <v>239568.1</v>
      </c>
      <c r="J1397" s="422">
        <v>19984.649999999994</v>
      </c>
    </row>
    <row r="1398" spans="2:10" s="254" customFormat="1" x14ac:dyDescent="0.35">
      <c r="B1398" s="289" t="s">
        <v>636</v>
      </c>
      <c r="C1398" s="279" t="s">
        <v>651</v>
      </c>
      <c r="D1398" s="425">
        <f t="shared" ref="D1398:I1398" si="606">SUM(D1393:D1397)</f>
        <v>0</v>
      </c>
      <c r="E1398" s="425">
        <f t="shared" si="606"/>
        <v>0</v>
      </c>
      <c r="F1398" s="425">
        <f t="shared" si="606"/>
        <v>0</v>
      </c>
      <c r="G1398" s="425">
        <f t="shared" si="606"/>
        <v>0</v>
      </c>
      <c r="H1398" s="425">
        <f t="shared" si="606"/>
        <v>284357.33</v>
      </c>
      <c r="I1398" s="425">
        <f t="shared" si="606"/>
        <v>249903.6</v>
      </c>
      <c r="J1398" s="425">
        <f t="shared" ref="J1398" si="607">SUM(J1393:J1397)</f>
        <v>19984.649999999994</v>
      </c>
    </row>
    <row r="1399" spans="2:10" s="254" customFormat="1" x14ac:dyDescent="0.35">
      <c r="B1399" s="289" t="s">
        <v>637</v>
      </c>
      <c r="C1399" s="279" t="s">
        <v>651</v>
      </c>
      <c r="D1399" s="424"/>
      <c r="E1399" s="424"/>
      <c r="F1399" s="424"/>
      <c r="G1399" s="424"/>
      <c r="H1399" s="424"/>
      <c r="I1399" s="424"/>
      <c r="J1399" s="424"/>
    </row>
    <row r="1400" spans="2:10" s="254" customFormat="1" x14ac:dyDescent="0.35">
      <c r="B1400" s="279" t="s">
        <v>638</v>
      </c>
      <c r="C1400" s="279" t="s">
        <v>651</v>
      </c>
      <c r="D1400" s="422"/>
      <c r="E1400" s="422"/>
      <c r="F1400" s="422"/>
      <c r="G1400" s="422"/>
      <c r="H1400" s="422">
        <v>123869.3</v>
      </c>
      <c r="I1400" s="422">
        <v>54692.2</v>
      </c>
      <c r="J1400" s="422">
        <v>0</v>
      </c>
    </row>
    <row r="1401" spans="2:10" s="254" customFormat="1" x14ac:dyDescent="0.35">
      <c r="B1401" s="279" t="s">
        <v>639</v>
      </c>
      <c r="C1401" s="279" t="s">
        <v>651</v>
      </c>
      <c r="D1401" s="422"/>
      <c r="E1401" s="422"/>
      <c r="F1401" s="422"/>
      <c r="G1401" s="422"/>
      <c r="H1401" s="422">
        <v>0</v>
      </c>
      <c r="I1401" s="422">
        <v>0</v>
      </c>
      <c r="J1401" s="422">
        <v>1069.0999999999999</v>
      </c>
    </row>
    <row r="1402" spans="2:10" s="254" customFormat="1" x14ac:dyDescent="0.35">
      <c r="B1402" s="279" t="s">
        <v>640</v>
      </c>
      <c r="C1402" s="279" t="s">
        <v>651</v>
      </c>
      <c r="D1402" s="422"/>
      <c r="E1402" s="422"/>
      <c r="F1402" s="422"/>
      <c r="G1402" s="422"/>
      <c r="H1402" s="422">
        <v>0</v>
      </c>
      <c r="I1402" s="422">
        <v>332731.40000000002</v>
      </c>
      <c r="J1402" s="422">
        <v>662658.33499999973</v>
      </c>
    </row>
    <row r="1403" spans="2:10" s="254" customFormat="1" x14ac:dyDescent="0.35">
      <c r="B1403" s="279" t="s">
        <v>641</v>
      </c>
      <c r="C1403" s="279" t="s">
        <v>651</v>
      </c>
      <c r="D1403" s="422"/>
      <c r="E1403" s="422"/>
      <c r="F1403" s="422"/>
      <c r="G1403" s="422"/>
      <c r="H1403" s="422">
        <v>0</v>
      </c>
      <c r="I1403" s="422">
        <v>0</v>
      </c>
      <c r="J1403" s="422">
        <v>0</v>
      </c>
    </row>
    <row r="1404" spans="2:10" s="254" customFormat="1" x14ac:dyDescent="0.35">
      <c r="B1404" s="279" t="s">
        <v>642</v>
      </c>
      <c r="C1404" s="279" t="s">
        <v>651</v>
      </c>
      <c r="D1404" s="422"/>
      <c r="E1404" s="422"/>
      <c r="F1404" s="422"/>
      <c r="G1404" s="422"/>
      <c r="H1404" s="422">
        <v>0</v>
      </c>
      <c r="I1404" s="422">
        <v>0</v>
      </c>
      <c r="J1404" s="422">
        <v>0</v>
      </c>
    </row>
    <row r="1405" spans="2:10" s="254" customFormat="1" x14ac:dyDescent="0.35">
      <c r="B1405" s="289" t="s">
        <v>643</v>
      </c>
      <c r="C1405" s="279" t="s">
        <v>651</v>
      </c>
      <c r="D1405" s="425">
        <f t="shared" ref="D1405:I1405" si="608">SUM(D1400:D1404)</f>
        <v>0</v>
      </c>
      <c r="E1405" s="425">
        <f t="shared" si="608"/>
        <v>0</v>
      </c>
      <c r="F1405" s="425">
        <f t="shared" si="608"/>
        <v>0</v>
      </c>
      <c r="G1405" s="425">
        <f t="shared" si="608"/>
        <v>0</v>
      </c>
      <c r="H1405" s="425">
        <f t="shared" si="608"/>
        <v>123869.3</v>
      </c>
      <c r="I1405" s="425">
        <f t="shared" si="608"/>
        <v>387423.60000000003</v>
      </c>
      <c r="J1405" s="425">
        <f t="shared" ref="J1405" si="609">SUM(J1400:J1404)</f>
        <v>663727.43499999971</v>
      </c>
    </row>
    <row r="1406" spans="2:10" s="254" customFormat="1" x14ac:dyDescent="0.35">
      <c r="B1406" s="289" t="s">
        <v>644</v>
      </c>
      <c r="C1406" s="279" t="s">
        <v>651</v>
      </c>
      <c r="D1406" s="424"/>
      <c r="E1406" s="424"/>
      <c r="F1406" s="424"/>
      <c r="G1406" s="424"/>
      <c r="H1406" s="424"/>
      <c r="I1406" s="424"/>
      <c r="J1406" s="424"/>
    </row>
    <row r="1407" spans="2:10" s="254" customFormat="1" x14ac:dyDescent="0.35">
      <c r="B1407" s="279" t="s">
        <v>645</v>
      </c>
      <c r="C1407" s="279" t="s">
        <v>651</v>
      </c>
      <c r="D1407" s="422"/>
      <c r="E1407" s="422"/>
      <c r="F1407" s="422"/>
      <c r="G1407" s="422"/>
      <c r="H1407" s="422">
        <v>1695</v>
      </c>
      <c r="I1407" s="422">
        <v>1594.5</v>
      </c>
      <c r="J1407" s="422">
        <v>0</v>
      </c>
    </row>
    <row r="1408" spans="2:10" s="254" customFormat="1" x14ac:dyDescent="0.35">
      <c r="B1408" s="279" t="s">
        <v>646</v>
      </c>
      <c r="C1408" s="279" t="s">
        <v>651</v>
      </c>
      <c r="D1408" s="422"/>
      <c r="E1408" s="422"/>
      <c r="F1408" s="422"/>
      <c r="G1408" s="422"/>
      <c r="H1408" s="422">
        <v>0</v>
      </c>
      <c r="I1408" s="422">
        <v>0</v>
      </c>
      <c r="J1408" s="422">
        <v>0</v>
      </c>
    </row>
    <row r="1409" spans="2:10" s="254" customFormat="1" x14ac:dyDescent="0.35">
      <c r="B1409" s="279" t="s">
        <v>647</v>
      </c>
      <c r="C1409" s="279" t="s">
        <v>651</v>
      </c>
      <c r="D1409" s="422"/>
      <c r="E1409" s="422"/>
      <c r="F1409" s="422"/>
      <c r="G1409" s="422"/>
      <c r="H1409" s="422">
        <v>0</v>
      </c>
      <c r="I1409" s="422">
        <v>0</v>
      </c>
      <c r="J1409" s="422">
        <v>0</v>
      </c>
    </row>
    <row r="1410" spans="2:10" s="254" customFormat="1" x14ac:dyDescent="0.35">
      <c r="B1410" s="279" t="s">
        <v>648</v>
      </c>
      <c r="C1410" s="279" t="s">
        <v>651</v>
      </c>
      <c r="D1410" s="422"/>
      <c r="E1410" s="422"/>
      <c r="F1410" s="422"/>
      <c r="G1410" s="422"/>
      <c r="H1410" s="422">
        <v>0</v>
      </c>
      <c r="I1410" s="422">
        <v>0</v>
      </c>
      <c r="J1410" s="422">
        <v>0</v>
      </c>
    </row>
    <row r="1411" spans="2:10" s="254" customFormat="1" x14ac:dyDescent="0.35">
      <c r="B1411" s="289" t="s">
        <v>649</v>
      </c>
      <c r="C1411" s="279" t="s">
        <v>651</v>
      </c>
      <c r="D1411" s="425">
        <f t="shared" ref="D1411:I1411" si="610">SUM(D1407:D1410)</f>
        <v>0</v>
      </c>
      <c r="E1411" s="425">
        <f t="shared" si="610"/>
        <v>0</v>
      </c>
      <c r="F1411" s="425">
        <f t="shared" si="610"/>
        <v>0</v>
      </c>
      <c r="G1411" s="425">
        <f t="shared" si="610"/>
        <v>0</v>
      </c>
      <c r="H1411" s="425">
        <f t="shared" si="610"/>
        <v>1695</v>
      </c>
      <c r="I1411" s="425">
        <f t="shared" si="610"/>
        <v>1594.5</v>
      </c>
      <c r="J1411" s="425">
        <f t="shared" ref="J1411" si="611">SUM(J1407:J1410)</f>
        <v>0</v>
      </c>
    </row>
    <row r="1412" spans="2:10" s="254" customFormat="1" x14ac:dyDescent="0.35">
      <c r="B1412" s="289" t="s">
        <v>36</v>
      </c>
      <c r="C1412" s="279" t="s">
        <v>651</v>
      </c>
      <c r="D1412" s="425">
        <f>D1411+D1405+D1398</f>
        <v>0</v>
      </c>
      <c r="E1412" s="425">
        <f>E1411+E1405+E1398</f>
        <v>0</v>
      </c>
      <c r="F1412" s="425">
        <f>F1411+F1405+F1398</f>
        <v>0</v>
      </c>
      <c r="G1412" s="425">
        <f>G1411+G1405+G1398</f>
        <v>0</v>
      </c>
      <c r="H1412" s="425">
        <f>H1411+H1405+H1398</f>
        <v>409921.63</v>
      </c>
      <c r="I1412" s="425">
        <f>I1398+I1405+I1411</f>
        <v>638921.70000000007</v>
      </c>
      <c r="J1412" s="425">
        <f>J1398+J1405+J1411</f>
        <v>683712.08499999973</v>
      </c>
    </row>
    <row r="1413" spans="2:10" s="254" customFormat="1" x14ac:dyDescent="0.35">
      <c r="B1413" s="289"/>
      <c r="C1413" s="279"/>
      <c r="D1413" s="425"/>
      <c r="E1413" s="425"/>
      <c r="F1413" s="425"/>
      <c r="G1413" s="425"/>
      <c r="H1413" s="425"/>
      <c r="I1413" s="425"/>
      <c r="J1413" s="425"/>
    </row>
    <row r="1414" spans="2:10" s="254" customFormat="1" x14ac:dyDescent="0.35">
      <c r="B1414" s="289" t="s">
        <v>884</v>
      </c>
      <c r="C1414" s="279"/>
      <c r="D1414" s="425"/>
      <c r="E1414" s="425"/>
      <c r="F1414" s="425"/>
      <c r="G1414" s="425"/>
      <c r="H1414" s="425"/>
      <c r="I1414" s="425"/>
      <c r="J1414" s="425"/>
    </row>
    <row r="1415" spans="2:10" s="254" customFormat="1" x14ac:dyDescent="0.35">
      <c r="B1415" s="289" t="s">
        <v>664</v>
      </c>
      <c r="C1415" s="289" t="s">
        <v>369</v>
      </c>
      <c r="D1415" s="279"/>
      <c r="E1415" s="279"/>
      <c r="F1415" s="279"/>
      <c r="G1415" s="279"/>
      <c r="H1415" s="279"/>
      <c r="I1415" s="279"/>
      <c r="J1415" s="279"/>
    </row>
    <row r="1416" spans="2:10" s="254" customFormat="1" x14ac:dyDescent="0.35">
      <c r="B1416" s="289" t="s">
        <v>630</v>
      </c>
      <c r="C1416" s="289"/>
      <c r="D1416" s="279"/>
      <c r="E1416" s="279"/>
      <c r="F1416" s="279"/>
      <c r="G1416" s="279"/>
      <c r="H1416" s="279"/>
      <c r="I1416" s="279"/>
      <c r="J1416" s="279"/>
    </row>
    <row r="1417" spans="2:10" s="254" customFormat="1" x14ac:dyDescent="0.35">
      <c r="B1417" s="279" t="s">
        <v>631</v>
      </c>
      <c r="C1417" s="279" t="s">
        <v>651</v>
      </c>
      <c r="D1417" s="422"/>
      <c r="E1417" s="422"/>
      <c r="F1417" s="422"/>
      <c r="G1417" s="422"/>
      <c r="H1417" s="422">
        <f>4737174.69+96882.73</f>
        <v>4834057.4200000009</v>
      </c>
      <c r="I1417" s="422">
        <v>5313839</v>
      </c>
      <c r="J1417" s="422">
        <v>5492870.9999999991</v>
      </c>
    </row>
    <row r="1418" spans="2:10" s="254" customFormat="1" x14ac:dyDescent="0.35">
      <c r="B1418" s="279" t="s">
        <v>632</v>
      </c>
      <c r="C1418" s="279" t="s">
        <v>651</v>
      </c>
      <c r="D1418" s="422"/>
      <c r="E1418" s="422"/>
      <c r="F1418" s="422"/>
      <c r="G1418" s="422"/>
      <c r="H1418" s="422">
        <v>3510580.66</v>
      </c>
      <c r="I1418" s="422">
        <v>3785022.8</v>
      </c>
      <c r="J1418" s="422">
        <v>2875918.66</v>
      </c>
    </row>
    <row r="1419" spans="2:10" s="254" customFormat="1" x14ac:dyDescent="0.35">
      <c r="B1419" s="279" t="s">
        <v>633</v>
      </c>
      <c r="C1419" s="279" t="s">
        <v>651</v>
      </c>
      <c r="D1419" s="422"/>
      <c r="E1419" s="422"/>
      <c r="F1419" s="422"/>
      <c r="G1419" s="422"/>
      <c r="H1419" s="422">
        <v>3765621.46</v>
      </c>
      <c r="I1419" s="422">
        <v>3754446.48</v>
      </c>
      <c r="J1419" s="422">
        <v>3122872.5</v>
      </c>
    </row>
    <row r="1420" spans="2:10" s="254" customFormat="1" x14ac:dyDescent="0.35">
      <c r="B1420" s="279" t="s">
        <v>634</v>
      </c>
      <c r="C1420" s="279" t="s">
        <v>651</v>
      </c>
      <c r="D1420" s="422"/>
      <c r="E1420" s="422"/>
      <c r="F1420" s="422"/>
      <c r="G1420" s="422"/>
      <c r="H1420" s="422">
        <v>3486558.31</v>
      </c>
      <c r="I1420" s="422">
        <v>3969230.32</v>
      </c>
      <c r="J1420" s="422">
        <v>3241873.08</v>
      </c>
    </row>
    <row r="1421" spans="2:10" s="254" customFormat="1" x14ac:dyDescent="0.35">
      <c r="B1421" s="279" t="s">
        <v>635</v>
      </c>
      <c r="C1421" s="279" t="s">
        <v>651</v>
      </c>
      <c r="D1421" s="422"/>
      <c r="E1421" s="422"/>
      <c r="F1421" s="422"/>
      <c r="G1421" s="422"/>
      <c r="H1421" s="422">
        <f>2926886.5+187474.6</f>
        <v>3114361.1</v>
      </c>
      <c r="I1421" s="422">
        <f>3330315.7+239568.1</f>
        <v>3569883.8000000003</v>
      </c>
      <c r="J1421" s="422">
        <v>3003975.05</v>
      </c>
    </row>
    <row r="1422" spans="2:10" s="254" customFormat="1" x14ac:dyDescent="0.35">
      <c r="B1422" s="289" t="s">
        <v>636</v>
      </c>
      <c r="C1422" s="279" t="s">
        <v>651</v>
      </c>
      <c r="D1422" s="425">
        <f t="shared" ref="D1422:I1422" si="612">SUM(D1417:D1421)</f>
        <v>0</v>
      </c>
      <c r="E1422" s="425">
        <f t="shared" si="612"/>
        <v>0</v>
      </c>
      <c r="F1422" s="425">
        <f t="shared" si="612"/>
        <v>0</v>
      </c>
      <c r="G1422" s="425">
        <f t="shared" si="612"/>
        <v>0</v>
      </c>
      <c r="H1422" s="425">
        <f t="shared" si="612"/>
        <v>18711178.950000003</v>
      </c>
      <c r="I1422" s="425">
        <f t="shared" si="612"/>
        <v>20392422.400000002</v>
      </c>
      <c r="J1422" s="425">
        <f t="shared" ref="J1422" si="613">SUM(J1417:J1421)</f>
        <v>17737510.289999999</v>
      </c>
    </row>
    <row r="1423" spans="2:10" s="254" customFormat="1" x14ac:dyDescent="0.35">
      <c r="B1423" s="289" t="s">
        <v>637</v>
      </c>
      <c r="C1423" s="279" t="s">
        <v>651</v>
      </c>
      <c r="D1423" s="424"/>
      <c r="E1423" s="424"/>
      <c r="F1423" s="424"/>
      <c r="G1423" s="424"/>
      <c r="H1423" s="424"/>
      <c r="I1423" s="424"/>
      <c r="J1423" s="424"/>
    </row>
    <row r="1424" spans="2:10" s="254" customFormat="1" x14ac:dyDescent="0.35">
      <c r="B1424" s="279" t="s">
        <v>638</v>
      </c>
      <c r="C1424" s="279" t="s">
        <v>651</v>
      </c>
      <c r="D1424" s="422"/>
      <c r="E1424" s="422"/>
      <c r="F1424" s="422"/>
      <c r="G1424" s="422"/>
      <c r="H1424" s="422">
        <f>5425078.62+123869.3</f>
        <v>5548947.9199999999</v>
      </c>
      <c r="I1424" s="422">
        <f>5565533.96+45562.2</f>
        <v>5611096.1600000001</v>
      </c>
      <c r="J1424" s="422">
        <v>3964803.9299999997</v>
      </c>
    </row>
    <row r="1425" spans="2:10" s="254" customFormat="1" x14ac:dyDescent="0.35">
      <c r="B1425" s="279" t="s">
        <v>639</v>
      </c>
      <c r="C1425" s="279" t="s">
        <v>651</v>
      </c>
      <c r="D1425" s="422"/>
      <c r="E1425" s="422"/>
      <c r="F1425" s="422"/>
      <c r="G1425" s="422"/>
      <c r="H1425" s="422">
        <v>4145204.67</v>
      </c>
      <c r="I1425" s="422">
        <v>3897013.32</v>
      </c>
      <c r="J1425" s="422">
        <v>2457410.8640000001</v>
      </c>
    </row>
    <row r="1426" spans="2:10" s="254" customFormat="1" x14ac:dyDescent="0.35">
      <c r="B1426" s="279" t="s">
        <v>640</v>
      </c>
      <c r="C1426" s="279" t="s">
        <v>651</v>
      </c>
      <c r="D1426" s="422"/>
      <c r="E1426" s="422"/>
      <c r="F1426" s="422"/>
      <c r="G1426" s="422"/>
      <c r="H1426" s="422">
        <v>4111598.24</v>
      </c>
      <c r="I1426" s="422">
        <f>3837797.96+66289.7</f>
        <v>3904087.66</v>
      </c>
      <c r="J1426" s="422">
        <v>3211336.75</v>
      </c>
    </row>
    <row r="1427" spans="2:10" s="254" customFormat="1" x14ac:dyDescent="0.35">
      <c r="B1427" s="279" t="s">
        <v>641</v>
      </c>
      <c r="C1427" s="279" t="s">
        <v>651</v>
      </c>
      <c r="D1427" s="422"/>
      <c r="E1427" s="422"/>
      <c r="F1427" s="422"/>
      <c r="G1427" s="422"/>
      <c r="H1427" s="422">
        <v>2467719.65</v>
      </c>
      <c r="I1427" s="422">
        <v>2726806.04</v>
      </c>
      <c r="J1427" s="422">
        <v>2137098.25</v>
      </c>
    </row>
    <row r="1428" spans="2:10" s="254" customFormat="1" x14ac:dyDescent="0.35">
      <c r="B1428" s="279" t="s">
        <v>642</v>
      </c>
      <c r="C1428" s="279" t="s">
        <v>651</v>
      </c>
      <c r="D1428" s="422"/>
      <c r="E1428" s="422"/>
      <c r="F1428" s="422"/>
      <c r="G1428" s="422"/>
      <c r="H1428" s="422">
        <v>2224560.92</v>
      </c>
      <c r="I1428" s="422">
        <v>1914357.42</v>
      </c>
      <c r="J1428" s="422">
        <v>1309119.72</v>
      </c>
    </row>
    <row r="1429" spans="2:10" s="254" customFormat="1" x14ac:dyDescent="0.35">
      <c r="B1429" s="289" t="s">
        <v>643</v>
      </c>
      <c r="C1429" s="279" t="s">
        <v>651</v>
      </c>
      <c r="D1429" s="425">
        <f t="shared" ref="D1429:I1429" si="614">SUM(D1424:D1428)</f>
        <v>0</v>
      </c>
      <c r="E1429" s="425">
        <f t="shared" si="614"/>
        <v>0</v>
      </c>
      <c r="F1429" s="425">
        <f t="shared" si="614"/>
        <v>0</v>
      </c>
      <c r="G1429" s="425">
        <f t="shared" si="614"/>
        <v>0</v>
      </c>
      <c r="H1429" s="425">
        <f t="shared" si="614"/>
        <v>18498031.399999999</v>
      </c>
      <c r="I1429" s="425">
        <f t="shared" si="614"/>
        <v>18053360.600000001</v>
      </c>
      <c r="J1429" s="425">
        <f t="shared" ref="J1429" si="615">SUM(J1424:J1428)</f>
        <v>13079769.514</v>
      </c>
    </row>
    <row r="1430" spans="2:10" s="254" customFormat="1" x14ac:dyDescent="0.35">
      <c r="B1430" s="289" t="s">
        <v>644</v>
      </c>
      <c r="C1430" s="279" t="s">
        <v>651</v>
      </c>
      <c r="D1430" s="424"/>
      <c r="E1430" s="424"/>
      <c r="F1430" s="424"/>
      <c r="G1430" s="424"/>
      <c r="H1430" s="424"/>
      <c r="I1430" s="424"/>
      <c r="J1430" s="424"/>
    </row>
    <row r="1431" spans="2:10" s="254" customFormat="1" x14ac:dyDescent="0.35">
      <c r="B1431" s="279" t="s">
        <v>645</v>
      </c>
      <c r="C1431" s="279" t="s">
        <v>651</v>
      </c>
      <c r="D1431" s="422"/>
      <c r="E1431" s="422"/>
      <c r="F1431" s="422"/>
      <c r="G1431" s="422"/>
      <c r="H1431" s="422">
        <f>858347+1695</f>
        <v>860042</v>
      </c>
      <c r="I1431" s="422">
        <f>499079.5+1594.5</f>
        <v>500674</v>
      </c>
      <c r="J1431" s="422">
        <v>383119.00000000006</v>
      </c>
    </row>
    <row r="1432" spans="2:10" s="254" customFormat="1" x14ac:dyDescent="0.35">
      <c r="B1432" s="279" t="s">
        <v>646</v>
      </c>
      <c r="C1432" s="279" t="s">
        <v>651</v>
      </c>
      <c r="D1432" s="422"/>
      <c r="E1432" s="422"/>
      <c r="F1432" s="422"/>
      <c r="G1432" s="422"/>
      <c r="H1432" s="422">
        <v>1189921</v>
      </c>
      <c r="I1432" s="422">
        <f>480258+345172</f>
        <v>825430</v>
      </c>
      <c r="J1432" s="422">
        <v>1316182.95</v>
      </c>
    </row>
    <row r="1433" spans="2:10" s="254" customFormat="1" x14ac:dyDescent="0.35">
      <c r="B1433" s="279" t="s">
        <v>647</v>
      </c>
      <c r="C1433" s="279" t="s">
        <v>651</v>
      </c>
      <c r="D1433" s="422"/>
      <c r="E1433" s="422"/>
      <c r="F1433" s="422"/>
      <c r="G1433" s="422"/>
      <c r="H1433" s="422">
        <v>2147779.23</v>
      </c>
      <c r="I1433" s="422">
        <v>1454675</v>
      </c>
      <c r="J1433" s="422">
        <v>905432.96</v>
      </c>
    </row>
    <row r="1434" spans="2:10" s="254" customFormat="1" x14ac:dyDescent="0.35">
      <c r="B1434" s="279" t="s">
        <v>648</v>
      </c>
      <c r="C1434" s="279" t="s">
        <v>651</v>
      </c>
      <c r="D1434" s="422"/>
      <c r="E1434" s="422"/>
      <c r="F1434" s="422"/>
      <c r="G1434" s="422"/>
      <c r="H1434" s="422">
        <v>2803166.54</v>
      </c>
      <c r="I1434" s="422">
        <v>2146736.5099999998</v>
      </c>
      <c r="J1434" s="422">
        <v>1486973.1509999998</v>
      </c>
    </row>
    <row r="1435" spans="2:10" s="254" customFormat="1" x14ac:dyDescent="0.35">
      <c r="B1435" s="289" t="s">
        <v>649</v>
      </c>
      <c r="C1435" s="279" t="s">
        <v>651</v>
      </c>
      <c r="D1435" s="425">
        <f t="shared" ref="D1435:I1435" si="616">SUM(D1431:D1434)</f>
        <v>0</v>
      </c>
      <c r="E1435" s="425">
        <f t="shared" si="616"/>
        <v>0</v>
      </c>
      <c r="F1435" s="425">
        <f t="shared" si="616"/>
        <v>0</v>
      </c>
      <c r="G1435" s="425">
        <f t="shared" si="616"/>
        <v>0</v>
      </c>
      <c r="H1435" s="425">
        <f t="shared" si="616"/>
        <v>7000908.7700000005</v>
      </c>
      <c r="I1435" s="425">
        <f t="shared" si="616"/>
        <v>4927515.51</v>
      </c>
      <c r="J1435" s="425">
        <f t="shared" ref="J1435" si="617">SUM(J1431:J1434)</f>
        <v>4091708.0609999998</v>
      </c>
    </row>
    <row r="1436" spans="2:10" s="254" customFormat="1" x14ac:dyDescent="0.35">
      <c r="B1436" s="289" t="s">
        <v>36</v>
      </c>
      <c r="C1436" s="279" t="s">
        <v>651</v>
      </c>
      <c r="D1436" s="425">
        <f>D1435+D1429+D1422</f>
        <v>0</v>
      </c>
      <c r="E1436" s="425">
        <f>E1435+E1429+E1422</f>
        <v>0</v>
      </c>
      <c r="F1436" s="425">
        <f>F1435+F1429+F1422</f>
        <v>0</v>
      </c>
      <c r="G1436" s="425">
        <f>G1435+G1429+G1422</f>
        <v>0</v>
      </c>
      <c r="H1436" s="425">
        <f>H1435+H1429+H1422</f>
        <v>44210119.120000005</v>
      </c>
      <c r="I1436" s="425">
        <f>I1422+I1429+I1435</f>
        <v>43373298.509999998</v>
      </c>
      <c r="J1436" s="425">
        <f>J1422+J1429+J1435</f>
        <v>34908987.864999995</v>
      </c>
    </row>
    <row r="1437" spans="2:10" s="254" customFormat="1" x14ac:dyDescent="0.35">
      <c r="B1437" s="289"/>
      <c r="C1437" s="279"/>
      <c r="D1437" s="425"/>
      <c r="E1437" s="425"/>
      <c r="F1437" s="425"/>
      <c r="G1437" s="425"/>
      <c r="H1437" s="425"/>
      <c r="I1437" s="425"/>
    </row>
    <row r="1438" spans="2:10" s="254" customFormat="1" x14ac:dyDescent="0.35">
      <c r="B1438" s="289" t="s">
        <v>792</v>
      </c>
      <c r="C1438" s="279"/>
      <c r="D1438" s="425"/>
      <c r="E1438" s="425"/>
      <c r="F1438" s="425"/>
      <c r="G1438" s="425"/>
      <c r="H1438" s="425"/>
      <c r="I1438" s="425"/>
    </row>
    <row r="1439" spans="2:10" s="254" customFormat="1" x14ac:dyDescent="0.35">
      <c r="B1439" s="289" t="s">
        <v>664</v>
      </c>
      <c r="C1439" s="289" t="s">
        <v>369</v>
      </c>
      <c r="D1439" s="279"/>
      <c r="E1439" s="279"/>
      <c r="F1439" s="279"/>
      <c r="G1439" s="279"/>
      <c r="H1439" s="279"/>
      <c r="I1439" s="279"/>
    </row>
    <row r="1440" spans="2:10" s="254" customFormat="1" x14ac:dyDescent="0.35">
      <c r="B1440" s="289" t="s">
        <v>630</v>
      </c>
      <c r="C1440" s="289"/>
      <c r="D1440" s="279"/>
      <c r="E1440" s="279"/>
      <c r="F1440" s="279"/>
      <c r="G1440" s="279"/>
      <c r="H1440" s="279"/>
      <c r="I1440" s="279"/>
    </row>
    <row r="1441" spans="2:10" s="254" customFormat="1" x14ac:dyDescent="0.35">
      <c r="B1441" s="279" t="s">
        <v>631</v>
      </c>
      <c r="C1441" s="279" t="s">
        <v>651</v>
      </c>
      <c r="D1441" s="422"/>
      <c r="E1441" s="422"/>
      <c r="F1441" s="422"/>
      <c r="G1441" s="422"/>
      <c r="H1441" s="497">
        <f t="shared" ref="H1441:I1445" si="618">H1345+H1369+H1393-H1417</f>
        <v>57992.030000000261</v>
      </c>
      <c r="I1441" s="497">
        <f t="shared" si="618"/>
        <v>62854.129999999888</v>
      </c>
      <c r="J1441" s="497">
        <f t="shared" ref="J1441" si="619">J1345+J1369+J1393-J1417</f>
        <v>91229.330000001937</v>
      </c>
    </row>
    <row r="1442" spans="2:10" s="254" customFormat="1" x14ac:dyDescent="0.35">
      <c r="B1442" s="279" t="s">
        <v>632</v>
      </c>
      <c r="C1442" s="279" t="s">
        <v>651</v>
      </c>
      <c r="D1442" s="422"/>
      <c r="E1442" s="422"/>
      <c r="F1442" s="422"/>
      <c r="G1442" s="422"/>
      <c r="H1442" s="497">
        <f t="shared" si="618"/>
        <v>0</v>
      </c>
      <c r="I1442" s="497">
        <f t="shared" si="618"/>
        <v>0</v>
      </c>
      <c r="J1442" s="497">
        <f t="shared" ref="J1442" si="620">J1346+J1370+J1394-J1418</f>
        <v>0</v>
      </c>
    </row>
    <row r="1443" spans="2:10" s="254" customFormat="1" x14ac:dyDescent="0.35">
      <c r="B1443" s="279" t="s">
        <v>633</v>
      </c>
      <c r="C1443" s="279" t="s">
        <v>651</v>
      </c>
      <c r="D1443" s="422"/>
      <c r="E1443" s="422"/>
      <c r="F1443" s="422"/>
      <c r="G1443" s="422"/>
      <c r="H1443" s="497">
        <f t="shared" si="618"/>
        <v>0</v>
      </c>
      <c r="I1443" s="497">
        <f t="shared" si="618"/>
        <v>0</v>
      </c>
      <c r="J1443" s="497">
        <f t="shared" ref="J1443" si="621">J1347+J1371+J1395-J1419</f>
        <v>0</v>
      </c>
    </row>
    <row r="1444" spans="2:10" s="254" customFormat="1" x14ac:dyDescent="0.35">
      <c r="B1444" s="279" t="s">
        <v>634</v>
      </c>
      <c r="C1444" s="279" t="s">
        <v>651</v>
      </c>
      <c r="D1444" s="422"/>
      <c r="E1444" s="422"/>
      <c r="F1444" s="422"/>
      <c r="G1444" s="422"/>
      <c r="H1444" s="497">
        <f t="shared" si="618"/>
        <v>0</v>
      </c>
      <c r="I1444" s="497">
        <f t="shared" si="618"/>
        <v>0</v>
      </c>
      <c r="J1444" s="497">
        <f t="shared" ref="J1444" si="622">J1348+J1372+J1396-J1420</f>
        <v>0</v>
      </c>
    </row>
    <row r="1445" spans="2:10" s="254" customFormat="1" x14ac:dyDescent="0.35">
      <c r="B1445" s="279" t="s">
        <v>635</v>
      </c>
      <c r="C1445" s="279" t="s">
        <v>651</v>
      </c>
      <c r="D1445" s="422"/>
      <c r="E1445" s="422"/>
      <c r="F1445" s="422"/>
      <c r="G1445" s="422"/>
      <c r="H1445" s="497">
        <f t="shared" si="618"/>
        <v>0</v>
      </c>
      <c r="I1445" s="497">
        <f t="shared" si="618"/>
        <v>0</v>
      </c>
      <c r="J1445" s="497">
        <f t="shared" ref="J1445" si="623">J1349+J1373+J1397-J1421</f>
        <v>0</v>
      </c>
    </row>
    <row r="1446" spans="2:10" s="254" customFormat="1" x14ac:dyDescent="0.35">
      <c r="B1446" s="289" t="s">
        <v>636</v>
      </c>
      <c r="C1446" s="279" t="s">
        <v>651</v>
      </c>
      <c r="D1446" s="425">
        <f t="shared" ref="D1446:I1446" si="624">SUM(D1441:D1445)</f>
        <v>0</v>
      </c>
      <c r="E1446" s="425">
        <f t="shared" si="624"/>
        <v>0</v>
      </c>
      <c r="F1446" s="425">
        <f t="shared" si="624"/>
        <v>0</v>
      </c>
      <c r="G1446" s="425">
        <f t="shared" si="624"/>
        <v>0</v>
      </c>
      <c r="H1446" s="423">
        <f t="shared" si="624"/>
        <v>57992.030000000261</v>
      </c>
      <c r="I1446" s="423">
        <f t="shared" si="624"/>
        <v>62854.129999999888</v>
      </c>
      <c r="J1446" s="423">
        <f t="shared" ref="J1446" si="625">SUM(J1441:J1445)</f>
        <v>91229.330000001937</v>
      </c>
    </row>
    <row r="1447" spans="2:10" s="254" customFormat="1" x14ac:dyDescent="0.35">
      <c r="B1447" s="289" t="s">
        <v>637</v>
      </c>
      <c r="C1447" s="279" t="s">
        <v>651</v>
      </c>
      <c r="D1447" s="424"/>
      <c r="E1447" s="424"/>
      <c r="F1447" s="424"/>
      <c r="G1447" s="424"/>
      <c r="H1447" s="497"/>
      <c r="I1447" s="497"/>
      <c r="J1447" s="497"/>
    </row>
    <row r="1448" spans="2:10" s="254" customFormat="1" x14ac:dyDescent="0.35">
      <c r="B1448" s="279" t="s">
        <v>638</v>
      </c>
      <c r="C1448" s="279" t="s">
        <v>651</v>
      </c>
      <c r="D1448" s="422"/>
      <c r="E1448" s="422"/>
      <c r="F1448" s="422"/>
      <c r="G1448" s="422"/>
      <c r="H1448" s="497">
        <f t="shared" ref="H1448:I1452" si="626">H1352+H1376+H1400-H1424</f>
        <v>24260.5</v>
      </c>
      <c r="I1448" s="497">
        <f t="shared" si="626"/>
        <v>9130</v>
      </c>
      <c r="J1448" s="497">
        <f t="shared" ref="J1448" si="627">J1352+J1376+J1400-J1424</f>
        <v>21325.490000000224</v>
      </c>
    </row>
    <row r="1449" spans="2:10" s="254" customFormat="1" x14ac:dyDescent="0.35">
      <c r="B1449" s="279" t="s">
        <v>639</v>
      </c>
      <c r="C1449" s="279" t="s">
        <v>651</v>
      </c>
      <c r="D1449" s="422"/>
      <c r="E1449" s="422"/>
      <c r="F1449" s="422"/>
      <c r="G1449" s="422"/>
      <c r="H1449" s="497">
        <f t="shared" si="626"/>
        <v>0</v>
      </c>
      <c r="I1449" s="497">
        <f t="shared" si="626"/>
        <v>0</v>
      </c>
      <c r="J1449" s="497">
        <f t="shared" ref="J1449" si="628">J1353+J1377+J1401-J1425</f>
        <v>1069.1000000000931</v>
      </c>
    </row>
    <row r="1450" spans="2:10" s="254" customFormat="1" x14ac:dyDescent="0.35">
      <c r="B1450" s="279" t="s">
        <v>640</v>
      </c>
      <c r="C1450" s="279" t="s">
        <v>651</v>
      </c>
      <c r="D1450" s="422"/>
      <c r="E1450" s="422"/>
      <c r="F1450" s="422"/>
      <c r="G1450" s="422"/>
      <c r="H1450" s="497">
        <f t="shared" si="626"/>
        <v>70000.199999999721</v>
      </c>
      <c r="I1450" s="497">
        <f t="shared" si="626"/>
        <v>307761.69999999925</v>
      </c>
      <c r="J1450" s="497">
        <f t="shared" ref="J1450" si="629">J1354+J1378+J1402-J1426</f>
        <v>57887.584999999031</v>
      </c>
    </row>
    <row r="1451" spans="2:10" s="254" customFormat="1" x14ac:dyDescent="0.35">
      <c r="B1451" s="279" t="s">
        <v>641</v>
      </c>
      <c r="C1451" s="279" t="s">
        <v>651</v>
      </c>
      <c r="D1451" s="422"/>
      <c r="E1451" s="422"/>
      <c r="F1451" s="422"/>
      <c r="G1451" s="422"/>
      <c r="H1451" s="497">
        <f t="shared" si="626"/>
        <v>0</v>
      </c>
      <c r="I1451" s="497">
        <f t="shared" si="626"/>
        <v>0</v>
      </c>
      <c r="J1451" s="497">
        <f t="shared" ref="J1451" si="630">J1355+J1379+J1403-J1427</f>
        <v>0</v>
      </c>
    </row>
    <row r="1452" spans="2:10" s="254" customFormat="1" x14ac:dyDescent="0.35">
      <c r="B1452" s="279" t="s">
        <v>642</v>
      </c>
      <c r="C1452" s="279" t="s">
        <v>651</v>
      </c>
      <c r="D1452" s="422"/>
      <c r="E1452" s="422"/>
      <c r="F1452" s="422"/>
      <c r="G1452" s="422"/>
      <c r="H1452" s="497">
        <f t="shared" si="626"/>
        <v>0</v>
      </c>
      <c r="I1452" s="497">
        <f t="shared" si="626"/>
        <v>0</v>
      </c>
      <c r="J1452" s="497">
        <f t="shared" ref="J1452" si="631">J1356+J1380+J1404-J1428</f>
        <v>0</v>
      </c>
    </row>
    <row r="1453" spans="2:10" s="254" customFormat="1" x14ac:dyDescent="0.35">
      <c r="B1453" s="289" t="s">
        <v>643</v>
      </c>
      <c r="C1453" s="279" t="s">
        <v>651</v>
      </c>
      <c r="D1453" s="425">
        <f t="shared" ref="D1453:I1453" si="632">SUM(D1448:D1452)</f>
        <v>0</v>
      </c>
      <c r="E1453" s="425">
        <f t="shared" si="632"/>
        <v>0</v>
      </c>
      <c r="F1453" s="425">
        <f t="shared" si="632"/>
        <v>0</v>
      </c>
      <c r="G1453" s="425">
        <f t="shared" si="632"/>
        <v>0</v>
      </c>
      <c r="H1453" s="423">
        <f t="shared" si="632"/>
        <v>94260.699999999721</v>
      </c>
      <c r="I1453" s="423">
        <f t="shared" si="632"/>
        <v>316891.69999999925</v>
      </c>
      <c r="J1453" s="423">
        <f t="shared" ref="J1453" si="633">SUM(J1448:J1452)</f>
        <v>80282.174999999348</v>
      </c>
    </row>
    <row r="1454" spans="2:10" s="254" customFormat="1" x14ac:dyDescent="0.35">
      <c r="B1454" s="289" t="s">
        <v>644</v>
      </c>
      <c r="C1454" s="279" t="s">
        <v>651</v>
      </c>
      <c r="D1454" s="424"/>
      <c r="E1454" s="424"/>
      <c r="F1454" s="424"/>
      <c r="G1454" s="424"/>
      <c r="H1454" s="497"/>
      <c r="I1454" s="497"/>
      <c r="J1454" s="497"/>
    </row>
    <row r="1455" spans="2:10" s="254" customFormat="1" x14ac:dyDescent="0.35">
      <c r="B1455" s="279" t="s">
        <v>645</v>
      </c>
      <c r="C1455" s="279" t="s">
        <v>651</v>
      </c>
      <c r="D1455" s="422"/>
      <c r="E1455" s="422"/>
      <c r="F1455" s="422"/>
      <c r="G1455" s="422"/>
      <c r="H1455" s="497">
        <f t="shared" ref="H1455:I1458" si="634">H1359+H1383+H1407-H1431</f>
        <v>35258.099999999977</v>
      </c>
      <c r="I1455" s="497">
        <f t="shared" si="634"/>
        <v>31669.099999999977</v>
      </c>
      <c r="J1455" s="497">
        <f t="shared" ref="J1455" si="635">J1359+J1383+J1407-J1431</f>
        <v>12293.639999999898</v>
      </c>
    </row>
    <row r="1456" spans="2:10" s="254" customFormat="1" x14ac:dyDescent="0.35">
      <c r="B1456" s="279" t="s">
        <v>646</v>
      </c>
      <c r="C1456" s="279" t="s">
        <v>651</v>
      </c>
      <c r="D1456" s="422"/>
      <c r="E1456" s="422"/>
      <c r="F1456" s="422"/>
      <c r="G1456" s="422"/>
      <c r="H1456" s="497">
        <f t="shared" si="634"/>
        <v>24404.560000000056</v>
      </c>
      <c r="I1456" s="497">
        <f t="shared" si="634"/>
        <v>41694.560000000056</v>
      </c>
      <c r="J1456" s="497">
        <f t="shared" ref="J1456" si="636">J1360+J1384+J1408-J1432</f>
        <v>45619.950000000419</v>
      </c>
    </row>
    <row r="1457" spans="2:10" s="254" customFormat="1" x14ac:dyDescent="0.35">
      <c r="B1457" s="279" t="s">
        <v>647</v>
      </c>
      <c r="C1457" s="279" t="s">
        <v>651</v>
      </c>
      <c r="D1457" s="422"/>
      <c r="E1457" s="422"/>
      <c r="F1457" s="422"/>
      <c r="G1457" s="422"/>
      <c r="H1457" s="497">
        <f t="shared" si="634"/>
        <v>0</v>
      </c>
      <c r="I1457" s="497">
        <f t="shared" si="634"/>
        <v>0</v>
      </c>
      <c r="J1457" s="497">
        <f t="shared" ref="J1457" si="637">J1361+J1385+J1409-J1433</f>
        <v>0</v>
      </c>
    </row>
    <row r="1458" spans="2:10" s="254" customFormat="1" x14ac:dyDescent="0.35">
      <c r="B1458" s="279" t="s">
        <v>648</v>
      </c>
      <c r="C1458" s="279" t="s">
        <v>651</v>
      </c>
      <c r="D1458" s="422"/>
      <c r="E1458" s="422"/>
      <c r="F1458" s="422"/>
      <c r="G1458" s="422"/>
      <c r="H1458" s="497">
        <f t="shared" si="634"/>
        <v>0</v>
      </c>
      <c r="I1458" s="497">
        <f t="shared" si="634"/>
        <v>0</v>
      </c>
      <c r="J1458" s="497">
        <f t="shared" ref="J1458" si="638">J1362+J1386+J1410-J1434</f>
        <v>0</v>
      </c>
    </row>
    <row r="1459" spans="2:10" s="254" customFormat="1" x14ac:dyDescent="0.35">
      <c r="B1459" s="289" t="s">
        <v>649</v>
      </c>
      <c r="C1459" s="279" t="s">
        <v>651</v>
      </c>
      <c r="D1459" s="425">
        <f t="shared" ref="D1459:I1459" si="639">SUM(D1455:D1458)</f>
        <v>0</v>
      </c>
      <c r="E1459" s="425">
        <f t="shared" si="639"/>
        <v>0</v>
      </c>
      <c r="F1459" s="425">
        <f t="shared" si="639"/>
        <v>0</v>
      </c>
      <c r="G1459" s="425">
        <f t="shared" si="639"/>
        <v>0</v>
      </c>
      <c r="H1459" s="423">
        <f t="shared" si="639"/>
        <v>59662.660000000033</v>
      </c>
      <c r="I1459" s="423">
        <f t="shared" si="639"/>
        <v>73363.660000000033</v>
      </c>
      <c r="J1459" s="423">
        <f t="shared" ref="J1459" si="640">SUM(J1455:J1458)</f>
        <v>57913.590000000317</v>
      </c>
    </row>
    <row r="1460" spans="2:10" s="254" customFormat="1" x14ac:dyDescent="0.35">
      <c r="B1460" s="289" t="s">
        <v>36</v>
      </c>
      <c r="C1460" s="279" t="s">
        <v>651</v>
      </c>
      <c r="D1460" s="425">
        <f>D1459+D1453+D1446</f>
        <v>0</v>
      </c>
      <c r="E1460" s="425">
        <f>E1459+E1453+E1446</f>
        <v>0</v>
      </c>
      <c r="F1460" s="425">
        <f>F1459+F1453+F1446</f>
        <v>0</v>
      </c>
      <c r="G1460" s="425">
        <f>G1459+G1453+G1446</f>
        <v>0</v>
      </c>
      <c r="H1460" s="423">
        <f>H1446+H1453+H1459</f>
        <v>211915.39</v>
      </c>
      <c r="I1460" s="423">
        <f>I1446+I1453+I1459</f>
        <v>453109.48999999918</v>
      </c>
      <c r="J1460" s="423">
        <f>J1446+J1453+J1459</f>
        <v>229425.0950000016</v>
      </c>
    </row>
    <row r="1462" spans="2:10" x14ac:dyDescent="0.35">
      <c r="B1462" s="411" t="s">
        <v>660</v>
      </c>
      <c r="C1462" s="412"/>
      <c r="D1462" s="417">
        <f t="shared" ref="D1462:J1462" si="641">D4</f>
        <v>42460</v>
      </c>
      <c r="E1462" s="417">
        <f t="shared" si="641"/>
        <v>42825</v>
      </c>
      <c r="F1462" s="417">
        <f t="shared" si="641"/>
        <v>43190</v>
      </c>
      <c r="G1462" s="417">
        <f t="shared" si="641"/>
        <v>43555</v>
      </c>
      <c r="H1462" s="417">
        <f t="shared" si="641"/>
        <v>43921</v>
      </c>
      <c r="I1462" s="417">
        <f t="shared" si="641"/>
        <v>44286</v>
      </c>
      <c r="J1462" s="417">
        <f t="shared" si="641"/>
        <v>44651</v>
      </c>
    </row>
    <row r="1463" spans="2:10" x14ac:dyDescent="0.35">
      <c r="B1463" s="199" t="s">
        <v>495</v>
      </c>
      <c r="C1463" s="272" t="s">
        <v>483</v>
      </c>
      <c r="D1463" s="421">
        <f t="shared" ref="D1463:I1465" si="642">D1468+D1472+D1476</f>
        <v>7290.6073374999996</v>
      </c>
      <c r="E1463" s="421">
        <f t="shared" si="642"/>
        <v>10559.099231971999</v>
      </c>
      <c r="F1463" s="421">
        <f t="shared" si="642"/>
        <v>10561.667929255</v>
      </c>
      <c r="G1463" s="421">
        <f t="shared" si="642"/>
        <v>10624.772409925003</v>
      </c>
      <c r="H1463" s="421">
        <f t="shared" si="642"/>
        <v>10636.113998257</v>
      </c>
      <c r="I1463" s="421">
        <f t="shared" si="642"/>
        <v>10654</v>
      </c>
      <c r="J1463" s="421">
        <f t="shared" ref="J1463" si="643">J1468+J1472+J1476</f>
        <v>10675.2</v>
      </c>
    </row>
    <row r="1464" spans="2:10" x14ac:dyDescent="0.35">
      <c r="B1464" s="199" t="s">
        <v>497</v>
      </c>
      <c r="C1464" s="272" t="s">
        <v>483</v>
      </c>
      <c r="D1464" s="421">
        <f t="shared" si="642"/>
        <v>4669.2651311</v>
      </c>
      <c r="E1464" s="421">
        <f t="shared" si="642"/>
        <v>7728.1710733849586</v>
      </c>
      <c r="F1464" s="421">
        <f t="shared" si="642"/>
        <v>7535.7645811879593</v>
      </c>
      <c r="G1464" s="421">
        <f t="shared" si="642"/>
        <v>7390.0755841829996</v>
      </c>
      <c r="H1464" s="421">
        <f t="shared" si="642"/>
        <v>7187.5863760879993</v>
      </c>
      <c r="I1464" s="421">
        <f t="shared" si="642"/>
        <v>6992</v>
      </c>
      <c r="J1464" s="421">
        <f t="shared" ref="J1464" si="644">J1469+J1473+J1477</f>
        <v>6803.49</v>
      </c>
    </row>
    <row r="1465" spans="2:10" x14ac:dyDescent="0.35">
      <c r="B1465" s="199" t="s">
        <v>54</v>
      </c>
      <c r="C1465" s="272" t="s">
        <v>483</v>
      </c>
      <c r="D1465" s="421">
        <f t="shared" si="642"/>
        <v>223.98276569999999</v>
      </c>
      <c r="E1465" s="421">
        <f t="shared" si="642"/>
        <v>214.12292550000001</v>
      </c>
      <c r="F1465" s="421">
        <f t="shared" si="642"/>
        <v>196.91449997499998</v>
      </c>
      <c r="G1465" s="421">
        <f t="shared" si="642"/>
        <v>211.32793039495934</v>
      </c>
      <c r="H1465" s="421">
        <f t="shared" si="642"/>
        <v>215.873643684</v>
      </c>
      <c r="I1465" s="421">
        <f t="shared" si="642"/>
        <v>216</v>
      </c>
      <c r="J1465" s="421">
        <f t="shared" ref="J1465" si="645">J1470+J1474+J1478</f>
        <v>214.63</v>
      </c>
    </row>
    <row r="1466" spans="2:10" x14ac:dyDescent="0.35">
      <c r="B1466" s="198"/>
      <c r="C1466" s="198"/>
      <c r="D1466" s="198"/>
      <c r="E1466" s="198"/>
      <c r="F1466" s="198"/>
      <c r="G1466" s="198"/>
      <c r="H1466" s="198"/>
      <c r="I1466" s="198"/>
      <c r="J1466" s="198"/>
    </row>
    <row r="1467" spans="2:10" x14ac:dyDescent="0.35">
      <c r="B1467" s="201" t="s">
        <v>661</v>
      </c>
      <c r="C1467" s="198"/>
      <c r="D1467" s="198"/>
      <c r="E1467" s="198"/>
      <c r="F1467" s="198"/>
      <c r="G1467" s="198"/>
      <c r="H1467" s="198"/>
      <c r="I1467" s="198"/>
      <c r="J1467" s="198"/>
    </row>
    <row r="1468" spans="2:10" x14ac:dyDescent="0.35">
      <c r="B1468" s="418" t="s">
        <v>495</v>
      </c>
      <c r="C1468" s="272" t="s">
        <v>483</v>
      </c>
      <c r="D1468" s="419">
        <v>6240.7011998999997</v>
      </c>
      <c r="E1468" s="419">
        <v>8932.8375810209982</v>
      </c>
      <c r="F1468" s="419">
        <v>8933.5948578529988</v>
      </c>
      <c r="G1468" s="419">
        <v>8937.9185961740022</v>
      </c>
      <c r="H1468" s="419">
        <v>8938.9976610529993</v>
      </c>
      <c r="I1468" s="419">
        <v>8938</v>
      </c>
      <c r="J1468" s="419">
        <v>8820.07</v>
      </c>
    </row>
    <row r="1469" spans="2:10" x14ac:dyDescent="0.35">
      <c r="B1469" s="418" t="s">
        <v>497</v>
      </c>
      <c r="C1469" s="272" t="s">
        <v>483</v>
      </c>
      <c r="D1469" s="419">
        <v>4125.3241662999999</v>
      </c>
      <c r="E1469" s="419">
        <v>6615.3352983449586</v>
      </c>
      <c r="F1469" s="419">
        <v>6446.2386657919587</v>
      </c>
      <c r="G1469" s="419">
        <v>6264.2314696869998</v>
      </c>
      <c r="H1469" s="419">
        <v>6079.5425154269988</v>
      </c>
      <c r="I1469" s="419">
        <v>5894</v>
      </c>
      <c r="J1469" s="419">
        <v>5636.07</v>
      </c>
    </row>
    <row r="1470" spans="2:10" x14ac:dyDescent="0.35">
      <c r="B1470" s="418" t="s">
        <v>54</v>
      </c>
      <c r="C1470" s="272" t="s">
        <v>483</v>
      </c>
      <c r="D1470" s="419">
        <v>193.62916039999999</v>
      </c>
      <c r="E1470" s="419">
        <v>187.0585963</v>
      </c>
      <c r="F1470" s="419">
        <v>171.52510617499999</v>
      </c>
      <c r="G1470" s="419">
        <v>186.47865637095933</v>
      </c>
      <c r="H1470" s="419">
        <v>186.83649319</v>
      </c>
      <c r="I1470" s="419">
        <v>186</v>
      </c>
      <c r="J1470" s="419">
        <v>184.63</v>
      </c>
    </row>
    <row r="1471" spans="2:10" x14ac:dyDescent="0.35">
      <c r="B1471" s="201" t="s">
        <v>662</v>
      </c>
      <c r="C1471" s="198"/>
      <c r="D1471" s="420"/>
      <c r="E1471" s="420"/>
      <c r="F1471" s="420"/>
      <c r="G1471" s="420"/>
      <c r="H1471" s="420"/>
      <c r="I1471" s="420"/>
      <c r="J1471" s="420"/>
    </row>
    <row r="1472" spans="2:10" x14ac:dyDescent="0.35">
      <c r="B1472" s="418" t="s">
        <v>495</v>
      </c>
      <c r="C1472" s="272" t="s">
        <v>483</v>
      </c>
      <c r="D1472" s="419">
        <v>545.75076790000003</v>
      </c>
      <c r="E1472" s="419">
        <v>903.46966832900011</v>
      </c>
      <c r="F1472" s="419">
        <v>905.46204757999988</v>
      </c>
      <c r="G1472" s="419">
        <v>966.51659322199998</v>
      </c>
      <c r="H1472" s="419">
        <v>966.71529249500009</v>
      </c>
      <c r="I1472" s="419">
        <v>986</v>
      </c>
      <c r="J1472" s="419">
        <v>1045.6300000000001</v>
      </c>
    </row>
    <row r="1473" spans="2:10" x14ac:dyDescent="0.35">
      <c r="B1473" s="418" t="s">
        <v>497</v>
      </c>
      <c r="C1473" s="272" t="s">
        <v>483</v>
      </c>
      <c r="D1473" s="419">
        <v>348.24402040000001</v>
      </c>
      <c r="E1473" s="419">
        <v>707.13520481800003</v>
      </c>
      <c r="F1473" s="419">
        <v>693.99496617399996</v>
      </c>
      <c r="G1473" s="419">
        <v>740.13006057400003</v>
      </c>
      <c r="H1473" s="419">
        <v>723.17516438900009</v>
      </c>
      <c r="I1473" s="419">
        <v>725</v>
      </c>
      <c r="J1473" s="419">
        <v>767.41</v>
      </c>
    </row>
    <row r="1474" spans="2:10" x14ac:dyDescent="0.35">
      <c r="B1474" s="418" t="s">
        <v>54</v>
      </c>
      <c r="C1474" s="272" t="s">
        <v>483</v>
      </c>
      <c r="D1474" s="419">
        <v>18.903852799999999</v>
      </c>
      <c r="E1474" s="419">
        <v>16.381717600000002</v>
      </c>
      <c r="F1474" s="419">
        <v>15.1441947</v>
      </c>
      <c r="G1474" s="419">
        <v>15.029486441999998</v>
      </c>
      <c r="H1474" s="419">
        <v>17.206112699999998</v>
      </c>
      <c r="I1474" s="419">
        <v>18</v>
      </c>
      <c r="J1474" s="419">
        <v>18.47</v>
      </c>
    </row>
    <row r="1475" spans="2:10" x14ac:dyDescent="0.35">
      <c r="B1475" s="201" t="s">
        <v>663</v>
      </c>
      <c r="C1475" s="198"/>
      <c r="D1475" s="420"/>
      <c r="E1475" s="420"/>
      <c r="F1475" s="420"/>
      <c r="G1475" s="420"/>
      <c r="H1475" s="420"/>
      <c r="I1475" s="420"/>
      <c r="J1475" s="420"/>
    </row>
    <row r="1476" spans="2:10" x14ac:dyDescent="0.35">
      <c r="B1476" s="418" t="s">
        <v>495</v>
      </c>
      <c r="C1476" s="272" t="s">
        <v>483</v>
      </c>
      <c r="D1476" s="419">
        <v>504.15536969999999</v>
      </c>
      <c r="E1476" s="419">
        <v>722.79198262199998</v>
      </c>
      <c r="F1476" s="419">
        <v>722.61102382199999</v>
      </c>
      <c r="G1476" s="419">
        <v>720.33722052899998</v>
      </c>
      <c r="H1476" s="419">
        <v>730.40104470899996</v>
      </c>
      <c r="I1476" s="419">
        <v>730</v>
      </c>
      <c r="J1476" s="419">
        <v>809.5</v>
      </c>
    </row>
    <row r="1477" spans="2:10" x14ac:dyDescent="0.35">
      <c r="B1477" s="418" t="s">
        <v>497</v>
      </c>
      <c r="C1477" s="272" t="s">
        <v>483</v>
      </c>
      <c r="D1477" s="419">
        <v>195.69694440000001</v>
      </c>
      <c r="E1477" s="419">
        <v>405.70057022199995</v>
      </c>
      <c r="F1477" s="419">
        <v>395.530949222</v>
      </c>
      <c r="G1477" s="419">
        <v>385.71405392200001</v>
      </c>
      <c r="H1477" s="419">
        <v>384.86869627199997</v>
      </c>
      <c r="I1477" s="419">
        <v>373</v>
      </c>
      <c r="J1477" s="419">
        <v>400.01</v>
      </c>
    </row>
    <row r="1478" spans="2:10" x14ac:dyDescent="0.35">
      <c r="B1478" s="418" t="s">
        <v>54</v>
      </c>
      <c r="C1478" s="272" t="s">
        <v>483</v>
      </c>
      <c r="D1478" s="419">
        <v>11.449752500000001</v>
      </c>
      <c r="E1478" s="419">
        <v>10.6826116</v>
      </c>
      <c r="F1478" s="419">
        <v>10.245199100000001</v>
      </c>
      <c r="G1478" s="419">
        <v>9.819787582</v>
      </c>
      <c r="H1478" s="419">
        <v>11.831037794</v>
      </c>
      <c r="I1478" s="419">
        <v>12</v>
      </c>
      <c r="J1478" s="419">
        <v>11.53</v>
      </c>
    </row>
    <row r="1479" spans="2:10" x14ac:dyDescent="0.35">
      <c r="B1479" s="418"/>
      <c r="C1479" s="272"/>
      <c r="D1479" s="419"/>
      <c r="E1479" s="419"/>
      <c r="F1479" s="419"/>
      <c r="G1479" s="419"/>
      <c r="H1479" s="419"/>
      <c r="I1479" s="419"/>
      <c r="J1479" s="419"/>
    </row>
    <row r="1480" spans="2:10" x14ac:dyDescent="0.35">
      <c r="B1480" s="201" t="s">
        <v>661</v>
      </c>
      <c r="C1480" s="198"/>
      <c r="D1480" s="198"/>
      <c r="E1480" s="198"/>
      <c r="F1480" s="198"/>
      <c r="G1480" s="198"/>
      <c r="H1480" s="198"/>
      <c r="I1480" s="198"/>
      <c r="J1480" s="198"/>
    </row>
    <row r="1481" spans="2:10" x14ac:dyDescent="0.35">
      <c r="B1481" s="418" t="s">
        <v>495</v>
      </c>
      <c r="C1481" s="272" t="s">
        <v>483</v>
      </c>
      <c r="D1481" s="426">
        <f t="shared" ref="D1481:I1481" si="646">D1468/D$1463</f>
        <v>0.85599195115066773</v>
      </c>
      <c r="E1481" s="426">
        <f t="shared" si="646"/>
        <v>0.84598481222462352</v>
      </c>
      <c r="F1481" s="426">
        <f t="shared" si="646"/>
        <v>0.84585076123323621</v>
      </c>
      <c r="G1481" s="426">
        <f t="shared" si="646"/>
        <v>0.84123388730894166</v>
      </c>
      <c r="H1481" s="426">
        <f t="shared" si="646"/>
        <v>0.84043830881446768</v>
      </c>
      <c r="I1481" s="426">
        <f t="shared" si="646"/>
        <v>0.83893373380889802</v>
      </c>
      <c r="J1481" s="426">
        <f t="shared" ref="J1481" si="647">J1468/J$1463</f>
        <v>0.82622058603117499</v>
      </c>
    </row>
    <row r="1482" spans="2:10" x14ac:dyDescent="0.35">
      <c r="B1482" s="418" t="s">
        <v>497</v>
      </c>
      <c r="C1482" s="272" t="s">
        <v>483</v>
      </c>
      <c r="D1482" s="426">
        <f t="shared" ref="D1482:I1482" si="648">D1469/D$1464</f>
        <v>0.88350608724764002</v>
      </c>
      <c r="E1482" s="426">
        <f t="shared" si="648"/>
        <v>0.85600269915446181</v>
      </c>
      <c r="F1482" s="426">
        <f t="shared" si="648"/>
        <v>0.85541932690999156</v>
      </c>
      <c r="G1482" s="426">
        <f t="shared" si="648"/>
        <v>0.84765458733525711</v>
      </c>
      <c r="H1482" s="426">
        <f t="shared" si="648"/>
        <v>0.84583922854168503</v>
      </c>
      <c r="I1482" s="426">
        <f t="shared" si="648"/>
        <v>0.84296338672768878</v>
      </c>
      <c r="J1482" s="426">
        <f t="shared" ref="J1482" si="649">J1469/J$1464</f>
        <v>0.82840865496972871</v>
      </c>
    </row>
    <row r="1483" spans="2:10" x14ac:dyDescent="0.35">
      <c r="B1483" s="418" t="s">
        <v>54</v>
      </c>
      <c r="C1483" s="272" t="s">
        <v>483</v>
      </c>
      <c r="D1483" s="426">
        <f t="shared" ref="D1483:I1483" si="650">D1470/D$1465</f>
        <v>0.86448240691582812</v>
      </c>
      <c r="E1483" s="426">
        <f t="shared" si="650"/>
        <v>0.87360377625701735</v>
      </c>
      <c r="F1483" s="426">
        <f t="shared" si="650"/>
        <v>0.87106386882010522</v>
      </c>
      <c r="G1483" s="426">
        <f t="shared" si="650"/>
        <v>0.88241367822247541</v>
      </c>
      <c r="H1483" s="426">
        <f t="shared" si="650"/>
        <v>0.8654900616931952</v>
      </c>
      <c r="I1483" s="426">
        <f t="shared" si="650"/>
        <v>0.86111111111111116</v>
      </c>
      <c r="J1483" s="426">
        <f t="shared" ref="J1483" si="651">J1470/J$1465</f>
        <v>0.86022457252015094</v>
      </c>
    </row>
    <row r="1484" spans="2:10" x14ac:dyDescent="0.35">
      <c r="B1484" s="201" t="s">
        <v>662</v>
      </c>
      <c r="C1484" s="198"/>
      <c r="D1484" s="420"/>
      <c r="E1484" s="420"/>
      <c r="F1484" s="420"/>
      <c r="G1484" s="420"/>
      <c r="H1484" s="420"/>
      <c r="I1484" s="420"/>
      <c r="J1484" s="420"/>
    </row>
    <row r="1485" spans="2:10" x14ac:dyDescent="0.35">
      <c r="B1485" s="418" t="s">
        <v>495</v>
      </c>
      <c r="C1485" s="272" t="s">
        <v>483</v>
      </c>
      <c r="D1485" s="426">
        <f t="shared" ref="D1485:I1485" si="652">D1472/D$1463</f>
        <v>7.4856694735550219E-2</v>
      </c>
      <c r="E1485" s="426">
        <f t="shared" si="652"/>
        <v>8.5563138339809858E-2</v>
      </c>
      <c r="F1485" s="426">
        <f t="shared" si="652"/>
        <v>8.5730971059215025E-2</v>
      </c>
      <c r="G1485" s="426">
        <f t="shared" si="652"/>
        <v>9.096821615860122E-2</v>
      </c>
      <c r="H1485" s="426">
        <f t="shared" si="652"/>
        <v>9.0889895750780894E-2</v>
      </c>
      <c r="I1485" s="426">
        <f t="shared" si="652"/>
        <v>9.254740003754458E-2</v>
      </c>
      <c r="J1485" s="426">
        <f t="shared" ref="J1485" si="653">J1472/J$1463</f>
        <v>9.7949452937649881E-2</v>
      </c>
    </row>
    <row r="1486" spans="2:10" x14ac:dyDescent="0.35">
      <c r="B1486" s="418" t="s">
        <v>497</v>
      </c>
      <c r="C1486" s="272" t="s">
        <v>483</v>
      </c>
      <c r="D1486" s="426">
        <f t="shared" ref="D1486:I1486" si="654">D1473/D$1464</f>
        <v>7.4582190263837E-2</v>
      </c>
      <c r="E1486" s="426">
        <f t="shared" si="654"/>
        <v>9.1500977152705942E-2</v>
      </c>
      <c r="F1486" s="426">
        <f t="shared" si="654"/>
        <v>9.2093504076078317E-2</v>
      </c>
      <c r="G1486" s="426">
        <f t="shared" si="654"/>
        <v>0.10015189319011873</v>
      </c>
      <c r="H1486" s="426">
        <f t="shared" si="654"/>
        <v>0.10061446590678802</v>
      </c>
      <c r="I1486" s="426">
        <f t="shared" si="654"/>
        <v>0.10368993135011442</v>
      </c>
      <c r="J1486" s="426">
        <f t="shared" ref="J1486" si="655">J1473/J$1464</f>
        <v>0.11279652060927553</v>
      </c>
    </row>
    <row r="1487" spans="2:10" x14ac:dyDescent="0.35">
      <c r="B1487" s="418" t="s">
        <v>54</v>
      </c>
      <c r="C1487" s="272" t="s">
        <v>483</v>
      </c>
      <c r="D1487" s="426">
        <f t="shared" ref="D1487:I1487" si="656">D1474/D$1465</f>
        <v>8.4398693537518013E-2</v>
      </c>
      <c r="E1487" s="426">
        <f t="shared" si="656"/>
        <v>7.6506135724359894E-2</v>
      </c>
      <c r="F1487" s="426">
        <f t="shared" si="656"/>
        <v>7.6907463401236012E-2</v>
      </c>
      <c r="G1487" s="426">
        <f t="shared" si="656"/>
        <v>7.1119261963673144E-2</v>
      </c>
      <c r="H1487" s="426">
        <f t="shared" si="656"/>
        <v>7.9704554971919764E-2</v>
      </c>
      <c r="I1487" s="426">
        <f t="shared" si="656"/>
        <v>8.3333333333333329E-2</v>
      </c>
      <c r="J1487" s="426">
        <f t="shared" ref="J1487" si="657">J1474/J$1465</f>
        <v>8.6055071518427062E-2</v>
      </c>
    </row>
    <row r="1488" spans="2:10" x14ac:dyDescent="0.35">
      <c r="B1488" s="201" t="s">
        <v>663</v>
      </c>
      <c r="C1488" s="198"/>
      <c r="D1488" s="420"/>
      <c r="E1488" s="420"/>
      <c r="F1488" s="420"/>
      <c r="G1488" s="420"/>
      <c r="H1488" s="420"/>
      <c r="I1488" s="420"/>
      <c r="J1488" s="420"/>
    </row>
    <row r="1489" spans="2:10" x14ac:dyDescent="0.35">
      <c r="B1489" s="418" t="s">
        <v>495</v>
      </c>
      <c r="C1489" s="272" t="s">
        <v>483</v>
      </c>
      <c r="D1489" s="426">
        <f t="shared" ref="D1489:I1489" si="658">D1476/D$1463</f>
        <v>6.9151354113782024E-2</v>
      </c>
      <c r="E1489" s="426">
        <f t="shared" si="658"/>
        <v>6.8452049435566542E-2</v>
      </c>
      <c r="F1489" s="426">
        <f t="shared" si="658"/>
        <v>6.8418267707548691E-2</v>
      </c>
      <c r="G1489" s="426">
        <f t="shared" si="658"/>
        <v>6.7797896532457075E-2</v>
      </c>
      <c r="H1489" s="426">
        <f t="shared" si="658"/>
        <v>6.867179543475134E-2</v>
      </c>
      <c r="I1489" s="426">
        <f t="shared" si="658"/>
        <v>6.8518866153557345E-2</v>
      </c>
      <c r="J1489" s="426">
        <f t="shared" ref="J1489" si="659">J1476/J$1463</f>
        <v>7.582996103117505E-2</v>
      </c>
    </row>
    <row r="1490" spans="2:10" x14ac:dyDescent="0.35">
      <c r="B1490" s="418" t="s">
        <v>497</v>
      </c>
      <c r="C1490" s="272" t="s">
        <v>483</v>
      </c>
      <c r="D1490" s="426">
        <f t="shared" ref="D1490:I1490" si="660">D1477/D$1464</f>
        <v>4.1911722488522964E-2</v>
      </c>
      <c r="E1490" s="426">
        <f t="shared" si="660"/>
        <v>5.2496323692832289E-2</v>
      </c>
      <c r="F1490" s="426">
        <f t="shared" si="660"/>
        <v>5.2487169013930024E-2</v>
      </c>
      <c r="G1490" s="426">
        <f t="shared" si="660"/>
        <v>5.2193519474624174E-2</v>
      </c>
      <c r="H1490" s="426">
        <f t="shared" si="660"/>
        <v>5.3546305551526903E-2</v>
      </c>
      <c r="I1490" s="426">
        <f t="shared" si="660"/>
        <v>5.3346681922196798E-2</v>
      </c>
      <c r="J1490" s="426">
        <f t="shared" ref="J1490" si="661">J1477/J$1464</f>
        <v>5.8794824420995692E-2</v>
      </c>
    </row>
    <row r="1491" spans="2:10" x14ac:dyDescent="0.35">
      <c r="B1491" s="418" t="s">
        <v>54</v>
      </c>
      <c r="C1491" s="272" t="s">
        <v>483</v>
      </c>
      <c r="D1491" s="426">
        <f t="shared" ref="D1491:I1491" si="662">D1478/D$1465</f>
        <v>5.1118899546653829E-2</v>
      </c>
      <c r="E1491" s="426">
        <f t="shared" si="662"/>
        <v>4.9890088018622741E-2</v>
      </c>
      <c r="F1491" s="426">
        <f t="shared" si="662"/>
        <v>5.2028667778658853E-2</v>
      </c>
      <c r="G1491" s="426">
        <f t="shared" si="662"/>
        <v>4.6467059813851394E-2</v>
      </c>
      <c r="H1491" s="426">
        <f t="shared" si="662"/>
        <v>5.4805383334885022E-2</v>
      </c>
      <c r="I1491" s="426">
        <f t="shared" si="662"/>
        <v>5.5555555555555552E-2</v>
      </c>
      <c r="J1491" s="426">
        <f t="shared" ref="J1491" si="663">J1478/J$1465</f>
        <v>5.3720355961421981E-2</v>
      </c>
    </row>
  </sheetData>
  <pageMargins left="0.7" right="0.7" top="0.75" bottom="0.75" header="0.3" footer="0.3"/>
  <pageSetup paperSize="9" orientation="portrait" horizontalDpi="300" r:id="rId1"/>
</worksheet>
</file>

<file path=docProps/CustomMKOP.xml><?xml version="1.0" encoding="utf-8"?>
<Properties xmlns="http://schemas.openxmlformats.org/officeDocument/2006/custom-properties" xmlns:vt="http://schemas.openxmlformats.org/officeDocument/2006/docPropsVTypes">
  <property fmtid="{D5CDD505-2E9C-101B-9397-08002B2CF9AE}" pid="2" name="MKProdID">
    <vt:lpwstr>ZMOutlook</vt:lpwstr>
  </property>
  <property fmtid="{D5CDD505-2E9C-101B-9397-08002B2CF9AE}" pid="3" name="SizeBefore">
    <vt:lpwstr>1138127</vt:lpwstr>
  </property>
  <property fmtid="{D5CDD505-2E9C-101B-9397-08002B2CF9AE}" pid="4" name="OptimizationTime">
    <vt:lpwstr>20220615_1300</vt:lpwstr>
  </property>
</Properties>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3</vt:i4>
      </vt:variant>
    </vt:vector>
  </HeadingPairs>
  <TitlesOfParts>
    <vt:vector size="24" baseType="lpstr">
      <vt:lpstr>Cover</vt:lpstr>
      <vt:lpstr>Changes</vt:lpstr>
      <vt:lpstr>Disclaimer</vt:lpstr>
      <vt:lpstr>Assumptions</vt:lpstr>
      <vt:lpstr>P&amp;L</vt:lpstr>
      <vt:lpstr>Cashflow</vt:lpstr>
      <vt:lpstr>Balance Sheet</vt:lpstr>
      <vt:lpstr>Working - Sugar + Cogen</vt:lpstr>
      <vt:lpstr>Working - Distillery</vt:lpstr>
      <vt:lpstr>Working - Corporate</vt:lpstr>
      <vt:lpstr>Stock movement</vt:lpstr>
      <vt:lpstr>Debt Assumptions &amp; working</vt:lpstr>
      <vt:lpstr>Debt repayment Schedule</vt:lpstr>
      <vt:lpstr>YTM</vt:lpstr>
      <vt:lpstr>WC &amp; DP</vt:lpstr>
      <vt:lpstr>Promoter Loan &amp; Equity workings</vt:lpstr>
      <vt:lpstr>OCD working</vt:lpstr>
      <vt:lpstr>Key output &amp; ratios</vt:lpstr>
      <vt:lpstr>Fixed Asset schedule</vt:lpstr>
      <vt:lpstr>Tax calc</vt:lpstr>
      <vt:lpstr>Key Assumptions</vt:lpstr>
      <vt:lpstr>'Key Financial and CF Seg Wise'!Print_Area</vt:lpstr>
      <vt:lpstr>'P&amp;L'!Print_Area</vt:lpstr>
      <vt:lpstr>'Working - Corporate'!Print_Area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Ramendra Singh</dc:creator>
  <cp:lastModifiedBy>Ankita A Poddar</cp:lastModifiedBy>
  <cp:lastPrinted>2022-01-06T08:24:33Z</cp:lastPrinted>
  <dcterms:created xsi:type="dcterms:W3CDTF">2021-06-27T04:37:52Z</dcterms:created>
  <dcterms:modified xsi:type="dcterms:W3CDTF">2022-06-15T07:29:41Z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leName">
    <vt:lpwstr/>
  </property>
</Properties>
</file>