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mc:AlternateContent xmlns:mc="http://schemas.openxmlformats.org/markup-compatibility/2006">
    <mc:Choice Requires="x15">
      <x15ac:absPath xmlns:x15ac="http://schemas.microsoft.com/office/spreadsheetml/2010/11/ac" url="Y:\Arup Banerjee\BHSL DOCS\Bilai_VIS(2022-23)-PL073-061-104, BHSL, Bilai Unit\"/>
    </mc:Choice>
  </mc:AlternateContent>
  <xr:revisionPtr revIDLastSave="0" documentId="13_ncr:1_{F29EA591-270E-49AD-912E-3EB795C99E47}" xr6:coauthVersionLast="47" xr6:coauthVersionMax="47" xr10:uidLastSave="{00000000-0000-0000-0000-000000000000}"/>
  <bookViews>
    <workbookView xWindow="-120" yWindow="-120" windowWidth="21840" windowHeight="13140" firstSheet="2" activeTab="6" xr2:uid="{00000000-000D-0000-FFFF-FFFF00000000}"/>
  </bookViews>
  <sheets>
    <sheet name="Not to be considered" sheetId="3" r:id="rId1"/>
    <sheet name="Land details" sheetId="1" r:id="rId2"/>
    <sheet name="Land area statement" sheetId="8" r:id="rId3"/>
    <sheet name="Circle Rates" sheetId="7" r:id="rId4"/>
    <sheet name="Land acquisition table" sheetId="9" r:id="rId5"/>
    <sheet name="land valuation" sheetId="10" r:id="rId6"/>
    <sheet name="Land_Belting" sheetId="11" r:id="rId7"/>
  </sheets>
  <definedNames>
    <definedName name="_xlnm._FilterDatabase" localSheetId="1" hidden="1">'Land details'!$F$3:$N$113</definedName>
  </definedNames>
  <calcPr calcId="18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11" l="1"/>
  <c r="G7" i="11"/>
  <c r="F7" i="11"/>
  <c r="F8" i="11" s="1"/>
  <c r="G6" i="11"/>
  <c r="F6" i="11"/>
  <c r="E6" i="11"/>
  <c r="E8" i="11" s="1"/>
  <c r="K7" i="7"/>
  <c r="P5" i="10"/>
  <c r="K8" i="10"/>
  <c r="G8" i="11" l="1"/>
  <c r="E9" i="11"/>
  <c r="K5" i="10"/>
  <c r="J7" i="7"/>
  <c r="J8" i="7"/>
  <c r="F7" i="7"/>
  <c r="G7" i="7" s="1"/>
  <c r="K9" i="7" s="1"/>
  <c r="F8" i="7"/>
  <c r="G8" i="7" s="1"/>
  <c r="K8" i="7" s="1"/>
  <c r="F10" i="9"/>
  <c r="H9" i="9"/>
  <c r="H8" i="9"/>
  <c r="H10" i="9" s="1"/>
  <c r="H11" i="9" s="1"/>
  <c r="H15" i="9" s="1"/>
  <c r="H7" i="9"/>
  <c r="I10" i="8"/>
  <c r="I11" i="8"/>
  <c r="G12" i="8"/>
  <c r="I9" i="8"/>
  <c r="I12" i="8"/>
  <c r="H12" i="8"/>
  <c r="E10" i="11" l="1"/>
  <c r="G11" i="11"/>
  <c r="G12" i="11"/>
  <c r="H17" i="9"/>
  <c r="H19" i="9" s="1"/>
  <c r="K7" i="10"/>
  <c r="K6" i="10"/>
  <c r="G14" i="11" l="1"/>
  <c r="K9" i="10"/>
  <c r="M9" i="10" s="1"/>
  <c r="J9" i="7" l="1"/>
  <c r="E9" i="7"/>
  <c r="F9" i="7" s="1"/>
  <c r="G9" i="7" s="1"/>
  <c r="O122" i="1" l="1"/>
  <c r="M16" i="1" l="1"/>
  <c r="N16" i="1" s="1"/>
  <c r="F4" i="3"/>
  <c r="F5" i="3"/>
  <c r="F6" i="3"/>
  <c r="F7" i="3" l="1"/>
  <c r="M112" i="1"/>
  <c r="N112" i="1" s="1"/>
  <c r="M111" i="1"/>
  <c r="N111" i="1" s="1"/>
  <c r="M110" i="1"/>
  <c r="N110" i="1" s="1"/>
  <c r="M109" i="1"/>
  <c r="N109" i="1" s="1"/>
  <c r="M108" i="1"/>
  <c r="N108" i="1" s="1"/>
  <c r="M107" i="1"/>
  <c r="N107" i="1" s="1"/>
  <c r="M106" i="1"/>
  <c r="N106" i="1" s="1"/>
  <c r="M105" i="1"/>
  <c r="N105" i="1" s="1"/>
  <c r="M104" i="1"/>
  <c r="N104" i="1" s="1"/>
  <c r="M103" i="1"/>
  <c r="N103" i="1" s="1"/>
  <c r="M102" i="1"/>
  <c r="N102" i="1" s="1"/>
  <c r="M101" i="1"/>
  <c r="N101" i="1" s="1"/>
  <c r="M100" i="1"/>
  <c r="N100" i="1" s="1"/>
  <c r="M99" i="1"/>
  <c r="N99" i="1" s="1"/>
  <c r="M98" i="1"/>
  <c r="N98" i="1" s="1"/>
  <c r="M97" i="1"/>
  <c r="N97" i="1" s="1"/>
  <c r="M96" i="1"/>
  <c r="N96" i="1" s="1"/>
  <c r="M95" i="1"/>
  <c r="N95" i="1" s="1"/>
  <c r="M94" i="1"/>
  <c r="N94" i="1" s="1"/>
  <c r="M93" i="1"/>
  <c r="N93" i="1" s="1"/>
  <c r="L92" i="1"/>
  <c r="M92" i="1" s="1"/>
  <c r="N92" i="1" s="1"/>
  <c r="M91" i="1"/>
  <c r="N91" i="1" s="1"/>
  <c r="M90" i="1"/>
  <c r="N90" i="1" s="1"/>
  <c r="M89" i="1"/>
  <c r="N89" i="1" s="1"/>
  <c r="M88" i="1"/>
  <c r="N88" i="1" s="1"/>
  <c r="M87" i="1"/>
  <c r="N87" i="1" s="1"/>
  <c r="M86" i="1"/>
  <c r="N86" i="1" s="1"/>
  <c r="M85" i="1"/>
  <c r="N85" i="1" s="1"/>
  <c r="M84" i="1"/>
  <c r="N84" i="1" s="1"/>
  <c r="M83" i="1"/>
  <c r="N83" i="1" s="1"/>
  <c r="M82" i="1"/>
  <c r="N82" i="1" s="1"/>
  <c r="M81" i="1"/>
  <c r="N81" i="1" s="1"/>
  <c r="M80" i="1"/>
  <c r="N80" i="1" s="1"/>
  <c r="M79" i="1"/>
  <c r="N79" i="1" s="1"/>
  <c r="M78" i="1"/>
  <c r="N78" i="1" s="1"/>
  <c r="M77" i="1"/>
  <c r="N77" i="1" s="1"/>
  <c r="M76" i="1"/>
  <c r="N76" i="1" s="1"/>
  <c r="M75" i="1"/>
  <c r="N75" i="1" s="1"/>
  <c r="M74" i="1"/>
  <c r="N74" i="1" s="1"/>
  <c r="M73" i="1"/>
  <c r="N73" i="1" s="1"/>
  <c r="M72" i="1"/>
  <c r="N72" i="1" s="1"/>
  <c r="M71" i="1"/>
  <c r="N71" i="1" s="1"/>
  <c r="M70" i="1"/>
  <c r="N70" i="1" s="1"/>
  <c r="M69" i="1"/>
  <c r="N69" i="1" s="1"/>
  <c r="M68" i="1"/>
  <c r="N68" i="1" s="1"/>
  <c r="L63" i="1"/>
  <c r="L113" i="1" s="1"/>
  <c r="M62" i="1"/>
  <c r="N62" i="1" s="1"/>
  <c r="M61" i="1"/>
  <c r="N61" i="1" s="1"/>
  <c r="M60" i="1"/>
  <c r="N60" i="1" s="1"/>
  <c r="M59" i="1"/>
  <c r="N59" i="1" s="1"/>
  <c r="M58" i="1"/>
  <c r="N58" i="1" s="1"/>
  <c r="M57" i="1"/>
  <c r="N57" i="1" s="1"/>
  <c r="M56" i="1"/>
  <c r="N56" i="1" s="1"/>
  <c r="M55" i="1"/>
  <c r="N55" i="1" s="1"/>
  <c r="M54" i="1"/>
  <c r="N54" i="1" s="1"/>
  <c r="M53" i="1"/>
  <c r="N53" i="1" s="1"/>
  <c r="M52" i="1"/>
  <c r="N52" i="1" s="1"/>
  <c r="M51" i="1"/>
  <c r="N51" i="1" s="1"/>
  <c r="M50" i="1"/>
  <c r="N50" i="1" s="1"/>
  <c r="M49" i="1"/>
  <c r="N49" i="1" s="1"/>
  <c r="M48" i="1"/>
  <c r="N48" i="1" s="1"/>
  <c r="M47" i="1"/>
  <c r="N47" i="1" s="1"/>
  <c r="M46" i="1"/>
  <c r="N46" i="1" s="1"/>
  <c r="M45" i="1"/>
  <c r="N45" i="1" s="1"/>
  <c r="M44" i="1"/>
  <c r="N44" i="1" s="1"/>
  <c r="M43" i="1"/>
  <c r="N43" i="1" s="1"/>
  <c r="M42" i="1"/>
  <c r="N42" i="1" s="1"/>
  <c r="M41" i="1"/>
  <c r="N41" i="1" s="1"/>
  <c r="M40" i="1"/>
  <c r="N40" i="1" s="1"/>
  <c r="M39" i="1"/>
  <c r="N39" i="1" s="1"/>
  <c r="M38" i="1"/>
  <c r="N38" i="1" s="1"/>
  <c r="M37" i="1"/>
  <c r="N37" i="1" s="1"/>
  <c r="M36" i="1"/>
  <c r="N36" i="1" s="1"/>
  <c r="M35" i="1"/>
  <c r="N35" i="1" s="1"/>
  <c r="M34" i="1"/>
  <c r="N34" i="1" s="1"/>
  <c r="M33" i="1"/>
  <c r="N33" i="1" s="1"/>
  <c r="M32" i="1"/>
  <c r="N32" i="1" s="1"/>
  <c r="M31" i="1"/>
  <c r="N31" i="1" s="1"/>
  <c r="M30" i="1"/>
  <c r="N30" i="1" s="1"/>
  <c r="M29" i="1"/>
  <c r="N29" i="1" s="1"/>
  <c r="M28" i="1"/>
  <c r="N28" i="1" s="1"/>
  <c r="M27" i="1"/>
  <c r="N27" i="1" s="1"/>
  <c r="M26" i="1"/>
  <c r="N26" i="1" s="1"/>
  <c r="M25" i="1"/>
  <c r="N25" i="1" s="1"/>
  <c r="M24" i="1"/>
  <c r="N24" i="1" s="1"/>
  <c r="M23" i="1"/>
  <c r="N23" i="1" s="1"/>
  <c r="M22" i="1"/>
  <c r="N22" i="1" s="1"/>
  <c r="M21" i="1"/>
  <c r="N21" i="1" s="1"/>
  <c r="M20" i="1"/>
  <c r="N20" i="1" s="1"/>
  <c r="M19" i="1"/>
  <c r="N19" i="1" s="1"/>
  <c r="M18" i="1"/>
  <c r="N18" i="1" s="1"/>
  <c r="M17" i="1"/>
  <c r="N17" i="1" s="1"/>
  <c r="M15" i="1"/>
  <c r="N15" i="1" s="1"/>
  <c r="M14" i="1"/>
  <c r="N14" i="1" s="1"/>
  <c r="M13" i="1"/>
  <c r="N13" i="1" s="1"/>
  <c r="M12" i="1"/>
  <c r="N12" i="1" s="1"/>
  <c r="M11" i="1"/>
  <c r="N11" i="1" s="1"/>
  <c r="M10" i="1"/>
  <c r="N10" i="1" s="1"/>
  <c r="M9" i="1"/>
  <c r="N9" i="1" s="1"/>
  <c r="M8" i="1"/>
  <c r="N8" i="1" s="1"/>
  <c r="M7" i="1"/>
  <c r="N7" i="1" s="1"/>
  <c r="M6" i="1"/>
  <c r="N6" i="1" s="1"/>
  <c r="M5" i="1"/>
  <c r="M4" i="1"/>
  <c r="N4" i="1" s="1"/>
  <c r="M63" i="1" l="1"/>
  <c r="N63" i="1" s="1"/>
  <c r="N5" i="1"/>
  <c r="N113" i="1" l="1"/>
  <c r="M113" i="1"/>
</calcChain>
</file>

<file path=xl/sharedStrings.xml><?xml version="1.0" encoding="utf-8"?>
<sst xmlns="http://schemas.openxmlformats.org/spreadsheetml/2006/main" count="399" uniqueCount="175">
  <si>
    <t>Land Area Details</t>
  </si>
  <si>
    <t>S.No</t>
  </si>
  <si>
    <t>Date of Registry</t>
  </si>
  <si>
    <t>Reg.No.</t>
  </si>
  <si>
    <t>Khata No.</t>
  </si>
  <si>
    <t>Khasara No.</t>
  </si>
  <si>
    <t>Area  (Hect.)</t>
  </si>
  <si>
    <t>Area (Acre)</t>
  </si>
  <si>
    <t>Area
(sq. mtr.)</t>
  </si>
  <si>
    <t>19.06.04</t>
  </si>
  <si>
    <t>20.06.04</t>
  </si>
  <si>
    <t>21.06.04</t>
  </si>
  <si>
    <t>22.06.04</t>
  </si>
  <si>
    <t>23.06.04</t>
  </si>
  <si>
    <t>24.06.04</t>
  </si>
  <si>
    <t>25.06.04</t>
  </si>
  <si>
    <t>09.07.04</t>
  </si>
  <si>
    <t>03.08.04</t>
  </si>
  <si>
    <t>03.12.04</t>
  </si>
  <si>
    <t>06.12.04</t>
  </si>
  <si>
    <t>09.12.04</t>
  </si>
  <si>
    <t>16.12.04</t>
  </si>
  <si>
    <t>18.12.04</t>
  </si>
  <si>
    <t>29.01.05</t>
  </si>
  <si>
    <t>31.01.05</t>
  </si>
  <si>
    <t>25.04.05</t>
  </si>
  <si>
    <t>13.06.05</t>
  </si>
  <si>
    <t>20.06.05</t>
  </si>
  <si>
    <t>15.07.05</t>
  </si>
  <si>
    <t>25.07.05</t>
  </si>
  <si>
    <t>27.07.05</t>
  </si>
  <si>
    <t>02.08.05</t>
  </si>
  <si>
    <t>28.11.05</t>
  </si>
  <si>
    <t>01.05.06</t>
  </si>
  <si>
    <t>09.05.06</t>
  </si>
  <si>
    <t>29.06.06</t>
  </si>
  <si>
    <t>28.08.06</t>
  </si>
  <si>
    <t>16.05.07</t>
  </si>
  <si>
    <t>09</t>
  </si>
  <si>
    <t>151,154,88</t>
  </si>
  <si>
    <t>01</t>
  </si>
  <si>
    <t>57,80,161,154</t>
  </si>
  <si>
    <t>72,74</t>
  </si>
  <si>
    <t>72,98,99</t>
  </si>
  <si>
    <t>2738 to 2742,2747,2753 to 2761, 2763 to 2766</t>
  </si>
  <si>
    <t>218A,219,220A,218B,220B,221</t>
  </si>
  <si>
    <t>2739 to 2742,2747,2753 to 2761, 2763 to 2766</t>
  </si>
  <si>
    <t>210,211,213,215,216,217</t>
  </si>
  <si>
    <t>208,209,210,211,213,215,217</t>
  </si>
  <si>
    <t>2836,2837,2838</t>
  </si>
  <si>
    <t>153,154,155A,155B,156,157,158,159,167</t>
  </si>
  <si>
    <t>319,320,322</t>
  </si>
  <si>
    <t>224,225,249,270,271,274,275,276,311,312,313,314,315,316A,316B</t>
  </si>
  <si>
    <t>2833,2834</t>
  </si>
  <si>
    <t>173,174</t>
  </si>
  <si>
    <t>322,323</t>
  </si>
  <si>
    <t>255,256A, 256B</t>
  </si>
  <si>
    <t>485,508</t>
  </si>
  <si>
    <t>224,225,249,270,271,274,275,276</t>
  </si>
  <si>
    <t>257,259,260</t>
  </si>
  <si>
    <t>2772,2773</t>
  </si>
  <si>
    <t>2839,2840,2841,2870</t>
  </si>
  <si>
    <t>186,187,188</t>
  </si>
  <si>
    <t>2825,2832,2835</t>
  </si>
  <si>
    <t>208,209</t>
  </si>
  <si>
    <t>224,225,249,270,271,274,275,276,257,259,260</t>
  </si>
  <si>
    <t>322,323,328</t>
  </si>
  <si>
    <t>95,97,98</t>
  </si>
  <si>
    <t>2743,2738,2747,2753,2746</t>
  </si>
  <si>
    <t>280,281,282,283,309</t>
  </si>
  <si>
    <t>2842,2845,2846,2870</t>
  </si>
  <si>
    <t>2871,2872</t>
  </si>
  <si>
    <t>22,23,34,35</t>
  </si>
  <si>
    <t>2702,2703,2704</t>
  </si>
  <si>
    <t>2728,2743,2746,2747,2753</t>
  </si>
  <si>
    <t>2824,2825,2826,2830, 2831</t>
  </si>
  <si>
    <t>2738,2743,2746,2747 &amp; 2753</t>
  </si>
  <si>
    <t>280,281,282, &amp; 283</t>
  </si>
  <si>
    <t>248/2</t>
  </si>
  <si>
    <t>561, 554</t>
  </si>
  <si>
    <t>Village Name</t>
  </si>
  <si>
    <t>244,245,243,246,149/3,248/1,236,239,201,234,235,238,202,240,241,242,200,&amp;199</t>
  </si>
  <si>
    <t>261 to 264, 266 to 269</t>
  </si>
  <si>
    <t>160 to 166, 168 to 171</t>
  </si>
  <si>
    <t>113 to 125, 127 to 152</t>
  </si>
  <si>
    <t>311 to 315, 316A, 316B</t>
  </si>
  <si>
    <t>2684 to 2702</t>
  </si>
  <si>
    <t>272,273,261 to 264,266 to 269,277,278,279</t>
  </si>
  <si>
    <t>2738 to 2742, 2747,2753 to 2761, 2763 to 2766</t>
  </si>
  <si>
    <t>553 to 560</t>
  </si>
  <si>
    <t>03A,03B, 04 to 13, 16 to 23</t>
  </si>
  <si>
    <t>485,491,492,494,495,496,497,499,500 to 509</t>
  </si>
  <si>
    <t>228 to 238, 239A,239B,240,241 to 246, 250 to 254</t>
  </si>
  <si>
    <t>218A, 218B,219,220A,220B,221,224,225,249,270,271 to 276,261 to 264,266 to 269,257,259,260</t>
  </si>
  <si>
    <t>2668 to 2676</t>
  </si>
  <si>
    <t>97 to 104, 105A,105B, 106 to 112</t>
  </si>
  <si>
    <t>280 to 283</t>
  </si>
  <si>
    <t>261 to 264, 266 to 269,491,492,494,to 497,499 to 507,509</t>
  </si>
  <si>
    <t>284 to 302, 306 to 308,310</t>
  </si>
  <si>
    <t>97 to 104, 105A,105B,106 to 112</t>
  </si>
  <si>
    <t>02,03A,03B,04 to 13, 16 to 23</t>
  </si>
  <si>
    <t>280,310 289 to 302, 306 to 308</t>
  </si>
  <si>
    <t>Nangal Jat</t>
  </si>
  <si>
    <t>Bilai</t>
  </si>
  <si>
    <t>Faridpur Malhu</t>
  </si>
  <si>
    <t>Total</t>
  </si>
  <si>
    <t>2767,2768,2769,2770,2771 ,2772,2773</t>
  </si>
  <si>
    <t>Grand Total</t>
  </si>
  <si>
    <t>Sum of Area  (Hect.)</t>
  </si>
  <si>
    <t>Sum of Area (Acre)</t>
  </si>
  <si>
    <t>Sum of Area</t>
  </si>
  <si>
    <t>Govt. Guidelines Rates 
(in Hect.)</t>
  </si>
  <si>
    <t xml:space="preserve"> Govt. Guidelines Value</t>
  </si>
  <si>
    <t>Village NAme</t>
  </si>
  <si>
    <t>Faridpur Mallu</t>
  </si>
  <si>
    <t>Nangal Jat &amp; Bilai</t>
  </si>
  <si>
    <t>VALUATION AS PER GOVT. GUIDELINE RATES</t>
  </si>
  <si>
    <t xml:space="preserve">LAND AREA STATEMENT </t>
  </si>
  <si>
    <t>Sr. No.</t>
  </si>
  <si>
    <t>Total no. of Deeds</t>
  </si>
  <si>
    <r>
      <t xml:space="preserve">Land Area 
</t>
    </r>
    <r>
      <rPr>
        <i/>
        <sz val="10"/>
        <color theme="1"/>
        <rFont val="Calibri"/>
        <family val="2"/>
        <scheme val="minor"/>
      </rPr>
      <t>(in Hectare)</t>
    </r>
  </si>
  <si>
    <r>
      <t xml:space="preserve">Land Area 
</t>
    </r>
    <r>
      <rPr>
        <i/>
        <sz val="10"/>
        <color theme="1"/>
        <rFont val="Calibri"/>
        <family val="2"/>
        <scheme val="minor"/>
      </rPr>
      <t>(in Acres)</t>
    </r>
  </si>
  <si>
    <t>Remarks:</t>
  </si>
  <si>
    <t>1. The above mentioned land area has been taken on the basis of information/ data provided by the company.</t>
  </si>
  <si>
    <t xml:space="preserve">2. As per the copy of change of land use certificate, the company has possession of 33.558 Hectare out of the total land area as on date and for which company has achieved the CLU for industrial use. </t>
  </si>
  <si>
    <t>3. Therefore, for the Valuation assessment, we have taken land area as 33.558 Hectare only.</t>
  </si>
  <si>
    <r>
      <t xml:space="preserve">Area
</t>
    </r>
    <r>
      <rPr>
        <b/>
        <i/>
        <sz val="10"/>
        <rFont val="Calibri"/>
        <family val="2"/>
        <scheme val="minor"/>
      </rPr>
      <t>(in Hectare)</t>
    </r>
  </si>
  <si>
    <r>
      <t xml:space="preserve">Land Rate under Land Acquisition Act-2013
</t>
    </r>
    <r>
      <rPr>
        <i/>
        <sz val="10"/>
        <rFont val="Calibri"/>
        <family val="2"/>
        <scheme val="minor"/>
      </rPr>
      <t>(in per hectares)</t>
    </r>
  </si>
  <si>
    <t xml:space="preserve">Total </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</si>
  <si>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</si>
  <si>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</si>
  <si>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</si>
  <si>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</si>
  <si>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</si>
  <si>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</si>
  <si>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</si>
  <si>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Sr.No.</t>
  </si>
  <si>
    <t>Particulars</t>
  </si>
  <si>
    <t>Original Land Area</t>
  </si>
  <si>
    <t xml:space="preserve">Fair Market Valuation </t>
  </si>
  <si>
    <t>Acres</t>
  </si>
  <si>
    <t>Hectares</t>
  </si>
  <si>
    <t>Add 5% premium for non agriculture land</t>
  </si>
  <si>
    <t>Add 10% for cost &amp; effort considerations to cover administrative cost, effort towards land acquisition &amp; consolidation etc.</t>
  </si>
  <si>
    <t xml:space="preserve">  At Rs.2.5 Lacs per acre</t>
  </si>
  <si>
    <t>GRAND TOTAL</t>
  </si>
  <si>
    <t>Notes:</t>
  </si>
  <si>
    <t>1.  Land area details has been provided to us by the company, which is relied upon in good faith.</t>
  </si>
  <si>
    <t>Rates per Acre</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</si>
  <si>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</si>
  <si>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</si>
  <si>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</si>
  <si>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</si>
  <si>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</si>
  <si>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</si>
  <si>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</si>
  <si>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VALUATION OF PROJECT LAND | BAJAJ HINDUSTHAN SUGAR LIMITED | VILLAGE- BILAI DISTRICT- BIJNOR</t>
  </si>
  <si>
    <t xml:space="preserve">FAIR MARKET VALUATION OF LAND OF  : M/S. BAJAJ HINDUSTHAN SUGAR LIMITED, BILAI, BIJNOR, UTTAR PRTADESH  </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</si>
  <si>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</si>
  <si>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t>Project Land</t>
  </si>
  <si>
    <t xml:space="preserve">Add: Land Development, Site Levelling charges etc. </t>
  </si>
  <si>
    <r>
      <t xml:space="preserve">2. As per the our calculations, the market rate for the subject sugar project is comes out to be </t>
    </r>
    <r>
      <rPr>
        <i/>
        <sz val="11"/>
        <rFont val="Calibri"/>
        <family val="2"/>
        <scheme val="minor"/>
      </rPr>
      <t xml:space="preserve">Rs.44.10 Lakhs </t>
    </r>
    <r>
      <rPr>
        <i/>
        <sz val="11"/>
        <color theme="1"/>
        <rFont val="Calibri"/>
        <family val="2"/>
        <scheme val="minor"/>
      </rPr>
      <t xml:space="preserve"> per Acres, which seems to be reasonable in our point of view. </t>
    </r>
  </si>
  <si>
    <t>BILAI LAND VALUATION BELTING METHOD</t>
  </si>
  <si>
    <t>Calculation by Belting Method</t>
  </si>
  <si>
    <t>Total Area</t>
  </si>
  <si>
    <t>Area (front side)</t>
  </si>
  <si>
    <t>Area (middle part)</t>
  </si>
  <si>
    <t>Area (back side)</t>
  </si>
  <si>
    <t>Rate (Acre)</t>
  </si>
  <si>
    <t>Value</t>
  </si>
  <si>
    <t>Total Value</t>
  </si>
  <si>
    <t>Average Rate (Acre)</t>
  </si>
  <si>
    <t>Add 5% for cost &amp; effort considerations to cover administrative cost, effort towards land acquisition &amp; consolidation etc.</t>
  </si>
  <si>
    <t>2.5 lacs per acre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</si>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</sst>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0.000"/>
    <numFmt numFmtId="165" formatCode="_ [$₹-4009]\ * #,##0.00_ ;_ [$₹-4009]\ * \-#,##0.00_ ;_ [$₹-4009]\ * &quot;-&quot;??_ ;_ @_ "/>
    <numFmt numFmtId="166" formatCode="_ &quot;₹&quot;\ * #,##0_ ;_ &quot;₹&quot;\ * \-#,##0_ ;_ &quot;₹&quot;\ * &quot;-&quot;??_ ;_ @_ "/>
  </numFmts>
  <fonts count="20"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2"/>
      <name val="Calibri"/>
      <family val="2"/>
      <scheme val="minor"/>
    </font>
    <font>
      <sz val="11"/>
      <color theme="1"/>
      <name val="Calibri"/>
      <family val="2"/>
      <scheme val="minor"/>
    </font>
    <font>
      <sz val="11"/>
      <color indexed="8"/>
      <name val="Calibri"/>
      <family val="2"/>
    </font>
    <font>
      <sz val="10"/>
      <name val="Arial"/>
      <family val="2"/>
    </font>
    <font>
      <sz val="10"/>
      <color theme="1"/>
      <name val="Arial"/>
      <family val="2"/>
    </font>
    <font>
      <sz val="11"/>
      <color theme="0"/>
      <name val="Calibri"/>
      <family val="2"/>
      <scheme val="minor"/>
    </font>
    <font>
      <b/>
      <sz val="11"/>
      <color theme="0"/>
      <name val="Calibri"/>
      <family val="2"/>
      <scheme val="minor"/>
    </font>
    <font>
      <i/>
      <sz val="10"/>
      <color theme="1"/>
      <name val="Calibri"/>
      <family val="2"/>
      <scheme val="minor"/>
    </font>
    <font>
      <b/>
      <i/>
      <sz val="11"/>
      <color theme="1"/>
      <name val="Calibri"/>
      <family val="2"/>
      <scheme val="minor"/>
    </font>
    <font>
      <b/>
      <i/>
      <sz val="10"/>
      <name val="Calibri"/>
      <family val="2"/>
      <scheme val="minor"/>
    </font>
    <font>
      <i/>
      <sz val="10"/>
      <name val="Calibri"/>
      <family val="2"/>
      <scheme val="minor"/>
    </font>
    <font>
      <b/>
      <sz val="12"/>
      <color theme="0"/>
      <name val="Calibri"/>
      <family val="2"/>
      <scheme val="minor"/>
    </font>
    <font>
      <i/>
      <sz val="11"/>
      <color theme="1"/>
      <name val="Calibri"/>
      <family val="2"/>
      <scheme val="minor"/>
    </font>
    <font>
      <i/>
      <sz val="11"/>
      <name val="Calibri"/>
      <family val="2"/>
      <scheme val="minor"/>
    </font>
    <font>
      <b/>
      <sz val="12"/>
      <color theme="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00"/>
        <bgColor theme="4" tint="0.79998168889431442"/>
      </patternFill>
    </fill>
    <fill>
      <patternFill patternType="solid">
        <fgColor theme="4" tint="-0.499984740745262"/>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7">
    <xf numFmtId="0" fontId="0" fillId="0" borderId="0"/>
    <xf numFmtId="44" fontId="6" fillId="0" borderId="0" applyFont="0" applyFill="0" applyBorder="0" applyAlignment="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53">
    <xf numFmtId="0" fontId="0" fillId="0" borderId="0" xfId="0"/>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2" fillId="0" borderId="1" xfId="0" quotePrefix="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1" xfId="0" quotePrefix="1" applyNumberFormat="1" applyFont="1" applyFill="1" applyBorder="1" applyAlignment="1">
      <alignment horizontal="center" vertical="center"/>
    </xf>
    <xf numFmtId="1" fontId="2" fillId="0" borderId="1" xfId="0" quotePrefix="1"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3" fontId="2" fillId="0" borderId="1" xfId="0" quotePrefix="1" applyNumberFormat="1" applyFont="1" applyFill="1" applyBorder="1" applyAlignment="1">
      <alignment horizontal="center" vertical="center" wrapText="1"/>
    </xf>
    <xf numFmtId="1" fontId="2" fillId="0" borderId="1" xfId="0" quotePrefix="1"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2" fontId="2"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2" fontId="2"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 fontId="2" fillId="0" borderId="1" xfId="0" quotePrefix="1" applyNumberFormat="1" applyFont="1" applyFill="1" applyBorder="1" applyAlignment="1">
      <alignment horizontal="center" vertical="center" wrapText="1"/>
    </xf>
    <xf numFmtId="0" fontId="2" fillId="0" borderId="4" xfId="0" applyFont="1" applyFill="1" applyBorder="1" applyAlignment="1">
      <alignment horizontal="center" vertical="top" wrapText="1"/>
    </xf>
    <xf numFmtId="164" fontId="2" fillId="0" borderId="1" xfId="0" applyNumberFormat="1" applyFont="1" applyFill="1" applyBorder="1" applyAlignment="1">
      <alignment horizontal="center"/>
    </xf>
    <xf numFmtId="164" fontId="2" fillId="0" borderId="2"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top" wrapText="1"/>
    </xf>
    <xf numFmtId="0" fontId="5" fillId="0" borderId="4" xfId="0" applyFont="1" applyFill="1" applyBorder="1" applyAlignment="1">
      <alignment horizontal="center" vertical="center" wrapText="1"/>
    </xf>
    <xf numFmtId="164" fontId="5" fillId="0" borderId="1" xfId="0" applyNumberFormat="1" applyFont="1" applyFill="1" applyBorder="1" applyAlignment="1">
      <alignment horizontal="center"/>
    </xf>
    <xf numFmtId="164" fontId="5"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top" wrapText="1"/>
    </xf>
    <xf numFmtId="164" fontId="5" fillId="0" borderId="5"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6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164" fontId="2" fillId="0" borderId="5" xfId="0" applyNumberFormat="1" applyFont="1" applyFill="1" applyBorder="1" applyAlignment="1">
      <alignment horizontal="center" vertical="center"/>
    </xf>
    <xf numFmtId="0" fontId="2" fillId="0" borderId="2" xfId="0" applyFont="1" applyFill="1" applyBorder="1" applyAlignment="1">
      <alignment horizontal="center" vertical="top" wrapText="1"/>
    </xf>
    <xf numFmtId="165" fontId="0" fillId="0" borderId="0" xfId="0" applyNumberFormat="1"/>
    <xf numFmtId="44" fontId="0" fillId="0" borderId="0" xfId="1" applyFont="1"/>
    <xf numFmtId="0" fontId="0" fillId="0" borderId="1" xfId="0" applyBorder="1"/>
    <xf numFmtId="0" fontId="2" fillId="0" borderId="1" xfId="0" applyFont="1" applyFill="1" applyBorder="1" applyAlignment="1">
      <alignment horizontal="center" vertical="center" wrapText="1"/>
    </xf>
    <xf numFmtId="0" fontId="0" fillId="0" borderId="1" xfId="0" applyBorder="1" applyAlignment="1">
      <alignment horizontal="center"/>
    </xf>
    <xf numFmtId="164" fontId="2" fillId="4" borderId="5" xfId="0" applyNumberFormat="1" applyFont="1" applyFill="1" applyBorder="1" applyAlignment="1">
      <alignment horizontal="center" vertical="center" wrapText="1"/>
    </xf>
    <xf numFmtId="0" fontId="2" fillId="4" borderId="1" xfId="0" quotePrefix="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quotePrefix="1" applyFont="1" applyFill="1" applyBorder="1" applyAlignment="1">
      <alignment horizontal="center" vertical="center" wrapText="1"/>
    </xf>
    <xf numFmtId="0" fontId="5" fillId="4" borderId="4" xfId="0" applyFont="1" applyFill="1" applyBorder="1" applyAlignment="1">
      <alignment horizontal="center" vertical="top" wrapText="1"/>
    </xf>
    <xf numFmtId="164" fontId="5" fillId="4" borderId="1" xfId="0" applyNumberFormat="1" applyFont="1" applyFill="1" applyBorder="1" applyAlignment="1">
      <alignment horizontal="center" vertical="center"/>
    </xf>
    <xf numFmtId="165" fontId="9" fillId="0" borderId="1" xfId="0" applyNumberFormat="1" applyFon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2" fontId="2"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165" fontId="0" fillId="0" borderId="1" xfId="0" applyNumberFormat="1" applyBorder="1"/>
    <xf numFmtId="0" fontId="1" fillId="0" borderId="1" xfId="0" applyFont="1" applyBorder="1" applyAlignment="1"/>
    <xf numFmtId="165" fontId="1" fillId="0" borderId="1" xfId="0" applyNumberFormat="1" applyFont="1" applyBorder="1"/>
    <xf numFmtId="165" fontId="1" fillId="0" borderId="1" xfId="0" applyNumberFormat="1" applyFont="1" applyBorder="1" applyAlignment="1">
      <alignment vertical="center"/>
    </xf>
    <xf numFmtId="165" fontId="0" fillId="0" borderId="1" xfId="0" applyNumberFormat="1" applyBorder="1" applyAlignment="1">
      <alignment vertical="center"/>
    </xf>
    <xf numFmtId="0" fontId="1" fillId="3" borderId="1" xfId="0" applyFont="1" applyFill="1" applyBorder="1" applyAlignment="1">
      <alignment vertical="center" wrapText="1"/>
    </xf>
    <xf numFmtId="44" fontId="0" fillId="0" borderId="1" xfId="16" applyFont="1" applyBorder="1" applyAlignment="1">
      <alignment vertical="center"/>
    </xf>
    <xf numFmtId="44" fontId="1" fillId="3" borderId="1" xfId="16" applyFont="1" applyFill="1" applyBorder="1" applyAlignment="1">
      <alignment vertical="center"/>
    </xf>
    <xf numFmtId="0" fontId="0" fillId="0" borderId="2" xfId="0" applyBorder="1" applyAlignment="1">
      <alignment horizontal="center"/>
    </xf>
    <xf numFmtId="0" fontId="0" fillId="0" borderId="6" xfId="0" applyNumberFormat="1" applyFill="1" applyBorder="1"/>
    <xf numFmtId="165" fontId="0" fillId="0" borderId="2" xfId="0" applyNumberFormat="1" applyBorder="1"/>
    <xf numFmtId="165" fontId="1" fillId="0" borderId="10" xfId="0" applyNumberFormat="1" applyFont="1" applyBorder="1" applyAlignment="1"/>
    <xf numFmtId="44" fontId="0" fillId="0" borderId="1" xfId="0" applyNumberFormat="1" applyBorder="1" applyAlignment="1">
      <alignment vertical="center"/>
    </xf>
    <xf numFmtId="44" fontId="1" fillId="0" borderId="1" xfId="0" applyNumberFormat="1" applyFont="1" applyBorder="1" applyAlignment="1">
      <alignment vertical="center"/>
    </xf>
    <xf numFmtId="0" fontId="0" fillId="0" borderId="0" xfId="0" applyAlignment="1">
      <alignment wrapText="1"/>
    </xf>
    <xf numFmtId="44" fontId="2" fillId="0" borderId="1" xfId="16" applyFont="1" applyBorder="1" applyAlignment="1">
      <alignment vertical="center"/>
    </xf>
    <xf numFmtId="165" fontId="2" fillId="0" borderId="0" xfId="0" applyNumberFormat="1" applyFont="1"/>
    <xf numFmtId="0" fontId="0" fillId="8" borderId="1" xfId="0" applyFill="1" applyBorder="1"/>
    <xf numFmtId="0" fontId="1" fillId="8" borderId="1" xfId="0" applyFont="1" applyFill="1" applyBorder="1"/>
    <xf numFmtId="0" fontId="0" fillId="8" borderId="1" xfId="0" applyFill="1" applyBorder="1" applyAlignment="1">
      <alignment horizontal="left"/>
    </xf>
    <xf numFmtId="0" fontId="0" fillId="8" borderId="1" xfId="0" applyNumberFormat="1" applyFill="1" applyBorder="1"/>
    <xf numFmtId="165" fontId="0" fillId="8" borderId="0" xfId="0" applyNumberFormat="1" applyFill="1"/>
    <xf numFmtId="44" fontId="0" fillId="8" borderId="0" xfId="1" applyFont="1" applyFill="1"/>
    <xf numFmtId="0" fontId="1" fillId="9" borderId="1" xfId="0" applyNumberFormat="1" applyFont="1" applyFill="1" applyBorder="1"/>
    <xf numFmtId="44" fontId="1" fillId="9" borderId="1" xfId="1" applyFont="1" applyFill="1" applyBorder="1"/>
    <xf numFmtId="0" fontId="0" fillId="0" borderId="8" xfId="0" applyFont="1" applyBorder="1" applyAlignment="1">
      <alignment vertical="center" wrapText="1"/>
    </xf>
    <xf numFmtId="0" fontId="0" fillId="4" borderId="8" xfId="0" applyFill="1" applyBorder="1" applyAlignment="1">
      <alignment vertical="center" wrapText="1"/>
    </xf>
    <xf numFmtId="0" fontId="0" fillId="0" borderId="8" xfId="0" applyBorder="1" applyAlignment="1">
      <alignment vertical="center"/>
    </xf>
    <xf numFmtId="44" fontId="0" fillId="0" borderId="0" xfId="0" applyNumberFormat="1"/>
    <xf numFmtId="0" fontId="1" fillId="2" borderId="1" xfId="0" applyFont="1" applyFill="1" applyBorder="1" applyAlignment="1">
      <alignment horizontal="center"/>
    </xf>
    <xf numFmtId="0" fontId="0" fillId="2" borderId="1" xfId="0" applyFill="1" applyBorder="1" applyAlignment="1">
      <alignment horizontal="center"/>
    </xf>
    <xf numFmtId="0" fontId="3" fillId="0" borderId="1" xfId="0" applyFont="1" applyFill="1" applyBorder="1" applyAlignment="1">
      <alignment horizontal="center" vertical="center"/>
    </xf>
    <xf numFmtId="2" fontId="0" fillId="0" borderId="1" xfId="0" applyNumberFormat="1" applyBorder="1" applyAlignment="1">
      <alignment horizontal="center" vertical="center"/>
    </xf>
    <xf numFmtId="2"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13" fillId="0" borderId="8" xfId="0" applyFont="1" applyBorder="1" applyAlignment="1">
      <alignment horizontal="left" wrapText="1"/>
    </xf>
    <xf numFmtId="0" fontId="13" fillId="0" borderId="9" xfId="0" applyFont="1" applyBorder="1" applyAlignment="1">
      <alignment horizontal="left" wrapText="1"/>
    </xf>
    <xf numFmtId="0" fontId="13" fillId="0" borderId="10" xfId="0" applyFont="1" applyBorder="1" applyAlignment="1">
      <alignment horizontal="left" wrapText="1"/>
    </xf>
    <xf numFmtId="0" fontId="11" fillId="5" borderId="1" xfId="0" applyFont="1" applyFill="1" applyBorder="1" applyAlignment="1">
      <alignment horizontal="center"/>
    </xf>
    <xf numFmtId="0" fontId="10" fillId="5" borderId="1" xfId="0" applyFont="1" applyFill="1" applyBorder="1" applyAlignment="1">
      <alignment horizontal="center"/>
    </xf>
    <xf numFmtId="0" fontId="1" fillId="0" borderId="1" xfId="0" applyFont="1" applyBorder="1" applyAlignment="1">
      <alignment horizontal="center"/>
    </xf>
    <xf numFmtId="0" fontId="13" fillId="0" borderId="8" xfId="0" applyFont="1" applyBorder="1" applyAlignment="1">
      <alignment horizontal="left"/>
    </xf>
    <xf numFmtId="0" fontId="13" fillId="0" borderId="9" xfId="0" applyFont="1" applyBorder="1" applyAlignment="1">
      <alignment horizontal="left"/>
    </xf>
    <xf numFmtId="0" fontId="13" fillId="0" borderId="10" xfId="0" applyFont="1" applyBorder="1" applyAlignment="1">
      <alignment horizontal="left"/>
    </xf>
    <xf numFmtId="0" fontId="13" fillId="0" borderId="1" xfId="0" applyFont="1" applyBorder="1" applyAlignment="1">
      <alignment horizontal="left" vertical="center"/>
    </xf>
    <xf numFmtId="0" fontId="13" fillId="0" borderId="1" xfId="0" applyFont="1" applyBorder="1" applyAlignment="1">
      <alignment horizontal="left" wrapText="1"/>
    </xf>
    <xf numFmtId="0" fontId="11" fillId="6" borderId="11" xfId="0" applyFont="1" applyFill="1" applyBorder="1" applyAlignment="1">
      <alignment horizontal="center" wrapText="1"/>
    </xf>
    <xf numFmtId="0" fontId="0" fillId="0" borderId="6" xfId="0"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16" fillId="10"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3" borderId="8" xfId="0" applyFont="1" applyFill="1" applyBorder="1" applyAlignment="1">
      <alignment vertical="center" wrapText="1"/>
    </xf>
    <xf numFmtId="0" fontId="1" fillId="3" borderId="10" xfId="0" applyFont="1" applyFill="1" applyBorder="1" applyAlignment="1">
      <alignment vertical="center" wrapText="1"/>
    </xf>
    <xf numFmtId="44" fontId="1" fillId="3" borderId="1" xfId="16"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9" fontId="0" fillId="0" borderId="8" xfId="0" applyNumberFormat="1" applyFont="1" applyBorder="1" applyAlignment="1">
      <alignment horizontal="center" vertical="center"/>
    </xf>
    <xf numFmtId="0" fontId="0" fillId="0" borderId="10" xfId="0" applyFont="1" applyBorder="1" applyAlignment="1">
      <alignment horizontal="center" vertical="center"/>
    </xf>
    <xf numFmtId="0" fontId="0" fillId="4" borderId="8" xfId="0" applyFill="1" applyBorder="1" applyAlignment="1">
      <alignment vertical="center"/>
    </xf>
    <xf numFmtId="0" fontId="0" fillId="4" borderId="9" xfId="0" applyFill="1" applyBorder="1" applyAlignment="1">
      <alignment vertical="center"/>
    </xf>
    <xf numFmtId="0" fontId="11" fillId="10" borderId="1" xfId="0" applyFont="1" applyFill="1" applyBorder="1" applyAlignment="1">
      <alignment horizontal="center"/>
    </xf>
    <xf numFmtId="0" fontId="0" fillId="10" borderId="1" xfId="0" applyFill="1" applyBorder="1" applyAlignment="1">
      <alignment horizontal="center"/>
    </xf>
    <xf numFmtId="0" fontId="16" fillId="6"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0" borderId="1" xfId="0" applyFont="1" applyBorder="1" applyAlignment="1">
      <alignment horizontal="left" vertical="center"/>
    </xf>
    <xf numFmtId="0" fontId="1" fillId="0" borderId="1" xfId="0" applyFont="1"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1" fillId="0" borderId="1" xfId="0" applyNumberFormat="1" applyFont="1" applyBorder="1" applyAlignment="1">
      <alignment horizontal="center" vertical="center"/>
    </xf>
    <xf numFmtId="166" fontId="0" fillId="0" borderId="1" xfId="0" applyNumberFormat="1" applyBorder="1" applyAlignment="1">
      <alignment horizontal="center" vertical="center"/>
    </xf>
    <xf numFmtId="0" fontId="1" fillId="0" borderId="1" xfId="0" applyFont="1" applyBorder="1" applyAlignment="1">
      <alignment vertical="center" wrapText="1"/>
    </xf>
    <xf numFmtId="0" fontId="1" fillId="4" borderId="1" xfId="0" applyFont="1" applyFill="1" applyBorder="1" applyAlignment="1">
      <alignment vertical="center" wrapText="1"/>
    </xf>
    <xf numFmtId="166" fontId="0" fillId="0" borderId="1" xfId="1" applyNumberFormat="1" applyFont="1" applyBorder="1" applyAlignment="1">
      <alignment horizontal="center" vertical="center"/>
    </xf>
    <xf numFmtId="0" fontId="1" fillId="11" borderId="1" xfId="0" applyFont="1" applyFill="1" applyBorder="1" applyAlignment="1">
      <alignment horizontal="center" vertical="center"/>
    </xf>
    <xf numFmtId="166" fontId="1" fillId="0" borderId="1" xfId="0" applyNumberFormat="1" applyFont="1" applyBorder="1" applyAlignment="1">
      <alignment horizontal="center" vertical="center"/>
    </xf>
  </cellXfs>
  <cellStyles count="17">
    <cellStyle name="Currency" xfId="1" builtinId="4"/>
    <cellStyle name="Currency 2" xfId="13" xr:uid="{00000000-0005-0000-0000-000001000000}"/>
    <cellStyle name="Currency 3" xfId="15" xr:uid="{00000000-0005-0000-0000-000002000000}"/>
    <cellStyle name="Currency 4" xfId="14" xr:uid="{00000000-0005-0000-0000-000003000000}"/>
    <cellStyle name="Currency 6" xfId="16" xr:uid="{00000000-0005-0000-0000-000004000000}"/>
    <cellStyle name="Excel Built-in Normal" xfId="2" xr:uid="{00000000-0005-0000-0000-000005000000}"/>
    <cellStyle name="Excel Built-in Normal 1" xfId="11" xr:uid="{00000000-0005-0000-0000-000006000000}"/>
    <cellStyle name="Normal" xfId="0" builtinId="0"/>
    <cellStyle name="Normal 118" xfId="3" xr:uid="{00000000-0005-0000-0000-000008000000}"/>
    <cellStyle name="Normal 119" xfId="7" xr:uid="{00000000-0005-0000-0000-000009000000}"/>
    <cellStyle name="Normal 120" xfId="4" xr:uid="{00000000-0005-0000-0000-00000A000000}"/>
    <cellStyle name="Normal 122" xfId="8" xr:uid="{00000000-0005-0000-0000-00000B000000}"/>
    <cellStyle name="Normal 123" xfId="5" xr:uid="{00000000-0005-0000-0000-00000C000000}"/>
    <cellStyle name="Normal 124" xfId="9" xr:uid="{00000000-0005-0000-0000-00000D000000}"/>
    <cellStyle name="Normal 125" xfId="6" xr:uid="{00000000-0005-0000-0000-00000E000000}"/>
    <cellStyle name="Normal 127" xfId="10" xr:uid="{00000000-0005-0000-0000-00000F000000}"/>
    <cellStyle name="Normal 2" xfId="12" xr:uid="{00000000-0005-0000-0000-00001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dit Kumar Dubey" refreshedDate="44135.713071874998" createdVersion="5" refreshedVersion="5" minRefreshableVersion="3" recordCount="110" xr:uid="{00000000-000A-0000-FFFF-FFFF00000000}">
  <cacheSource type="worksheet">
    <worksheetSource ref="F3:N113" sheet="Land details"/>
  </cacheSource>
  <cacheFields count="9">
    <cacheField name="S.No" numFmtId="0">
      <sharedItems containsBlank="1" containsMixedTypes="1" containsNumber="1" containsInteger="1" minValue="1" maxValue="105"/>
    </cacheField>
    <cacheField name="Date of Registry" numFmtId="0">
      <sharedItems containsBlank="1"/>
    </cacheField>
    <cacheField name="Reg.No." numFmtId="0">
      <sharedItems containsString="0" containsBlank="1" containsNumber="1" containsInteger="1" minValue="712" maxValue="11083"/>
    </cacheField>
    <cacheField name="Village Name" numFmtId="0">
      <sharedItems containsBlank="1" count="4">
        <s v="Nangal Jat"/>
        <s v="Bilai"/>
        <s v="Faridpur Malhu"/>
        <m/>
      </sharedItems>
    </cacheField>
    <cacheField name="Khata No." numFmtId="0">
      <sharedItems containsBlank="1" containsMixedTypes="1" containsNumber="1" containsInteger="1" minValue="1" maxValue="163200"/>
    </cacheField>
    <cacheField name="Khasara No." numFmtId="0">
      <sharedItems containsBlank="1" containsMixedTypes="1" containsNumber="1" containsInteger="1" minValue="14" maxValue="2.8128228328428501E+23"/>
    </cacheField>
    <cacheField name="Area  (Hect.)" numFmtId="2">
      <sharedItems containsString="0" containsBlank="1" containsNumber="1" minValue="0.01" maxValue="36.800999999999988"/>
    </cacheField>
    <cacheField name="Area (Acre)" numFmtId="2">
      <sharedItems containsString="0" containsBlank="1" containsNumber="1" minValue="2.5000000000000001E-2" maxValue="90.938000000000017"/>
    </cacheField>
    <cacheField name="Area_x000a_(sq. mtr.)" numFmtId="2">
      <sharedItems containsString="0" containsBlank="1" containsNumber="1" minValue="101.17150000000001" maxValue="368013.35467999976" count="74">
        <n v="7280.3011399999996"/>
        <n v="679.87248000000011"/>
        <n v="121.4058"/>
        <n v="748.66910000000007"/>
        <n v="3638.1271400000001"/>
        <n v="3031.0981400000001"/>
        <n v="420.87344000000002"/>
        <n v="4208.7344000000003"/>
        <n v="687.96620000000007"/>
        <n v="10218.3215"/>
        <n v="2848.9894399999998"/>
        <n v="178.06183999999999"/>
        <n v="1481.15076"/>
        <n v="380.40484000000004"/>
        <n v="5689.8851599999998"/>
        <n v="2019.3831400000001"/>
        <n v="30169.3413"/>
        <n v="4941.2160600000007"/>
        <n v="2100.3203400000002"/>
        <n v="5200.2150999999994"/>
        <n v="1141.21452"/>
        <n v="2059.8517400000001"/>
        <n v="258.99904000000004"/>
        <n v="14750.804700000001"/>
        <n v="9489.8867000000009"/>
        <n v="2650.6933000000004"/>
        <n v="3411.5029800000002"/>
        <n v="570.60726"/>
        <n v="801.27828000000011"/>
        <n v="611.07586000000003"/>
        <n v="631.31016"/>
        <n v="2351.2256600000001"/>
        <n v="9951.2287400000005"/>
        <n v="2379.55368"/>
        <n v="760.80968000000007"/>
        <n v="1169.5425399999999"/>
        <n v="6600.4286600000005"/>
        <n v="517.99808000000007"/>
        <n v="279.23334000000006"/>
        <n v="22269.870580000003"/>
        <n v="1060.2773200000001"/>
        <n v="11598.30076"/>
        <m/>
        <n v="7171.0359200000003"/>
        <n v="2391.6942599999998"/>
        <n v="959.10581999999999"/>
        <n v="1728.0092199999999"/>
        <n v="870.07490000000007"/>
        <n v="1011.715"/>
        <n v="2371.4599600000001"/>
        <n v="8660.2804000000015"/>
        <n v="6118.85232"/>
        <n v="3350.80008"/>
        <n v="9449.4181000000008"/>
        <n v="12508.844260000002"/>
        <n v="1040.0430200000001"/>
        <n v="129.49952000000002"/>
        <n v="8538.8745999999992"/>
        <n v="1590.4159800000002"/>
        <n v="1201.91742"/>
        <n v="619.16958"/>
        <n v="1080.51162"/>
        <n v="101.17150000000001"/>
        <n v="109.26522"/>
        <n v="2330.99136"/>
        <n v="2399.7879800000001"/>
        <n v="1448.7758799999999"/>
        <n v="1849.4150200000001"/>
        <n v="538.23238000000003"/>
        <n v="19659.64588"/>
        <n v="501.81064000000003"/>
        <n v="2881.3643200000001"/>
        <n v="5378.2769399999997"/>
        <n v="368013.35467999976"/>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0">
  <r>
    <n v="1"/>
    <s v="19.06.04"/>
    <n v="5019"/>
    <x v="0"/>
    <n v="275"/>
    <s v="2738 to 2742,2747,2753 to 2761, 2763 to 2766"/>
    <n v="0.72799999999999998"/>
    <n v="1.7989999999999999"/>
    <x v="0"/>
  </r>
  <r>
    <n v="2"/>
    <s v="19.06.04"/>
    <n v="5020"/>
    <x v="1"/>
    <n v="80"/>
    <s v="218A,219,220A,218B,220B,221"/>
    <n v="6.8000000000000005E-2"/>
    <n v="0.16800000000000001"/>
    <x v="1"/>
  </r>
  <r>
    <n v="3"/>
    <s v="19.06.04"/>
    <n v="5021"/>
    <x v="1"/>
    <n v="160"/>
    <n v="173174"/>
    <n v="1.2E-2"/>
    <n v="0.03"/>
    <x v="2"/>
  </r>
  <r>
    <n v="4"/>
    <s v="19.06.04"/>
    <n v="5022"/>
    <x v="1"/>
    <n v="160"/>
    <n v="173174"/>
    <n v="7.4999999999999997E-2"/>
    <n v="0.185"/>
    <x v="3"/>
  </r>
  <r>
    <n v="5"/>
    <s v="19.06.04"/>
    <n v="5023"/>
    <x v="0"/>
    <n v="275"/>
    <s v="2739 to 2742,2747,2753 to 2761, 2763 to 2766"/>
    <n v="0.72799999999999998"/>
    <n v="1.7989999999999999"/>
    <x v="0"/>
  </r>
  <r>
    <n v="6"/>
    <s v="19.06.04"/>
    <n v="5024"/>
    <x v="0"/>
    <n v="275"/>
    <s v="2738 to 2742,2747,2753 to 2761, 2763 to 2766"/>
    <n v="0.36399999999999999"/>
    <n v="0.89900000000000002"/>
    <x v="4"/>
  </r>
  <r>
    <n v="7"/>
    <s v="19.06.04"/>
    <n v="5025"/>
    <x v="1"/>
    <n v="154"/>
    <s v="261 to 264, 266 to 269"/>
    <n v="0.30299999999999999"/>
    <n v="0.749"/>
    <x v="5"/>
  </r>
  <r>
    <n v="8"/>
    <s v="19.06.04"/>
    <n v="5026"/>
    <x v="0"/>
    <n v="275"/>
    <s v="2738 to 2742,2747,2753 to 2761, 2763 to 2766"/>
    <n v="0.72799999999999998"/>
    <n v="1.7989999999999999"/>
    <x v="0"/>
  </r>
  <r>
    <n v="9"/>
    <s v="19.06.04"/>
    <n v="5027"/>
    <x v="1"/>
    <n v="57"/>
    <n v="257259260"/>
    <n v="4.2000000000000003E-2"/>
    <n v="0.104"/>
    <x v="6"/>
  </r>
  <r>
    <n v="10"/>
    <s v="19.06.04"/>
    <n v="5028"/>
    <x v="1"/>
    <n v="160"/>
    <n v="173174"/>
    <n v="1.2E-2"/>
    <n v="0.03"/>
    <x v="2"/>
  </r>
  <r>
    <n v="11"/>
    <s v="19.06.04"/>
    <n v="5029"/>
    <x v="1"/>
    <n v="30"/>
    <s v="210,211,213,215,216,217"/>
    <n v="0.42099999999999999"/>
    <n v="1.04"/>
    <x v="7"/>
  </r>
  <r>
    <n v="12"/>
    <s v="19.06.04"/>
    <n v="5030"/>
    <x v="1"/>
    <n v="80"/>
    <s v="218A,219,220A,218B,220B,221"/>
    <n v="6.9000000000000006E-2"/>
    <n v="0.17"/>
    <x v="8"/>
  </r>
  <r>
    <n v="13"/>
    <s v="19.06.04"/>
    <n v="5031"/>
    <x v="1"/>
    <n v="173"/>
    <s v="160 to 166, 168 to 171"/>
    <n v="1.022"/>
    <n v="2.5249999999999999"/>
    <x v="9"/>
  </r>
  <r>
    <n v="14"/>
    <s v="20.06.04"/>
    <n v="5032"/>
    <x v="1"/>
    <n v="51"/>
    <s v="113 to 125, 127 to 152"/>
    <n v="0.28499999999999998"/>
    <n v="0.70399999999999996"/>
    <x v="10"/>
  </r>
  <r>
    <n v="15"/>
    <s v="20.06.04"/>
    <n v="5033"/>
    <x v="1"/>
    <n v="160"/>
    <n v="173174"/>
    <n v="1.2E-2"/>
    <n v="0.03"/>
    <x v="2"/>
  </r>
  <r>
    <n v="16"/>
    <s v="20.06.04"/>
    <n v="5034"/>
    <x v="1"/>
    <n v="160"/>
    <n v="173174"/>
    <n v="1.7999999999999999E-2"/>
    <n v="4.3999999999999997E-2"/>
    <x v="11"/>
  </r>
  <r>
    <n v="17"/>
    <s v="20.06.04"/>
    <n v="5035"/>
    <x v="1"/>
    <s v="09"/>
    <s v="311 to 315, 316A, 316B"/>
    <n v="0.14799999999999999"/>
    <n v="0.36599999999999999"/>
    <x v="12"/>
  </r>
  <r>
    <n v="18"/>
    <s v="20.06.04"/>
    <n v="5036"/>
    <x v="1"/>
    <n v="18"/>
    <n v="14"/>
    <n v="3.7999999999999999E-2"/>
    <n v="9.4E-2"/>
    <x v="13"/>
  </r>
  <r>
    <n v="19"/>
    <s v="20.06.04"/>
    <n v="5037"/>
    <x v="1"/>
    <n v="51"/>
    <s v="113 to 125, 127 to 152"/>
    <n v="0.56899999999999995"/>
    <n v="1.4059999999999999"/>
    <x v="14"/>
  </r>
  <r>
    <n v="20"/>
    <s v="20.06.04"/>
    <n v="5038"/>
    <x v="1"/>
    <s v="09"/>
    <s v="311 to 315, 316A, 316B"/>
    <n v="0.14799999999999999"/>
    <n v="0.36599999999999999"/>
    <x v="12"/>
  </r>
  <r>
    <n v="21"/>
    <s v="20.06.04"/>
    <n v="5039"/>
    <x v="1"/>
    <s v="09"/>
    <s v="311 to 315, 316A, 316B"/>
    <n v="0.14799999999999999"/>
    <n v="0.36599999999999999"/>
    <x v="12"/>
  </r>
  <r>
    <n v="22"/>
    <s v="20.06.04"/>
    <n v="5040"/>
    <x v="1"/>
    <n v="160"/>
    <n v="173174"/>
    <n v="7.4999999999999997E-2"/>
    <n v="0.185"/>
    <x v="3"/>
  </r>
  <r>
    <n v="23"/>
    <s v="20.06.04"/>
    <n v="5041"/>
    <x v="1"/>
    <n v="165"/>
    <s v="208,209,210,211,213,215,217"/>
    <n v="0.20200000000000001"/>
    <n v="0.499"/>
    <x v="15"/>
  </r>
  <r>
    <n v="24"/>
    <s v="20.06.04"/>
    <n v="5042"/>
    <x v="0"/>
    <n v="260"/>
    <s v="2684 to 2702"/>
    <n v="3.0169999999999999"/>
    <n v="7.4550000000000001"/>
    <x v="16"/>
  </r>
  <r>
    <n v="25"/>
    <s v="20.06.04"/>
    <n v="5043"/>
    <x v="1"/>
    <s v="151,154,88"/>
    <s v="272,273,261 to 264,266 to 269,277,278,279"/>
    <n v="0.49399999999999999"/>
    <n v="1.2210000000000001"/>
    <x v="17"/>
  </r>
  <r>
    <n v="26"/>
    <s v="20.06.04"/>
    <n v="5044"/>
    <x v="0"/>
    <n v="136"/>
    <s v="2836,2837,2838"/>
    <n v="0.21"/>
    <n v="0.51900000000000002"/>
    <x v="18"/>
  </r>
  <r>
    <n v="27"/>
    <s v="20.06.04"/>
    <n v="5045"/>
    <x v="1"/>
    <n v="173"/>
    <s v="153,154,155A,155B,156,157,158,159,167"/>
    <n v="0.52"/>
    <n v="1.2849999999999999"/>
    <x v="19"/>
  </r>
  <r>
    <n v="28"/>
    <s v="20.06.04"/>
    <n v="5046"/>
    <x v="0"/>
    <n v="148"/>
    <n v="1626"/>
    <n v="0.114"/>
    <n v="0.28199999999999997"/>
    <x v="20"/>
  </r>
  <r>
    <n v="29"/>
    <s v="20.06.04"/>
    <n v="5047"/>
    <x v="0"/>
    <n v="30"/>
    <s v="319,320,322"/>
    <n v="0.20599999999999999"/>
    <n v="0.50900000000000001"/>
    <x v="21"/>
  </r>
  <r>
    <n v="30"/>
    <s v="20.06.04"/>
    <n v="5048"/>
    <x v="0"/>
    <n v="56"/>
    <n v="2667"/>
    <n v="2.5999999999999999E-2"/>
    <n v="6.4000000000000001E-2"/>
    <x v="22"/>
  </r>
  <r>
    <n v="31"/>
    <s v="20.06.04"/>
    <n v="5049"/>
    <x v="1"/>
    <n v="275"/>
    <s v="2738 to 2742, 2747,2753 to 2761, 2763 to 2766"/>
    <n v="0.72799999999999998"/>
    <n v="1.7989999999999999"/>
    <x v="0"/>
  </r>
  <r>
    <n v="32"/>
    <s v="20.06.04"/>
    <n v="5050"/>
    <x v="1"/>
    <n v="168"/>
    <s v="553 to 560"/>
    <n v="1.4750000000000001"/>
    <n v="3.645"/>
    <x v="23"/>
  </r>
  <r>
    <n v="33"/>
    <s v="20.06.04"/>
    <n v="5051"/>
    <x v="1"/>
    <n v="36"/>
    <s v="03A,03B, 04 to 13, 16 to 23"/>
    <n v="0.94899999999999995"/>
    <n v="2.3450000000000002"/>
    <x v="24"/>
  </r>
  <r>
    <n v="34"/>
    <s v="20.06.04"/>
    <n v="5052"/>
    <x v="1"/>
    <n v="151"/>
    <s v="224,225,249,270,271,274,275,276,311,312,313,314,315,316A,316B"/>
    <n v="0.26500000000000001"/>
    <n v="0.65500000000000003"/>
    <x v="25"/>
  </r>
  <r>
    <n v="35"/>
    <s v="20.06.04"/>
    <n v="5053"/>
    <x v="0"/>
    <n v="249"/>
    <s v="2833,2834"/>
    <n v="0.34100000000000003"/>
    <n v="0.84299999999999997"/>
    <x v="26"/>
  </r>
  <r>
    <n v="36"/>
    <s v="20.06.04"/>
    <n v="5054"/>
    <x v="1"/>
    <n v="51"/>
    <s v="113 to 125, 127 to 152"/>
    <n v="0.56899999999999995"/>
    <n v="1.4059999999999999"/>
    <x v="14"/>
  </r>
  <r>
    <n v="37"/>
    <s v="20.06.04"/>
    <n v="5055"/>
    <x v="0"/>
    <n v="275"/>
    <s v="2738 to 2742, 2747,2753 to 2761, 2763 to 2766"/>
    <n v="0.36399999999999999"/>
    <n v="0.89900000000000002"/>
    <x v="4"/>
  </r>
  <r>
    <n v="38"/>
    <s v="21.06.04"/>
    <n v="5070"/>
    <x v="1"/>
    <n v="68"/>
    <n v="328"/>
    <n v="5.7000000000000002E-2"/>
    <n v="0.14099999999999999"/>
    <x v="27"/>
  </r>
  <r>
    <n v="39"/>
    <s v="21.06.04"/>
    <n v="5071"/>
    <x v="2"/>
    <s v="01"/>
    <n v="328"/>
    <n v="0.08"/>
    <n v="0.19800000000000001"/>
    <x v="28"/>
  </r>
  <r>
    <n v="40"/>
    <s v="21.06.04"/>
    <n v="5072"/>
    <x v="1"/>
    <n v="73"/>
    <n v="227"/>
    <n v="6.0999999999999999E-2"/>
    <n v="0.151"/>
    <x v="29"/>
  </r>
  <r>
    <n v="41"/>
    <s v="21.06.04"/>
    <n v="5073"/>
    <x v="1"/>
    <n v="1"/>
    <n v="226"/>
    <n v="6.3E-2"/>
    <n v="0.156"/>
    <x v="30"/>
  </r>
  <r>
    <n v="42"/>
    <s v="21.06.04"/>
    <n v="5074"/>
    <x v="1"/>
    <n v="160"/>
    <s v="173,174"/>
    <n v="1.7999999999999999E-2"/>
    <n v="4.3999999999999997E-2"/>
    <x v="11"/>
  </r>
  <r>
    <n v="43"/>
    <s v="21.06.04"/>
    <n v="5075"/>
    <x v="1"/>
    <n v="81"/>
    <s v="322,323"/>
    <n v="0.23499999999999999"/>
    <n v="0.58099999999999996"/>
    <x v="31"/>
  </r>
  <r>
    <n v="44"/>
    <s v="21.06.04"/>
    <n v="5087"/>
    <x v="1"/>
    <n v="197"/>
    <s v="485,491,492,494,495,496,497,499,500 to 509"/>
    <n v="0.995"/>
    <n v="2.4590000000000001"/>
    <x v="32"/>
  </r>
  <r>
    <n v="45"/>
    <s v="21.06.04"/>
    <n v="5091"/>
    <x v="1"/>
    <n v="59"/>
    <s v="255,256A, 256B"/>
    <n v="0.23799999999999999"/>
    <n v="0.58799999999999997"/>
    <x v="33"/>
  </r>
  <r>
    <n v="46"/>
    <s v="21.06.04"/>
    <n v="5092"/>
    <x v="1"/>
    <n v="197"/>
    <s v="485,508"/>
    <n v="7.5999999999999998E-2"/>
    <n v="0.188"/>
    <x v="34"/>
  </r>
  <r>
    <n v="47"/>
    <s v="21.06.04"/>
    <n v="5093"/>
    <x v="1"/>
    <n v="151"/>
    <s v="224,225,249,270,271,274,275,276"/>
    <n v="0.11700000000000001"/>
    <n v="0.28899999999999998"/>
    <x v="35"/>
  </r>
  <r>
    <n v="48"/>
    <s v="21.06.04"/>
    <n v="5094"/>
    <x v="1"/>
    <n v="57"/>
    <s v="257,259,260"/>
    <n v="4.2000000000000003E-2"/>
    <n v="0.104"/>
    <x v="6"/>
  </r>
  <r>
    <n v="49"/>
    <s v="21.06.04"/>
    <n v="5095"/>
    <x v="1"/>
    <n v="57"/>
    <s v="257,259,260"/>
    <n v="4.2000000000000003E-2"/>
    <n v="0.104"/>
    <x v="6"/>
  </r>
  <r>
    <n v="50"/>
    <s v="21.06.04"/>
    <n v="5096"/>
    <x v="1"/>
    <n v="151"/>
    <s v="224,225,249,270,271,274,275,276"/>
    <n v="0.11700000000000001"/>
    <n v="0.28899999999999998"/>
    <x v="35"/>
  </r>
  <r>
    <n v="51"/>
    <s v="21.06.04"/>
    <n v="5097"/>
    <x v="0"/>
    <n v="163200"/>
    <s v="2767,2768,2769,2770,2771 ,2772,2773"/>
    <n v="0.66"/>
    <n v="1.631"/>
    <x v="36"/>
  </r>
  <r>
    <n v="52"/>
    <s v="21.06.04"/>
    <n v="5098"/>
    <x v="0"/>
    <n v="200"/>
    <s v="2772,2773"/>
    <n v="5.1999999999999998E-2"/>
    <n v="0.128"/>
    <x v="37"/>
  </r>
  <r>
    <n v="53"/>
    <s v="21.06.04"/>
    <n v="5099"/>
    <x v="0"/>
    <n v="200"/>
    <s v="2772,2773"/>
    <n v="2.8000000000000001E-2"/>
    <n v="6.9000000000000006E-2"/>
    <x v="38"/>
  </r>
  <r>
    <n v="54"/>
    <s v="21.06.04"/>
    <n v="5100"/>
    <x v="0"/>
    <n v="200"/>
    <s v="2772,2773"/>
    <n v="3.7999999999999999E-2"/>
    <n v="9.4E-2"/>
    <x v="13"/>
  </r>
  <r>
    <n v="55"/>
    <s v="22.06.04"/>
    <n v="5112"/>
    <x v="1"/>
    <n v="105"/>
    <s v="228 to 238, 239A,239B,240,241 to 246, 250 to 254"/>
    <n v="2.2269999999999999"/>
    <n v="5.5030000000000001"/>
    <x v="39"/>
  </r>
  <r>
    <n v="56"/>
    <s v="22.06.04"/>
    <n v="5115"/>
    <x v="0"/>
    <n v="126"/>
    <s v="2839,2840,2841,2870"/>
    <n v="0.106"/>
    <n v="0.26200000000000001"/>
    <x v="40"/>
  </r>
  <r>
    <n v="57"/>
    <s v="22.06.04"/>
    <n v="5116"/>
    <x v="0"/>
    <n v="126"/>
    <s v="2839,2840,2841,2870"/>
    <n v="0.106"/>
    <n v="0.26200000000000001"/>
    <x v="40"/>
  </r>
  <r>
    <n v="58"/>
    <s v="22.06.04"/>
    <n v="5117"/>
    <x v="0"/>
    <n v="126"/>
    <s v="2839,2840,2841,2870"/>
    <n v="0.106"/>
    <n v="0.26200000000000001"/>
    <x v="40"/>
  </r>
  <r>
    <n v="59"/>
    <s v="22.06.04"/>
    <n v="5118"/>
    <x v="0"/>
    <n v="126"/>
    <s v="2839,2840,2841,2870"/>
    <n v="0.106"/>
    <n v="0.26200000000000001"/>
    <x v="40"/>
  </r>
  <r>
    <n v="60"/>
    <s v="22.06.04"/>
    <n v="5122"/>
    <x v="1"/>
    <s v="57,80,161,154"/>
    <s v="218A, 218B,219,220A,220B,221,224,225,249,270,271 to 276,261 to 264,266 to 269,257,259,260"/>
    <n v="1.1599999999999999"/>
    <n v="2.8660000000000001"/>
    <x v="41"/>
  </r>
  <r>
    <m/>
    <m/>
    <m/>
    <x v="3"/>
    <m/>
    <m/>
    <m/>
    <m/>
    <x v="42"/>
  </r>
  <r>
    <m/>
    <m/>
    <m/>
    <x v="3"/>
    <m/>
    <m/>
    <m/>
    <m/>
    <x v="42"/>
  </r>
  <r>
    <m/>
    <m/>
    <m/>
    <x v="3"/>
    <m/>
    <m/>
    <m/>
    <m/>
    <x v="42"/>
  </r>
  <r>
    <m/>
    <m/>
    <m/>
    <x v="3"/>
    <m/>
    <m/>
    <m/>
    <m/>
    <x v="42"/>
  </r>
  <r>
    <n v="61"/>
    <s v="22.06.04"/>
    <n v="5123"/>
    <x v="0"/>
    <n v="226"/>
    <s v="2668 to 2676"/>
    <n v="0.71699999999999997"/>
    <n v="1.772"/>
    <x v="43"/>
  </r>
  <r>
    <n v="62"/>
    <s v="22.06.04"/>
    <n v="5124"/>
    <x v="0"/>
    <n v="226"/>
    <s v="2668 to 2676"/>
    <n v="0.23899999999999999"/>
    <n v="0.59099999999999997"/>
    <x v="44"/>
  </r>
  <r>
    <n v="63"/>
    <s v="22.06.04"/>
    <n v="5125"/>
    <x v="1"/>
    <n v="191"/>
    <s v="186,187,188"/>
    <n v="9.6000000000000002E-2"/>
    <n v="0.23699999999999999"/>
    <x v="45"/>
  </r>
  <r>
    <n v="64"/>
    <s v="22.06.04"/>
    <n v="5126"/>
    <x v="0"/>
    <n v="249"/>
    <s v="2825,2832,2835"/>
    <n v="0.17299999999999999"/>
    <n v="0.42699999999999999"/>
    <x v="46"/>
  </r>
  <r>
    <n v="65"/>
    <s v="23.06.04"/>
    <n v="5134"/>
    <x v="0"/>
    <n v="249"/>
    <s v="2825,2832,2835"/>
    <n v="8.6999999999999994E-2"/>
    <n v="0.215"/>
    <x v="47"/>
  </r>
  <r>
    <n v="66"/>
    <s v="23.06.04"/>
    <n v="5135"/>
    <x v="1"/>
    <n v="32"/>
    <n v="304"/>
    <n v="0.10100000000000001"/>
    <n v="0.25"/>
    <x v="48"/>
  </r>
  <r>
    <n v="67"/>
    <s v="23.06.04"/>
    <n v="5136"/>
    <x v="1"/>
    <n v="74"/>
    <n v="309"/>
    <n v="0.23699999999999999"/>
    <n v="0.58599999999999997"/>
    <x v="49"/>
  </r>
  <r>
    <n v="68"/>
    <s v="23.06.04"/>
    <n v="5137"/>
    <x v="1"/>
    <n v="47"/>
    <s v="97 to 104, 105A,105B, 106 to 112"/>
    <n v="0.86599999999999999"/>
    <n v="2.14"/>
    <x v="50"/>
  </r>
  <r>
    <n v="69"/>
    <s v="23.06.04"/>
    <n v="5140"/>
    <x v="0"/>
    <n v="165"/>
    <s v="208,209,210,211,213,215,217"/>
    <n v="0.61199999999999999"/>
    <n v="1.512"/>
    <x v="51"/>
  </r>
  <r>
    <n v="70"/>
    <s v="23.06.04"/>
    <n v="5141"/>
    <x v="1"/>
    <n v="72"/>
    <s v="280 to 283"/>
    <n v="0.33500000000000002"/>
    <n v="0.82799999999999996"/>
    <x v="52"/>
  </r>
  <r>
    <n v="71"/>
    <s v="23.06.04"/>
    <n v="5142"/>
    <x v="1"/>
    <n v="47197"/>
    <s v="261 to 264, 266 to 269,491,492,494,to 497,499 to 507,509"/>
    <n v="0.94499999999999995"/>
    <n v="2.335"/>
    <x v="53"/>
  </r>
  <r>
    <n v="72"/>
    <s v="23.06.04"/>
    <n v="5143"/>
    <x v="1"/>
    <n v="98"/>
    <s v="284 to 302, 306 to 308,310"/>
    <n v="1.2509999999999999"/>
    <n v="3.0910000000000002"/>
    <x v="54"/>
  </r>
  <r>
    <n v="73"/>
    <s v="23.06.04"/>
    <n v="5144"/>
    <x v="1"/>
    <n v="165"/>
    <s v="208,209"/>
    <n v="0.104"/>
    <n v="0.25700000000000001"/>
    <x v="55"/>
  </r>
  <r>
    <n v="74"/>
    <s v="24.06.04"/>
    <n v="5146"/>
    <x v="1"/>
    <n v="94"/>
    <s v="01"/>
    <n v="1.2999999999999999E-2"/>
    <n v="3.2000000000000001E-2"/>
    <x v="56"/>
  </r>
  <r>
    <n v="75"/>
    <s v="24.06.04"/>
    <n v="5162"/>
    <x v="1"/>
    <n v="51"/>
    <s v="113 to 125, 127 to 152"/>
    <n v="0.85399999999999998"/>
    <n v="2.11"/>
    <x v="57"/>
  </r>
  <r>
    <n v="76"/>
    <s v="24.06.04"/>
    <n v="5163"/>
    <x v="1"/>
    <n v="51"/>
    <s v="113 to 125, 127 to 152"/>
    <n v="0.85399999999999998"/>
    <n v="2.11"/>
    <x v="57"/>
  </r>
  <r>
    <n v="77"/>
    <s v="24.06.04"/>
    <n v="5164"/>
    <x v="1"/>
    <n v="47"/>
    <s v="97 to 104, 105A,105B,106 to 112"/>
    <n v="0.86599999999999999"/>
    <n v="2.14"/>
    <x v="50"/>
  </r>
  <r>
    <n v="78"/>
    <s v="24.06.04"/>
    <n v="5165"/>
    <x v="1"/>
    <n v="36"/>
    <s v="02,03A,03B,04 to 13, 16 to 23"/>
    <n v="0.94899999999999995"/>
    <n v="2.3450000000000002"/>
    <x v="24"/>
  </r>
  <r>
    <n v="79"/>
    <s v="25.06.04"/>
    <n v="5169"/>
    <x v="1"/>
    <n v="57151"/>
    <s v="224,225,249,270,271,274,275,276,257,259,260"/>
    <n v="0.159"/>
    <n v="0.39300000000000002"/>
    <x v="58"/>
  </r>
  <r>
    <n v="80"/>
    <s v="09.07.04"/>
    <n v="5579"/>
    <x v="1"/>
    <n v="51"/>
    <s v="113 to 125, 127 to 152"/>
    <n v="0.28499999999999998"/>
    <n v="0.70399999999999996"/>
    <x v="10"/>
  </r>
  <r>
    <n v="81"/>
    <s v="03.08.04"/>
    <n v="6864"/>
    <x v="1"/>
    <n v="2"/>
    <s v="322,323,328"/>
    <n v="0.12"/>
    <n v="0.29699999999999999"/>
    <x v="59"/>
  </r>
  <r>
    <n v="82"/>
    <s v="03.12.04"/>
    <n v="10671"/>
    <x v="1"/>
    <n v="47"/>
    <s v="95,97,98"/>
    <n v="6.8000000000000005E-2"/>
    <n v="0.16800000000000001"/>
    <x v="1"/>
  </r>
  <r>
    <n v="83"/>
    <s v="06.12.04"/>
    <n v="10757"/>
    <x v="1"/>
    <n v="105"/>
    <n v="246"/>
    <n v="6.2E-2"/>
    <n v="0.153"/>
    <x v="60"/>
  </r>
  <r>
    <n v="84"/>
    <s v="09.12.04"/>
    <n v="10826"/>
    <x v="0"/>
    <n v="275"/>
    <s v="2743,2738,2747,2753,2746"/>
    <n v="7.5999999999999998E-2"/>
    <n v="0.188"/>
    <x v="34"/>
  </r>
  <r>
    <n v="85"/>
    <s v="16.12.04"/>
    <n v="11002"/>
    <x v="1"/>
    <s v="72,74"/>
    <s v="280,281,282,283,309"/>
    <n v="0.108"/>
    <n v="0.26700000000000002"/>
    <x v="61"/>
  </r>
  <r>
    <n v="86"/>
    <s v="18.12.04"/>
    <n v="11082"/>
    <x v="2"/>
    <n v="68"/>
    <n v="326"/>
    <n v="0.01"/>
    <n v="2.5000000000000001E-2"/>
    <x v="62"/>
  </r>
  <r>
    <n v="87"/>
    <s v="18.12.04"/>
    <n v="11083"/>
    <x v="2"/>
    <n v="2"/>
    <n v="327"/>
    <n v="7.4999999999999997E-2"/>
    <n v="0.185"/>
    <x v="3"/>
  </r>
  <r>
    <n v="88"/>
    <s v="29.01.05"/>
    <n v="712"/>
    <x v="0"/>
    <n v="56"/>
    <n v="26662667"/>
    <n v="6.3E-2"/>
    <n v="0.156"/>
    <x v="30"/>
  </r>
  <r>
    <n v="89"/>
    <s v="31.01.05"/>
    <n v="742"/>
    <x v="0"/>
    <n v="136"/>
    <n v="2836"/>
    <n v="1.0999999999999999E-2"/>
    <n v="2.7E-2"/>
    <x v="63"/>
  </r>
  <r>
    <n v="90"/>
    <s v="31.01.05"/>
    <n v="744"/>
    <x v="0"/>
    <n v="126"/>
    <s v="2842,2845,2846,2870"/>
    <n v="0.23300000000000001"/>
    <n v="0.57599999999999996"/>
    <x v="64"/>
  </r>
  <r>
    <n v="91"/>
    <s v="25.04.05"/>
    <n v="3270"/>
    <x v="0"/>
    <n v="197"/>
    <n v="2900"/>
    <n v="0.104"/>
    <n v="0.25700000000000001"/>
    <x v="55"/>
  </r>
  <r>
    <n v="92"/>
    <s v="25.04.05"/>
    <n v="3271"/>
    <x v="0"/>
    <n v="211"/>
    <s v="2871,2872"/>
    <n v="0.24"/>
    <n v="0.59299999999999997"/>
    <x v="65"/>
  </r>
  <r>
    <n v="93"/>
    <s v="13.06.05"/>
    <n v="4978"/>
    <x v="1"/>
    <n v="36"/>
    <s v="22,23,34,35"/>
    <n v="0.14499999999999999"/>
    <n v="0.35799999999999998"/>
    <x v="66"/>
  </r>
  <r>
    <n v="94"/>
    <s v="20.06.05"/>
    <n v="5243"/>
    <x v="0"/>
    <n v="260"/>
    <s v="2702,2703,2704"/>
    <n v="0.185"/>
    <n v="0.45700000000000002"/>
    <x v="67"/>
  </r>
  <r>
    <n v="95"/>
    <s v="20.06.05"/>
    <n v="5244"/>
    <x v="0"/>
    <n v="275"/>
    <s v="2728,2743,2746,2747,2753"/>
    <n v="3.7999999999999999E-2"/>
    <n v="9.4E-2"/>
    <x v="13"/>
  </r>
  <r>
    <n v="96"/>
    <s v="15.07.05"/>
    <n v="6069"/>
    <x v="0"/>
    <m/>
    <s v="2824,2825,2826,2830, 2831"/>
    <n v="5.3999999999999999E-2"/>
    <n v="0.13300000000000001"/>
    <x v="68"/>
  </r>
  <r>
    <n v="97"/>
    <s v="25.07.05"/>
    <n v="6419"/>
    <x v="0"/>
    <n v="249"/>
    <s v="2824,2825,2826,2830, 2831"/>
    <n v="0.11700000000000001"/>
    <n v="0.28899999999999998"/>
    <x v="35"/>
  </r>
  <r>
    <n v="98"/>
    <s v="27.07.05"/>
    <n v="6475"/>
    <x v="0"/>
    <n v="275"/>
    <s v="2738,2743,2746,2747 &amp; 2753"/>
    <n v="7.5999999999999998E-2"/>
    <n v="0.188"/>
    <x v="34"/>
  </r>
  <r>
    <n v="99"/>
    <s v="02.08.05"/>
    <n v="6711"/>
    <x v="1"/>
    <n v="51"/>
    <n v="126"/>
    <n v="3.7999999999999999E-2"/>
    <n v="9.4E-2"/>
    <x v="13"/>
  </r>
  <r>
    <n v="100"/>
    <s v="28.11.05"/>
    <n v="10348"/>
    <x v="1"/>
    <n v="72"/>
    <s v="280,281,282, &amp; 283"/>
    <n v="0.108"/>
    <n v="0.26700000000000002"/>
    <x v="61"/>
  </r>
  <r>
    <n v="101"/>
    <s v="01.05.06"/>
    <n v="4529"/>
    <x v="2"/>
    <n v="19"/>
    <s v="244,245,243,246,149/3,248/1,236,239,201,234,235,238,202,240,241,242,200,&amp;199"/>
    <n v="1.966"/>
    <n v="4.8579999999999997"/>
    <x v="69"/>
  </r>
  <r>
    <n v="102"/>
    <s v="09.05.06"/>
    <n v="4799"/>
    <x v="2"/>
    <n v="19"/>
    <s v="248/2"/>
    <n v="0.05"/>
    <n v="0.124"/>
    <x v="70"/>
  </r>
  <r>
    <n v="103"/>
    <s v="29.06.06"/>
    <n v="7426"/>
    <x v="2"/>
    <m/>
    <s v="561, 554"/>
    <n v="6.2E-2"/>
    <n v="0.153"/>
    <x v="60"/>
  </r>
  <r>
    <n v="104"/>
    <s v="28.08.06"/>
    <n v="10212"/>
    <x v="1"/>
    <n v="1"/>
    <n v="2.8128228328428501E+23"/>
    <n v="0.28799999999999998"/>
    <n v="0.71199999999999997"/>
    <x v="71"/>
  </r>
  <r>
    <n v="105"/>
    <s v="16.05.07"/>
    <n v="4608"/>
    <x v="1"/>
    <s v="72,98,99"/>
    <s v="280,310 289 to 302, 306 to 308"/>
    <n v="0.53800000000000003"/>
    <n v="1.329"/>
    <x v="72"/>
  </r>
  <r>
    <s v="Total"/>
    <m/>
    <m/>
    <x v="3"/>
    <m/>
    <m/>
    <n v="36.800999999999988"/>
    <n v="90.938000000000017"/>
    <x v="7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Village NAme">
  <location ref="A3:D7" firstHeaderRow="0" firstDataRow="1" firstDataCol="1"/>
  <pivotFields count="9">
    <pivotField showAll="0"/>
    <pivotField showAll="0"/>
    <pivotField showAll="0"/>
    <pivotField axis="axisRow" showAll="0">
      <items count="5">
        <item h="1" x="3"/>
        <item x="1"/>
        <item x="2"/>
        <item x="0"/>
        <item t="default"/>
      </items>
    </pivotField>
    <pivotField showAll="0"/>
    <pivotField showAll="0"/>
    <pivotField dataField="1" showAll="0"/>
    <pivotField dataField="1" showAll="0"/>
    <pivotField dataField="1" showAll="0"/>
  </pivotFields>
  <rowFields count="1">
    <field x="3"/>
  </rowFields>
  <rowItems count="4">
    <i>
      <x v="1"/>
    </i>
    <i>
      <x v="2"/>
    </i>
    <i>
      <x v="3"/>
    </i>
    <i t="grand">
      <x/>
    </i>
  </rowItems>
  <colFields count="1">
    <field x="-2"/>
  </colFields>
  <colItems count="3">
    <i>
      <x/>
    </i>
    <i i="1">
      <x v="1"/>
    </i>
    <i i="2">
      <x v="2"/>
    </i>
  </colItems>
  <dataFields count="3">
    <dataField name="Sum of Area" fld="8" baseField="3" baseItem="0"/>
    <dataField name="Sum of Area (Acre)" fld="7" baseField="3" baseItem="0"/>
    <dataField name="Sum of Area  (Hect.)" fld="6" baseField="3" baseItem="0"/>
  </dataFields>
  <formats count="11">
    <format dxfId="10">
      <pivotArea dataOnly="0" fieldPosition="0">
        <references count="1">
          <reference field="3" count="0"/>
        </references>
      </pivotArea>
    </format>
    <format dxfId="9">
      <pivotArea grandRow="1" outline="0" collapsedLevelsAreSubtotals="1" fieldPosition="0"/>
    </format>
    <format dxfId="8">
      <pivotArea dataOnly="0" labelOnly="1" grandRow="1" outline="0" fieldPosition="0"/>
    </format>
    <format dxfId="7">
      <pivotArea field="3" type="button" dataOnly="0" labelOnly="1" outline="0" axis="axisRow" fieldPosition="0"/>
    </format>
    <format dxfId="6">
      <pivotArea dataOnly="0" labelOnly="1" outline="0" fieldPosition="0">
        <references count="1">
          <reference field="4294967294" count="3">
            <x v="0"/>
            <x v="1"/>
            <x v="2"/>
          </reference>
        </references>
      </pivotArea>
    </format>
    <format dxfId="5">
      <pivotArea type="all" dataOnly="0" outline="0" fieldPosition="0"/>
    </format>
    <format dxfId="4">
      <pivotArea outline="0" collapsedLevelsAreSubtotals="1" fieldPosition="0"/>
    </format>
    <format dxfId="3">
      <pivotArea field="3" type="button" dataOnly="0" labelOnly="1" outline="0" axis="axisRow" fieldPosition="0"/>
    </format>
    <format dxfId="2">
      <pivotArea dataOnly="0" labelOnly="1" fieldPosition="0">
        <references count="1">
          <reference field="3" count="0"/>
        </references>
      </pivotArea>
    </format>
    <format dxfId="1">
      <pivotArea dataOnly="0" labelOnly="1" grandRow="1" outline="0" fieldPosition="0"/>
    </format>
    <format dxfId="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89"/>
  <sheetViews>
    <sheetView workbookViewId="0">
      <selection activeCell="G7" sqref="G7"/>
    </sheetView>
  </sheetViews>
  <sheetFormatPr defaultRowHeight="15" x14ac:dyDescent="0.25"/>
  <cols>
    <col min="1" max="1" width="15.5703125" bestFit="1" customWidth="1"/>
    <col min="2" max="2" width="12" customWidth="1"/>
    <col min="3" max="3" width="17.85546875" customWidth="1"/>
    <col min="4" max="4" width="18.85546875" customWidth="1"/>
    <col min="5" max="5" width="17.85546875" customWidth="1"/>
    <col min="6" max="6" width="18.85546875" style="45" customWidth="1"/>
    <col min="7" max="7" width="19.28515625" customWidth="1"/>
    <col min="8" max="9" width="21.28515625" customWidth="1"/>
  </cols>
  <sheetData>
    <row r="3" spans="1:6" x14ac:dyDescent="0.25">
      <c r="A3" s="83" t="s">
        <v>113</v>
      </c>
      <c r="B3" s="83" t="s">
        <v>110</v>
      </c>
      <c r="C3" s="83" t="s">
        <v>109</v>
      </c>
      <c r="D3" s="83" t="s">
        <v>108</v>
      </c>
      <c r="E3" s="84" t="s">
        <v>111</v>
      </c>
      <c r="F3" s="84" t="s">
        <v>112</v>
      </c>
    </row>
    <row r="4" spans="1:6" x14ac:dyDescent="0.25">
      <c r="A4" s="85" t="s">
        <v>103</v>
      </c>
      <c r="B4" s="86">
        <v>235053.76938000001</v>
      </c>
      <c r="C4" s="86">
        <v>58.082999999999998</v>
      </c>
      <c r="D4" s="86">
        <v>23.505000000000013</v>
      </c>
      <c r="E4" s="87">
        <v>2900000</v>
      </c>
      <c r="F4" s="88">
        <f>(E4*GETPIVOTDATA("Sum of Area  (Hect.)",$A$3,"Village Name","Bilai"))</f>
        <v>68164500.000000045</v>
      </c>
    </row>
    <row r="5" spans="1:6" x14ac:dyDescent="0.25">
      <c r="A5" s="85" t="s">
        <v>104</v>
      </c>
      <c r="B5" s="86">
        <v>22431.744979999999</v>
      </c>
      <c r="C5" s="86">
        <v>5.5429999999999993</v>
      </c>
      <c r="D5" s="86">
        <v>2.2429999999999999</v>
      </c>
      <c r="E5" s="87">
        <v>2700000</v>
      </c>
      <c r="F5" s="88">
        <f>(E5*GETPIVOTDATA("Sum of Area  (Hect.)",$A$3,"Village Name","Faridpur Malhu"))</f>
        <v>6056100</v>
      </c>
    </row>
    <row r="6" spans="1:6" x14ac:dyDescent="0.25">
      <c r="A6" s="85" t="s">
        <v>102</v>
      </c>
      <c r="B6" s="86">
        <v>110527.84032</v>
      </c>
      <c r="C6" s="86">
        <v>27.312000000000005</v>
      </c>
      <c r="D6" s="86">
        <v>11.053000000000003</v>
      </c>
      <c r="E6" s="87">
        <v>2900000</v>
      </c>
      <c r="F6" s="88">
        <f>(E6*GETPIVOTDATA("Sum of Area  (Hect.)",$A$3,"Village Name","Nangal Jat"))</f>
        <v>32053700.000000007</v>
      </c>
    </row>
    <row r="7" spans="1:6" x14ac:dyDescent="0.25">
      <c r="A7" s="85" t="s">
        <v>107</v>
      </c>
      <c r="B7" s="86">
        <v>368013.35467999999</v>
      </c>
      <c r="C7" s="86">
        <v>90.938000000000002</v>
      </c>
      <c r="D7" s="86">
        <v>36.801000000000016</v>
      </c>
      <c r="E7" s="89"/>
      <c r="F7" s="90">
        <f>SUM(F4:F6)</f>
        <v>106274300.00000006</v>
      </c>
    </row>
    <row r="11" spans="1:6" x14ac:dyDescent="0.25">
      <c r="F11"/>
    </row>
    <row r="12" spans="1:6" x14ac:dyDescent="0.25">
      <c r="F12"/>
    </row>
    <row r="13" spans="1:6" x14ac:dyDescent="0.25">
      <c r="F13"/>
    </row>
    <row r="14" spans="1:6" x14ac:dyDescent="0.25">
      <c r="F14"/>
    </row>
    <row r="15" spans="1:6" x14ac:dyDescent="0.25">
      <c r="F15"/>
    </row>
    <row r="16" spans="1:6"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2:O122"/>
  <sheetViews>
    <sheetView zoomScale="85" zoomScaleNormal="85" workbookViewId="0">
      <selection activeCell="L113" sqref="L113"/>
    </sheetView>
  </sheetViews>
  <sheetFormatPr defaultRowHeight="15" x14ac:dyDescent="0.25"/>
  <cols>
    <col min="9" max="9" width="19.140625" customWidth="1"/>
    <col min="10" max="10" width="16.28515625" customWidth="1"/>
    <col min="11" max="11" width="41.5703125" customWidth="1"/>
    <col min="14" max="14" width="12" customWidth="1"/>
  </cols>
  <sheetData>
    <row r="2" spans="6:14" x14ac:dyDescent="0.25">
      <c r="F2" s="95" t="s">
        <v>0</v>
      </c>
      <c r="G2" s="96"/>
      <c r="H2" s="96"/>
      <c r="I2" s="96"/>
      <c r="J2" s="96"/>
      <c r="K2" s="96"/>
      <c r="L2" s="96"/>
      <c r="M2" s="96"/>
      <c r="N2" s="96"/>
    </row>
    <row r="3" spans="6:14" ht="30" x14ac:dyDescent="0.25">
      <c r="F3" s="1" t="s">
        <v>1</v>
      </c>
      <c r="G3" s="1" t="s">
        <v>2</v>
      </c>
      <c r="H3" s="1" t="s">
        <v>3</v>
      </c>
      <c r="I3" s="1" t="s">
        <v>80</v>
      </c>
      <c r="J3" s="1" t="s">
        <v>4</v>
      </c>
      <c r="K3" s="1" t="s">
        <v>5</v>
      </c>
      <c r="L3" s="1" t="s">
        <v>6</v>
      </c>
      <c r="M3" s="1" t="s">
        <v>7</v>
      </c>
      <c r="N3" s="1" t="s">
        <v>8</v>
      </c>
    </row>
    <row r="4" spans="6:14" ht="15" customHeight="1" x14ac:dyDescent="0.25">
      <c r="F4" s="21">
        <v>1</v>
      </c>
      <c r="G4" s="21" t="s">
        <v>9</v>
      </c>
      <c r="H4" s="21">
        <v>5019</v>
      </c>
      <c r="I4" s="35" t="s">
        <v>102</v>
      </c>
      <c r="J4" s="21">
        <v>275</v>
      </c>
      <c r="K4" s="21" t="s">
        <v>44</v>
      </c>
      <c r="L4" s="18">
        <v>0.72799999999999998</v>
      </c>
      <c r="M4" s="18">
        <f t="shared" ref="M4:M47" si="0">ROUND(L4*2.471,3)</f>
        <v>1.7989999999999999</v>
      </c>
      <c r="N4" s="17">
        <f>(M4*4046.86)</f>
        <v>7280.3011399999996</v>
      </c>
    </row>
    <row r="5" spans="6:14" x14ac:dyDescent="0.25">
      <c r="F5" s="2">
        <v>2</v>
      </c>
      <c r="G5" s="2" t="s">
        <v>9</v>
      </c>
      <c r="H5" s="2">
        <v>5020</v>
      </c>
      <c r="I5" s="24" t="s">
        <v>103</v>
      </c>
      <c r="J5" s="2">
        <v>80</v>
      </c>
      <c r="K5" s="2" t="s">
        <v>45</v>
      </c>
      <c r="L5" s="13">
        <v>6.8000000000000005E-2</v>
      </c>
      <c r="M5" s="13">
        <f t="shared" si="0"/>
        <v>0.16800000000000001</v>
      </c>
      <c r="N5" s="14">
        <f t="shared" ref="N5:N46" si="1">(M5*4046.86)</f>
        <v>679.87248000000011</v>
      </c>
    </row>
    <row r="6" spans="6:14" x14ac:dyDescent="0.25">
      <c r="F6" s="2">
        <v>3</v>
      </c>
      <c r="G6" s="2" t="s">
        <v>9</v>
      </c>
      <c r="H6" s="2">
        <v>5021</v>
      </c>
      <c r="I6" s="24" t="s">
        <v>103</v>
      </c>
      <c r="J6" s="7">
        <v>160</v>
      </c>
      <c r="K6" s="7">
        <v>173174</v>
      </c>
      <c r="L6" s="13">
        <v>1.2E-2</v>
      </c>
      <c r="M6" s="13">
        <f t="shared" si="0"/>
        <v>0.03</v>
      </c>
      <c r="N6" s="14">
        <f t="shared" si="1"/>
        <v>121.4058</v>
      </c>
    </row>
    <row r="7" spans="6:14" x14ac:dyDescent="0.25">
      <c r="F7" s="2">
        <v>4</v>
      </c>
      <c r="G7" s="2" t="s">
        <v>9</v>
      </c>
      <c r="H7" s="2">
        <v>5022</v>
      </c>
      <c r="I7" s="24" t="s">
        <v>103</v>
      </c>
      <c r="J7" s="7">
        <v>160</v>
      </c>
      <c r="K7" s="7">
        <v>173174</v>
      </c>
      <c r="L7" s="13">
        <v>7.4999999999999997E-2</v>
      </c>
      <c r="M7" s="13">
        <f t="shared" si="0"/>
        <v>0.185</v>
      </c>
      <c r="N7" s="14">
        <f t="shared" si="1"/>
        <v>748.66910000000007</v>
      </c>
    </row>
    <row r="8" spans="6:14" x14ac:dyDescent="0.25">
      <c r="F8" s="21">
        <v>5</v>
      </c>
      <c r="G8" s="21" t="s">
        <v>9</v>
      </c>
      <c r="H8" s="21">
        <v>5023</v>
      </c>
      <c r="I8" s="42" t="s">
        <v>102</v>
      </c>
      <c r="J8" s="21">
        <v>275</v>
      </c>
      <c r="K8" s="21" t="s">
        <v>46</v>
      </c>
      <c r="L8" s="18">
        <v>0.72799999999999998</v>
      </c>
      <c r="M8" s="18">
        <f t="shared" si="0"/>
        <v>1.7989999999999999</v>
      </c>
      <c r="N8" s="17">
        <f t="shared" si="1"/>
        <v>7280.3011399999996</v>
      </c>
    </row>
    <row r="9" spans="6:14" x14ac:dyDescent="0.25">
      <c r="F9" s="2">
        <v>6</v>
      </c>
      <c r="G9" s="2" t="s">
        <v>9</v>
      </c>
      <c r="H9" s="2">
        <v>5024</v>
      </c>
      <c r="I9" s="25" t="s">
        <v>102</v>
      </c>
      <c r="J9" s="2">
        <v>275</v>
      </c>
      <c r="K9" s="2" t="s">
        <v>44</v>
      </c>
      <c r="L9" s="13">
        <v>0.36399999999999999</v>
      </c>
      <c r="M9" s="13">
        <f t="shared" si="0"/>
        <v>0.89900000000000002</v>
      </c>
      <c r="N9" s="14">
        <f t="shared" si="1"/>
        <v>3638.1271400000001</v>
      </c>
    </row>
    <row r="10" spans="6:14" x14ac:dyDescent="0.25">
      <c r="F10" s="2">
        <v>7</v>
      </c>
      <c r="G10" s="2" t="s">
        <v>9</v>
      </c>
      <c r="H10" s="2">
        <v>5025</v>
      </c>
      <c r="I10" s="24" t="s">
        <v>103</v>
      </c>
      <c r="J10" s="2">
        <v>154</v>
      </c>
      <c r="K10" s="2" t="s">
        <v>82</v>
      </c>
      <c r="L10" s="13">
        <v>0.30299999999999999</v>
      </c>
      <c r="M10" s="13">
        <f t="shared" si="0"/>
        <v>0.749</v>
      </c>
      <c r="N10" s="14">
        <f t="shared" si="1"/>
        <v>3031.0981400000001</v>
      </c>
    </row>
    <row r="11" spans="6:14" x14ac:dyDescent="0.25">
      <c r="F11" s="2">
        <v>8</v>
      </c>
      <c r="G11" s="2" t="s">
        <v>9</v>
      </c>
      <c r="H11" s="2">
        <v>5026</v>
      </c>
      <c r="I11" s="25" t="s">
        <v>102</v>
      </c>
      <c r="J11" s="2">
        <v>275</v>
      </c>
      <c r="K11" s="2" t="s">
        <v>44</v>
      </c>
      <c r="L11" s="13">
        <v>0.72799999999999998</v>
      </c>
      <c r="M11" s="13">
        <f t="shared" si="0"/>
        <v>1.7989999999999999</v>
      </c>
      <c r="N11" s="14">
        <f t="shared" si="1"/>
        <v>7280.3011399999996</v>
      </c>
    </row>
    <row r="12" spans="6:14" x14ac:dyDescent="0.25">
      <c r="F12" s="22">
        <v>9</v>
      </c>
      <c r="G12" s="21" t="s">
        <v>9</v>
      </c>
      <c r="H12" s="22">
        <v>5027</v>
      </c>
      <c r="I12" s="26" t="s">
        <v>103</v>
      </c>
      <c r="J12" s="22">
        <v>57</v>
      </c>
      <c r="K12" s="22">
        <v>257259260</v>
      </c>
      <c r="L12" s="18">
        <v>4.2000000000000003E-2</v>
      </c>
      <c r="M12" s="18">
        <f t="shared" si="0"/>
        <v>0.104</v>
      </c>
      <c r="N12" s="17">
        <f t="shared" si="1"/>
        <v>420.87344000000002</v>
      </c>
    </row>
    <row r="13" spans="6:14" x14ac:dyDescent="0.25">
      <c r="F13" s="2">
        <v>10</v>
      </c>
      <c r="G13" s="2" t="s">
        <v>9</v>
      </c>
      <c r="H13" s="2">
        <v>5028</v>
      </c>
      <c r="I13" s="24" t="s">
        <v>103</v>
      </c>
      <c r="J13" s="7">
        <v>160</v>
      </c>
      <c r="K13" s="7">
        <v>173174</v>
      </c>
      <c r="L13" s="13">
        <v>1.2E-2</v>
      </c>
      <c r="M13" s="13">
        <f t="shared" si="0"/>
        <v>0.03</v>
      </c>
      <c r="N13" s="14">
        <f t="shared" si="1"/>
        <v>121.4058</v>
      </c>
    </row>
    <row r="14" spans="6:14" x14ac:dyDescent="0.25">
      <c r="F14" s="2">
        <v>11</v>
      </c>
      <c r="G14" s="2" t="s">
        <v>9</v>
      </c>
      <c r="H14" s="2">
        <v>5029</v>
      </c>
      <c r="I14" s="24" t="s">
        <v>103</v>
      </c>
      <c r="J14" s="8">
        <v>30</v>
      </c>
      <c r="K14" s="8" t="s">
        <v>47</v>
      </c>
      <c r="L14" s="13">
        <v>0.42099999999999999</v>
      </c>
      <c r="M14" s="13">
        <f t="shared" si="0"/>
        <v>1.04</v>
      </c>
      <c r="N14" s="14">
        <f t="shared" si="1"/>
        <v>4208.7344000000003</v>
      </c>
    </row>
    <row r="15" spans="6:14" x14ac:dyDescent="0.25">
      <c r="F15" s="2">
        <v>12</v>
      </c>
      <c r="G15" s="2" t="s">
        <v>9</v>
      </c>
      <c r="H15" s="2">
        <v>5030</v>
      </c>
      <c r="I15" s="24" t="s">
        <v>103</v>
      </c>
      <c r="J15" s="2">
        <v>80</v>
      </c>
      <c r="K15" s="2" t="s">
        <v>45</v>
      </c>
      <c r="L15" s="13">
        <v>6.9000000000000006E-2</v>
      </c>
      <c r="M15" s="13">
        <f t="shared" si="0"/>
        <v>0.17</v>
      </c>
      <c r="N15" s="14">
        <f t="shared" si="1"/>
        <v>687.96620000000007</v>
      </c>
    </row>
    <row r="16" spans="6:14" x14ac:dyDescent="0.25">
      <c r="F16" s="21">
        <v>13</v>
      </c>
      <c r="G16" s="21" t="s">
        <v>9</v>
      </c>
      <c r="H16" s="21">
        <v>5031</v>
      </c>
      <c r="I16" s="43" t="s">
        <v>103</v>
      </c>
      <c r="J16" s="21">
        <v>173</v>
      </c>
      <c r="K16" s="21" t="s">
        <v>83</v>
      </c>
      <c r="L16" s="18">
        <v>1.022</v>
      </c>
      <c r="M16" s="18">
        <f t="shared" si="0"/>
        <v>2.5249999999999999</v>
      </c>
      <c r="N16" s="17">
        <f t="shared" si="1"/>
        <v>10218.3215</v>
      </c>
    </row>
    <row r="17" spans="6:14" x14ac:dyDescent="0.25">
      <c r="F17" s="2">
        <v>14</v>
      </c>
      <c r="G17" s="2" t="s">
        <v>10</v>
      </c>
      <c r="H17" s="2">
        <v>5032</v>
      </c>
      <c r="I17" s="24" t="s">
        <v>103</v>
      </c>
      <c r="J17" s="4">
        <v>51</v>
      </c>
      <c r="K17" s="4" t="s">
        <v>84</v>
      </c>
      <c r="L17" s="13">
        <v>0.28499999999999998</v>
      </c>
      <c r="M17" s="13">
        <f t="shared" si="0"/>
        <v>0.70399999999999996</v>
      </c>
      <c r="N17" s="14">
        <f t="shared" si="1"/>
        <v>2848.9894399999998</v>
      </c>
    </row>
    <row r="18" spans="6:14" x14ac:dyDescent="0.25">
      <c r="F18" s="2">
        <v>15</v>
      </c>
      <c r="G18" s="2" t="s">
        <v>10</v>
      </c>
      <c r="H18" s="2">
        <v>5033</v>
      </c>
      <c r="I18" s="24" t="s">
        <v>103</v>
      </c>
      <c r="J18" s="7">
        <v>160</v>
      </c>
      <c r="K18" s="7">
        <v>173174</v>
      </c>
      <c r="L18" s="13">
        <v>1.2E-2</v>
      </c>
      <c r="M18" s="13">
        <f t="shared" si="0"/>
        <v>0.03</v>
      </c>
      <c r="N18" s="14">
        <f t="shared" si="1"/>
        <v>121.4058</v>
      </c>
    </row>
    <row r="19" spans="6:14" x14ac:dyDescent="0.25">
      <c r="F19" s="2">
        <v>16</v>
      </c>
      <c r="G19" s="2" t="s">
        <v>10</v>
      </c>
      <c r="H19" s="2">
        <v>5034</v>
      </c>
      <c r="I19" s="24" t="s">
        <v>103</v>
      </c>
      <c r="J19" s="7">
        <v>160</v>
      </c>
      <c r="K19" s="7">
        <v>173174</v>
      </c>
      <c r="L19" s="13">
        <v>1.7999999999999999E-2</v>
      </c>
      <c r="M19" s="13">
        <f t="shared" si="0"/>
        <v>4.3999999999999997E-2</v>
      </c>
      <c r="N19" s="14">
        <f t="shared" si="1"/>
        <v>178.06183999999999</v>
      </c>
    </row>
    <row r="20" spans="6:14" x14ac:dyDescent="0.25">
      <c r="F20" s="2">
        <v>17</v>
      </c>
      <c r="G20" s="2" t="s">
        <v>10</v>
      </c>
      <c r="H20" s="2">
        <v>5035</v>
      </c>
      <c r="I20" s="24" t="s">
        <v>103</v>
      </c>
      <c r="J20" s="4" t="s">
        <v>38</v>
      </c>
      <c r="K20" s="2" t="s">
        <v>85</v>
      </c>
      <c r="L20" s="13">
        <v>0.14799999999999999</v>
      </c>
      <c r="M20" s="13">
        <f t="shared" si="0"/>
        <v>0.36599999999999999</v>
      </c>
      <c r="N20" s="14">
        <f t="shared" si="1"/>
        <v>1481.15076</v>
      </c>
    </row>
    <row r="21" spans="6:14" x14ac:dyDescent="0.25">
      <c r="F21" s="21">
        <v>18</v>
      </c>
      <c r="G21" s="21" t="s">
        <v>10</v>
      </c>
      <c r="H21" s="21">
        <v>5036</v>
      </c>
      <c r="I21" s="41" t="s">
        <v>103</v>
      </c>
      <c r="J21" s="21">
        <v>18</v>
      </c>
      <c r="K21" s="21">
        <v>14</v>
      </c>
      <c r="L21" s="18">
        <v>3.7999999999999999E-2</v>
      </c>
      <c r="M21" s="18">
        <f t="shared" si="0"/>
        <v>9.4E-2</v>
      </c>
      <c r="N21" s="17">
        <f t="shared" si="1"/>
        <v>380.40484000000004</v>
      </c>
    </row>
    <row r="22" spans="6:14" x14ac:dyDescent="0.25">
      <c r="F22" s="2">
        <v>19</v>
      </c>
      <c r="G22" s="2" t="s">
        <v>10</v>
      </c>
      <c r="H22" s="2">
        <v>5037</v>
      </c>
      <c r="I22" s="24" t="s">
        <v>103</v>
      </c>
      <c r="J22" s="4">
        <v>51</v>
      </c>
      <c r="K22" s="4" t="s">
        <v>84</v>
      </c>
      <c r="L22" s="13">
        <v>0.56899999999999995</v>
      </c>
      <c r="M22" s="13">
        <f t="shared" si="0"/>
        <v>1.4059999999999999</v>
      </c>
      <c r="N22" s="14">
        <f t="shared" si="1"/>
        <v>5689.8851599999998</v>
      </c>
    </row>
    <row r="23" spans="6:14" x14ac:dyDescent="0.25">
      <c r="F23" s="2">
        <v>20</v>
      </c>
      <c r="G23" s="2" t="s">
        <v>10</v>
      </c>
      <c r="H23" s="2">
        <v>5038</v>
      </c>
      <c r="I23" s="24" t="s">
        <v>103</v>
      </c>
      <c r="J23" s="4" t="s">
        <v>38</v>
      </c>
      <c r="K23" s="2" t="s">
        <v>85</v>
      </c>
      <c r="L23" s="13">
        <v>0.14799999999999999</v>
      </c>
      <c r="M23" s="13">
        <f t="shared" si="0"/>
        <v>0.36599999999999999</v>
      </c>
      <c r="N23" s="14">
        <f t="shared" si="1"/>
        <v>1481.15076</v>
      </c>
    </row>
    <row r="24" spans="6:14" x14ac:dyDescent="0.25">
      <c r="F24" s="2">
        <v>21</v>
      </c>
      <c r="G24" s="2" t="s">
        <v>10</v>
      </c>
      <c r="H24" s="2">
        <v>5039</v>
      </c>
      <c r="I24" s="24" t="s">
        <v>103</v>
      </c>
      <c r="J24" s="4" t="s">
        <v>38</v>
      </c>
      <c r="K24" s="2" t="s">
        <v>85</v>
      </c>
      <c r="L24" s="13">
        <v>0.14799999999999999</v>
      </c>
      <c r="M24" s="13">
        <f t="shared" si="0"/>
        <v>0.36599999999999999</v>
      </c>
      <c r="N24" s="14">
        <f t="shared" si="1"/>
        <v>1481.15076</v>
      </c>
    </row>
    <row r="25" spans="6:14" x14ac:dyDescent="0.25">
      <c r="F25" s="21">
        <v>22</v>
      </c>
      <c r="G25" s="21" t="s">
        <v>10</v>
      </c>
      <c r="H25" s="21">
        <v>5040</v>
      </c>
      <c r="I25" s="39" t="s">
        <v>103</v>
      </c>
      <c r="J25" s="22">
        <v>160</v>
      </c>
      <c r="K25" s="22">
        <v>173174</v>
      </c>
      <c r="L25" s="18">
        <v>7.4999999999999997E-2</v>
      </c>
      <c r="M25" s="18">
        <f t="shared" si="0"/>
        <v>0.185</v>
      </c>
      <c r="N25" s="17">
        <f t="shared" si="1"/>
        <v>748.66910000000007</v>
      </c>
    </row>
    <row r="26" spans="6:14" x14ac:dyDescent="0.25">
      <c r="F26" s="2">
        <v>23</v>
      </c>
      <c r="G26" s="2" t="s">
        <v>10</v>
      </c>
      <c r="H26" s="2">
        <v>5041</v>
      </c>
      <c r="I26" s="24" t="s">
        <v>103</v>
      </c>
      <c r="J26" s="4">
        <v>165</v>
      </c>
      <c r="K26" s="4" t="s">
        <v>48</v>
      </c>
      <c r="L26" s="13">
        <v>0.20200000000000001</v>
      </c>
      <c r="M26" s="13">
        <f t="shared" si="0"/>
        <v>0.499</v>
      </c>
      <c r="N26" s="14">
        <f t="shared" si="1"/>
        <v>2019.3831400000001</v>
      </c>
    </row>
    <row r="27" spans="6:14" x14ac:dyDescent="0.25">
      <c r="F27" s="2">
        <v>24</v>
      </c>
      <c r="G27" s="2" t="s">
        <v>10</v>
      </c>
      <c r="H27" s="2">
        <v>5042</v>
      </c>
      <c r="I27" s="25" t="s">
        <v>102</v>
      </c>
      <c r="J27" s="4">
        <v>260</v>
      </c>
      <c r="K27" s="4" t="s">
        <v>86</v>
      </c>
      <c r="L27" s="13">
        <v>3.0169999999999999</v>
      </c>
      <c r="M27" s="13">
        <f t="shared" si="0"/>
        <v>7.4550000000000001</v>
      </c>
      <c r="N27" s="14">
        <f t="shared" si="1"/>
        <v>30169.3413</v>
      </c>
    </row>
    <row r="28" spans="6:14" x14ac:dyDescent="0.25">
      <c r="F28" s="21">
        <v>25</v>
      </c>
      <c r="G28" s="21" t="s">
        <v>10</v>
      </c>
      <c r="H28" s="21">
        <v>5043</v>
      </c>
      <c r="I28" s="26" t="s">
        <v>103</v>
      </c>
      <c r="J28" s="21" t="s">
        <v>39</v>
      </c>
      <c r="K28" s="20" t="s">
        <v>87</v>
      </c>
      <c r="L28" s="18">
        <v>0.49399999999999999</v>
      </c>
      <c r="M28" s="18">
        <f t="shared" si="0"/>
        <v>1.2210000000000001</v>
      </c>
      <c r="N28" s="17">
        <f t="shared" si="1"/>
        <v>4941.2160600000007</v>
      </c>
    </row>
    <row r="29" spans="6:14" x14ac:dyDescent="0.25">
      <c r="F29" s="2">
        <v>26</v>
      </c>
      <c r="G29" s="2" t="s">
        <v>10</v>
      </c>
      <c r="H29" s="2">
        <v>5044</v>
      </c>
      <c r="I29" s="25" t="s">
        <v>102</v>
      </c>
      <c r="J29" s="4">
        <v>136</v>
      </c>
      <c r="K29" s="4" t="s">
        <v>49</v>
      </c>
      <c r="L29" s="13">
        <v>0.21</v>
      </c>
      <c r="M29" s="13">
        <f t="shared" si="0"/>
        <v>0.51900000000000002</v>
      </c>
      <c r="N29" s="14">
        <f t="shared" si="1"/>
        <v>2100.3203400000002</v>
      </c>
    </row>
    <row r="30" spans="6:14" x14ac:dyDescent="0.25">
      <c r="F30" s="2">
        <v>27</v>
      </c>
      <c r="G30" s="2" t="s">
        <v>10</v>
      </c>
      <c r="H30" s="2">
        <v>5045</v>
      </c>
      <c r="I30" s="24" t="s">
        <v>103</v>
      </c>
      <c r="J30" s="4">
        <v>173</v>
      </c>
      <c r="K30" s="4" t="s">
        <v>50</v>
      </c>
      <c r="L30" s="13">
        <v>0.52</v>
      </c>
      <c r="M30" s="13">
        <f t="shared" si="0"/>
        <v>1.2849999999999999</v>
      </c>
      <c r="N30" s="14">
        <f t="shared" si="1"/>
        <v>5200.2150999999994</v>
      </c>
    </row>
    <row r="31" spans="6:14" x14ac:dyDescent="0.25">
      <c r="F31" s="2">
        <v>28</v>
      </c>
      <c r="G31" s="2" t="s">
        <v>10</v>
      </c>
      <c r="H31" s="2">
        <v>5046</v>
      </c>
      <c r="I31" s="25" t="s">
        <v>102</v>
      </c>
      <c r="J31" s="2">
        <v>148</v>
      </c>
      <c r="K31" s="2">
        <v>1626</v>
      </c>
      <c r="L31" s="13">
        <v>0.114</v>
      </c>
      <c r="M31" s="13">
        <f t="shared" si="0"/>
        <v>0.28199999999999997</v>
      </c>
      <c r="N31" s="14">
        <f t="shared" si="1"/>
        <v>1141.21452</v>
      </c>
    </row>
    <row r="32" spans="6:14" x14ac:dyDescent="0.25">
      <c r="F32" s="2">
        <v>29</v>
      </c>
      <c r="G32" s="2" t="s">
        <v>10</v>
      </c>
      <c r="H32" s="2">
        <v>5047</v>
      </c>
      <c r="I32" s="49" t="s">
        <v>104</v>
      </c>
      <c r="J32" s="50">
        <v>30</v>
      </c>
      <c r="K32" s="4" t="s">
        <v>51</v>
      </c>
      <c r="L32" s="13">
        <v>0.20599999999999999</v>
      </c>
      <c r="M32" s="13">
        <f t="shared" si="0"/>
        <v>0.50900000000000001</v>
      </c>
      <c r="N32" s="14">
        <f t="shared" si="1"/>
        <v>2059.8517400000001</v>
      </c>
    </row>
    <row r="33" spans="6:14" x14ac:dyDescent="0.25">
      <c r="F33" s="21">
        <v>30</v>
      </c>
      <c r="G33" s="21" t="s">
        <v>10</v>
      </c>
      <c r="H33" s="21">
        <v>5048</v>
      </c>
      <c r="I33" s="40" t="s">
        <v>102</v>
      </c>
      <c r="J33" s="21">
        <v>56</v>
      </c>
      <c r="K33" s="21">
        <v>2667</v>
      </c>
      <c r="L33" s="19">
        <v>2.5999999999999999E-2</v>
      </c>
      <c r="M33" s="19">
        <f t="shared" si="0"/>
        <v>6.4000000000000001E-2</v>
      </c>
      <c r="N33" s="17">
        <f t="shared" si="1"/>
        <v>258.99904000000004</v>
      </c>
    </row>
    <row r="34" spans="6:14" x14ac:dyDescent="0.25">
      <c r="F34" s="20">
        <v>31</v>
      </c>
      <c r="G34" s="21" t="s">
        <v>10</v>
      </c>
      <c r="H34" s="20">
        <v>5049</v>
      </c>
      <c r="I34" s="26" t="s">
        <v>103</v>
      </c>
      <c r="J34" s="20">
        <v>275</v>
      </c>
      <c r="K34" s="20" t="s">
        <v>88</v>
      </c>
      <c r="L34" s="18">
        <v>0.72799999999999998</v>
      </c>
      <c r="M34" s="18">
        <f t="shared" si="0"/>
        <v>1.7989999999999999</v>
      </c>
      <c r="N34" s="17">
        <f t="shared" si="1"/>
        <v>7280.3011399999996</v>
      </c>
    </row>
    <row r="35" spans="6:14" x14ac:dyDescent="0.25">
      <c r="F35" s="20">
        <v>32</v>
      </c>
      <c r="G35" s="21" t="s">
        <v>10</v>
      </c>
      <c r="H35" s="20">
        <v>5050</v>
      </c>
      <c r="I35" s="26" t="s">
        <v>103</v>
      </c>
      <c r="J35" s="20">
        <v>168</v>
      </c>
      <c r="K35" s="20" t="s">
        <v>89</v>
      </c>
      <c r="L35" s="18">
        <v>1.4750000000000001</v>
      </c>
      <c r="M35" s="18">
        <f t="shared" si="0"/>
        <v>3.645</v>
      </c>
      <c r="N35" s="17">
        <f t="shared" si="1"/>
        <v>14750.804700000001</v>
      </c>
    </row>
    <row r="36" spans="6:14" x14ac:dyDescent="0.25">
      <c r="F36" s="2">
        <v>33</v>
      </c>
      <c r="G36" s="2" t="s">
        <v>10</v>
      </c>
      <c r="H36" s="2">
        <v>5051</v>
      </c>
      <c r="I36" s="24" t="s">
        <v>103</v>
      </c>
      <c r="J36" s="4">
        <v>36</v>
      </c>
      <c r="K36" s="4" t="s">
        <v>90</v>
      </c>
      <c r="L36" s="13">
        <v>0.94899999999999995</v>
      </c>
      <c r="M36" s="13">
        <f t="shared" si="0"/>
        <v>2.3450000000000002</v>
      </c>
      <c r="N36" s="14">
        <f t="shared" si="1"/>
        <v>9489.8867000000009</v>
      </c>
    </row>
    <row r="37" spans="6:14" ht="30" x14ac:dyDescent="0.25">
      <c r="F37" s="2">
        <v>34</v>
      </c>
      <c r="G37" s="2" t="s">
        <v>10</v>
      </c>
      <c r="H37" s="2">
        <v>5052</v>
      </c>
      <c r="I37" s="26" t="s">
        <v>103</v>
      </c>
      <c r="J37" s="4">
        <v>151</v>
      </c>
      <c r="K37" s="11" t="s">
        <v>52</v>
      </c>
      <c r="L37" s="15">
        <v>0.26500000000000001</v>
      </c>
      <c r="M37" s="15">
        <f t="shared" si="0"/>
        <v>0.65500000000000003</v>
      </c>
      <c r="N37" s="14">
        <f t="shared" si="1"/>
        <v>2650.6933000000004</v>
      </c>
    </row>
    <row r="38" spans="6:14" x14ac:dyDescent="0.25">
      <c r="F38" s="20">
        <v>35</v>
      </c>
      <c r="G38" s="21" t="s">
        <v>10</v>
      </c>
      <c r="H38" s="20">
        <v>5053</v>
      </c>
      <c r="I38" s="40" t="s">
        <v>102</v>
      </c>
      <c r="J38" s="20">
        <v>249</v>
      </c>
      <c r="K38" s="20" t="s">
        <v>53</v>
      </c>
      <c r="L38" s="18">
        <v>0.34100000000000003</v>
      </c>
      <c r="M38" s="18">
        <f t="shared" si="0"/>
        <v>0.84299999999999997</v>
      </c>
      <c r="N38" s="17">
        <f t="shared" si="1"/>
        <v>3411.5029800000002</v>
      </c>
    </row>
    <row r="39" spans="6:14" x14ac:dyDescent="0.25">
      <c r="F39" s="2">
        <v>36</v>
      </c>
      <c r="G39" s="2" t="s">
        <v>10</v>
      </c>
      <c r="H39" s="2">
        <v>5054</v>
      </c>
      <c r="I39" s="24" t="s">
        <v>103</v>
      </c>
      <c r="J39" s="4">
        <v>51</v>
      </c>
      <c r="K39" s="4" t="s">
        <v>84</v>
      </c>
      <c r="L39" s="13">
        <v>0.56899999999999995</v>
      </c>
      <c r="M39" s="13">
        <f t="shared" si="0"/>
        <v>1.4059999999999999</v>
      </c>
      <c r="N39" s="14">
        <f t="shared" si="1"/>
        <v>5689.8851599999998</v>
      </c>
    </row>
    <row r="40" spans="6:14" x14ac:dyDescent="0.25">
      <c r="F40" s="2">
        <v>37</v>
      </c>
      <c r="G40" s="2" t="s">
        <v>10</v>
      </c>
      <c r="H40" s="2">
        <v>5055</v>
      </c>
      <c r="I40" s="27" t="s">
        <v>102</v>
      </c>
      <c r="J40" s="4">
        <v>275</v>
      </c>
      <c r="K40" s="11" t="s">
        <v>88</v>
      </c>
      <c r="L40" s="13">
        <v>0.36399999999999999</v>
      </c>
      <c r="M40" s="13">
        <f t="shared" si="0"/>
        <v>0.89900000000000002</v>
      </c>
      <c r="N40" s="14">
        <f t="shared" si="1"/>
        <v>3638.1271400000001</v>
      </c>
    </row>
    <row r="41" spans="6:14" x14ac:dyDescent="0.25">
      <c r="F41" s="2">
        <v>38</v>
      </c>
      <c r="G41" s="2" t="s">
        <v>11</v>
      </c>
      <c r="H41" s="2">
        <v>5070</v>
      </c>
      <c r="I41" s="49" t="s">
        <v>104</v>
      </c>
      <c r="J41" s="51">
        <v>68</v>
      </c>
      <c r="K41" s="2">
        <v>328</v>
      </c>
      <c r="L41" s="13">
        <v>5.7000000000000002E-2</v>
      </c>
      <c r="M41" s="13">
        <f t="shared" si="0"/>
        <v>0.14099999999999999</v>
      </c>
      <c r="N41" s="14">
        <f t="shared" si="1"/>
        <v>570.60726</v>
      </c>
    </row>
    <row r="42" spans="6:14" x14ac:dyDescent="0.25">
      <c r="F42" s="20">
        <v>39</v>
      </c>
      <c r="G42" s="21" t="s">
        <v>11</v>
      </c>
      <c r="H42" s="20">
        <v>5071</v>
      </c>
      <c r="I42" s="49" t="s">
        <v>104</v>
      </c>
      <c r="J42" s="52" t="s">
        <v>40</v>
      </c>
      <c r="K42" s="21">
        <v>328</v>
      </c>
      <c r="L42" s="18">
        <v>0.08</v>
      </c>
      <c r="M42" s="18">
        <f t="shared" si="0"/>
        <v>0.19800000000000001</v>
      </c>
      <c r="N42" s="17">
        <f t="shared" si="1"/>
        <v>801.27828000000011</v>
      </c>
    </row>
    <row r="43" spans="6:14" x14ac:dyDescent="0.25">
      <c r="F43" s="2">
        <v>40</v>
      </c>
      <c r="G43" s="2" t="s">
        <v>11</v>
      </c>
      <c r="H43" s="2">
        <v>5072</v>
      </c>
      <c r="I43" s="24" t="s">
        <v>103</v>
      </c>
      <c r="J43" s="2">
        <v>73</v>
      </c>
      <c r="K43" s="2">
        <v>227</v>
      </c>
      <c r="L43" s="13">
        <v>6.0999999999999999E-2</v>
      </c>
      <c r="M43" s="13">
        <f t="shared" si="0"/>
        <v>0.151</v>
      </c>
      <c r="N43" s="14">
        <f t="shared" si="1"/>
        <v>611.07586000000003</v>
      </c>
    </row>
    <row r="44" spans="6:14" x14ac:dyDescent="0.25">
      <c r="F44" s="2">
        <v>41</v>
      </c>
      <c r="G44" s="2" t="s">
        <v>11</v>
      </c>
      <c r="H44" s="2">
        <v>5073</v>
      </c>
      <c r="I44" s="24" t="s">
        <v>103</v>
      </c>
      <c r="J44" s="2">
        <v>1</v>
      </c>
      <c r="K44" s="2">
        <v>226</v>
      </c>
      <c r="L44" s="13">
        <v>6.3E-2</v>
      </c>
      <c r="M44" s="13">
        <f t="shared" si="0"/>
        <v>0.156</v>
      </c>
      <c r="N44" s="14">
        <f t="shared" si="1"/>
        <v>631.31016</v>
      </c>
    </row>
    <row r="45" spans="6:14" x14ac:dyDescent="0.25">
      <c r="F45" s="2">
        <v>42</v>
      </c>
      <c r="G45" s="2" t="s">
        <v>11</v>
      </c>
      <c r="H45" s="2">
        <v>5074</v>
      </c>
      <c r="I45" s="24" t="s">
        <v>103</v>
      </c>
      <c r="J45" s="4">
        <v>160</v>
      </c>
      <c r="K45" s="4" t="s">
        <v>54</v>
      </c>
      <c r="L45" s="13">
        <v>1.7999999999999999E-2</v>
      </c>
      <c r="M45" s="13">
        <f t="shared" si="0"/>
        <v>4.3999999999999997E-2</v>
      </c>
      <c r="N45" s="14">
        <f t="shared" si="1"/>
        <v>178.06183999999999</v>
      </c>
    </row>
    <row r="46" spans="6:14" x14ac:dyDescent="0.25">
      <c r="F46" s="2">
        <v>43</v>
      </c>
      <c r="G46" s="2" t="s">
        <v>11</v>
      </c>
      <c r="H46" s="2">
        <v>5075</v>
      </c>
      <c r="I46" s="49" t="s">
        <v>104</v>
      </c>
      <c r="J46" s="50">
        <v>81</v>
      </c>
      <c r="K46" s="4" t="s">
        <v>55</v>
      </c>
      <c r="L46" s="13">
        <v>0.23499999999999999</v>
      </c>
      <c r="M46" s="13">
        <f t="shared" si="0"/>
        <v>0.58099999999999996</v>
      </c>
      <c r="N46" s="14">
        <f t="shared" si="1"/>
        <v>2351.2256600000001</v>
      </c>
    </row>
    <row r="47" spans="6:14" x14ac:dyDescent="0.25">
      <c r="F47" s="20">
        <v>44</v>
      </c>
      <c r="G47" s="21" t="s">
        <v>11</v>
      </c>
      <c r="H47" s="20">
        <v>5087</v>
      </c>
      <c r="I47" s="39" t="s">
        <v>103</v>
      </c>
      <c r="J47" s="20">
        <v>197</v>
      </c>
      <c r="K47" s="20" t="s">
        <v>91</v>
      </c>
      <c r="L47" s="18">
        <v>0.995</v>
      </c>
      <c r="M47" s="18">
        <f t="shared" si="0"/>
        <v>2.4590000000000001</v>
      </c>
      <c r="N47" s="17">
        <f t="shared" ref="N47:N77" si="2">(M47*4046.86)</f>
        <v>9951.2287400000005</v>
      </c>
    </row>
    <row r="48" spans="6:14" x14ac:dyDescent="0.25">
      <c r="F48" s="2">
        <v>45</v>
      </c>
      <c r="G48" s="2" t="s">
        <v>11</v>
      </c>
      <c r="H48" s="2">
        <v>5091</v>
      </c>
      <c r="I48" s="24" t="s">
        <v>103</v>
      </c>
      <c r="J48" s="4">
        <v>59</v>
      </c>
      <c r="K48" s="4" t="s">
        <v>56</v>
      </c>
      <c r="L48" s="13">
        <v>0.23799999999999999</v>
      </c>
      <c r="M48" s="13">
        <f t="shared" ref="M48:M54" si="3">ROUND(L48*2.471,3)</f>
        <v>0.58799999999999997</v>
      </c>
      <c r="N48" s="14">
        <f t="shared" si="2"/>
        <v>2379.55368</v>
      </c>
    </row>
    <row r="49" spans="6:14" x14ac:dyDescent="0.25">
      <c r="F49" s="2">
        <v>46</v>
      </c>
      <c r="G49" s="2" t="s">
        <v>11</v>
      </c>
      <c r="H49" s="2">
        <v>5092</v>
      </c>
      <c r="I49" s="24" t="s">
        <v>103</v>
      </c>
      <c r="J49" s="4">
        <v>197</v>
      </c>
      <c r="K49" s="4" t="s">
        <v>57</v>
      </c>
      <c r="L49" s="13">
        <v>7.5999999999999998E-2</v>
      </c>
      <c r="M49" s="13">
        <f t="shared" si="3"/>
        <v>0.188</v>
      </c>
      <c r="N49" s="14">
        <f t="shared" si="2"/>
        <v>760.80968000000007</v>
      </c>
    </row>
    <row r="50" spans="6:14" x14ac:dyDescent="0.25">
      <c r="F50" s="2">
        <v>47</v>
      </c>
      <c r="G50" s="2" t="s">
        <v>11</v>
      </c>
      <c r="H50" s="2">
        <v>5093</v>
      </c>
      <c r="I50" s="24" t="s">
        <v>103</v>
      </c>
      <c r="J50" s="4">
        <v>151</v>
      </c>
      <c r="K50" s="4" t="s">
        <v>58</v>
      </c>
      <c r="L50" s="13">
        <v>0.11700000000000001</v>
      </c>
      <c r="M50" s="13">
        <f t="shared" si="3"/>
        <v>0.28899999999999998</v>
      </c>
      <c r="N50" s="14">
        <f t="shared" si="2"/>
        <v>1169.5425399999999</v>
      </c>
    </row>
    <row r="51" spans="6:14" x14ac:dyDescent="0.25">
      <c r="F51" s="2">
        <v>48</v>
      </c>
      <c r="G51" s="2" t="s">
        <v>11</v>
      </c>
      <c r="H51" s="2">
        <v>5094</v>
      </c>
      <c r="I51" s="24" t="s">
        <v>103</v>
      </c>
      <c r="J51" s="4">
        <v>57</v>
      </c>
      <c r="K51" s="4" t="s">
        <v>59</v>
      </c>
      <c r="L51" s="13">
        <v>4.2000000000000003E-2</v>
      </c>
      <c r="M51" s="13">
        <f t="shared" si="3"/>
        <v>0.104</v>
      </c>
      <c r="N51" s="14">
        <f t="shared" si="2"/>
        <v>420.87344000000002</v>
      </c>
    </row>
    <row r="52" spans="6:14" x14ac:dyDescent="0.25">
      <c r="F52" s="2">
        <v>49</v>
      </c>
      <c r="G52" s="2" t="s">
        <v>11</v>
      </c>
      <c r="H52" s="2">
        <v>5095</v>
      </c>
      <c r="I52" s="24" t="s">
        <v>103</v>
      </c>
      <c r="J52" s="4">
        <v>57</v>
      </c>
      <c r="K52" s="4" t="s">
        <v>59</v>
      </c>
      <c r="L52" s="13">
        <v>4.2000000000000003E-2</v>
      </c>
      <c r="M52" s="13">
        <f t="shared" si="3"/>
        <v>0.104</v>
      </c>
      <c r="N52" s="14">
        <f t="shared" si="2"/>
        <v>420.87344000000002</v>
      </c>
    </row>
    <row r="53" spans="6:14" x14ac:dyDescent="0.25">
      <c r="F53" s="2">
        <v>50</v>
      </c>
      <c r="G53" s="2" t="s">
        <v>11</v>
      </c>
      <c r="H53" s="2">
        <v>5096</v>
      </c>
      <c r="I53" s="24" t="s">
        <v>103</v>
      </c>
      <c r="J53" s="4">
        <v>151</v>
      </c>
      <c r="K53" s="4" t="s">
        <v>58</v>
      </c>
      <c r="L53" s="13">
        <v>0.11700000000000001</v>
      </c>
      <c r="M53" s="13">
        <f t="shared" si="3"/>
        <v>0.28899999999999998</v>
      </c>
      <c r="N53" s="14">
        <f t="shared" si="2"/>
        <v>1169.5425399999999</v>
      </c>
    </row>
    <row r="54" spans="6:14" x14ac:dyDescent="0.25">
      <c r="F54" s="23">
        <v>51</v>
      </c>
      <c r="G54" s="21" t="s">
        <v>11</v>
      </c>
      <c r="H54" s="23">
        <v>5097</v>
      </c>
      <c r="I54" s="38" t="s">
        <v>102</v>
      </c>
      <c r="J54" s="23">
        <v>163200</v>
      </c>
      <c r="K54" s="20" t="s">
        <v>106</v>
      </c>
      <c r="L54" s="18">
        <v>0.66</v>
      </c>
      <c r="M54" s="18">
        <f t="shared" si="3"/>
        <v>1.631</v>
      </c>
      <c r="N54" s="17">
        <f t="shared" si="2"/>
        <v>6600.4286600000005</v>
      </c>
    </row>
    <row r="55" spans="6:14" x14ac:dyDescent="0.25">
      <c r="F55" s="20">
        <v>52</v>
      </c>
      <c r="G55" s="21" t="s">
        <v>11</v>
      </c>
      <c r="H55" s="20">
        <v>5098</v>
      </c>
      <c r="I55" s="26" t="s">
        <v>102</v>
      </c>
      <c r="J55" s="20">
        <v>200</v>
      </c>
      <c r="K55" s="20" t="s">
        <v>60</v>
      </c>
      <c r="L55" s="18">
        <v>5.1999999999999998E-2</v>
      </c>
      <c r="M55" s="18">
        <f t="shared" ref="M55:M63" si="4">ROUND(L55*2.471,3)</f>
        <v>0.128</v>
      </c>
      <c r="N55" s="17">
        <f t="shared" si="2"/>
        <v>517.99808000000007</v>
      </c>
    </row>
    <row r="56" spans="6:14" x14ac:dyDescent="0.25">
      <c r="F56" s="20">
        <v>53</v>
      </c>
      <c r="G56" s="21" t="s">
        <v>11</v>
      </c>
      <c r="H56" s="20">
        <v>5099</v>
      </c>
      <c r="I56" s="26" t="s">
        <v>102</v>
      </c>
      <c r="J56" s="20">
        <v>200</v>
      </c>
      <c r="K56" s="20" t="s">
        <v>60</v>
      </c>
      <c r="L56" s="18">
        <v>2.8000000000000001E-2</v>
      </c>
      <c r="M56" s="18">
        <f t="shared" si="4"/>
        <v>6.9000000000000006E-2</v>
      </c>
      <c r="N56" s="17">
        <f t="shared" si="2"/>
        <v>279.23334000000006</v>
      </c>
    </row>
    <row r="57" spans="6:14" x14ac:dyDescent="0.25">
      <c r="F57" s="20">
        <v>54</v>
      </c>
      <c r="G57" s="21" t="s">
        <v>11</v>
      </c>
      <c r="H57" s="20">
        <v>5100</v>
      </c>
      <c r="I57" s="38" t="s">
        <v>102</v>
      </c>
      <c r="J57" s="20">
        <v>200</v>
      </c>
      <c r="K57" s="20" t="s">
        <v>60</v>
      </c>
      <c r="L57" s="18">
        <v>3.7999999999999999E-2</v>
      </c>
      <c r="M57" s="18">
        <f t="shared" si="4"/>
        <v>9.4E-2</v>
      </c>
      <c r="N57" s="17">
        <f t="shared" si="2"/>
        <v>380.40484000000004</v>
      </c>
    </row>
    <row r="58" spans="6:14" ht="15" customHeight="1" x14ac:dyDescent="0.25">
      <c r="F58" s="20">
        <v>55</v>
      </c>
      <c r="G58" s="21" t="s">
        <v>12</v>
      </c>
      <c r="H58" s="20">
        <v>5112</v>
      </c>
      <c r="I58" s="26" t="s">
        <v>103</v>
      </c>
      <c r="J58" s="20">
        <v>105</v>
      </c>
      <c r="K58" s="20" t="s">
        <v>92</v>
      </c>
      <c r="L58" s="18">
        <v>2.2269999999999999</v>
      </c>
      <c r="M58" s="18">
        <f t="shared" si="4"/>
        <v>5.5030000000000001</v>
      </c>
      <c r="N58" s="17">
        <f t="shared" si="2"/>
        <v>22269.870580000003</v>
      </c>
    </row>
    <row r="59" spans="6:14" x14ac:dyDescent="0.25">
      <c r="F59" s="2">
        <v>56</v>
      </c>
      <c r="G59" s="2" t="s">
        <v>12</v>
      </c>
      <c r="H59" s="2">
        <v>5115</v>
      </c>
      <c r="I59" s="25" t="s">
        <v>102</v>
      </c>
      <c r="J59" s="4">
        <v>126</v>
      </c>
      <c r="K59" s="4" t="s">
        <v>61</v>
      </c>
      <c r="L59" s="13">
        <v>0.106</v>
      </c>
      <c r="M59" s="13">
        <f t="shared" si="4"/>
        <v>0.26200000000000001</v>
      </c>
      <c r="N59" s="14">
        <f t="shared" si="2"/>
        <v>1060.2773200000001</v>
      </c>
    </row>
    <row r="60" spans="6:14" x14ac:dyDescent="0.25">
      <c r="F60" s="20">
        <v>57</v>
      </c>
      <c r="G60" s="21" t="s">
        <v>12</v>
      </c>
      <c r="H60" s="20">
        <v>5116</v>
      </c>
      <c r="I60" s="26" t="s">
        <v>102</v>
      </c>
      <c r="J60" s="20">
        <v>126</v>
      </c>
      <c r="K60" s="20" t="s">
        <v>61</v>
      </c>
      <c r="L60" s="18">
        <v>0.106</v>
      </c>
      <c r="M60" s="18">
        <f t="shared" si="4"/>
        <v>0.26200000000000001</v>
      </c>
      <c r="N60" s="17">
        <f t="shared" si="2"/>
        <v>1060.2773200000001</v>
      </c>
    </row>
    <row r="61" spans="6:14" x14ac:dyDescent="0.25">
      <c r="F61" s="2">
        <v>58</v>
      </c>
      <c r="G61" s="2" t="s">
        <v>12</v>
      </c>
      <c r="H61" s="2">
        <v>5117</v>
      </c>
      <c r="I61" s="26" t="s">
        <v>102</v>
      </c>
      <c r="J61" s="4">
        <v>126</v>
      </c>
      <c r="K61" s="4" t="s">
        <v>61</v>
      </c>
      <c r="L61" s="15">
        <v>0.106</v>
      </c>
      <c r="M61" s="13">
        <f t="shared" si="4"/>
        <v>0.26200000000000001</v>
      </c>
      <c r="N61" s="17">
        <f t="shared" si="2"/>
        <v>1060.2773200000001</v>
      </c>
    </row>
    <row r="62" spans="6:14" x14ac:dyDescent="0.25">
      <c r="F62" s="2">
        <v>59</v>
      </c>
      <c r="G62" s="2" t="s">
        <v>12</v>
      </c>
      <c r="H62" s="2">
        <v>5118</v>
      </c>
      <c r="I62" s="26" t="s">
        <v>102</v>
      </c>
      <c r="J62" s="4">
        <v>126</v>
      </c>
      <c r="K62" s="4" t="s">
        <v>61</v>
      </c>
      <c r="L62" s="15">
        <v>0.106</v>
      </c>
      <c r="M62" s="13">
        <f t="shared" si="4"/>
        <v>0.26200000000000001</v>
      </c>
      <c r="N62" s="14">
        <f t="shared" si="2"/>
        <v>1060.2773200000001</v>
      </c>
    </row>
    <row r="63" spans="6:14" ht="15" customHeight="1" x14ac:dyDescent="0.25">
      <c r="F63" s="101">
        <v>60</v>
      </c>
      <c r="G63" s="101" t="s">
        <v>12</v>
      </c>
      <c r="H63" s="101">
        <v>5122</v>
      </c>
      <c r="I63" s="102" t="s">
        <v>103</v>
      </c>
      <c r="J63" s="101" t="s">
        <v>41</v>
      </c>
      <c r="K63" s="100" t="s">
        <v>93</v>
      </c>
      <c r="L63" s="99">
        <f>0.168+0.275+0.565+0.152</f>
        <v>1.1599999999999999</v>
      </c>
      <c r="M63" s="99">
        <f t="shared" si="4"/>
        <v>2.8660000000000001</v>
      </c>
      <c r="N63" s="98">
        <f t="shared" si="2"/>
        <v>11598.30076</v>
      </c>
    </row>
    <row r="64" spans="6:14" ht="15" customHeight="1" x14ac:dyDescent="0.25">
      <c r="F64" s="101"/>
      <c r="G64" s="101"/>
      <c r="H64" s="101"/>
      <c r="I64" s="103"/>
      <c r="J64" s="101"/>
      <c r="K64" s="101"/>
      <c r="L64" s="99"/>
      <c r="M64" s="99"/>
      <c r="N64" s="98"/>
    </row>
    <row r="65" spans="6:14" ht="15" customHeight="1" x14ac:dyDescent="0.25">
      <c r="F65" s="101"/>
      <c r="G65" s="101"/>
      <c r="H65" s="101"/>
      <c r="I65" s="103"/>
      <c r="J65" s="101"/>
      <c r="K65" s="101"/>
      <c r="L65" s="99"/>
      <c r="M65" s="99"/>
      <c r="N65" s="98"/>
    </row>
    <row r="66" spans="6:14" ht="15" customHeight="1" x14ac:dyDescent="0.25">
      <c r="F66" s="101"/>
      <c r="G66" s="101"/>
      <c r="H66" s="101"/>
      <c r="I66" s="103"/>
      <c r="J66" s="101"/>
      <c r="K66" s="101"/>
      <c r="L66" s="99"/>
      <c r="M66" s="99"/>
      <c r="N66" s="98"/>
    </row>
    <row r="67" spans="6:14" ht="15" customHeight="1" x14ac:dyDescent="0.25">
      <c r="F67" s="101"/>
      <c r="G67" s="101"/>
      <c r="H67" s="101"/>
      <c r="I67" s="104"/>
      <c r="J67" s="101"/>
      <c r="K67" s="101"/>
      <c r="L67" s="99"/>
      <c r="M67" s="99"/>
      <c r="N67" s="98"/>
    </row>
    <row r="68" spans="6:14" ht="15.75" x14ac:dyDescent="0.25">
      <c r="F68" s="2">
        <v>61</v>
      </c>
      <c r="G68" s="2" t="s">
        <v>12</v>
      </c>
      <c r="H68" s="2">
        <v>5123</v>
      </c>
      <c r="I68" s="28" t="s">
        <v>102</v>
      </c>
      <c r="J68" s="4">
        <v>226</v>
      </c>
      <c r="K68" s="20" t="s">
        <v>94</v>
      </c>
      <c r="L68" s="15">
        <v>0.71699999999999997</v>
      </c>
      <c r="M68" s="13">
        <f t="shared" ref="M68:M79" si="5">ROUND(L68*2.471,3)</f>
        <v>1.772</v>
      </c>
      <c r="N68" s="14">
        <f t="shared" si="2"/>
        <v>7171.0359200000003</v>
      </c>
    </row>
    <row r="69" spans="6:14" ht="15.75" x14ac:dyDescent="0.25">
      <c r="F69" s="2">
        <v>62</v>
      </c>
      <c r="G69" s="2" t="s">
        <v>12</v>
      </c>
      <c r="H69" s="2">
        <v>5124</v>
      </c>
      <c r="I69" s="28" t="s">
        <v>102</v>
      </c>
      <c r="J69" s="4">
        <v>226</v>
      </c>
      <c r="K69" s="4" t="s">
        <v>94</v>
      </c>
      <c r="L69" s="13">
        <v>0.23899999999999999</v>
      </c>
      <c r="M69" s="13">
        <f t="shared" si="5"/>
        <v>0.59099999999999997</v>
      </c>
      <c r="N69" s="14">
        <f t="shared" si="2"/>
        <v>2391.6942599999998</v>
      </c>
    </row>
    <row r="70" spans="6:14" ht="15.75" x14ac:dyDescent="0.25">
      <c r="F70" s="2">
        <v>63</v>
      </c>
      <c r="G70" s="2" t="s">
        <v>12</v>
      </c>
      <c r="H70" s="2">
        <v>5125</v>
      </c>
      <c r="I70" s="29" t="s">
        <v>103</v>
      </c>
      <c r="J70" s="4">
        <v>191</v>
      </c>
      <c r="K70" s="4" t="s">
        <v>62</v>
      </c>
      <c r="L70" s="13">
        <v>9.6000000000000002E-2</v>
      </c>
      <c r="M70" s="13">
        <f t="shared" si="5"/>
        <v>0.23699999999999999</v>
      </c>
      <c r="N70" s="14">
        <f t="shared" si="2"/>
        <v>959.10581999999999</v>
      </c>
    </row>
    <row r="71" spans="6:14" ht="15" customHeight="1" x14ac:dyDescent="0.25">
      <c r="F71" s="20">
        <v>64</v>
      </c>
      <c r="G71" s="21" t="s">
        <v>12</v>
      </c>
      <c r="H71" s="20">
        <v>5126</v>
      </c>
      <c r="I71" s="37" t="s">
        <v>102</v>
      </c>
      <c r="J71" s="20">
        <v>249</v>
      </c>
      <c r="K71" s="20" t="s">
        <v>63</v>
      </c>
      <c r="L71" s="18">
        <v>0.17299999999999999</v>
      </c>
      <c r="M71" s="18">
        <f t="shared" si="5"/>
        <v>0.42699999999999999</v>
      </c>
      <c r="N71" s="17">
        <f t="shared" si="2"/>
        <v>1728.0092199999999</v>
      </c>
    </row>
    <row r="72" spans="6:14" ht="15.75" x14ac:dyDescent="0.25">
      <c r="F72" s="2">
        <v>65</v>
      </c>
      <c r="G72" s="2" t="s">
        <v>13</v>
      </c>
      <c r="H72" s="2">
        <v>5134</v>
      </c>
      <c r="I72" s="29" t="s">
        <v>102</v>
      </c>
      <c r="J72" s="4">
        <v>249</v>
      </c>
      <c r="K72" s="4" t="s">
        <v>63</v>
      </c>
      <c r="L72" s="13">
        <v>8.6999999999999994E-2</v>
      </c>
      <c r="M72" s="13">
        <f t="shared" si="5"/>
        <v>0.215</v>
      </c>
      <c r="N72" s="14">
        <f t="shared" si="2"/>
        <v>870.07490000000007</v>
      </c>
    </row>
    <row r="73" spans="6:14" ht="15" customHeight="1" x14ac:dyDescent="0.25">
      <c r="F73" s="21">
        <v>66</v>
      </c>
      <c r="G73" s="21" t="s">
        <v>13</v>
      </c>
      <c r="H73" s="21">
        <v>5135</v>
      </c>
      <c r="I73" s="35" t="s">
        <v>103</v>
      </c>
      <c r="J73" s="21">
        <v>32</v>
      </c>
      <c r="K73" s="21">
        <v>304</v>
      </c>
      <c r="L73" s="18">
        <v>0.10100000000000001</v>
      </c>
      <c r="M73" s="18">
        <f t="shared" si="5"/>
        <v>0.25</v>
      </c>
      <c r="N73" s="17">
        <f t="shared" si="2"/>
        <v>1011.715</v>
      </c>
    </row>
    <row r="74" spans="6:14" ht="15" customHeight="1" x14ac:dyDescent="0.25">
      <c r="F74" s="21">
        <v>67</v>
      </c>
      <c r="G74" s="21" t="s">
        <v>13</v>
      </c>
      <c r="H74" s="21">
        <v>5136</v>
      </c>
      <c r="I74" s="35" t="s">
        <v>103</v>
      </c>
      <c r="J74" s="21">
        <v>74</v>
      </c>
      <c r="K74" s="21">
        <v>309</v>
      </c>
      <c r="L74" s="18">
        <v>0.23699999999999999</v>
      </c>
      <c r="M74" s="18">
        <f t="shared" si="5"/>
        <v>0.58599999999999997</v>
      </c>
      <c r="N74" s="17">
        <f t="shared" si="2"/>
        <v>2371.4599600000001</v>
      </c>
    </row>
    <row r="75" spans="6:14" ht="15.75" x14ac:dyDescent="0.25">
      <c r="F75" s="2">
        <v>68</v>
      </c>
      <c r="G75" s="2" t="s">
        <v>13</v>
      </c>
      <c r="H75" s="2">
        <v>5137</v>
      </c>
      <c r="I75" s="29" t="s">
        <v>103</v>
      </c>
      <c r="J75" s="4">
        <v>47</v>
      </c>
      <c r="K75" s="4" t="s">
        <v>95</v>
      </c>
      <c r="L75" s="13">
        <v>0.86599999999999999</v>
      </c>
      <c r="M75" s="13">
        <f t="shared" si="5"/>
        <v>2.14</v>
      </c>
      <c r="N75" s="14">
        <f t="shared" si="2"/>
        <v>8660.2804000000015</v>
      </c>
    </row>
    <row r="76" spans="6:14" ht="15.75" x14ac:dyDescent="0.25">
      <c r="F76" s="2">
        <v>69</v>
      </c>
      <c r="G76" s="2" t="s">
        <v>13</v>
      </c>
      <c r="H76" s="2">
        <v>5140</v>
      </c>
      <c r="I76" s="29" t="s">
        <v>102</v>
      </c>
      <c r="J76" s="4">
        <v>165</v>
      </c>
      <c r="K76" s="4" t="s">
        <v>48</v>
      </c>
      <c r="L76" s="13">
        <v>0.61199999999999999</v>
      </c>
      <c r="M76" s="13">
        <f t="shared" si="5"/>
        <v>1.512</v>
      </c>
      <c r="N76" s="14">
        <f t="shared" si="2"/>
        <v>6118.85232</v>
      </c>
    </row>
    <row r="77" spans="6:14" ht="15" customHeight="1" x14ac:dyDescent="0.25">
      <c r="F77" s="20">
        <v>70</v>
      </c>
      <c r="G77" s="21" t="s">
        <v>13</v>
      </c>
      <c r="H77" s="20">
        <v>5141</v>
      </c>
      <c r="I77" s="35" t="s">
        <v>103</v>
      </c>
      <c r="J77" s="20">
        <v>72</v>
      </c>
      <c r="K77" s="20" t="s">
        <v>96</v>
      </c>
      <c r="L77" s="18">
        <v>0.33500000000000002</v>
      </c>
      <c r="M77" s="18">
        <f t="shared" si="5"/>
        <v>0.82799999999999996</v>
      </c>
      <c r="N77" s="17">
        <f t="shared" si="2"/>
        <v>3350.80008</v>
      </c>
    </row>
    <row r="78" spans="6:14" ht="30" x14ac:dyDescent="0.25">
      <c r="F78" s="2">
        <v>71</v>
      </c>
      <c r="G78" s="2" t="s">
        <v>13</v>
      </c>
      <c r="H78" s="2">
        <v>5142</v>
      </c>
      <c r="I78" s="33" t="s">
        <v>103</v>
      </c>
      <c r="J78" s="9">
        <v>47197</v>
      </c>
      <c r="K78" s="20" t="s">
        <v>97</v>
      </c>
      <c r="L78" s="13">
        <v>0.94499999999999995</v>
      </c>
      <c r="M78" s="13">
        <f t="shared" si="5"/>
        <v>2.335</v>
      </c>
      <c r="N78" s="14">
        <f t="shared" ref="N78:N111" si="6">(M78*4046.86)</f>
        <v>9449.4181000000008</v>
      </c>
    </row>
    <row r="79" spans="6:14" ht="15" customHeight="1" x14ac:dyDescent="0.25">
      <c r="F79" s="20">
        <v>72</v>
      </c>
      <c r="G79" s="21" t="s">
        <v>13</v>
      </c>
      <c r="H79" s="20">
        <v>5143</v>
      </c>
      <c r="I79" s="34" t="s">
        <v>103</v>
      </c>
      <c r="J79" s="20">
        <v>98</v>
      </c>
      <c r="K79" s="20" t="s">
        <v>98</v>
      </c>
      <c r="L79" s="18">
        <v>1.2509999999999999</v>
      </c>
      <c r="M79" s="18">
        <f t="shared" si="5"/>
        <v>3.0910000000000002</v>
      </c>
      <c r="N79" s="17">
        <f t="shared" si="6"/>
        <v>12508.844260000002</v>
      </c>
    </row>
    <row r="80" spans="6:14" ht="15.75" x14ac:dyDescent="0.25">
      <c r="F80" s="2">
        <v>73</v>
      </c>
      <c r="G80" s="2" t="s">
        <v>13</v>
      </c>
      <c r="H80" s="2">
        <v>5144</v>
      </c>
      <c r="I80" s="29" t="s">
        <v>103</v>
      </c>
      <c r="J80" s="5">
        <v>165</v>
      </c>
      <c r="K80" s="5" t="s">
        <v>64</v>
      </c>
      <c r="L80" s="13">
        <v>0.104</v>
      </c>
      <c r="M80" s="13">
        <f t="shared" ref="M80:M89" si="7">ROUND(L80*2.471,3)</f>
        <v>0.25700000000000001</v>
      </c>
      <c r="N80" s="14">
        <f t="shared" si="6"/>
        <v>1040.0430200000001</v>
      </c>
    </row>
    <row r="81" spans="6:14" ht="15.75" x14ac:dyDescent="0.25">
      <c r="F81" s="2">
        <v>74</v>
      </c>
      <c r="G81" s="2" t="s">
        <v>14</v>
      </c>
      <c r="H81" s="2">
        <v>5146</v>
      </c>
      <c r="I81" s="29" t="s">
        <v>103</v>
      </c>
      <c r="J81" s="4">
        <v>94</v>
      </c>
      <c r="K81" s="4" t="s">
        <v>40</v>
      </c>
      <c r="L81" s="13">
        <v>1.2999999999999999E-2</v>
      </c>
      <c r="M81" s="13">
        <f t="shared" si="7"/>
        <v>3.2000000000000001E-2</v>
      </c>
      <c r="N81" s="14">
        <f t="shared" si="6"/>
        <v>129.49952000000002</v>
      </c>
    </row>
    <row r="82" spans="6:14" ht="15.75" x14ac:dyDescent="0.25">
      <c r="F82" s="2">
        <v>75</v>
      </c>
      <c r="G82" s="2" t="s">
        <v>14</v>
      </c>
      <c r="H82" s="2">
        <v>5162</v>
      </c>
      <c r="I82" s="29" t="s">
        <v>103</v>
      </c>
      <c r="J82" s="4">
        <v>51</v>
      </c>
      <c r="K82" s="20" t="s">
        <v>84</v>
      </c>
      <c r="L82" s="15">
        <v>0.85399999999999998</v>
      </c>
      <c r="M82" s="13">
        <f t="shared" si="7"/>
        <v>2.11</v>
      </c>
      <c r="N82" s="14">
        <f t="shared" si="6"/>
        <v>8538.8745999999992</v>
      </c>
    </row>
    <row r="83" spans="6:14" ht="15.75" x14ac:dyDescent="0.25">
      <c r="F83" s="2">
        <v>76</v>
      </c>
      <c r="G83" s="3" t="s">
        <v>14</v>
      </c>
      <c r="H83" s="2">
        <v>5163</v>
      </c>
      <c r="I83" s="29" t="s">
        <v>103</v>
      </c>
      <c r="J83" s="3">
        <v>51</v>
      </c>
      <c r="K83" s="3" t="s">
        <v>84</v>
      </c>
      <c r="L83" s="15">
        <v>0.85399999999999998</v>
      </c>
      <c r="M83" s="13">
        <f t="shared" si="7"/>
        <v>2.11</v>
      </c>
      <c r="N83" s="14">
        <f t="shared" si="6"/>
        <v>8538.8745999999992</v>
      </c>
    </row>
    <row r="84" spans="6:14" ht="15" customHeight="1" x14ac:dyDescent="0.25">
      <c r="F84" s="2">
        <v>77</v>
      </c>
      <c r="G84" s="3" t="s">
        <v>14</v>
      </c>
      <c r="H84" s="2">
        <v>5164</v>
      </c>
      <c r="I84" s="29" t="s">
        <v>103</v>
      </c>
      <c r="J84" s="5">
        <v>47</v>
      </c>
      <c r="K84" s="20" t="s">
        <v>99</v>
      </c>
      <c r="L84" s="15">
        <v>0.86599999999999999</v>
      </c>
      <c r="M84" s="13">
        <f t="shared" si="7"/>
        <v>2.14</v>
      </c>
      <c r="N84" s="14">
        <f t="shared" si="6"/>
        <v>8660.2804000000015</v>
      </c>
    </row>
    <row r="85" spans="6:14" ht="15" customHeight="1" x14ac:dyDescent="0.25">
      <c r="F85" s="2">
        <v>78</v>
      </c>
      <c r="G85" s="3" t="s">
        <v>14</v>
      </c>
      <c r="H85" s="2">
        <v>5165</v>
      </c>
      <c r="I85" s="29" t="s">
        <v>103</v>
      </c>
      <c r="J85" s="5">
        <v>36</v>
      </c>
      <c r="K85" s="20" t="s">
        <v>100</v>
      </c>
      <c r="L85" s="15">
        <v>0.94899999999999995</v>
      </c>
      <c r="M85" s="13">
        <f t="shared" si="7"/>
        <v>2.3450000000000002</v>
      </c>
      <c r="N85" s="14">
        <f t="shared" si="6"/>
        <v>9489.8867000000009</v>
      </c>
    </row>
    <row r="86" spans="6:14" ht="15" customHeight="1" x14ac:dyDescent="0.25">
      <c r="F86" s="2">
        <v>79</v>
      </c>
      <c r="G86" s="3" t="s">
        <v>15</v>
      </c>
      <c r="H86" s="2">
        <v>5169</v>
      </c>
      <c r="I86" s="30" t="s">
        <v>103</v>
      </c>
      <c r="J86" s="12">
        <v>57151</v>
      </c>
      <c r="K86" s="5" t="s">
        <v>65</v>
      </c>
      <c r="L86" s="15">
        <v>0.159</v>
      </c>
      <c r="M86" s="15">
        <f t="shared" si="7"/>
        <v>0.39300000000000002</v>
      </c>
      <c r="N86" s="14">
        <f t="shared" si="6"/>
        <v>1590.4159800000002</v>
      </c>
    </row>
    <row r="87" spans="6:14" ht="15" customHeight="1" x14ac:dyDescent="0.25">
      <c r="F87" s="2">
        <v>80</v>
      </c>
      <c r="G87" s="3" t="s">
        <v>16</v>
      </c>
      <c r="H87" s="2">
        <v>5579</v>
      </c>
      <c r="I87" s="29" t="s">
        <v>103</v>
      </c>
      <c r="J87" s="5">
        <v>51</v>
      </c>
      <c r="K87" s="20" t="s">
        <v>84</v>
      </c>
      <c r="L87" s="15">
        <v>0.28499999999999998</v>
      </c>
      <c r="M87" s="13">
        <f t="shared" si="7"/>
        <v>0.70399999999999996</v>
      </c>
      <c r="N87" s="14">
        <f t="shared" si="6"/>
        <v>2848.9894399999998</v>
      </c>
    </row>
    <row r="88" spans="6:14" ht="15" customHeight="1" x14ac:dyDescent="0.25">
      <c r="F88" s="2">
        <v>81</v>
      </c>
      <c r="G88" s="2" t="s">
        <v>17</v>
      </c>
      <c r="H88" s="2">
        <v>6864</v>
      </c>
      <c r="I88" s="53" t="s">
        <v>104</v>
      </c>
      <c r="J88" s="50">
        <v>2</v>
      </c>
      <c r="K88" s="4" t="s">
        <v>66</v>
      </c>
      <c r="L88" s="13">
        <v>0.12</v>
      </c>
      <c r="M88" s="13">
        <f t="shared" si="7"/>
        <v>0.29699999999999999</v>
      </c>
      <c r="N88" s="14">
        <f t="shared" si="6"/>
        <v>1201.91742</v>
      </c>
    </row>
    <row r="89" spans="6:14" ht="15" customHeight="1" x14ac:dyDescent="0.25">
      <c r="F89" s="20">
        <v>82</v>
      </c>
      <c r="G89" s="21" t="s">
        <v>18</v>
      </c>
      <c r="H89" s="20">
        <v>10671</v>
      </c>
      <c r="I89" s="36" t="s">
        <v>103</v>
      </c>
      <c r="J89" s="20">
        <v>47</v>
      </c>
      <c r="K89" s="20" t="s">
        <v>67</v>
      </c>
      <c r="L89" s="18">
        <v>6.8000000000000005E-2</v>
      </c>
      <c r="M89" s="18">
        <f t="shared" si="7"/>
        <v>0.16800000000000001</v>
      </c>
      <c r="N89" s="17">
        <f t="shared" si="6"/>
        <v>679.87248000000011</v>
      </c>
    </row>
    <row r="90" spans="6:14" ht="15" customHeight="1" x14ac:dyDescent="0.25">
      <c r="F90" s="21">
        <v>83</v>
      </c>
      <c r="G90" s="21" t="s">
        <v>19</v>
      </c>
      <c r="H90" s="21">
        <v>10757</v>
      </c>
      <c r="I90" s="35" t="s">
        <v>103</v>
      </c>
      <c r="J90" s="21">
        <v>105</v>
      </c>
      <c r="K90" s="21">
        <v>246</v>
      </c>
      <c r="L90" s="18">
        <v>6.2E-2</v>
      </c>
      <c r="M90" s="18">
        <f>ROUND(L90*2.471,3)</f>
        <v>0.153</v>
      </c>
      <c r="N90" s="17">
        <f t="shared" si="6"/>
        <v>619.16958</v>
      </c>
    </row>
    <row r="91" spans="6:14" ht="15" customHeight="1" x14ac:dyDescent="0.25">
      <c r="F91" s="20">
        <v>84</v>
      </c>
      <c r="G91" s="21" t="s">
        <v>20</v>
      </c>
      <c r="H91" s="20">
        <v>10826</v>
      </c>
      <c r="I91" s="28" t="s">
        <v>102</v>
      </c>
      <c r="J91" s="20">
        <v>275</v>
      </c>
      <c r="K91" s="20" t="s">
        <v>68</v>
      </c>
      <c r="L91" s="18">
        <v>7.5999999999999998E-2</v>
      </c>
      <c r="M91" s="18">
        <f>ROUND(L91*2.471,3)</f>
        <v>0.188</v>
      </c>
      <c r="N91" s="17">
        <f t="shared" si="6"/>
        <v>760.80968000000007</v>
      </c>
    </row>
    <row r="92" spans="6:14" ht="15.75" x14ac:dyDescent="0.25">
      <c r="F92" s="2">
        <v>85</v>
      </c>
      <c r="G92" s="3" t="s">
        <v>21</v>
      </c>
      <c r="H92" s="2">
        <v>11002</v>
      </c>
      <c r="I92" s="29" t="s">
        <v>103</v>
      </c>
      <c r="J92" s="3" t="s">
        <v>42</v>
      </c>
      <c r="K92" s="5" t="s">
        <v>69</v>
      </c>
      <c r="L92" s="15">
        <f>0.045+0.063</f>
        <v>0.108</v>
      </c>
      <c r="M92" s="13">
        <f t="shared" ref="M92:M97" si="8">ROUND(L92*2.471,3)</f>
        <v>0.26700000000000002</v>
      </c>
      <c r="N92" s="14">
        <f t="shared" si="6"/>
        <v>1080.51162</v>
      </c>
    </row>
    <row r="93" spans="6:14" ht="15.75" x14ac:dyDescent="0.25">
      <c r="F93" s="2">
        <v>86</v>
      </c>
      <c r="G93" s="2" t="s">
        <v>22</v>
      </c>
      <c r="H93" s="2">
        <v>11082</v>
      </c>
      <c r="I93" s="54" t="s">
        <v>104</v>
      </c>
      <c r="J93" s="51">
        <v>68</v>
      </c>
      <c r="K93" s="2">
        <v>326</v>
      </c>
      <c r="L93" s="13">
        <v>0.01</v>
      </c>
      <c r="M93" s="13">
        <f t="shared" si="8"/>
        <v>2.5000000000000001E-2</v>
      </c>
      <c r="N93" s="14">
        <f t="shared" si="6"/>
        <v>101.17150000000001</v>
      </c>
    </row>
    <row r="94" spans="6:14" ht="15.75" x14ac:dyDescent="0.25">
      <c r="F94" s="2">
        <v>87</v>
      </c>
      <c r="G94" s="2" t="s">
        <v>22</v>
      </c>
      <c r="H94" s="2">
        <v>11083</v>
      </c>
      <c r="I94" s="54" t="s">
        <v>104</v>
      </c>
      <c r="J94" s="51">
        <v>2</v>
      </c>
      <c r="K94" s="2">
        <v>327</v>
      </c>
      <c r="L94" s="13">
        <v>7.4999999999999997E-2</v>
      </c>
      <c r="M94" s="13">
        <f t="shared" si="8"/>
        <v>0.185</v>
      </c>
      <c r="N94" s="14">
        <f t="shared" si="6"/>
        <v>748.66910000000007</v>
      </c>
    </row>
    <row r="95" spans="6:14" ht="15.75" x14ac:dyDescent="0.25">
      <c r="F95" s="2">
        <v>88</v>
      </c>
      <c r="G95" s="2" t="s">
        <v>23</v>
      </c>
      <c r="H95" s="2">
        <v>712</v>
      </c>
      <c r="I95" s="31" t="s">
        <v>102</v>
      </c>
      <c r="J95" s="7">
        <v>56</v>
      </c>
      <c r="K95" s="7">
        <v>26662667</v>
      </c>
      <c r="L95" s="13">
        <v>6.3E-2</v>
      </c>
      <c r="M95" s="13">
        <f t="shared" si="8"/>
        <v>0.156</v>
      </c>
      <c r="N95" s="14">
        <f t="shared" si="6"/>
        <v>631.31016</v>
      </c>
    </row>
    <row r="96" spans="6:14" ht="15.75" x14ac:dyDescent="0.25">
      <c r="F96" s="2">
        <v>89</v>
      </c>
      <c r="G96" s="2" t="s">
        <v>24</v>
      </c>
      <c r="H96" s="2">
        <v>742</v>
      </c>
      <c r="I96" s="31" t="s">
        <v>102</v>
      </c>
      <c r="J96" s="2">
        <v>136</v>
      </c>
      <c r="K96" s="2">
        <v>2836</v>
      </c>
      <c r="L96" s="13">
        <v>1.0999999999999999E-2</v>
      </c>
      <c r="M96" s="13">
        <f t="shared" si="8"/>
        <v>2.7E-2</v>
      </c>
      <c r="N96" s="14">
        <f t="shared" si="6"/>
        <v>109.26522</v>
      </c>
    </row>
    <row r="97" spans="6:14" ht="15" customHeight="1" x14ac:dyDescent="0.25">
      <c r="F97" s="20">
        <v>90</v>
      </c>
      <c r="G97" s="21" t="s">
        <v>24</v>
      </c>
      <c r="H97" s="20">
        <v>744</v>
      </c>
      <c r="I97" s="28" t="s">
        <v>102</v>
      </c>
      <c r="J97" s="20">
        <v>126</v>
      </c>
      <c r="K97" s="20" t="s">
        <v>70</v>
      </c>
      <c r="L97" s="18">
        <v>0.23300000000000001</v>
      </c>
      <c r="M97" s="18">
        <f t="shared" si="8"/>
        <v>0.57599999999999996</v>
      </c>
      <c r="N97" s="17">
        <f t="shared" si="6"/>
        <v>2330.99136</v>
      </c>
    </row>
    <row r="98" spans="6:14" ht="15.75" x14ac:dyDescent="0.25">
      <c r="F98" s="2">
        <v>91</v>
      </c>
      <c r="G98" s="2" t="s">
        <v>25</v>
      </c>
      <c r="H98" s="2">
        <v>3270</v>
      </c>
      <c r="I98" s="31" t="s">
        <v>102</v>
      </c>
      <c r="J98" s="2">
        <v>197</v>
      </c>
      <c r="K98" s="2">
        <v>2900</v>
      </c>
      <c r="L98" s="13">
        <v>0.104</v>
      </c>
      <c r="M98" s="13">
        <f t="shared" ref="M98:M105" si="9">ROUND(L98*2.471,3)</f>
        <v>0.25700000000000001</v>
      </c>
      <c r="N98" s="14">
        <f t="shared" si="6"/>
        <v>1040.0430200000001</v>
      </c>
    </row>
    <row r="99" spans="6:14" ht="15" customHeight="1" x14ac:dyDescent="0.25">
      <c r="F99" s="20">
        <v>92</v>
      </c>
      <c r="G99" s="21" t="s">
        <v>25</v>
      </c>
      <c r="H99" s="20">
        <v>3271</v>
      </c>
      <c r="I99" s="28" t="s">
        <v>102</v>
      </c>
      <c r="J99" s="20">
        <v>211</v>
      </c>
      <c r="K99" s="20" t="s">
        <v>71</v>
      </c>
      <c r="L99" s="18">
        <v>0.24</v>
      </c>
      <c r="M99" s="18">
        <f t="shared" si="9"/>
        <v>0.59299999999999997</v>
      </c>
      <c r="N99" s="17">
        <f t="shared" si="6"/>
        <v>2399.7879800000001</v>
      </c>
    </row>
    <row r="100" spans="6:14" ht="15" customHeight="1" x14ac:dyDescent="0.25">
      <c r="F100" s="21">
        <v>93</v>
      </c>
      <c r="G100" s="21" t="s">
        <v>26</v>
      </c>
      <c r="H100" s="21">
        <v>4978</v>
      </c>
      <c r="I100" s="28" t="s">
        <v>103</v>
      </c>
      <c r="J100" s="21">
        <v>36</v>
      </c>
      <c r="K100" s="21" t="s">
        <v>72</v>
      </c>
      <c r="L100" s="18">
        <v>0.14499999999999999</v>
      </c>
      <c r="M100" s="18">
        <f t="shared" si="9"/>
        <v>0.35799999999999998</v>
      </c>
      <c r="N100" s="17">
        <f t="shared" si="6"/>
        <v>1448.7758799999999</v>
      </c>
    </row>
    <row r="101" spans="6:14" ht="15.75" x14ac:dyDescent="0.25">
      <c r="F101" s="2">
        <v>94</v>
      </c>
      <c r="G101" s="3" t="s">
        <v>27</v>
      </c>
      <c r="H101" s="2">
        <v>5243</v>
      </c>
      <c r="I101" s="31" t="s">
        <v>102</v>
      </c>
      <c r="J101" s="4">
        <v>260</v>
      </c>
      <c r="K101" s="4" t="s">
        <v>73</v>
      </c>
      <c r="L101" s="13">
        <v>0.185</v>
      </c>
      <c r="M101" s="13">
        <f t="shared" si="9"/>
        <v>0.45700000000000002</v>
      </c>
      <c r="N101" s="14">
        <f t="shared" si="6"/>
        <v>1849.4150200000001</v>
      </c>
    </row>
    <row r="102" spans="6:14" ht="15" customHeight="1" x14ac:dyDescent="0.25">
      <c r="F102" s="20">
        <v>95</v>
      </c>
      <c r="G102" s="21" t="s">
        <v>27</v>
      </c>
      <c r="H102" s="20">
        <v>5244</v>
      </c>
      <c r="I102" s="28" t="s">
        <v>102</v>
      </c>
      <c r="J102" s="20">
        <v>275</v>
      </c>
      <c r="K102" s="20" t="s">
        <v>74</v>
      </c>
      <c r="L102" s="18">
        <v>3.7999999999999999E-2</v>
      </c>
      <c r="M102" s="18">
        <f t="shared" si="9"/>
        <v>9.4E-2</v>
      </c>
      <c r="N102" s="17">
        <f t="shared" si="6"/>
        <v>380.40484000000004</v>
      </c>
    </row>
    <row r="103" spans="6:14" ht="15.75" x14ac:dyDescent="0.25">
      <c r="F103" s="2">
        <v>96</v>
      </c>
      <c r="G103" s="3" t="s">
        <v>28</v>
      </c>
      <c r="H103" s="2">
        <v>6069</v>
      </c>
      <c r="I103" s="31" t="s">
        <v>102</v>
      </c>
      <c r="J103" s="10"/>
      <c r="K103" s="10" t="s">
        <v>75</v>
      </c>
      <c r="L103" s="13">
        <v>5.3999999999999999E-2</v>
      </c>
      <c r="M103" s="13">
        <f t="shared" si="9"/>
        <v>0.13300000000000001</v>
      </c>
      <c r="N103" s="14">
        <f t="shared" si="6"/>
        <v>538.23238000000003</v>
      </c>
    </row>
    <row r="104" spans="6:14" ht="15" customHeight="1" x14ac:dyDescent="0.25">
      <c r="F104" s="20">
        <v>97</v>
      </c>
      <c r="G104" s="21" t="s">
        <v>29</v>
      </c>
      <c r="H104" s="20">
        <v>6419</v>
      </c>
      <c r="I104" s="28" t="s">
        <v>102</v>
      </c>
      <c r="J104" s="20">
        <v>249</v>
      </c>
      <c r="K104" s="20" t="s">
        <v>75</v>
      </c>
      <c r="L104" s="18">
        <v>0.11700000000000001</v>
      </c>
      <c r="M104" s="18">
        <f t="shared" si="9"/>
        <v>0.28899999999999998</v>
      </c>
      <c r="N104" s="17">
        <f t="shared" si="6"/>
        <v>1169.5425399999999</v>
      </c>
    </row>
    <row r="105" spans="6:14" ht="15" customHeight="1" x14ac:dyDescent="0.25">
      <c r="F105" s="20">
        <v>98</v>
      </c>
      <c r="G105" s="21" t="s">
        <v>30</v>
      </c>
      <c r="H105" s="20">
        <v>6475</v>
      </c>
      <c r="I105" s="28" t="s">
        <v>102</v>
      </c>
      <c r="J105" s="20">
        <v>275</v>
      </c>
      <c r="K105" s="20" t="s">
        <v>76</v>
      </c>
      <c r="L105" s="18">
        <v>7.5999999999999998E-2</v>
      </c>
      <c r="M105" s="18">
        <f t="shared" si="9"/>
        <v>0.188</v>
      </c>
      <c r="N105" s="17">
        <f t="shared" si="6"/>
        <v>760.80968000000007</v>
      </c>
    </row>
    <row r="106" spans="6:14" ht="15.75" x14ac:dyDescent="0.25">
      <c r="F106" s="2">
        <v>99</v>
      </c>
      <c r="G106" s="3" t="s">
        <v>31</v>
      </c>
      <c r="H106" s="2">
        <v>6711</v>
      </c>
      <c r="I106" s="31" t="s">
        <v>103</v>
      </c>
      <c r="J106" s="10">
        <v>51</v>
      </c>
      <c r="K106" s="10">
        <v>126</v>
      </c>
      <c r="L106" s="13">
        <v>3.7999999999999999E-2</v>
      </c>
      <c r="M106" s="13">
        <f t="shared" ref="M106:M112" si="10">ROUND(L106*2.471,3)</f>
        <v>9.4E-2</v>
      </c>
      <c r="N106" s="14">
        <f t="shared" si="6"/>
        <v>380.40484000000004</v>
      </c>
    </row>
    <row r="107" spans="6:14" ht="15.75" x14ac:dyDescent="0.25">
      <c r="F107" s="2">
        <v>100</v>
      </c>
      <c r="G107" s="3" t="s">
        <v>32</v>
      </c>
      <c r="H107" s="2">
        <v>10348</v>
      </c>
      <c r="I107" s="31" t="s">
        <v>103</v>
      </c>
      <c r="J107" s="3">
        <v>72</v>
      </c>
      <c r="K107" s="3" t="s">
        <v>77</v>
      </c>
      <c r="L107" s="13">
        <v>0.108</v>
      </c>
      <c r="M107" s="13">
        <f t="shared" si="10"/>
        <v>0.26700000000000002</v>
      </c>
      <c r="N107" s="14">
        <f t="shared" si="6"/>
        <v>1080.51162</v>
      </c>
    </row>
    <row r="108" spans="6:14" ht="30" x14ac:dyDescent="0.25">
      <c r="F108" s="2">
        <v>101</v>
      </c>
      <c r="G108" s="3" t="s">
        <v>33</v>
      </c>
      <c r="H108" s="2">
        <v>4529</v>
      </c>
      <c r="I108" s="32" t="s">
        <v>104</v>
      </c>
      <c r="J108" s="3">
        <v>19</v>
      </c>
      <c r="K108" s="21" t="s">
        <v>81</v>
      </c>
      <c r="L108" s="13">
        <v>1.966</v>
      </c>
      <c r="M108" s="13">
        <f t="shared" si="10"/>
        <v>4.8579999999999997</v>
      </c>
      <c r="N108" s="14">
        <f t="shared" si="6"/>
        <v>19659.64588</v>
      </c>
    </row>
    <row r="109" spans="6:14" ht="15.75" x14ac:dyDescent="0.25">
      <c r="F109" s="2">
        <v>102</v>
      </c>
      <c r="G109" s="3" t="s">
        <v>34</v>
      </c>
      <c r="H109" s="2">
        <v>4799</v>
      </c>
      <c r="I109" s="32" t="s">
        <v>103</v>
      </c>
      <c r="J109" s="3">
        <v>19</v>
      </c>
      <c r="K109" s="3" t="s">
        <v>78</v>
      </c>
      <c r="L109" s="15">
        <v>0.05</v>
      </c>
      <c r="M109" s="13">
        <f t="shared" si="10"/>
        <v>0.124</v>
      </c>
      <c r="N109" s="14">
        <f t="shared" si="6"/>
        <v>501.81064000000003</v>
      </c>
    </row>
    <row r="110" spans="6:14" ht="15.75" x14ac:dyDescent="0.25">
      <c r="F110" s="2">
        <v>103</v>
      </c>
      <c r="G110" s="3" t="s">
        <v>35</v>
      </c>
      <c r="H110" s="2">
        <v>7426</v>
      </c>
      <c r="I110" s="32" t="s">
        <v>104</v>
      </c>
      <c r="J110" s="47"/>
      <c r="K110" s="3" t="s">
        <v>79</v>
      </c>
      <c r="L110" s="15">
        <v>6.2E-2</v>
      </c>
      <c r="M110" s="13">
        <f t="shared" si="10"/>
        <v>0.153</v>
      </c>
      <c r="N110" s="14">
        <f t="shared" si="6"/>
        <v>619.16958</v>
      </c>
    </row>
    <row r="111" spans="6:14" ht="15.75" x14ac:dyDescent="0.25">
      <c r="F111" s="2">
        <v>104</v>
      </c>
      <c r="G111" s="3" t="s">
        <v>36</v>
      </c>
      <c r="H111" s="2">
        <v>10212</v>
      </c>
      <c r="I111" s="31" t="s">
        <v>103</v>
      </c>
      <c r="J111" s="6">
        <v>1</v>
      </c>
      <c r="K111" s="6">
        <v>2.8128228328428501E+23</v>
      </c>
      <c r="L111" s="15">
        <v>0.28799999999999998</v>
      </c>
      <c r="M111" s="13">
        <f t="shared" si="10"/>
        <v>0.71199999999999997</v>
      </c>
      <c r="N111" s="14">
        <f t="shared" si="6"/>
        <v>2881.3643200000001</v>
      </c>
    </row>
    <row r="112" spans="6:14" ht="15.75" x14ac:dyDescent="0.25">
      <c r="F112" s="2">
        <v>105</v>
      </c>
      <c r="G112" s="3" t="s">
        <v>37</v>
      </c>
      <c r="H112" s="2">
        <v>4608</v>
      </c>
      <c r="I112" s="31" t="s">
        <v>103</v>
      </c>
      <c r="J112" s="3" t="s">
        <v>43</v>
      </c>
      <c r="K112" s="3" t="s">
        <v>101</v>
      </c>
      <c r="L112" s="15">
        <v>0.53800000000000003</v>
      </c>
      <c r="M112" s="13">
        <f t="shared" si="10"/>
        <v>1.329</v>
      </c>
      <c r="N112" s="14">
        <f>(M112*4046.86)</f>
        <v>5378.2769399999997</v>
      </c>
    </row>
    <row r="113" spans="6:15" x14ac:dyDescent="0.25">
      <c r="F113" s="97" t="s">
        <v>105</v>
      </c>
      <c r="G113" s="97"/>
      <c r="H113" s="97"/>
      <c r="I113" s="97"/>
      <c r="J113" s="97"/>
      <c r="K113" s="97"/>
      <c r="L113" s="16">
        <f>SUM(L4:L112)</f>
        <v>36.800999999999988</v>
      </c>
      <c r="M113" s="16">
        <f>SUM(M4:M112)</f>
        <v>90.938000000000017</v>
      </c>
      <c r="N113" s="16">
        <f>SUM(N4:N112)</f>
        <v>368013.35467999976</v>
      </c>
    </row>
    <row r="122" spans="6:15" x14ac:dyDescent="0.25">
      <c r="O122" t="e">
        <f>sum</f>
        <v>#NAME?</v>
      </c>
    </row>
  </sheetData>
  <autoFilter ref="F3:N113" xr:uid="{00000000-0009-0000-0000-000001000000}"/>
  <mergeCells count="11">
    <mergeCell ref="F2:N2"/>
    <mergeCell ref="F113:K113"/>
    <mergeCell ref="N63:N67"/>
    <mergeCell ref="L63:L67"/>
    <mergeCell ref="M63:M67"/>
    <mergeCell ref="K63:K67"/>
    <mergeCell ref="H63:H67"/>
    <mergeCell ref="J63:J67"/>
    <mergeCell ref="I63:I67"/>
    <mergeCell ref="F63:F67"/>
    <mergeCell ref="G63:G6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7:I16"/>
  <sheetViews>
    <sheetView topLeftCell="A7" workbookViewId="0">
      <selection activeCell="K9" sqref="K9"/>
    </sheetView>
  </sheetViews>
  <sheetFormatPr defaultRowHeight="15" x14ac:dyDescent="0.25"/>
  <cols>
    <col min="6" max="6" width="14.5703125" bestFit="1" customWidth="1"/>
  </cols>
  <sheetData>
    <row r="7" spans="5:9" x14ac:dyDescent="0.25">
      <c r="E7" s="108" t="s">
        <v>117</v>
      </c>
      <c r="F7" s="109"/>
      <c r="G7" s="109"/>
      <c r="H7" s="109"/>
      <c r="I7" s="109"/>
    </row>
    <row r="8" spans="5:9" ht="55.5" x14ac:dyDescent="0.25">
      <c r="E8" s="61" t="s">
        <v>118</v>
      </c>
      <c r="F8" s="61" t="s">
        <v>80</v>
      </c>
      <c r="G8" s="1" t="s">
        <v>119</v>
      </c>
      <c r="H8" s="1" t="s">
        <v>120</v>
      </c>
      <c r="I8" s="1" t="s">
        <v>121</v>
      </c>
    </row>
    <row r="9" spans="5:9" x14ac:dyDescent="0.25">
      <c r="E9" s="48">
        <v>1</v>
      </c>
      <c r="F9" s="48" t="s">
        <v>103</v>
      </c>
      <c r="G9" s="48">
        <v>62</v>
      </c>
      <c r="H9" s="62">
        <v>23.14</v>
      </c>
      <c r="I9" s="13">
        <f>(H9*2.471)</f>
        <v>57.178940000000004</v>
      </c>
    </row>
    <row r="10" spans="5:9" x14ac:dyDescent="0.25">
      <c r="E10" s="48">
        <v>2</v>
      </c>
      <c r="F10" s="48" t="s">
        <v>102</v>
      </c>
      <c r="G10" s="48">
        <v>34</v>
      </c>
      <c r="H10" s="48">
        <v>10.85</v>
      </c>
      <c r="I10" s="13">
        <f t="shared" ref="I10:I11" si="0">(H10*2.471)</f>
        <v>26.81035</v>
      </c>
    </row>
    <row r="11" spans="5:9" x14ac:dyDescent="0.25">
      <c r="E11" s="48">
        <v>3</v>
      </c>
      <c r="F11" s="48" t="s">
        <v>104</v>
      </c>
      <c r="G11" s="48">
        <v>9</v>
      </c>
      <c r="H11" s="48">
        <v>2.81</v>
      </c>
      <c r="I11" s="13">
        <f t="shared" si="0"/>
        <v>6.9435100000000007</v>
      </c>
    </row>
    <row r="12" spans="5:9" x14ac:dyDescent="0.25">
      <c r="E12" s="110" t="s">
        <v>105</v>
      </c>
      <c r="F12" s="110"/>
      <c r="G12" s="58">
        <f>SUM(G9:G11)</f>
        <v>105</v>
      </c>
      <c r="H12" s="63">
        <f>SUM(H9:H11)</f>
        <v>36.800000000000004</v>
      </c>
      <c r="I12" s="63">
        <f>SUM(I9:I11)</f>
        <v>90.932800000000015</v>
      </c>
    </row>
    <row r="13" spans="5:9" x14ac:dyDescent="0.25">
      <c r="E13" s="111" t="s">
        <v>122</v>
      </c>
      <c r="F13" s="112"/>
      <c r="G13" s="112"/>
      <c r="H13" s="112"/>
      <c r="I13" s="113"/>
    </row>
    <row r="14" spans="5:9" ht="31.5" customHeight="1" x14ac:dyDescent="0.25">
      <c r="E14" s="105" t="s">
        <v>123</v>
      </c>
      <c r="F14" s="106"/>
      <c r="G14" s="106"/>
      <c r="H14" s="106"/>
      <c r="I14" s="107"/>
    </row>
    <row r="15" spans="5:9" ht="58.5" customHeight="1" x14ac:dyDescent="0.25">
      <c r="E15" s="105" t="s">
        <v>124</v>
      </c>
      <c r="F15" s="106"/>
      <c r="G15" s="106"/>
      <c r="H15" s="106"/>
      <c r="I15" s="107"/>
    </row>
    <row r="16" spans="5:9" ht="28.5" customHeight="1" x14ac:dyDescent="0.25">
      <c r="E16" s="105" t="s">
        <v>125</v>
      </c>
      <c r="F16" s="106"/>
      <c r="G16" s="106"/>
      <c r="H16" s="106"/>
      <c r="I16" s="107"/>
    </row>
  </sheetData>
  <mergeCells count="6">
    <mergeCell ref="E16:I16"/>
    <mergeCell ref="E7:I7"/>
    <mergeCell ref="E12:F12"/>
    <mergeCell ref="E13:I13"/>
    <mergeCell ref="E14:I14"/>
    <mergeCell ref="E15:I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R12"/>
  <sheetViews>
    <sheetView workbookViewId="0">
      <selection activeCell="C12" sqref="C12:K12"/>
    </sheetView>
  </sheetViews>
  <sheetFormatPr defaultRowHeight="15" x14ac:dyDescent="0.25"/>
  <cols>
    <col min="4" max="4" width="14" bestFit="1" customWidth="1"/>
    <col min="6" max="6" width="9.5703125" bestFit="1" customWidth="1"/>
    <col min="7" max="7" width="11.85546875" customWidth="1"/>
    <col min="8" max="8" width="14.5703125" customWidth="1"/>
    <col min="9" max="9" width="11.7109375" customWidth="1"/>
    <col min="10" max="10" width="23.5703125" customWidth="1"/>
    <col min="11" max="11" width="16.42578125" customWidth="1"/>
  </cols>
  <sheetData>
    <row r="5" spans="3:18" x14ac:dyDescent="0.25">
      <c r="C5" s="108" t="s">
        <v>116</v>
      </c>
      <c r="D5" s="108"/>
      <c r="E5" s="108"/>
      <c r="F5" s="108"/>
      <c r="G5" s="108"/>
      <c r="H5" s="108"/>
      <c r="I5" s="108"/>
      <c r="J5" s="108"/>
      <c r="K5" s="108"/>
    </row>
    <row r="6" spans="3:18" ht="75" x14ac:dyDescent="0.25">
      <c r="C6" s="1" t="s">
        <v>1</v>
      </c>
      <c r="D6" s="1" t="s">
        <v>80</v>
      </c>
      <c r="E6" s="1" t="s">
        <v>149</v>
      </c>
      <c r="F6" s="1" t="s">
        <v>150</v>
      </c>
      <c r="G6" s="1" t="s">
        <v>151</v>
      </c>
      <c r="H6" s="1" t="s">
        <v>152</v>
      </c>
      <c r="I6" s="1" t="s">
        <v>153</v>
      </c>
      <c r="J6" s="1" t="s">
        <v>154</v>
      </c>
      <c r="K6" s="1" t="s">
        <v>155</v>
      </c>
    </row>
    <row r="7" spans="3:18" x14ac:dyDescent="0.25">
      <c r="C7" s="60">
        <v>1</v>
      </c>
      <c r="D7" s="60" t="s">
        <v>114</v>
      </c>
      <c r="E7" s="60">
        <v>2.81</v>
      </c>
      <c r="F7" s="57">
        <f>(E7*2.471)</f>
        <v>6.9435100000000007</v>
      </c>
      <c r="G7" s="57">
        <f>(F7*4046.86)</f>
        <v>28099.412878600004</v>
      </c>
      <c r="H7" s="55">
        <v>2700000</v>
      </c>
      <c r="I7" s="55">
        <v>1100</v>
      </c>
      <c r="J7" s="78">
        <f>(E7*H7)</f>
        <v>7587000</v>
      </c>
      <c r="K7" s="70">
        <f>(G7*I7)</f>
        <v>30909354.166460004</v>
      </c>
    </row>
    <row r="8" spans="3:18" ht="30" customHeight="1" x14ac:dyDescent="0.25">
      <c r="C8" s="60">
        <v>2</v>
      </c>
      <c r="D8" s="59" t="s">
        <v>115</v>
      </c>
      <c r="E8" s="57">
        <v>33.99</v>
      </c>
      <c r="F8" s="57">
        <f t="shared" ref="F8:F9" si="0">(E8*2.471)</f>
        <v>83.989290000000011</v>
      </c>
      <c r="G8" s="57">
        <f t="shared" ref="G8:G9" si="1">(F8*4046.86)</f>
        <v>339892.89812940004</v>
      </c>
      <c r="H8" s="55">
        <v>2900000</v>
      </c>
      <c r="I8" s="55">
        <v>2100</v>
      </c>
      <c r="J8" s="78">
        <f>(E8*H8)</f>
        <v>98571000</v>
      </c>
      <c r="K8" s="70">
        <f>(G8*I8)</f>
        <v>713775086.07174003</v>
      </c>
    </row>
    <row r="9" spans="3:18" x14ac:dyDescent="0.25">
      <c r="C9" s="110" t="s">
        <v>105</v>
      </c>
      <c r="D9" s="110"/>
      <c r="E9" s="57">
        <f>SUM(E7:E8)</f>
        <v>36.800000000000004</v>
      </c>
      <c r="F9" s="57">
        <f t="shared" si="0"/>
        <v>90.932800000000015</v>
      </c>
      <c r="G9" s="57">
        <f t="shared" si="1"/>
        <v>367992.31100800005</v>
      </c>
      <c r="H9" s="48"/>
      <c r="I9" s="48"/>
      <c r="J9" s="79">
        <f>SUM(J7:J8)</f>
        <v>106158000</v>
      </c>
      <c r="K9" s="69">
        <f>SUM(K7:K8)</f>
        <v>744684440.23820007</v>
      </c>
    </row>
    <row r="10" spans="3:18" x14ac:dyDescent="0.25">
      <c r="C10" s="114" t="s">
        <v>122</v>
      </c>
      <c r="D10" s="114"/>
      <c r="E10" s="114"/>
      <c r="F10" s="114"/>
      <c r="G10" s="114"/>
      <c r="H10" s="114"/>
      <c r="I10" s="114"/>
      <c r="J10" s="114"/>
      <c r="K10" s="114"/>
    </row>
    <row r="11" spans="3:18" ht="15" customHeight="1" x14ac:dyDescent="0.25">
      <c r="C11" s="114" t="s">
        <v>123</v>
      </c>
      <c r="D11" s="114"/>
      <c r="E11" s="114"/>
      <c r="F11" s="114"/>
      <c r="G11" s="114"/>
      <c r="H11" s="114"/>
      <c r="I11" s="114"/>
      <c r="J11" s="114"/>
      <c r="K11" s="114"/>
    </row>
    <row r="12" spans="3:18" ht="44.25" customHeight="1" x14ac:dyDescent="0.25">
      <c r="C12" s="115" t="s">
        <v>158</v>
      </c>
      <c r="D12" s="115"/>
      <c r="E12" s="115"/>
      <c r="F12" s="115"/>
      <c r="G12" s="115"/>
      <c r="H12" s="115"/>
      <c r="I12" s="115"/>
      <c r="J12" s="115"/>
      <c r="K12" s="115"/>
      <c r="L12" s="80"/>
      <c r="M12" s="80"/>
      <c r="N12" s="80"/>
      <c r="O12" s="80"/>
      <c r="P12" s="80"/>
      <c r="Q12" s="80"/>
      <c r="R12" s="80"/>
    </row>
  </sheetData>
  <mergeCells count="5">
    <mergeCell ref="C11:K11"/>
    <mergeCell ref="C12:K12"/>
    <mergeCell ref="C10:K10"/>
    <mergeCell ref="C9:D9"/>
    <mergeCell ref="C5:K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5:H19"/>
  <sheetViews>
    <sheetView workbookViewId="0">
      <selection activeCell="E5" sqref="E5:H19"/>
    </sheetView>
  </sheetViews>
  <sheetFormatPr defaultRowHeight="15" x14ac:dyDescent="0.25"/>
  <cols>
    <col min="5" max="5" width="14.5703125" bestFit="1" customWidth="1"/>
    <col min="6" max="6" width="28.42578125" customWidth="1"/>
    <col min="7" max="7" width="21.7109375" customWidth="1"/>
    <col min="8" max="8" width="18.5703125" bestFit="1" customWidth="1"/>
  </cols>
  <sheetData>
    <row r="5" spans="5:8" ht="32.25" customHeight="1" x14ac:dyDescent="0.25">
      <c r="E5" s="116" t="s">
        <v>156</v>
      </c>
      <c r="F5" s="116"/>
      <c r="G5" s="116"/>
      <c r="H5" s="116"/>
    </row>
    <row r="6" spans="5:8" ht="42.75" x14ac:dyDescent="0.25">
      <c r="E6" s="64" t="s">
        <v>80</v>
      </c>
      <c r="F6" s="64" t="s">
        <v>126</v>
      </c>
      <c r="G6" s="64" t="s">
        <v>127</v>
      </c>
      <c r="H6" s="65" t="s">
        <v>128</v>
      </c>
    </row>
    <row r="7" spans="5:8" x14ac:dyDescent="0.25">
      <c r="E7" s="48" t="s">
        <v>103</v>
      </c>
      <c r="F7" s="62">
        <v>23.14</v>
      </c>
      <c r="G7" s="66">
        <v>2900000</v>
      </c>
      <c r="H7" s="66">
        <f>(F7*G7)</f>
        <v>67106000</v>
      </c>
    </row>
    <row r="8" spans="5:8" x14ac:dyDescent="0.25">
      <c r="E8" s="48" t="s">
        <v>102</v>
      </c>
      <c r="F8" s="48">
        <v>10.85</v>
      </c>
      <c r="G8" s="66">
        <v>2900000</v>
      </c>
      <c r="H8" s="66">
        <f>(F8*G8)</f>
        <v>31465000</v>
      </c>
    </row>
    <row r="9" spans="5:8" x14ac:dyDescent="0.25">
      <c r="E9" s="74" t="s">
        <v>104</v>
      </c>
      <c r="F9" s="74">
        <v>2.81</v>
      </c>
      <c r="G9" s="76">
        <v>2700000</v>
      </c>
      <c r="H9" s="66">
        <f>(F9*G9)</f>
        <v>7587000</v>
      </c>
    </row>
    <row r="10" spans="5:8" x14ac:dyDescent="0.25">
      <c r="E10" s="58" t="s">
        <v>105</v>
      </c>
      <c r="F10" s="63">
        <f>SUM(F7:F9)</f>
        <v>36.800000000000004</v>
      </c>
      <c r="G10" s="67"/>
      <c r="H10" s="77">
        <f>SUM(H7:H9)</f>
        <v>106158000</v>
      </c>
    </row>
    <row r="11" spans="5:8" x14ac:dyDescent="0.25">
      <c r="E11" s="117" t="s">
        <v>129</v>
      </c>
      <c r="F11" s="117"/>
      <c r="G11" s="75" t="s">
        <v>130</v>
      </c>
      <c r="H11" s="68">
        <f>2*H10</f>
        <v>212316000</v>
      </c>
    </row>
    <row r="12" spans="5:8" x14ac:dyDescent="0.25">
      <c r="E12" s="118"/>
      <c r="F12" s="118"/>
      <c r="G12" s="118"/>
      <c r="H12" s="118"/>
    </row>
    <row r="13" spans="5:8" x14ac:dyDescent="0.25">
      <c r="E13" s="119" t="s">
        <v>131</v>
      </c>
      <c r="F13" s="119"/>
      <c r="G13" s="46"/>
      <c r="H13" s="56">
        <v>0</v>
      </c>
    </row>
    <row r="14" spans="5:8" x14ac:dyDescent="0.25">
      <c r="E14" s="118"/>
      <c r="F14" s="118"/>
      <c r="G14" s="118"/>
      <c r="H14" s="118"/>
    </row>
    <row r="15" spans="5:8" x14ac:dyDescent="0.25">
      <c r="E15" s="120" t="s">
        <v>132</v>
      </c>
      <c r="F15" s="120"/>
      <c r="G15" s="120"/>
      <c r="H15" s="69">
        <f>H13+H11</f>
        <v>212316000</v>
      </c>
    </row>
    <row r="16" spans="5:8" x14ac:dyDescent="0.25">
      <c r="E16" s="118"/>
      <c r="F16" s="118"/>
      <c r="G16" s="118"/>
      <c r="H16" s="118"/>
    </row>
    <row r="17" spans="5:8" x14ac:dyDescent="0.25">
      <c r="E17" s="119" t="s">
        <v>133</v>
      </c>
      <c r="F17" s="119"/>
      <c r="G17" s="56" t="s">
        <v>134</v>
      </c>
      <c r="H17" s="70">
        <f>H15*100%</f>
        <v>212316000</v>
      </c>
    </row>
    <row r="18" spans="5:8" x14ac:dyDescent="0.25">
      <c r="E18" s="118"/>
      <c r="F18" s="118"/>
      <c r="G18" s="118"/>
      <c r="H18" s="118"/>
    </row>
    <row r="19" spans="5:8" x14ac:dyDescent="0.25">
      <c r="E19" s="120" t="s">
        <v>135</v>
      </c>
      <c r="F19" s="120"/>
      <c r="G19" s="120"/>
      <c r="H19" s="69">
        <f>H17+H15</f>
        <v>424632000</v>
      </c>
    </row>
  </sheetData>
  <mergeCells count="10">
    <mergeCell ref="E15:G15"/>
    <mergeCell ref="E16:H16"/>
    <mergeCell ref="E17:F17"/>
    <mergeCell ref="E18:H18"/>
    <mergeCell ref="E19:G19"/>
    <mergeCell ref="E5:H5"/>
    <mergeCell ref="E11:F11"/>
    <mergeCell ref="E12:H12"/>
    <mergeCell ref="E13:F13"/>
    <mergeCell ref="E14:H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2:P12"/>
  <sheetViews>
    <sheetView topLeftCell="D1" workbookViewId="0">
      <selection activeCell="I6" sqref="I6:J6"/>
    </sheetView>
  </sheetViews>
  <sheetFormatPr defaultRowHeight="15" x14ac:dyDescent="0.25"/>
  <cols>
    <col min="8" max="8" width="35.28515625" customWidth="1"/>
    <col min="9" max="9" width="12" customWidth="1"/>
    <col min="10" max="10" width="12.7109375" customWidth="1"/>
    <col min="11" max="11" width="23.42578125" customWidth="1"/>
    <col min="13" max="13" width="14.28515625" bestFit="1" customWidth="1"/>
    <col min="15" max="15" width="14.28515625" bestFit="1" customWidth="1"/>
    <col min="16" max="16" width="16.85546875" bestFit="1" customWidth="1"/>
  </cols>
  <sheetData>
    <row r="2" spans="7:16" ht="34.5" customHeight="1" x14ac:dyDescent="0.25">
      <c r="G2" s="121" t="s">
        <v>157</v>
      </c>
      <c r="H2" s="121"/>
      <c r="I2" s="121"/>
      <c r="J2" s="121"/>
      <c r="K2" s="121"/>
    </row>
    <row r="3" spans="7:16" x14ac:dyDescent="0.25">
      <c r="G3" s="122" t="s">
        <v>136</v>
      </c>
      <c r="H3" s="123" t="s">
        <v>137</v>
      </c>
      <c r="I3" s="125" t="s">
        <v>138</v>
      </c>
      <c r="J3" s="126"/>
      <c r="K3" s="127" t="s">
        <v>139</v>
      </c>
    </row>
    <row r="4" spans="7:16" x14ac:dyDescent="0.25">
      <c r="G4" s="122"/>
      <c r="H4" s="124"/>
      <c r="I4" s="71" t="s">
        <v>140</v>
      </c>
      <c r="J4" s="71" t="s">
        <v>141</v>
      </c>
      <c r="K4" s="127"/>
      <c r="O4" t="s">
        <v>148</v>
      </c>
    </row>
    <row r="5" spans="7:16" ht="19.5" customHeight="1" x14ac:dyDescent="0.25">
      <c r="G5" s="56">
        <v>1</v>
      </c>
      <c r="H5" s="93" t="s">
        <v>159</v>
      </c>
      <c r="I5" s="60">
        <v>90.93</v>
      </c>
      <c r="J5" s="57">
        <v>36.79</v>
      </c>
      <c r="K5" s="81">
        <f>I5*O5</f>
        <v>363720000</v>
      </c>
      <c r="O5" s="82">
        <v>4000000</v>
      </c>
      <c r="P5" s="44">
        <f>O5/4.8</f>
        <v>833333.33333333337</v>
      </c>
    </row>
    <row r="6" spans="7:16" ht="34.5" customHeight="1" x14ac:dyDescent="0.25">
      <c r="G6" s="56">
        <v>2</v>
      </c>
      <c r="H6" s="91" t="s">
        <v>142</v>
      </c>
      <c r="I6" s="134">
        <v>0.05</v>
      </c>
      <c r="J6" s="135"/>
      <c r="K6" s="72">
        <f>K5*5%</f>
        <v>18186000</v>
      </c>
      <c r="O6" s="44"/>
      <c r="P6" s="44"/>
    </row>
    <row r="7" spans="7:16" ht="56.25" customHeight="1" x14ac:dyDescent="0.25">
      <c r="G7" s="56">
        <v>3</v>
      </c>
      <c r="H7" s="91" t="s">
        <v>143</v>
      </c>
      <c r="I7" s="134">
        <v>0.1</v>
      </c>
      <c r="J7" s="135"/>
      <c r="K7" s="72">
        <f>K5*10%</f>
        <v>36372000</v>
      </c>
    </row>
    <row r="8" spans="7:16" ht="30" x14ac:dyDescent="0.25">
      <c r="G8" s="56">
        <v>4</v>
      </c>
      <c r="H8" s="92" t="s">
        <v>160</v>
      </c>
      <c r="I8" s="136" t="s">
        <v>144</v>
      </c>
      <c r="J8" s="137"/>
      <c r="K8" s="72">
        <f>I5*250000</f>
        <v>22732500</v>
      </c>
    </row>
    <row r="9" spans="7:16" x14ac:dyDescent="0.25">
      <c r="G9" s="128" t="s">
        <v>145</v>
      </c>
      <c r="H9" s="129"/>
      <c r="I9" s="129"/>
      <c r="J9" s="130"/>
      <c r="K9" s="73">
        <f>SUM(K5:K8)</f>
        <v>441010500</v>
      </c>
      <c r="M9" s="94">
        <f>K9/I5</f>
        <v>4850000</v>
      </c>
    </row>
    <row r="10" spans="7:16" x14ac:dyDescent="0.25">
      <c r="G10" s="131" t="s">
        <v>146</v>
      </c>
      <c r="H10" s="131"/>
      <c r="I10" s="131"/>
      <c r="J10" s="131"/>
      <c r="K10" s="131"/>
    </row>
    <row r="11" spans="7:16" x14ac:dyDescent="0.25">
      <c r="G11" s="132" t="s">
        <v>147</v>
      </c>
      <c r="H11" s="132"/>
      <c r="I11" s="132"/>
      <c r="J11" s="132"/>
      <c r="K11" s="132"/>
    </row>
    <row r="12" spans="7:16" ht="32.25" customHeight="1" x14ac:dyDescent="0.25">
      <c r="G12" s="133" t="s">
        <v>161</v>
      </c>
      <c r="H12" s="133"/>
      <c r="I12" s="133"/>
      <c r="J12" s="133"/>
      <c r="K12" s="133"/>
    </row>
  </sheetData>
  <mergeCells count="12">
    <mergeCell ref="G9:J9"/>
    <mergeCell ref="G10:K10"/>
    <mergeCell ref="G11:K11"/>
    <mergeCell ref="G12:K12"/>
    <mergeCell ref="I6:J6"/>
    <mergeCell ref="I7:J7"/>
    <mergeCell ref="I8:J8"/>
    <mergeCell ref="G2:K2"/>
    <mergeCell ref="G3:G4"/>
    <mergeCell ref="H3:H4"/>
    <mergeCell ref="I3:J3"/>
    <mergeCell ref="K3:K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45718-C6E2-4D92-B788-A99F2AB29F1E}">
  <dimension ref="C4:G14"/>
  <sheetViews>
    <sheetView tabSelected="1" workbookViewId="0">
      <selection activeCell="J13" sqref="J13"/>
    </sheetView>
  </sheetViews>
  <sheetFormatPr defaultRowHeight="15" x14ac:dyDescent="0.25"/>
  <cols>
    <col min="3" max="3" width="31.42578125" bestFit="1" customWidth="1"/>
    <col min="4" max="4" width="15" bestFit="1" customWidth="1"/>
    <col min="5" max="5" width="17.28515625" bestFit="1" customWidth="1"/>
    <col min="6" max="6" width="19.28515625" bestFit="1" customWidth="1"/>
    <col min="7" max="7" width="16.7109375" bestFit="1" customWidth="1"/>
  </cols>
  <sheetData>
    <row r="4" spans="3:7" x14ac:dyDescent="0.25">
      <c r="C4" s="138" t="s">
        <v>162</v>
      </c>
      <c r="D4" s="139"/>
      <c r="E4" s="139"/>
      <c r="F4" s="139"/>
      <c r="G4" s="139"/>
    </row>
    <row r="5" spans="3:7" ht="15.75" x14ac:dyDescent="0.25">
      <c r="C5" s="140" t="s">
        <v>163</v>
      </c>
      <c r="D5" s="141" t="s">
        <v>164</v>
      </c>
      <c r="E5" s="141" t="s">
        <v>165</v>
      </c>
      <c r="F5" s="141" t="s">
        <v>166</v>
      </c>
      <c r="G5" s="141" t="s">
        <v>167</v>
      </c>
    </row>
    <row r="6" spans="3:7" ht="15.75" x14ac:dyDescent="0.25">
      <c r="C6" s="142" t="s">
        <v>7</v>
      </c>
      <c r="D6" s="143">
        <v>90.93</v>
      </c>
      <c r="E6" s="144">
        <f>D6*0.25</f>
        <v>22.732500000000002</v>
      </c>
      <c r="F6" s="144">
        <f>D6*0.4</f>
        <v>36.372000000000007</v>
      </c>
      <c r="G6" s="144">
        <f>D6*0.35</f>
        <v>31.825500000000002</v>
      </c>
    </row>
    <row r="7" spans="3:7" ht="15.75" x14ac:dyDescent="0.25">
      <c r="C7" s="142" t="s">
        <v>168</v>
      </c>
      <c r="D7" s="60"/>
      <c r="E7" s="145">
        <v>4000000</v>
      </c>
      <c r="F7" s="145">
        <f>E7*0.85</f>
        <v>3400000</v>
      </c>
      <c r="G7" s="145">
        <f>E7*0.7</f>
        <v>2800000</v>
      </c>
    </row>
    <row r="8" spans="3:7" ht="15.75" x14ac:dyDescent="0.25">
      <c r="C8" s="142" t="s">
        <v>169</v>
      </c>
      <c r="D8" s="60"/>
      <c r="E8" s="145">
        <f>E7*E6</f>
        <v>90930000</v>
      </c>
      <c r="F8" s="145">
        <f t="shared" ref="F8:G8" si="0">F7*F6</f>
        <v>123664800.00000003</v>
      </c>
      <c r="G8" s="145">
        <f t="shared" si="0"/>
        <v>89111400</v>
      </c>
    </row>
    <row r="9" spans="3:7" ht="15.75" x14ac:dyDescent="0.25">
      <c r="C9" s="142" t="s">
        <v>170</v>
      </c>
      <c r="D9" s="60"/>
      <c r="E9" s="146">
        <f>SUM(E8:G8)</f>
        <v>303706200</v>
      </c>
      <c r="F9" s="146"/>
      <c r="G9" s="146"/>
    </row>
    <row r="10" spans="3:7" ht="15.75" x14ac:dyDescent="0.25">
      <c r="C10" s="142" t="s">
        <v>171</v>
      </c>
      <c r="D10" s="60"/>
      <c r="E10" s="147">
        <f>E9/D6</f>
        <v>3339999.9999999995</v>
      </c>
      <c r="F10" s="147"/>
      <c r="G10" s="147"/>
    </row>
    <row r="11" spans="3:7" ht="30" x14ac:dyDescent="0.25">
      <c r="C11" s="148" t="s">
        <v>142</v>
      </c>
      <c r="D11" s="60"/>
      <c r="E11" s="60"/>
      <c r="F11" s="60"/>
      <c r="G11" s="145">
        <f>E9*5%</f>
        <v>15185310</v>
      </c>
    </row>
    <row r="12" spans="3:7" ht="75" x14ac:dyDescent="0.25">
      <c r="C12" s="148" t="s">
        <v>172</v>
      </c>
      <c r="D12" s="60"/>
      <c r="E12" s="60"/>
      <c r="F12" s="60"/>
      <c r="G12" s="145">
        <f>E9*5%</f>
        <v>15185310</v>
      </c>
    </row>
    <row r="13" spans="3:7" ht="30" x14ac:dyDescent="0.25">
      <c r="C13" s="149" t="s">
        <v>160</v>
      </c>
      <c r="D13" s="60" t="s">
        <v>173</v>
      </c>
      <c r="E13" s="60"/>
      <c r="F13" s="60"/>
      <c r="G13" s="150">
        <f>250000*D6</f>
        <v>22732500</v>
      </c>
    </row>
    <row r="14" spans="3:7" x14ac:dyDescent="0.25">
      <c r="C14" s="151" t="s">
        <v>174</v>
      </c>
      <c r="D14" s="151"/>
      <c r="E14" s="151"/>
      <c r="F14" s="151"/>
      <c r="G14" s="152">
        <f>E9+G11+G12+G13</f>
        <v>356809320</v>
      </c>
    </row>
  </sheetData>
  <mergeCells count="4">
    <mergeCell ref="C4:G4"/>
    <mergeCell ref="E9:G9"/>
    <mergeCell ref="E10:G10"/>
    <mergeCell ref="C14: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 to be considered</vt:lpstr>
      <vt:lpstr>Land details</vt:lpstr>
      <vt:lpstr>Land area statement</vt:lpstr>
      <vt:lpstr>Circle Rates</vt:lpstr>
      <vt:lpstr>Land acquisition table</vt:lpstr>
      <vt:lpstr>land valuation</vt:lpstr>
      <vt:lpstr>Land_Belting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Udit Kumar Dubey</dc:creator>
  <cp:lastModifiedBy>Arup Banerjee</cp:lastModifiedBy>
  <dcterms:created xsi:type="dcterms:W3CDTF">2020-10-28T08:25:25Z</dcterms:created>
  <dcterms:modified xsi:type="dcterms:W3CDTF">2022-07-05T11:26:28Z</dcterms:modified>
</cp:coreProperties>
</file>