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Budhana_VIS(2022-23)-PL073-061-107_Bhudhana\Report_&amp;_working\"/>
    </mc:Choice>
  </mc:AlternateContent>
  <xr:revisionPtr revIDLastSave="0" documentId="13_ncr:1_{9A7FFDFC-B032-434B-ABAB-3715F5830BA5}" xr6:coauthVersionLast="47" xr6:coauthVersionMax="47" xr10:uidLastSave="{00000000-0000-0000-0000-000000000000}"/>
  <bookViews>
    <workbookView xWindow="-120" yWindow="-120" windowWidth="21840" windowHeight="13140" activeTab="3" xr2:uid="{E64DE17C-F16E-443C-82B4-D6C182CF6C36}"/>
  </bookViews>
  <sheets>
    <sheet name="Sheet1" sheetId="1" r:id="rId1"/>
    <sheet name="Building_working" sheetId="2" r:id="rId2"/>
    <sheet name="Road_&amp;_Drainage" sheetId="3" r:id="rId3"/>
    <sheet name="Summary" sheetId="4" r:id="rId4"/>
    <sheet name="Villages" sheetId="5" r:id="rId5"/>
    <sheet name="Circle_rate" sheetId="6" r:id="rId6"/>
    <sheet name="Land_acqusition" sheetId="7" r:id="rId7"/>
    <sheet name="Land Valuation" sheetId="8" r:id="rId8"/>
    <sheet name="Belting" sheetId="9" r:id="rId9"/>
  </sheets>
  <definedNames>
    <definedName name="_xlnm._FilterDatabase" localSheetId="1" hidden="1">Building_working!$B$3:$V$34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40" i="2" l="1"/>
  <c r="K39" i="2"/>
  <c r="L27" i="2"/>
  <c r="G13" i="9"/>
  <c r="F8" i="9"/>
  <c r="G7" i="9"/>
  <c r="G8" i="9" s="1"/>
  <c r="F7" i="9"/>
  <c r="G6" i="9"/>
  <c r="F6" i="9"/>
  <c r="E6" i="9"/>
  <c r="E8" i="9" s="1"/>
  <c r="E9" i="9" s="1"/>
  <c r="F7" i="8"/>
  <c r="E10" i="9" l="1"/>
  <c r="G12" i="9"/>
  <c r="G11" i="9"/>
  <c r="G14" i="9" s="1"/>
  <c r="F10" i="8"/>
  <c r="G11" i="7"/>
  <c r="I10" i="7"/>
  <c r="I9" i="7"/>
  <c r="I8" i="7"/>
  <c r="I11" i="7" s="1"/>
  <c r="I12" i="7" s="1"/>
  <c r="I16" i="7" s="1"/>
  <c r="I18" i="7" s="1"/>
  <c r="I20" i="7" s="1"/>
  <c r="F8" i="6"/>
  <c r="K7" i="6"/>
  <c r="H7" i="6"/>
  <c r="L7" i="6" s="1"/>
  <c r="G7" i="6"/>
  <c r="K6" i="6"/>
  <c r="H6" i="6"/>
  <c r="L6" i="6" s="1"/>
  <c r="G6" i="6"/>
  <c r="K5" i="6"/>
  <c r="K8" i="6" s="1"/>
  <c r="H5" i="6"/>
  <c r="L5" i="6" s="1"/>
  <c r="G5" i="6"/>
  <c r="G8" i="6" s="1"/>
  <c r="F9" i="5"/>
  <c r="E9" i="5"/>
  <c r="G8" i="5"/>
  <c r="G7" i="5"/>
  <c r="G6" i="5"/>
  <c r="G9" i="5" s="1"/>
  <c r="I6" i="4"/>
  <c r="H6" i="4"/>
  <c r="M6" i="3"/>
  <c r="F9" i="8" l="1"/>
  <c r="F8" i="8"/>
  <c r="F11" i="8" s="1"/>
  <c r="L8" i="6"/>
  <c r="H8" i="6"/>
  <c r="M8" i="3"/>
  <c r="K8" i="3"/>
  <c r="G38" i="1"/>
  <c r="J6" i="3"/>
  <c r="G37" i="1"/>
  <c r="M7" i="3"/>
  <c r="K7" i="3"/>
  <c r="M5" i="3"/>
  <c r="K5" i="3"/>
  <c r="Q13" i="2"/>
  <c r="R13" i="2" s="1"/>
  <c r="Q14" i="2"/>
  <c r="R14" i="2" s="1"/>
  <c r="Q15" i="2"/>
  <c r="R15" i="2" s="1"/>
  <c r="Q16" i="2"/>
  <c r="R16" i="2" s="1"/>
  <c r="Q17" i="2"/>
  <c r="R17" i="2" s="1"/>
  <c r="Q18" i="2"/>
  <c r="R18" i="2" s="1"/>
  <c r="Q19" i="2"/>
  <c r="R19" i="2" s="1"/>
  <c r="Q20" i="2"/>
  <c r="R20" i="2" s="1"/>
  <c r="Q21" i="2"/>
  <c r="R21" i="2" s="1"/>
  <c r="Q22" i="2"/>
  <c r="R22" i="2" s="1"/>
  <c r="Q23" i="2"/>
  <c r="R23" i="2" s="1"/>
  <c r="Q24" i="2"/>
  <c r="R24" i="2" s="1"/>
  <c r="Q25" i="2"/>
  <c r="R25" i="2" s="1"/>
  <c r="Q26" i="2"/>
  <c r="R26" i="2" s="1"/>
  <c r="Q28" i="2"/>
  <c r="R28" i="2" s="1"/>
  <c r="Q31" i="2"/>
  <c r="R31" i="2" s="1"/>
  <c r="Q32" i="2"/>
  <c r="R32" i="2" s="1"/>
  <c r="Q33" i="2"/>
  <c r="R33" i="2" s="1"/>
  <c r="Q34" i="2"/>
  <c r="R34" i="2" s="1"/>
  <c r="Q12" i="2"/>
  <c r="R12" i="2" s="1"/>
  <c r="Q11" i="2"/>
  <c r="R11" i="2" s="1"/>
  <c r="O11" i="2"/>
  <c r="O12" i="2"/>
  <c r="O13" i="2"/>
  <c r="O14" i="2"/>
  <c r="O15" i="2"/>
  <c r="O16" i="2"/>
  <c r="O17" i="2"/>
  <c r="O18" i="2"/>
  <c r="O19" i="2"/>
  <c r="O20" i="2"/>
  <c r="O21" i="2"/>
  <c r="O22" i="2"/>
  <c r="O23" i="2"/>
  <c r="O24" i="2"/>
  <c r="O25" i="2"/>
  <c r="O26" i="2"/>
  <c r="O28" i="2"/>
  <c r="O31" i="2"/>
  <c r="O32" i="2"/>
  <c r="O33" i="2"/>
  <c r="O34" i="2"/>
  <c r="L11" i="2"/>
  <c r="L12" i="2"/>
  <c r="L13" i="2"/>
  <c r="L14" i="2"/>
  <c r="L15" i="2"/>
  <c r="L16" i="2"/>
  <c r="L17" i="2"/>
  <c r="L18" i="2"/>
  <c r="L19" i="2"/>
  <c r="L20" i="2"/>
  <c r="L21" i="2"/>
  <c r="L22" i="2"/>
  <c r="L23" i="2"/>
  <c r="L24" i="2"/>
  <c r="L25" i="2"/>
  <c r="L26" i="2"/>
  <c r="L28" i="2"/>
  <c r="L31" i="2"/>
  <c r="L32" i="2"/>
  <c r="L33" i="2"/>
  <c r="L34" i="2"/>
  <c r="H11" i="2"/>
  <c r="H12" i="2"/>
  <c r="H13" i="2"/>
  <c r="H14" i="2"/>
  <c r="H15" i="2"/>
  <c r="H16" i="2"/>
  <c r="H17" i="2"/>
  <c r="H18" i="2"/>
  <c r="H19" i="2"/>
  <c r="H20" i="2"/>
  <c r="H21" i="2"/>
  <c r="H22" i="2"/>
  <c r="H23" i="2"/>
  <c r="H24" i="2"/>
  <c r="H25" i="2"/>
  <c r="H26" i="2"/>
  <c r="H28" i="2"/>
  <c r="H31" i="2"/>
  <c r="H32" i="2"/>
  <c r="H33" i="2"/>
  <c r="H34" i="2"/>
  <c r="Q10" i="2"/>
  <c r="R10" i="2" s="1"/>
  <c r="O10" i="2"/>
  <c r="L10" i="2"/>
  <c r="H10" i="2"/>
  <c r="Q9" i="2"/>
  <c r="R9" i="2" s="1"/>
  <c r="O9" i="2"/>
  <c r="L9" i="2"/>
  <c r="H9" i="2"/>
  <c r="Q8" i="2"/>
  <c r="R8" i="2" s="1"/>
  <c r="O8" i="2"/>
  <c r="L8" i="2"/>
  <c r="H8" i="2"/>
  <c r="Y8" i="2" s="1"/>
  <c r="Q7" i="2"/>
  <c r="R7" i="2" s="1"/>
  <c r="O7" i="2"/>
  <c r="L7" i="2"/>
  <c r="H7" i="2"/>
  <c r="Y7" i="2" s="1"/>
  <c r="Q6" i="2"/>
  <c r="R6" i="2" s="1"/>
  <c r="O6" i="2"/>
  <c r="L6" i="2"/>
  <c r="H6" i="2"/>
  <c r="Y6" i="2" s="1"/>
  <c r="Q5" i="2"/>
  <c r="R5" i="2" s="1"/>
  <c r="O5" i="2"/>
  <c r="L5" i="2"/>
  <c r="H5" i="2"/>
  <c r="Y5" i="2" s="1"/>
  <c r="Y4" i="2"/>
  <c r="Q4" i="2"/>
  <c r="R4" i="2" s="1"/>
  <c r="O4" i="2"/>
  <c r="L4" i="2"/>
  <c r="H4" i="2"/>
  <c r="R29" i="2" l="1"/>
  <c r="H5" i="4" s="1"/>
  <c r="H7" i="4" s="1"/>
  <c r="M9" i="3"/>
  <c r="J9" i="3"/>
  <c r="K6" i="3"/>
  <c r="K9" i="3"/>
  <c r="S34" i="2"/>
  <c r="T34" i="2" s="1"/>
  <c r="V34" i="2" s="1"/>
  <c r="S20" i="2"/>
  <c r="T20" i="2" s="1"/>
  <c r="V20" i="2" s="1"/>
  <c r="S16" i="2"/>
  <c r="T16" i="2" s="1"/>
  <c r="V16" i="2" s="1"/>
  <c r="S33" i="2"/>
  <c r="T33" i="2" s="1"/>
  <c r="V33" i="2" s="1"/>
  <c r="S28" i="2"/>
  <c r="T28" i="2" s="1"/>
  <c r="V28" i="2" s="1"/>
  <c r="S23" i="2"/>
  <c r="T23" i="2" s="1"/>
  <c r="V23" i="2" s="1"/>
  <c r="S19" i="2"/>
  <c r="T19" i="2" s="1"/>
  <c r="V19" i="2" s="1"/>
  <c r="S15" i="2"/>
  <c r="T15" i="2" s="1"/>
  <c r="V15" i="2" s="1"/>
  <c r="S32" i="2"/>
  <c r="T32" i="2"/>
  <c r="V32" i="2" s="1"/>
  <c r="S26" i="2"/>
  <c r="T26" i="2" s="1"/>
  <c r="V26" i="2" s="1"/>
  <c r="S22" i="2"/>
  <c r="T22" i="2" s="1"/>
  <c r="V22" i="2" s="1"/>
  <c r="S18" i="2"/>
  <c r="T18" i="2" s="1"/>
  <c r="V18" i="2" s="1"/>
  <c r="S14" i="2"/>
  <c r="T14" i="2" s="1"/>
  <c r="V14" i="2" s="1"/>
  <c r="S31" i="2"/>
  <c r="T31" i="2" s="1"/>
  <c r="V31" i="2" s="1"/>
  <c r="S25" i="2"/>
  <c r="T25" i="2" s="1"/>
  <c r="V25" i="2" s="1"/>
  <c r="S21" i="2"/>
  <c r="T21" i="2" s="1"/>
  <c r="V21" i="2" s="1"/>
  <c r="S17" i="2"/>
  <c r="T17" i="2" s="1"/>
  <c r="V17" i="2" s="1"/>
  <c r="S13" i="2"/>
  <c r="T13" i="2" s="1"/>
  <c r="V13" i="2" s="1"/>
  <c r="S24" i="2"/>
  <c r="T24" i="2" s="1"/>
  <c r="V24" i="2" s="1"/>
  <c r="S12" i="2"/>
  <c r="T12" i="2" s="1"/>
  <c r="V12" i="2" s="1"/>
  <c r="S11" i="2"/>
  <c r="T11" i="2" s="1"/>
  <c r="V11" i="2" s="1"/>
  <c r="S6" i="2"/>
  <c r="T6" i="2" s="1"/>
  <c r="V6" i="2" s="1"/>
  <c r="S10" i="2"/>
  <c r="T10" i="2" s="1"/>
  <c r="V10" i="2" s="1"/>
  <c r="S9" i="2"/>
  <c r="T9" i="2" s="1"/>
  <c r="V9" i="2" s="1"/>
  <c r="S8" i="2"/>
  <c r="T8" i="2" s="1"/>
  <c r="V8" i="2" s="1"/>
  <c r="S5" i="2"/>
  <c r="T5" i="2" s="1"/>
  <c r="V5" i="2" s="1"/>
  <c r="S7" i="2"/>
  <c r="T7" i="2" s="1"/>
  <c r="V7" i="2" s="1"/>
  <c r="S4" i="2"/>
  <c r="T4" i="2" l="1"/>
  <c r="S29" i="2"/>
  <c r="V4" i="2" l="1"/>
  <c r="V29" i="2" s="1"/>
  <c r="T29" i="2"/>
  <c r="H15" i="3"/>
  <c r="I5" i="4"/>
  <c r="I7" i="4" s="1"/>
</calcChain>
</file>

<file path=xl/sharedStrings.xml><?xml version="1.0" encoding="utf-8"?>
<sst xmlns="http://schemas.openxmlformats.org/spreadsheetml/2006/main" count="399" uniqueCount="206">
  <si>
    <t xml:space="preserve">CIVIL/STRUCTURES VALUATION </t>
  </si>
  <si>
    <t>S.No.</t>
  </si>
  <si>
    <t>Block Name</t>
  </si>
  <si>
    <t>Total Slabs/ Floors</t>
  </si>
  <si>
    <t>Floor wise Height (ft.)</t>
  </si>
  <si>
    <t>Year of construction</t>
  </si>
  <si>
    <t>Type of construction     (select from drop down)</t>
  </si>
  <si>
    <t>Structure condition</t>
  </si>
  <si>
    <t>Area (in sq. mtr.)</t>
  </si>
  <si>
    <t>Area (sq. fts.)</t>
  </si>
  <si>
    <t>Mill House &amp; Power House</t>
  </si>
  <si>
    <t xml:space="preserve">G+1 </t>
  </si>
  <si>
    <t>59'-0"</t>
  </si>
  <si>
    <t xml:space="preserve">Colored corrugated GI shed roof mounted on iron pillars, trusses frame structure </t>
  </si>
  <si>
    <r>
      <rPr>
        <b/>
        <sz val="11"/>
        <color theme="1"/>
        <rFont val="Calibri"/>
        <family val="2"/>
        <scheme val="minor"/>
      </rPr>
      <t>D.G. Set</t>
    </r>
    <r>
      <rPr>
        <sz val="11"/>
        <color theme="1"/>
        <rFont val="Calibri"/>
        <family val="2"/>
        <scheme val="minor"/>
      </rPr>
      <t xml:space="preserve"> </t>
    </r>
  </si>
  <si>
    <t>G Floor</t>
  </si>
  <si>
    <t>16'-4"</t>
  </si>
  <si>
    <t>,Asbestos cement sheet shed roof mounted and brick masonry wall ,trusses frame structure</t>
  </si>
  <si>
    <t xml:space="preserve">Boiler Panel Room </t>
  </si>
  <si>
    <t>30'-2"</t>
  </si>
  <si>
    <t>G+1 RCC Framed  single storied with RCC roof and brick masonry wall</t>
  </si>
  <si>
    <t xml:space="preserve">Boiling House Building </t>
  </si>
  <si>
    <t>75'-4"</t>
  </si>
  <si>
    <t>Asbestos cement sheet shed roof mounted on iron pillars  ,trusses frame structure,and brick masonry wall</t>
  </si>
  <si>
    <t>Sugar Godown   (2NOS)</t>
  </si>
  <si>
    <t>32'-8"</t>
  </si>
  <si>
    <t>2005-2006</t>
  </si>
  <si>
    <t>Colored corrugated GI sheet roof mounted on RCC pillars, trusses frame structure</t>
  </si>
  <si>
    <t>Gunny Bag Godown</t>
  </si>
  <si>
    <t>Asbestos cement sheet shed roof mounted on RCC pillars  ,trusses frame structure,and brick masonry wall</t>
  </si>
  <si>
    <t xml:space="preserve">General Store </t>
  </si>
  <si>
    <t>26'-3"</t>
  </si>
  <si>
    <t>Asbestos cement sheet shed roof mounted on RCC pillars  ,and RCC framed single storied RCC roof,,and brick masonry wall,trusses frame structure,and factory made door frame,window with flush door and white wash, snowcem etc.</t>
  </si>
  <si>
    <t xml:space="preserve">Cement &amp; Chemical Godown </t>
  </si>
  <si>
    <t>14'-9"</t>
  </si>
  <si>
    <r>
      <rPr>
        <b/>
        <sz val="11"/>
        <color theme="1"/>
        <rFont val="Calibri"/>
        <family val="2"/>
        <scheme val="minor"/>
      </rPr>
      <t xml:space="preserve">Workshop </t>
    </r>
    <r>
      <rPr>
        <sz val="11"/>
        <color theme="1"/>
        <rFont val="Calibri"/>
        <family val="2"/>
        <scheme val="minor"/>
      </rPr>
      <t>,</t>
    </r>
  </si>
  <si>
    <t>32'-10"</t>
  </si>
  <si>
    <t>Asbestos cement sheet shed roof mounted on RCC pillars  ,trusses frame structure, brick masonry wall,white wash, snowcem paint and factory made door shutter etc.</t>
  </si>
  <si>
    <t>Tech Block</t>
  </si>
  <si>
    <t>22'-11"</t>
  </si>
  <si>
    <t>G+1 RCC Framed Single storied with RCC roof and brick masonry wall,factory made door frame, window with flush door and white wash, snowcem paint etc.</t>
  </si>
  <si>
    <t>Sulpher&amp; lime godown</t>
  </si>
  <si>
    <t>Asbestos cement sheet shed roof mounted on RCC pillars  ,trusses frame structure, brick masonry wall,factory made door shutter and white wash, snowcem paint etc.</t>
  </si>
  <si>
    <t xml:space="preserve">Cane office &amp; Hospital </t>
  </si>
  <si>
    <t>12'-0"</t>
  </si>
  <si>
    <t>RCC framed with RCC roof and brick masonry wall,kota stone flooring,factorymade door frame  &amp; window  with flush door and conduit wiring , white wash, snowcem paint etc.</t>
  </si>
  <si>
    <t xml:space="preserve">Canteen </t>
  </si>
  <si>
    <t>Asbestos cement sheet shed roof mounted on RCC pillars  ,trusses frame structure, brick masonry wall,white wash, snowcem paint ,kota stone flooring and factory made door frame etc.</t>
  </si>
  <si>
    <t>Time office</t>
  </si>
  <si>
    <t>7'-10"</t>
  </si>
  <si>
    <t>RCC Framed with RCC roof and brick masonry ,  Aluminium window and door and white wash ,snowcem etc.</t>
  </si>
  <si>
    <t xml:space="preserve">Administrative building , </t>
  </si>
  <si>
    <t xml:space="preserve">G+1 RCC framed  single storied structure with RCC roof and brick masonry wall ,marble ,tiles flooring in entrance corridor and ist. Floor marble and tiles flooring in offices  and false ceiling Air cooling ducts, Dholphur stone facing, Porch for vechile parking, Conduit wiring. </t>
  </si>
  <si>
    <t>Bank Building ,</t>
  </si>
  <si>
    <t>13'-2"</t>
  </si>
  <si>
    <t>RCC pillars  with RCC roof and brick masonry wall , kota stone  flooring, conduit wiring, whitewash, snowcem paint and factory made door frame, window and flush door, etc.</t>
  </si>
  <si>
    <t xml:space="preserve">Security Barack </t>
  </si>
  <si>
    <t>Asbestos cement sheet shed roof mounted on RCC pillars  ,trusses frame structure, brick masonry wall,factory made door frame, window and flush door and white wash, snowcem paint etc.</t>
  </si>
  <si>
    <t>Electrical Panel Room (near door and cooling tower) , (2 NOS)</t>
  </si>
  <si>
    <t>10'-0"</t>
  </si>
  <si>
    <t>RCC pillars  with RCC roof and brick masonry wall , cement flooring, conduit wiring, whitewash, snowcem paint and factory made door frame, window and flush door, etc.</t>
  </si>
  <si>
    <r>
      <t>Guest House</t>
    </r>
    <r>
      <rPr>
        <sz val="11"/>
        <color theme="1"/>
        <rFont val="Calibri"/>
        <family val="2"/>
        <scheme val="minor"/>
      </rPr>
      <t>,</t>
    </r>
  </si>
  <si>
    <t>19'-8"</t>
  </si>
  <si>
    <t>G+1 RCC framed Single storied structure with RCC roof, brick masonry wall , kota stone, tiles flooring, conduit wiring, whitewash, snowcem paint and factory made door frame, window and flush door, etc.</t>
  </si>
  <si>
    <t>Residential Building (2 BED ROOM FLATS) (10 NOS)</t>
  </si>
  <si>
    <t>G+2</t>
  </si>
  <si>
    <t>33'-3"</t>
  </si>
  <si>
    <t>2005-2009</t>
  </si>
  <si>
    <t>G+2,RCC framed three storied structure with RCC roof, brick masonry wall , kota stone, tiles flooring, conduit wiring, whitewash, snowcem paint and factory made door frame, window and flush door with commercial sanitary fittings, etc.</t>
  </si>
  <si>
    <t>Banglow   (8 NOS)</t>
  </si>
  <si>
    <t>9'-0"</t>
  </si>
  <si>
    <t>2005-2010</t>
  </si>
  <si>
    <t>,RCC framed  structure with RCC roof, brick masonry wall , kota stone and marble, tiles flooring, conduit wiring, whitewash, snowcem paint and factory made door frame, window and flush door with commercial sanitary fittings, etc.</t>
  </si>
  <si>
    <t>G+3 (1 BED ROOM FLATS)  (80 NOS)</t>
  </si>
  <si>
    <t>G+3</t>
  </si>
  <si>
    <t>40'-0"</t>
  </si>
  <si>
    <t>2006-2007</t>
  </si>
  <si>
    <t>G+3,RCC framed four storied structure with RCC roof, brick masonry wall , kota stone, tiles flooring, conduit wiring, whitewash, snowcem paint and factory made door frame, window and flush door with commercial sanitary fittings, etc.</t>
  </si>
  <si>
    <t xml:space="preserve">E.T.P </t>
  </si>
  <si>
    <t>11'-6"</t>
  </si>
  <si>
    <t>RCC pillars  with RCC roof and brick masonry wall , cement flooring, conduit wiring, whitewash, snowcem paint and factory made door frame, window and flush door, door shutteretc.</t>
  </si>
  <si>
    <t>Store Building 2</t>
  </si>
  <si>
    <t xml:space="preserve"> Colored corrugated GI shed roof mounted on iron and RCC pillars, trusses frame structure and brick masnory wall, etc.</t>
  </si>
  <si>
    <t xml:space="preserve">Boundry wall length (meter) </t>
  </si>
  <si>
    <t>RCC Pillar with brick masnory wall</t>
  </si>
  <si>
    <t>Road (meter)</t>
  </si>
  <si>
    <t>RCC</t>
  </si>
  <si>
    <t>6 m wideX 1558.36 m long and 4 m wide X 882.28 m long</t>
  </si>
  <si>
    <t>Drainage (meter)</t>
  </si>
  <si>
    <t>Reservoir (meter)</t>
  </si>
  <si>
    <t>25 X 25 X 4</t>
  </si>
  <si>
    <t>Sr. No.</t>
  </si>
  <si>
    <t>Floor</t>
  </si>
  <si>
    <t xml:space="preserve">Block Name </t>
  </si>
  <si>
    <t>Construction Category</t>
  </si>
  <si>
    <t>Condition of Structure</t>
  </si>
  <si>
    <r>
      <t xml:space="preserve">Area 
</t>
    </r>
    <r>
      <rPr>
        <i/>
        <sz val="11"/>
        <rFont val="Calibri"/>
        <family val="2"/>
        <scheme val="minor"/>
      </rPr>
      <t>(in sq mtr)</t>
    </r>
  </si>
  <si>
    <r>
      <t xml:space="preserve">Area 
</t>
    </r>
    <r>
      <rPr>
        <i/>
        <sz val="11"/>
        <rFont val="Calibri"/>
        <family val="2"/>
        <scheme val="minor"/>
      </rPr>
      <t>(in sq ft)</t>
    </r>
  </si>
  <si>
    <t>Height (in ft.)</t>
  </si>
  <si>
    <t>Year of Construction</t>
  </si>
  <si>
    <t xml:space="preserve">Year of Valuation </t>
  </si>
  <si>
    <r>
      <t xml:space="preserve">Total Life Consumed 
</t>
    </r>
    <r>
      <rPr>
        <i/>
        <sz val="11"/>
        <rFont val="Calibri"/>
        <family val="2"/>
        <scheme val="minor"/>
      </rPr>
      <t>(in yrs.)</t>
    </r>
  </si>
  <si>
    <r>
      <t xml:space="preserve">Total Economical Life
</t>
    </r>
    <r>
      <rPr>
        <i/>
        <sz val="11"/>
        <rFont val="Calibri"/>
        <family val="2"/>
        <scheme val="minor"/>
      </rPr>
      <t>(in yrs.)</t>
    </r>
  </si>
  <si>
    <t>Salvage value</t>
  </si>
  <si>
    <t>Depreciation Rate</t>
  </si>
  <si>
    <r>
      <t xml:space="preserve">Plinth Area  Rate 
</t>
    </r>
    <r>
      <rPr>
        <i/>
        <sz val="11"/>
        <rFont val="Calibri"/>
        <family val="2"/>
        <scheme val="minor"/>
      </rPr>
      <t>(in per sq.ft.)</t>
    </r>
  </si>
  <si>
    <r>
      <t xml:space="preserve">Plinth Area  Rate 
</t>
    </r>
    <r>
      <rPr>
        <b/>
        <i/>
        <sz val="11"/>
        <rFont val="Calibri"/>
        <family val="2"/>
        <scheme val="minor"/>
      </rPr>
      <t>(</t>
    </r>
    <r>
      <rPr>
        <i/>
        <sz val="11"/>
        <rFont val="Calibri"/>
        <family val="2"/>
        <scheme val="minor"/>
      </rPr>
      <t>In per sq. mtr.</t>
    </r>
    <r>
      <rPr>
        <b/>
        <i/>
        <sz val="11"/>
        <rFont val="Calibri"/>
        <family val="2"/>
        <scheme val="minor"/>
      </rPr>
      <t>)</t>
    </r>
  </si>
  <si>
    <r>
      <t>Gross Replacement Value
(</t>
    </r>
    <r>
      <rPr>
        <i/>
        <sz val="11"/>
        <rFont val="Calibri"/>
        <family val="2"/>
        <scheme val="minor"/>
      </rPr>
      <t>INR</t>
    </r>
    <r>
      <rPr>
        <b/>
        <sz val="11"/>
        <rFont val="Calibri"/>
        <family val="2"/>
        <scheme val="minor"/>
      </rPr>
      <t>)</t>
    </r>
  </si>
  <si>
    <r>
      <t>Total Deterioration 
(</t>
    </r>
    <r>
      <rPr>
        <i/>
        <sz val="11"/>
        <rFont val="Calibri"/>
        <family val="2"/>
        <scheme val="minor"/>
      </rPr>
      <t>INR</t>
    </r>
    <r>
      <rPr>
        <b/>
        <sz val="11"/>
        <rFont val="Calibri"/>
        <family val="2"/>
        <scheme val="minor"/>
      </rPr>
      <t xml:space="preserve">) </t>
    </r>
  </si>
  <si>
    <r>
      <t>Depreciated Value
(</t>
    </r>
    <r>
      <rPr>
        <i/>
        <sz val="11"/>
        <rFont val="Calibri"/>
        <family val="2"/>
        <scheme val="minor"/>
      </rPr>
      <t>INR</t>
    </r>
    <r>
      <rPr>
        <b/>
        <sz val="11"/>
        <rFont val="Calibri"/>
        <family val="2"/>
        <scheme val="minor"/>
      </rPr>
      <t>)</t>
    </r>
  </si>
  <si>
    <r>
      <t xml:space="preserve">Premium </t>
    </r>
    <r>
      <rPr>
        <sz val="11"/>
        <rFont val="Calibri"/>
        <family val="2"/>
        <scheme val="minor"/>
      </rPr>
      <t>(For additional aesthetics or renovation)</t>
    </r>
  </si>
  <si>
    <r>
      <t>Depreciated Replacement Market Value
(</t>
    </r>
    <r>
      <rPr>
        <i/>
        <sz val="11"/>
        <rFont val="Calibri"/>
        <family val="2"/>
        <scheme val="minor"/>
      </rPr>
      <t>INR</t>
    </r>
    <r>
      <rPr>
        <b/>
        <sz val="11"/>
        <rFont val="Calibri"/>
        <family val="2"/>
        <scheme val="minor"/>
      </rPr>
      <t>)</t>
    </r>
  </si>
  <si>
    <r>
      <t>Govt. Guideline rates
(</t>
    </r>
    <r>
      <rPr>
        <i/>
        <sz val="11"/>
        <rFont val="Calibri"/>
        <family val="2"/>
        <scheme val="minor"/>
      </rPr>
      <t>per sq. mtr.</t>
    </r>
    <r>
      <rPr>
        <b/>
        <sz val="11"/>
        <rFont val="Calibri"/>
        <family val="2"/>
        <scheme val="minor"/>
      </rPr>
      <t>)</t>
    </r>
  </si>
  <si>
    <t>Age Factor</t>
  </si>
  <si>
    <t>Total Govt. Guideline value</t>
  </si>
  <si>
    <t>Good</t>
  </si>
  <si>
    <t>ANNEXURE-A:  MARKET VALUE OF STRUCTURES OF M/S. BAJAJ HINDUSTHAN SUGAR LIMITED.| PROPERTY OF INDUSTRIAL PROPERTY | SITUATED AT: VILLAGE- BHUDHANA, DISTRICT- MUZAFFARNAGAR, U.P</t>
  </si>
  <si>
    <t>ANNEXURE-B: VALUATION OF OTHER STRUCTURES MARKET VALUE OF STRUCTURES OF M/S. BAJAJ HINDUSTHAN SUGAR LIMITED.| PROPERTY OF INDUSTRIAL PROPERTY | SITUATED AT: VILLAGE- THANABHAWAN, DISTRICT- SHAMLI, U.P</t>
  </si>
  <si>
    <t>Description</t>
  </si>
  <si>
    <t xml:space="preserve">Type of construction  </t>
  </si>
  <si>
    <t>Area (in running mtr.)</t>
  </si>
  <si>
    <t>Area (fts.)</t>
  </si>
  <si>
    <t>Rates adopted</t>
  </si>
  <si>
    <t>Depreciated Replacement Cost</t>
  </si>
  <si>
    <t>Boundry wall length (meter)</t>
  </si>
  <si>
    <t>Average</t>
  </si>
  <si>
    <t>RCC work etc.</t>
  </si>
  <si>
    <t>Total</t>
  </si>
  <si>
    <t>Reservoir</t>
  </si>
  <si>
    <t>Height (ft.)</t>
  </si>
  <si>
    <t>Annexure</t>
  </si>
  <si>
    <t>Gross Block</t>
  </si>
  <si>
    <t>Depreciated Fair Market Value</t>
  </si>
  <si>
    <t>A</t>
  </si>
  <si>
    <t>Other  Structures</t>
  </si>
  <si>
    <t>B</t>
  </si>
  <si>
    <t>Notes:</t>
  </si>
  <si>
    <t>2. On our request, BHSL provided us the area measurement of Buildings. Hence we have believed on the area statement provided by the company in good faith. However, our team have cross-verified all the structure present within the boundary of the company.</t>
  </si>
  <si>
    <t>3. Some sample verification has been done with the provided area which was found to be different as provided in the sheet.(Ex: Height of Sugar Godown, Area of Dispensary &amp; cane office office, Labout Hutment,Guest House</t>
  </si>
  <si>
    <t>4. For evaluation of the useful economic life for the calculation of depreciation, companies act 2013 and the general practical trend of same Buildings are taken into consideration.</t>
  </si>
  <si>
    <t>6. For calculting reproduction cost of Civil &amp; Structural Assets as on date, we have taken reference from open market and calculated depreciation on the same.</t>
  </si>
  <si>
    <t>Plant Buildings</t>
  </si>
  <si>
    <t>1. Buildings &amp; Civil works only related to the BHSL, Bhudhana, Muzaffarnagar, U.P Plant and associated facilities are considered in this report.</t>
  </si>
  <si>
    <t xml:space="preserve">LAND AREA STATEMENT </t>
  </si>
  <si>
    <t>Village Name</t>
  </si>
  <si>
    <t>Total no. of Deeds</t>
  </si>
  <si>
    <r>
      <t xml:space="preserve">Land Area 
</t>
    </r>
    <r>
      <rPr>
        <i/>
        <sz val="10"/>
        <color theme="1"/>
        <rFont val="Calibri"/>
        <family val="2"/>
        <scheme val="minor"/>
      </rPr>
      <t>(in Hectare)</t>
    </r>
  </si>
  <si>
    <r>
      <t xml:space="preserve">Land Area 
</t>
    </r>
    <r>
      <rPr>
        <i/>
        <sz val="10"/>
        <color theme="1"/>
        <rFont val="Calibri"/>
        <family val="2"/>
        <scheme val="minor"/>
      </rPr>
      <t>(in Acres)</t>
    </r>
  </si>
  <si>
    <t xml:space="preserve">Bhaisana </t>
  </si>
  <si>
    <t>Budhana Khadar</t>
  </si>
  <si>
    <t>Chanderi</t>
  </si>
  <si>
    <t>VALUATION AS PER GOVT. GUIDELINE RATES</t>
  </si>
  <si>
    <t>S.No</t>
  </si>
  <si>
    <r>
      <t xml:space="preserve">Area  </t>
    </r>
    <r>
      <rPr>
        <i/>
        <sz val="11"/>
        <color theme="1"/>
        <rFont val="Calibri"/>
        <family val="2"/>
        <scheme val="minor"/>
      </rPr>
      <t>(Hectare)</t>
    </r>
  </si>
  <si>
    <r>
      <t xml:space="preserve">Area </t>
    </r>
    <r>
      <rPr>
        <i/>
        <sz val="11"/>
        <color theme="1"/>
        <rFont val="Calibri"/>
        <family val="2"/>
        <scheme val="minor"/>
      </rPr>
      <t>(Acre)</t>
    </r>
  </si>
  <si>
    <r>
      <t xml:space="preserve">Area
</t>
    </r>
    <r>
      <rPr>
        <i/>
        <sz val="11"/>
        <color theme="1"/>
        <rFont val="Calibri"/>
        <family val="2"/>
        <scheme val="minor"/>
      </rPr>
      <t>(sq. mtr.)</t>
    </r>
  </si>
  <si>
    <r>
      <t xml:space="preserve">Govt. Guidelines Rates 
</t>
    </r>
    <r>
      <rPr>
        <i/>
        <sz val="11"/>
        <color theme="1"/>
        <rFont val="Calibri"/>
        <family val="2"/>
        <scheme val="minor"/>
      </rPr>
      <t>(in Hectare)</t>
    </r>
    <r>
      <rPr>
        <b/>
        <sz val="11"/>
        <color theme="1"/>
        <rFont val="Calibri"/>
        <family val="2"/>
        <scheme val="minor"/>
      </rPr>
      <t xml:space="preserve">
</t>
    </r>
  </si>
  <si>
    <r>
      <t xml:space="preserve">Govt. Guidelines Rates 
</t>
    </r>
    <r>
      <rPr>
        <i/>
        <sz val="11"/>
        <color theme="1"/>
        <rFont val="Calibri"/>
        <family val="2"/>
        <scheme val="minor"/>
      </rPr>
      <t>(in sq. mtr.)</t>
    </r>
    <r>
      <rPr>
        <b/>
        <sz val="11"/>
        <color theme="1"/>
        <rFont val="Calibri"/>
        <family val="2"/>
        <scheme val="minor"/>
      </rPr>
      <t xml:space="preserve">
</t>
    </r>
  </si>
  <si>
    <t>Agricultural  Govt. Guideline Value</t>
  </si>
  <si>
    <t>Non- Agricultural  Govt. Guideline Value</t>
  </si>
  <si>
    <t>Remarks:</t>
  </si>
  <si>
    <t>1. The above mentioned land area has been taken on the basis of information/ data provided by the company.</t>
  </si>
  <si>
    <t>2. These circle rates gives only the indicative values. However, actually this value has no reference to the real market transaction value which is much less for this kind of land considering the land used for Industrial purpose comparing it with non-agricultural land. Hence no reference can be derived out of the Circle Guideline Value</t>
  </si>
  <si>
    <t>VALUATION OF PROJECT LAND | BAJAJ HINDUSTHAN SUGAR LIMITED | VILLAGE- BUDHANA | DISTRICT- MUZAFFARNAGAR</t>
  </si>
  <si>
    <r>
      <t xml:space="preserve">Area
</t>
    </r>
    <r>
      <rPr>
        <i/>
        <sz val="10"/>
        <rFont val="Calibri"/>
        <family val="2"/>
        <scheme val="minor"/>
      </rPr>
      <t>(in Hectare)</t>
    </r>
  </si>
  <si>
    <r>
      <t xml:space="preserve">Land Rate under Land Acquisition Act-2013
</t>
    </r>
    <r>
      <rPr>
        <i/>
        <sz val="10"/>
        <rFont val="Calibri"/>
        <family val="2"/>
        <scheme val="minor"/>
      </rPr>
      <t>(in per hectares)</t>
    </r>
  </si>
  <si>
    <t xml:space="preserve">Total </t>
  </si>
  <si>
    <r>
      <t xml:space="preserve">Factor for Land Falls under Rural Area </t>
    </r>
    <r>
      <rPr>
        <b/>
        <sz val="11"/>
        <color theme="1"/>
        <rFont val="Calibri"/>
        <family val="2"/>
        <scheme val="minor"/>
      </rPr>
      <t>(B)</t>
    </r>
  </si>
  <si>
    <r>
      <t xml:space="preserve"> 2 times of Value of </t>
    </r>
    <r>
      <rPr>
        <b/>
        <sz val="11"/>
        <color theme="1"/>
        <rFont val="Calibri"/>
        <family val="2"/>
        <scheme val="minor"/>
      </rPr>
      <t>A</t>
    </r>
  </si>
  <si>
    <r>
      <t xml:space="preserve">Value of Assets attached to land or building </t>
    </r>
    <r>
      <rPr>
        <b/>
        <sz val="11"/>
        <color theme="1"/>
        <rFont val="Calibri"/>
        <family val="2"/>
        <scheme val="minor"/>
      </rPr>
      <t>(C)</t>
    </r>
  </si>
  <si>
    <t>Total (D=B+C)</t>
  </si>
  <si>
    <t>Add Solatium
(100%) (E)</t>
  </si>
  <si>
    <t>100% of value D</t>
  </si>
  <si>
    <t>Total Award Value (F=D+E)</t>
  </si>
  <si>
    <t xml:space="preserve">FAIR MARKET VALUATION OF LAND OF  : M/S. BAJAJ HINDUSTHAN SUGAR LIMITED, BUDHANA, MUZAFFARNAGAR, UTTAR PRTADESH  </t>
  </si>
  <si>
    <t>Sr.No.</t>
  </si>
  <si>
    <t>Particulars</t>
  </si>
  <si>
    <t>Original Land Area</t>
  </si>
  <si>
    <t xml:space="preserve">Fair Market Valuation </t>
  </si>
  <si>
    <t>Acres</t>
  </si>
  <si>
    <t>Hectares</t>
  </si>
  <si>
    <t>Project Land</t>
  </si>
  <si>
    <t>Add 5% premium for non agriculture land</t>
  </si>
  <si>
    <t>Add 10% for cost &amp; effort considerations to cover administrative cost, effort towards land acquisition &amp; consolidation etc.</t>
  </si>
  <si>
    <t>Add: Land Development, Site Levelling charges etc.</t>
  </si>
  <si>
    <t xml:space="preserve">  At Rs.2.5 Lacs per acre</t>
  </si>
  <si>
    <t>GRAND TOTAL</t>
  </si>
  <si>
    <t>1.  Land area details has been provided to us by the company, which is relied upon in good faith.</t>
  </si>
  <si>
    <r>
      <t xml:space="preserve">2. As per the our calculations, the market rate for the subject power project is comes out to be </t>
    </r>
    <r>
      <rPr>
        <i/>
        <sz val="11"/>
        <rFont val="Calibri"/>
        <family val="2"/>
        <scheme val="minor"/>
      </rPr>
      <t>Rs.1 .41 Cr.</t>
    </r>
    <r>
      <rPr>
        <i/>
        <sz val="11"/>
        <color theme="1"/>
        <rFont val="Calibri"/>
        <family val="2"/>
        <scheme val="minor"/>
      </rPr>
      <t xml:space="preserve">per Acres, which seems to be reasonable in our point of view. </t>
    </r>
  </si>
  <si>
    <t xml:space="preserve">5. The economic life of the Main Plant Building for Industrial  RCC structure is taken as 60 years, and others structure related to Sugar, Manufacturing Plant varies from 40 to 60 years. </t>
  </si>
  <si>
    <t>BUDHANA LAND VALUATION BELTING METHOD</t>
  </si>
  <si>
    <t>Calculation by Belting Method</t>
  </si>
  <si>
    <t>Total Area</t>
  </si>
  <si>
    <t>Area (front side)</t>
  </si>
  <si>
    <t>Area (middle part)</t>
  </si>
  <si>
    <t>Area (back side)</t>
  </si>
  <si>
    <t>Area (Acre)</t>
  </si>
  <si>
    <t>Rate (Acre)</t>
  </si>
  <si>
    <t>Value</t>
  </si>
  <si>
    <t>Total Value</t>
  </si>
  <si>
    <t>Average Rate (Acre)</t>
  </si>
  <si>
    <t>Add 5% for cost &amp; effort considerations to cover administrative cost, effort towards land acquisition &amp; consolidation etc.</t>
  </si>
  <si>
    <t xml:space="preserve">Add: Land Development, Site Levelling charges etc. </t>
  </si>
  <si>
    <t>2.5 lacs per acre</t>
  </si>
  <si>
    <t>TOTAL</t>
  </si>
  <si>
    <t>BUILDING/ CIVIL STRUCTURE | BAJAJ HINDUSTHAN SUGAR LIMITED | BUDHANA, MUZAFFARNAGAR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</si>
</sst>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0.000"/>
    <numFmt numFmtId="165" formatCode="_ [$₹-4009]\ * #,##0.00_ ;_ [$₹-4009]\ * \-#,##0.00_ ;_ [$₹-4009]\ * &quot;-&quot;??_ ;_ @_ "/>
    <numFmt numFmtId="166" formatCode="_ [$₹-4009]\ * #,##0_ ;_ [$₹-4009]\ * \-#,##0_ ;_ [$₹-4009]\ * &quot;-&quot;??_ ;_ @_ "/>
    <numFmt numFmtId="167" formatCode="_ &quot;₹&quot;\ * #,##0_ ;_ &quot;₹&quot;\ * \-#,##0_ ;_ &quot;₹&quot;\ * &quot;-&quot;??_ ;_ @_ "/>
  </numFmts>
  <fonts count="23" x14ac:knownFonts="1">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sz val="10"/>
      <name val="Arial"/>
      <family val="2"/>
    </font>
    <font>
      <b/>
      <sz val="11"/>
      <name val="Calibri"/>
      <family val="2"/>
      <scheme val="minor"/>
    </font>
    <font>
      <i/>
      <sz val="11"/>
      <name val="Calibri"/>
      <family val="2"/>
      <scheme val="minor"/>
    </font>
    <font>
      <b/>
      <i/>
      <sz val="11"/>
      <name val="Calibri"/>
      <family val="2"/>
      <scheme val="minor"/>
    </font>
    <font>
      <sz val="11"/>
      <name val="Calibri"/>
      <family val="2"/>
      <scheme val="minor"/>
    </font>
    <font>
      <sz val="10"/>
      <color theme="1"/>
      <name val="Calibri"/>
      <family val="2"/>
      <scheme val="minor"/>
    </font>
    <font>
      <sz val="11"/>
      <color indexed="8"/>
      <name val="Calibri"/>
      <family val="2"/>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b/>
      <sz val="12"/>
      <color indexed="9"/>
      <name val="Calibri"/>
      <family val="2"/>
    </font>
    <font>
      <sz val="11"/>
      <color theme="0"/>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i/>
      <sz val="10"/>
      <name val="Calibri"/>
      <family val="2"/>
      <scheme val="minor"/>
    </font>
    <font>
      <b/>
      <sz val="12"/>
      <color theme="1"/>
      <name val="Calibri"/>
      <family val="2"/>
      <scheme val="minor"/>
    </font>
    <font>
      <b/>
      <sz val="10"/>
      <color theme="1"/>
      <name val="Calibri"/>
      <family val="2"/>
      <scheme val="minor"/>
    </font>
  </fonts>
  <fills count="15">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rgb="FF1E366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indexed="56"/>
        <bgColor indexed="63"/>
      </patternFill>
    </fill>
    <fill>
      <patternFill patternType="solid">
        <fgColor theme="4" tint="0.79998168889431442"/>
        <bgColor indexed="24"/>
      </patternFill>
    </fill>
    <fill>
      <patternFill patternType="solid">
        <fgColor theme="8"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s>
  <cellStyleXfs count="5">
    <xf numFmtId="0" fontId="0" fillId="0" borderId="0"/>
    <xf numFmtId="0" fontId="10" fillId="0" borderId="0"/>
    <xf numFmtId="44" fontId="11" fillId="0" borderId="0" applyFont="0" applyFill="0" applyBorder="0" applyAlignment="0" applyProtection="0"/>
    <xf numFmtId="0" fontId="4" fillId="0" borderId="0"/>
    <xf numFmtId="44" fontId="11" fillId="0" borderId="0" applyFont="0" applyFill="0" applyBorder="0" applyAlignment="0" applyProtection="0"/>
  </cellStyleXfs>
  <cellXfs count="202">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1" xfId="0" applyBorder="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left" vertical="center" wrapText="1"/>
    </xf>
    <xf numFmtId="0" fontId="4" fillId="0" borderId="1" xfId="0" applyFont="1" applyBorder="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vertical="top" wrapText="1"/>
    </xf>
    <xf numFmtId="0" fontId="0" fillId="0" borderId="1" xfId="0" applyBorder="1" applyAlignment="1">
      <alignment horizontal="center" vertical="top"/>
    </xf>
    <xf numFmtId="0" fontId="4" fillId="0" borderId="1" xfId="0" applyFont="1" applyBorder="1" applyAlignment="1">
      <alignment horizontal="justify" vertical="top"/>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165" fontId="0" fillId="0" borderId="2" xfId="0" applyNumberFormat="1" applyBorder="1" applyAlignment="1">
      <alignment horizontal="center" vertical="center" wrapText="1"/>
    </xf>
    <xf numFmtId="166" fontId="0" fillId="0" borderId="1" xfId="0" applyNumberFormat="1" applyBorder="1" applyAlignment="1">
      <alignment horizontal="center" vertical="center" wrapText="1"/>
    </xf>
    <xf numFmtId="0" fontId="0" fillId="0" borderId="1" xfId="0" applyBorder="1"/>
    <xf numFmtId="0" fontId="9"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4" fillId="0" borderId="3" xfId="0" applyFont="1" applyBorder="1" applyAlignment="1">
      <alignment horizontal="center" vertical="center"/>
    </xf>
    <xf numFmtId="0" fontId="0" fillId="0" borderId="3" xfId="0" applyBorder="1" applyAlignment="1">
      <alignment horizontal="center" vertical="center"/>
    </xf>
    <xf numFmtId="164" fontId="9" fillId="0" borderId="3"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66" fontId="9" fillId="0" borderId="3"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0" fillId="0" borderId="4" xfId="0" applyBorder="1" applyAlignment="1">
      <alignment horizontal="center" vertical="center" wrapText="1"/>
    </xf>
    <xf numFmtId="0" fontId="2" fillId="0" borderId="4" xfId="0" applyFont="1" applyBorder="1" applyAlignment="1">
      <alignment horizontal="left" vertical="center" wrapText="1"/>
    </xf>
    <xf numFmtId="2" fontId="0" fillId="0" borderId="4" xfId="0" applyNumberFormat="1" applyBorder="1" applyAlignment="1">
      <alignment horizontal="center" vertical="center"/>
    </xf>
    <xf numFmtId="2" fontId="9" fillId="0" borderId="4" xfId="0" applyNumberFormat="1" applyFont="1" applyBorder="1" applyAlignment="1">
      <alignment horizontal="center" vertical="center" wrapText="1"/>
    </xf>
    <xf numFmtId="0" fontId="0" fillId="0" borderId="4" xfId="0" applyBorder="1" applyAlignment="1">
      <alignment horizontal="center" vertical="center"/>
    </xf>
    <xf numFmtId="164" fontId="9" fillId="0" borderId="4"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0" fontId="4" fillId="0" borderId="4" xfId="0" applyFont="1" applyBorder="1" applyAlignment="1">
      <alignment horizontal="center" vertical="center"/>
    </xf>
    <xf numFmtId="0" fontId="9" fillId="0" borderId="5" xfId="0" applyFont="1" applyBorder="1" applyAlignment="1">
      <alignment horizontal="center" vertical="center" wrapText="1"/>
    </xf>
    <xf numFmtId="0" fontId="0" fillId="0" borderId="5" xfId="0" applyBorder="1" applyAlignment="1">
      <alignment horizontal="center" vertical="center" wrapText="1"/>
    </xf>
    <xf numFmtId="0" fontId="2" fillId="0" borderId="5" xfId="0" applyFont="1" applyBorder="1" applyAlignment="1">
      <alignment horizontal="left" vertical="center" wrapText="1"/>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xf>
    <xf numFmtId="164" fontId="9" fillId="0" borderId="1" xfId="0" applyNumberFormat="1" applyFont="1" applyFill="1" applyBorder="1" applyAlignment="1">
      <alignment horizontal="center" vertical="center" wrapText="1"/>
    </xf>
    <xf numFmtId="0" fontId="0" fillId="0" borderId="0" xfId="0" applyFill="1"/>
    <xf numFmtId="0" fontId="0" fillId="0" borderId="5" xfId="0" applyFill="1" applyBorder="1" applyAlignment="1">
      <alignment horizontal="center" vertical="center" wrapText="1"/>
    </xf>
    <xf numFmtId="0" fontId="2" fillId="0" borderId="5" xfId="0" applyFont="1" applyFill="1" applyBorder="1" applyAlignment="1">
      <alignment horizontal="left" vertical="center" wrapText="1"/>
    </xf>
    <xf numFmtId="0" fontId="4" fillId="0" borderId="5" xfId="0" applyFont="1" applyFill="1" applyBorder="1" applyAlignment="1">
      <alignment horizontal="center" vertical="center"/>
    </xf>
    <xf numFmtId="0" fontId="0" fillId="0" borderId="5" xfId="0" applyFill="1" applyBorder="1" applyAlignment="1">
      <alignment horizontal="center" vertical="center"/>
    </xf>
    <xf numFmtId="165" fontId="0" fillId="0" borderId="0" xfId="0" applyNumberFormat="1"/>
    <xf numFmtId="165" fontId="5" fillId="5" borderId="1" xfId="0" applyNumberFormat="1" applyFont="1" applyFill="1" applyBorder="1" applyAlignment="1">
      <alignment horizontal="center" vertical="center" wrapText="1"/>
    </xf>
    <xf numFmtId="165" fontId="0" fillId="0" borderId="1" xfId="0" applyNumberFormat="1" applyBorder="1"/>
    <xf numFmtId="165" fontId="9" fillId="0" borderId="5" xfId="0" applyNumberFormat="1" applyFont="1" applyFill="1" applyBorder="1" applyAlignment="1">
      <alignment horizontal="center" vertical="center" wrapText="1"/>
    </xf>
    <xf numFmtId="166" fontId="9" fillId="0" borderId="5" xfId="0" applyNumberFormat="1" applyFont="1" applyFill="1" applyBorder="1" applyAlignment="1">
      <alignment horizontal="center" vertical="center" wrapText="1"/>
    </xf>
    <xf numFmtId="0" fontId="9" fillId="0" borderId="1" xfId="0" applyFont="1" applyBorder="1" applyAlignment="1">
      <alignment vertical="center" wrapText="1"/>
    </xf>
    <xf numFmtId="166" fontId="9"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13" fillId="8" borderId="10" xfId="1" applyFont="1" applyFill="1" applyBorder="1" applyAlignment="1">
      <alignment horizontal="center" vertical="center" wrapText="1"/>
    </xf>
    <xf numFmtId="0" fontId="13" fillId="8" borderId="11" xfId="1" applyFont="1" applyFill="1" applyBorder="1" applyAlignment="1">
      <alignment horizontal="center" vertical="center" wrapText="1"/>
    </xf>
    <xf numFmtId="0" fontId="0" fillId="0" borderId="12" xfId="0" applyBorder="1" applyAlignment="1">
      <alignment horizontal="center" vertical="center"/>
    </xf>
    <xf numFmtId="0" fontId="14" fillId="0" borderId="10" xfId="1" applyFont="1" applyBorder="1" applyAlignment="1">
      <alignment horizontal="center" vertical="center" wrapText="1"/>
    </xf>
    <xf numFmtId="0" fontId="14" fillId="0" borderId="10" xfId="1" applyFont="1" applyBorder="1" applyAlignment="1">
      <alignment horizontal="center" vertical="center"/>
    </xf>
    <xf numFmtId="2" fontId="14" fillId="0" borderId="15" xfId="1" applyNumberFormat="1" applyFont="1" applyBorder="1" applyAlignment="1">
      <alignment horizontal="center" vertical="center"/>
    </xf>
    <xf numFmtId="44" fontId="0" fillId="0" borderId="1" xfId="2" applyFont="1" applyBorder="1" applyAlignment="1">
      <alignment horizontal="center" vertical="center"/>
    </xf>
    <xf numFmtId="165" fontId="0" fillId="0" borderId="1" xfId="0" applyNumberFormat="1" applyBorder="1" applyAlignment="1">
      <alignment vertical="center"/>
    </xf>
    <xf numFmtId="44" fontId="0" fillId="0" borderId="1" xfId="2" applyFont="1" applyFill="1" applyBorder="1" applyAlignment="1">
      <alignment horizontal="center" vertical="center"/>
    </xf>
    <xf numFmtId="0" fontId="0" fillId="0" borderId="18" xfId="0" applyBorder="1" applyAlignment="1">
      <alignment horizontal="center" vertical="center"/>
    </xf>
    <xf numFmtId="0" fontId="14" fillId="0" borderId="11" xfId="1" applyFont="1" applyBorder="1" applyAlignment="1">
      <alignment horizontal="center" vertical="center" wrapText="1"/>
    </xf>
    <xf numFmtId="2" fontId="14" fillId="0" borderId="19" xfId="1" applyNumberFormat="1" applyFont="1" applyBorder="1" applyAlignment="1">
      <alignment horizontal="center" vertical="center"/>
    </xf>
    <xf numFmtId="44" fontId="0" fillId="0" borderId="3" xfId="2" applyFont="1" applyBorder="1" applyAlignment="1">
      <alignment horizontal="center" vertical="center"/>
    </xf>
    <xf numFmtId="165" fontId="0" fillId="0" borderId="3" xfId="0" applyNumberFormat="1" applyBorder="1" applyAlignment="1">
      <alignment vertical="center"/>
    </xf>
    <xf numFmtId="0" fontId="2" fillId="0" borderId="1" xfId="0" applyFont="1" applyBorder="1" applyAlignment="1">
      <alignment horizontal="center"/>
    </xf>
    <xf numFmtId="2" fontId="2" fillId="0" borderId="1" xfId="0" applyNumberFormat="1" applyFont="1" applyBorder="1"/>
    <xf numFmtId="0" fontId="2" fillId="0" borderId="1" xfId="0" applyFont="1" applyBorder="1"/>
    <xf numFmtId="165" fontId="2" fillId="0" borderId="1" xfId="0" applyNumberFormat="1" applyFont="1" applyBorder="1"/>
    <xf numFmtId="0" fontId="0" fillId="0" borderId="0" xfId="0" applyAlignment="1">
      <alignment horizontal="center"/>
    </xf>
    <xf numFmtId="0" fontId="14" fillId="0" borderId="1" xfId="1" applyFont="1" applyBorder="1" applyAlignment="1">
      <alignment horizontal="center" vertical="center" wrapText="1"/>
    </xf>
    <xf numFmtId="0" fontId="8" fillId="0" borderId="20" xfId="3" applyFont="1" applyBorder="1" applyAlignment="1">
      <alignment horizontal="center" vertical="center"/>
    </xf>
    <xf numFmtId="0" fontId="8" fillId="0" borderId="22" xfId="3" applyFont="1" applyBorder="1" applyAlignment="1">
      <alignment horizontal="center" vertical="center"/>
    </xf>
    <xf numFmtId="0" fontId="8" fillId="0" borderId="2" xfId="3" applyFont="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2" fontId="8" fillId="0" borderId="1" xfId="0" applyNumberFormat="1" applyFont="1" applyBorder="1" applyAlignment="1">
      <alignment horizontal="center" vertical="center"/>
    </xf>
    <xf numFmtId="2" fontId="8" fillId="10" borderId="1" xfId="0" applyNumberFormat="1" applyFont="1" applyFill="1" applyBorder="1" applyAlignment="1">
      <alignment horizontal="center" vertical="center"/>
    </xf>
    <xf numFmtId="2" fontId="0" fillId="0" borderId="1" xfId="0" applyNumberFormat="1" applyBorder="1" applyAlignment="1">
      <alignment horizontal="center"/>
    </xf>
    <xf numFmtId="2" fontId="2" fillId="0" borderId="1" xfId="0" applyNumberFormat="1" applyFont="1" applyBorder="1" applyAlignment="1">
      <alignment horizontal="center"/>
    </xf>
    <xf numFmtId="165" fontId="2" fillId="5" borderId="1" xfId="0" applyNumberFormat="1" applyFont="1" applyFill="1" applyBorder="1" applyAlignment="1">
      <alignment horizontal="center" vertical="center" wrapText="1"/>
    </xf>
    <xf numFmtId="166" fontId="2" fillId="5"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165" fontId="0" fillId="10" borderId="1" xfId="0" applyNumberFormat="1" applyFill="1" applyBorder="1" applyAlignment="1">
      <alignment horizontal="center" vertical="center" wrapText="1"/>
    </xf>
    <xf numFmtId="166" fontId="0" fillId="10" borderId="1" xfId="0" applyNumberFormat="1" applyFill="1" applyBorder="1" applyAlignment="1">
      <alignment horizontal="center" vertical="center" wrapText="1"/>
    </xf>
    <xf numFmtId="2" fontId="2" fillId="0" borderId="1" xfId="0" applyNumberFormat="1" applyFont="1" applyBorder="1" applyAlignment="1">
      <alignment horizontal="center" vertical="center"/>
    </xf>
    <xf numFmtId="165" fontId="2" fillId="0" borderId="1" xfId="0" applyNumberFormat="1" applyFont="1" applyBorder="1" applyAlignment="1">
      <alignment horizontal="center"/>
    </xf>
    <xf numFmtId="166" fontId="2" fillId="0" borderId="1" xfId="0" applyNumberFormat="1" applyFont="1" applyBorder="1" applyAlignment="1">
      <alignment vertical="center"/>
    </xf>
    <xf numFmtId="0" fontId="5" fillId="12" borderId="1" xfId="0" applyFont="1" applyFill="1" applyBorder="1" applyAlignment="1">
      <alignment horizontal="center" vertical="center" wrapText="1"/>
    </xf>
    <xf numFmtId="0" fontId="5" fillId="1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165" fontId="2" fillId="0" borderId="2" xfId="0" applyNumberFormat="1" applyFont="1" applyBorder="1" applyAlignment="1">
      <alignment vertical="center"/>
    </xf>
    <xf numFmtId="0" fontId="0" fillId="0" borderId="4" xfId="0" applyBorder="1" applyAlignment="1">
      <alignment vertical="center"/>
    </xf>
    <xf numFmtId="165" fontId="2" fillId="0" borderId="1" xfId="0" applyNumberFormat="1" applyFont="1" applyBorder="1" applyAlignment="1">
      <alignment vertical="center"/>
    </xf>
    <xf numFmtId="0" fontId="0" fillId="0" borderId="1" xfId="0" applyBorder="1" applyAlignment="1">
      <alignment vertical="center"/>
    </xf>
    <xf numFmtId="0" fontId="2" fillId="13" borderId="1" xfId="0" applyFont="1" applyFill="1" applyBorder="1" applyAlignment="1">
      <alignment vertical="center" wrapText="1"/>
    </xf>
    <xf numFmtId="0" fontId="0" fillId="0" borderId="16" xfId="0" applyBorder="1" applyAlignment="1">
      <alignment vertical="center" wrapText="1"/>
    </xf>
    <xf numFmtId="44" fontId="8" fillId="0" borderId="1" xfId="4" applyFont="1" applyBorder="1" applyAlignment="1">
      <alignment vertical="center"/>
    </xf>
    <xf numFmtId="44" fontId="0" fillId="0" borderId="1" xfId="4" applyFont="1" applyBorder="1" applyAlignment="1">
      <alignment vertical="center"/>
    </xf>
    <xf numFmtId="0" fontId="0" fillId="10" borderId="16" xfId="0" applyFill="1" applyBorder="1" applyAlignment="1">
      <alignment vertical="center" wrapText="1"/>
    </xf>
    <xf numFmtId="44" fontId="2" fillId="13" borderId="1" xfId="4" applyFont="1" applyFill="1" applyBorder="1" applyAlignment="1">
      <alignment vertical="center"/>
    </xf>
    <xf numFmtId="44" fontId="0" fillId="0" borderId="0" xfId="2" applyFont="1"/>
    <xf numFmtId="0" fontId="0" fillId="0" borderId="1" xfId="0" applyBorder="1" applyAlignment="1">
      <alignment horizontal="center" vertical="center"/>
    </xf>
    <xf numFmtId="166" fontId="9"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0" fontId="3" fillId="11" borderId="1" xfId="0" applyFont="1" applyFill="1" applyBorder="1" applyAlignment="1">
      <alignment horizontal="center" vertical="center"/>
    </xf>
    <xf numFmtId="0" fontId="21" fillId="13" borderId="1" xfId="0" applyFont="1" applyFill="1" applyBorder="1" applyAlignment="1">
      <alignment horizontal="center" vertical="center"/>
    </xf>
    <xf numFmtId="0" fontId="21" fillId="0" borderId="1" xfId="0" applyFont="1" applyBorder="1" applyAlignment="1">
      <alignment horizontal="left" vertical="center"/>
    </xf>
    <xf numFmtId="1" fontId="0" fillId="0" borderId="1" xfId="0" applyNumberFormat="1" applyBorder="1" applyAlignment="1">
      <alignment horizontal="center" vertical="center"/>
    </xf>
    <xf numFmtId="167" fontId="0" fillId="0" borderId="1" xfId="0" applyNumberFormat="1" applyBorder="1" applyAlignment="1">
      <alignment horizontal="center" vertical="center"/>
    </xf>
    <xf numFmtId="0" fontId="2" fillId="0" borderId="1" xfId="0" applyFont="1" applyBorder="1" applyAlignment="1">
      <alignment vertical="center" wrapText="1"/>
    </xf>
    <xf numFmtId="0" fontId="2" fillId="10" borderId="1" xfId="0" applyFont="1" applyFill="1" applyBorder="1" applyAlignment="1">
      <alignment vertical="center" wrapText="1"/>
    </xf>
    <xf numFmtId="167" fontId="0" fillId="0" borderId="1" xfId="2" applyNumberFormat="1" applyFont="1" applyBorder="1" applyAlignment="1">
      <alignment horizontal="center" vertical="center"/>
    </xf>
    <xf numFmtId="167" fontId="2" fillId="0" borderId="1" xfId="0" applyNumberFormat="1" applyFont="1" applyBorder="1" applyAlignment="1">
      <alignment horizontal="center" vertical="center"/>
    </xf>
    <xf numFmtId="166" fontId="22" fillId="0" borderId="1" xfId="0" applyNumberFormat="1" applyFont="1" applyBorder="1" applyAlignment="1">
      <alignment vertical="center" wrapText="1"/>
    </xf>
    <xf numFmtId="167" fontId="5" fillId="0" borderId="1" xfId="0" applyNumberFormat="1" applyFont="1" applyBorder="1" applyAlignment="1">
      <alignment vertical="center"/>
    </xf>
    <xf numFmtId="167" fontId="5" fillId="0" borderId="1" xfId="0" applyNumberFormat="1" applyFont="1" applyBorder="1" applyAlignment="1">
      <alignment horizontal="center" vertical="center"/>
    </xf>
    <xf numFmtId="0" fontId="3" fillId="2" borderId="0" xfId="0" applyFont="1" applyFill="1" applyAlignment="1">
      <alignment horizontal="center" vertical="center"/>
    </xf>
    <xf numFmtId="0" fontId="1" fillId="4" borderId="1" xfId="0" applyFont="1" applyFill="1" applyBorder="1" applyAlignment="1">
      <alignment horizontal="center" vertical="center" wrapText="1"/>
    </xf>
    <xf numFmtId="165" fontId="1" fillId="4"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165" fontId="9" fillId="0" borderId="6" xfId="0" applyNumberFormat="1" applyFont="1" applyFill="1" applyBorder="1" applyAlignment="1">
      <alignment horizontal="center" vertical="center" wrapText="1"/>
    </xf>
    <xf numFmtId="165" fontId="9" fillId="0" borderId="7" xfId="0" applyNumberFormat="1" applyFont="1" applyFill="1" applyBorder="1" applyAlignment="1">
      <alignment horizontal="center" vertical="center" wrapText="1"/>
    </xf>
    <xf numFmtId="165" fontId="9" fillId="0" borderId="8" xfId="0" applyNumberFormat="1" applyFont="1" applyFill="1" applyBorder="1" applyAlignment="1">
      <alignment horizontal="center" vertical="center" wrapText="1"/>
    </xf>
    <xf numFmtId="0" fontId="12" fillId="7" borderId="9" xfId="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1" xfId="0" applyFont="1" applyBorder="1" applyAlignment="1">
      <alignment horizontal="center"/>
    </xf>
    <xf numFmtId="0" fontId="13" fillId="8" borderId="19" xfId="1" applyFont="1" applyFill="1" applyBorder="1" applyAlignment="1">
      <alignment horizontal="center" vertical="center" wrapText="1"/>
    </xf>
    <xf numFmtId="0" fontId="13" fillId="8" borderId="21" xfId="1" applyFont="1" applyFill="1" applyBorder="1" applyAlignment="1">
      <alignment horizontal="center" vertical="center" wrapText="1"/>
    </xf>
    <xf numFmtId="0" fontId="13" fillId="8" borderId="22"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2" fillId="5" borderId="16" xfId="0" applyFont="1" applyFill="1" applyBorder="1" applyAlignment="1">
      <alignment horizontal="center" vertical="center"/>
    </xf>
    <xf numFmtId="0" fontId="2" fillId="5" borderId="2" xfId="0" applyFont="1" applyFill="1" applyBorder="1" applyAlignment="1">
      <alignment horizontal="center" vertical="center"/>
    </xf>
    <xf numFmtId="0" fontId="0" fillId="0" borderId="16" xfId="0" applyBorder="1" applyAlignment="1">
      <alignment horizontal="left" vertical="center"/>
    </xf>
    <xf numFmtId="0" fontId="0" fillId="0" borderId="2" xfId="0"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6" fillId="0" borderId="1"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2"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2" xfId="0" applyFont="1" applyBorder="1" applyAlignment="1">
      <alignment horizontal="left" vertical="center" wrapText="1"/>
    </xf>
    <xf numFmtId="0" fontId="1" fillId="9" borderId="1" xfId="0" applyFont="1" applyFill="1" applyBorder="1" applyAlignment="1">
      <alignment horizontal="center"/>
    </xf>
    <xf numFmtId="0" fontId="16" fillId="9" borderId="1" xfId="0" applyFont="1" applyFill="1" applyBorder="1" applyAlignment="1">
      <alignment horizontal="center"/>
    </xf>
    <xf numFmtId="0" fontId="19" fillId="0" borderId="1" xfId="0" applyFont="1" applyBorder="1" applyAlignment="1">
      <alignment horizontal="left" vertical="center"/>
    </xf>
    <xf numFmtId="0" fontId="19" fillId="0" borderId="1" xfId="0" applyFont="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left" vertical="center"/>
    </xf>
    <xf numFmtId="0" fontId="2" fillId="0" borderId="1" xfId="0" applyFont="1" applyBorder="1" applyAlignment="1">
      <alignment horizontal="left" vertical="center"/>
    </xf>
    <xf numFmtId="0" fontId="1" fillId="11" borderId="14" xfId="0" applyFont="1" applyFill="1" applyBorder="1" applyAlignment="1">
      <alignment horizontal="center" vertical="center" wrapText="1"/>
    </xf>
    <xf numFmtId="0" fontId="0" fillId="0" borderId="4" xfId="0" applyBorder="1" applyAlignment="1">
      <alignment horizontal="left" vertical="center"/>
    </xf>
    <xf numFmtId="0" fontId="18"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13" borderId="1" xfId="0" applyFont="1" applyFill="1" applyBorder="1" applyAlignment="1">
      <alignment horizontal="center" vertical="center"/>
    </xf>
    <xf numFmtId="0" fontId="2" fillId="13" borderId="6" xfId="0" applyFont="1" applyFill="1" applyBorder="1" applyAlignment="1">
      <alignment vertical="center"/>
    </xf>
    <xf numFmtId="0" fontId="2" fillId="13" borderId="13" xfId="0" applyFont="1" applyFill="1" applyBorder="1" applyAlignment="1">
      <alignment vertical="center"/>
    </xf>
    <xf numFmtId="0" fontId="2" fillId="13" borderId="16" xfId="0" applyFont="1" applyFill="1" applyBorder="1" applyAlignment="1">
      <alignment horizontal="center" vertical="center" wrapText="1"/>
    </xf>
    <xf numFmtId="0" fontId="2" fillId="13" borderId="2" xfId="0" applyFont="1" applyFill="1" applyBorder="1" applyAlignment="1">
      <alignment horizontal="center" vertical="center" wrapText="1"/>
    </xf>
    <xf numFmtId="44" fontId="2" fillId="13" borderId="1" xfId="4" applyFont="1" applyFill="1" applyBorder="1" applyAlignment="1">
      <alignment vertical="center"/>
    </xf>
    <xf numFmtId="9" fontId="0" fillId="0" borderId="16" xfId="0" applyNumberFormat="1" applyBorder="1" applyAlignment="1">
      <alignment horizontal="center" vertical="center"/>
    </xf>
    <xf numFmtId="0" fontId="0" fillId="0" borderId="2" xfId="0" applyBorder="1" applyAlignment="1">
      <alignment horizontal="center" vertical="center"/>
    </xf>
    <xf numFmtId="0" fontId="0" fillId="10" borderId="16" xfId="0" applyFill="1" applyBorder="1" applyAlignment="1">
      <alignment horizontal="center" vertical="center"/>
    </xf>
    <xf numFmtId="0" fontId="0" fillId="10" borderId="17" xfId="0" applyFill="1" applyBorder="1" applyAlignment="1">
      <alignment horizontal="center" vertical="center"/>
    </xf>
    <xf numFmtId="0" fontId="2" fillId="13" borderId="16" xfId="0" applyFont="1" applyFill="1" applyBorder="1" applyAlignment="1">
      <alignment vertical="center"/>
    </xf>
    <xf numFmtId="0" fontId="2" fillId="13" borderId="17" xfId="0" applyFont="1" applyFill="1" applyBorder="1" applyAlignment="1">
      <alignment vertical="center"/>
    </xf>
    <xf numFmtId="0" fontId="2" fillId="13" borderId="2" xfId="0" applyFont="1" applyFill="1" applyBorder="1" applyAlignment="1">
      <alignment vertical="center"/>
    </xf>
    <xf numFmtId="0" fontId="19" fillId="0" borderId="1" xfId="0" applyFont="1" applyBorder="1" applyAlignment="1">
      <alignment horizontal="left" vertical="center" wrapText="1"/>
    </xf>
    <xf numFmtId="0" fontId="1" fillId="14" borderId="1" xfId="0" applyFont="1" applyFill="1" applyBorder="1" applyAlignment="1">
      <alignment horizontal="center"/>
    </xf>
    <xf numFmtId="0" fontId="0" fillId="14" borderId="1" xfId="0" applyFill="1" applyBorder="1" applyAlignment="1">
      <alignment horizontal="center"/>
    </xf>
    <xf numFmtId="167" fontId="2" fillId="0" borderId="1" xfId="0" applyNumberFormat="1" applyFont="1" applyBorder="1" applyAlignment="1">
      <alignment horizontal="center" vertical="center"/>
    </xf>
    <xf numFmtId="167" fontId="0" fillId="0" borderId="1" xfId="0" applyNumberFormat="1" applyBorder="1" applyAlignment="1">
      <alignment horizontal="center" vertical="center"/>
    </xf>
    <xf numFmtId="0" fontId="2" fillId="6" borderId="1" xfId="0" applyFont="1" applyFill="1" applyBorder="1" applyAlignment="1">
      <alignment horizontal="center" vertical="center"/>
    </xf>
  </cellXfs>
  <cellStyles count="5">
    <cellStyle name="Currency" xfId="2" builtinId="4"/>
    <cellStyle name="Currency 6" xfId="4" xr:uid="{860A596D-05A2-44DA-86FB-6F7679827499}"/>
    <cellStyle name="Excel Built-in Normal" xfId="1" xr:uid="{E018C60A-E03A-4D03-859D-C6B1C9479700}"/>
    <cellStyle name="Normal" xfId="0" builtinId="0"/>
    <cellStyle name="Normal 127" xfId="3" xr:uid="{01CAC65B-3CDC-4ED6-B219-E1F4BC3DF2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F4F42-AB13-4F60-92BD-70CC4E01E476}">
  <dimension ref="B3:J38"/>
  <sheetViews>
    <sheetView topLeftCell="C1" workbookViewId="0">
      <selection activeCell="G31" sqref="G31"/>
    </sheetView>
  </sheetViews>
  <sheetFormatPr defaultRowHeight="15" x14ac:dyDescent="0.25"/>
  <cols>
    <col min="2" max="2" width="6.5703125" customWidth="1"/>
    <col min="3" max="3" width="28.140625" customWidth="1"/>
    <col min="4" max="4" width="12.140625" customWidth="1"/>
    <col min="5" max="5" width="10.7109375" customWidth="1"/>
    <col min="6" max="6" width="15.140625" customWidth="1"/>
    <col min="7" max="7" width="73" customWidth="1"/>
    <col min="8" max="8" width="18.28515625" customWidth="1"/>
    <col min="9" max="9" width="16.140625" customWidth="1"/>
    <col min="10" max="10" width="14.7109375" customWidth="1"/>
  </cols>
  <sheetData>
    <row r="3" spans="2:10" ht="15.75" x14ac:dyDescent="0.25">
      <c r="B3" s="139" t="s">
        <v>0</v>
      </c>
      <c r="C3" s="139"/>
      <c r="D3" s="139"/>
      <c r="E3" s="139"/>
      <c r="F3" s="139"/>
      <c r="G3" s="139"/>
      <c r="H3" s="139"/>
      <c r="I3" s="139"/>
      <c r="J3" s="139"/>
    </row>
    <row r="4" spans="2:10" ht="30" x14ac:dyDescent="0.25">
      <c r="B4" s="1" t="s">
        <v>1</v>
      </c>
      <c r="C4" s="2" t="s">
        <v>2</v>
      </c>
      <c r="D4" s="1" t="s">
        <v>3</v>
      </c>
      <c r="E4" s="1" t="s">
        <v>4</v>
      </c>
      <c r="F4" s="1" t="s">
        <v>5</v>
      </c>
      <c r="G4" s="1" t="s">
        <v>6</v>
      </c>
      <c r="H4" s="1" t="s">
        <v>7</v>
      </c>
      <c r="I4" s="1" t="s">
        <v>8</v>
      </c>
      <c r="J4" s="1" t="s">
        <v>9</v>
      </c>
    </row>
    <row r="5" spans="2:10" ht="30" x14ac:dyDescent="0.25">
      <c r="B5" s="3">
        <v>1</v>
      </c>
      <c r="C5" s="4" t="s">
        <v>10</v>
      </c>
      <c r="D5" s="5" t="s">
        <v>11</v>
      </c>
      <c r="E5" s="3" t="s">
        <v>12</v>
      </c>
      <c r="F5" s="3">
        <v>2005</v>
      </c>
      <c r="G5" s="5" t="s">
        <v>13</v>
      </c>
      <c r="H5" s="3"/>
      <c r="I5" s="6">
        <v>3996</v>
      </c>
      <c r="J5" s="6">
        <v>42996.959999999999</v>
      </c>
    </row>
    <row r="6" spans="2:10" ht="30" x14ac:dyDescent="0.25">
      <c r="B6" s="3">
        <v>2</v>
      </c>
      <c r="C6" s="7" t="s">
        <v>14</v>
      </c>
      <c r="D6" s="5" t="s">
        <v>15</v>
      </c>
      <c r="E6" s="3" t="s">
        <v>16</v>
      </c>
      <c r="F6" s="3">
        <v>2005</v>
      </c>
      <c r="G6" s="5" t="s">
        <v>17</v>
      </c>
      <c r="H6" s="3"/>
      <c r="I6" s="8">
        <v>274.7</v>
      </c>
      <c r="J6" s="6">
        <v>2955.77</v>
      </c>
    </row>
    <row r="7" spans="2:10" x14ac:dyDescent="0.25">
      <c r="B7" s="3">
        <v>3</v>
      </c>
      <c r="C7" s="4" t="s">
        <v>18</v>
      </c>
      <c r="D7" s="5" t="s">
        <v>11</v>
      </c>
      <c r="E7" s="3" t="s">
        <v>19</v>
      </c>
      <c r="F7" s="3">
        <v>2005</v>
      </c>
      <c r="G7" s="5" t="s">
        <v>20</v>
      </c>
      <c r="H7" s="3"/>
      <c r="I7" s="8">
        <v>322.76</v>
      </c>
      <c r="J7" s="6">
        <v>3472.89</v>
      </c>
    </row>
    <row r="8" spans="2:10" ht="30" x14ac:dyDescent="0.25">
      <c r="B8" s="3">
        <v>4</v>
      </c>
      <c r="C8" s="9" t="s">
        <v>21</v>
      </c>
      <c r="D8" s="5"/>
      <c r="E8" s="3" t="s">
        <v>22</v>
      </c>
      <c r="F8" s="3">
        <v>2005</v>
      </c>
      <c r="G8" s="5" t="s">
        <v>23</v>
      </c>
      <c r="H8" s="3"/>
      <c r="I8" s="8">
        <v>2940</v>
      </c>
      <c r="J8" s="6">
        <v>31634.400000000001</v>
      </c>
    </row>
    <row r="9" spans="2:10" ht="30" x14ac:dyDescent="0.25">
      <c r="B9" s="3">
        <v>5</v>
      </c>
      <c r="C9" s="4" t="s">
        <v>24</v>
      </c>
      <c r="D9" s="5" t="s">
        <v>15</v>
      </c>
      <c r="E9" s="3" t="s">
        <v>25</v>
      </c>
      <c r="F9" s="3" t="s">
        <v>26</v>
      </c>
      <c r="G9" s="5" t="s">
        <v>27</v>
      </c>
      <c r="H9" s="3"/>
      <c r="I9" s="8">
        <v>16000</v>
      </c>
      <c r="J9" s="6">
        <v>172160</v>
      </c>
    </row>
    <row r="10" spans="2:10" ht="30" x14ac:dyDescent="0.25">
      <c r="B10" s="3">
        <v>6</v>
      </c>
      <c r="C10" s="4" t="s">
        <v>28</v>
      </c>
      <c r="D10" s="5" t="s">
        <v>15</v>
      </c>
      <c r="E10" s="3" t="s">
        <v>16</v>
      </c>
      <c r="F10" s="3">
        <v>2005</v>
      </c>
      <c r="G10" s="5" t="s">
        <v>29</v>
      </c>
      <c r="H10" s="3"/>
      <c r="I10" s="8">
        <v>756</v>
      </c>
      <c r="J10" s="6">
        <v>8134.56</v>
      </c>
    </row>
    <row r="11" spans="2:10" ht="60" x14ac:dyDescent="0.25">
      <c r="B11" s="3">
        <v>7</v>
      </c>
      <c r="C11" s="10" t="s">
        <v>30</v>
      </c>
      <c r="D11" s="5" t="s">
        <v>11</v>
      </c>
      <c r="E11" s="11" t="s">
        <v>31</v>
      </c>
      <c r="F11" s="3">
        <v>2005</v>
      </c>
      <c r="G11" s="5" t="s">
        <v>32</v>
      </c>
      <c r="H11" s="3"/>
      <c r="I11" s="8">
        <v>1296</v>
      </c>
      <c r="J11" s="6">
        <v>13944.96</v>
      </c>
    </row>
    <row r="12" spans="2:10" ht="30" x14ac:dyDescent="0.25">
      <c r="B12" s="3">
        <v>8</v>
      </c>
      <c r="C12" s="4" t="s">
        <v>33</v>
      </c>
      <c r="D12" s="5" t="s">
        <v>15</v>
      </c>
      <c r="E12" s="3" t="s">
        <v>34</v>
      </c>
      <c r="F12" s="3" t="s">
        <v>26</v>
      </c>
      <c r="G12" s="5" t="s">
        <v>29</v>
      </c>
      <c r="H12" s="3"/>
      <c r="I12" s="8">
        <v>251.2</v>
      </c>
      <c r="J12" s="3">
        <v>2702.91</v>
      </c>
    </row>
    <row r="13" spans="2:10" ht="45" x14ac:dyDescent="0.25">
      <c r="B13" s="3">
        <v>9</v>
      </c>
      <c r="C13" s="7" t="s">
        <v>35</v>
      </c>
      <c r="D13" s="5" t="s">
        <v>15</v>
      </c>
      <c r="E13" s="3" t="s">
        <v>36</v>
      </c>
      <c r="F13" s="3" t="s">
        <v>26</v>
      </c>
      <c r="G13" s="5" t="s">
        <v>37</v>
      </c>
      <c r="H13" s="3"/>
      <c r="I13" s="8">
        <v>480</v>
      </c>
      <c r="J13" s="3">
        <v>5164.8</v>
      </c>
    </row>
    <row r="14" spans="2:10" ht="30" x14ac:dyDescent="0.25">
      <c r="B14" s="3">
        <v>10</v>
      </c>
      <c r="C14" s="4" t="s">
        <v>38</v>
      </c>
      <c r="D14" s="5" t="s">
        <v>11</v>
      </c>
      <c r="E14" s="3" t="s">
        <v>39</v>
      </c>
      <c r="F14" s="3">
        <v>2005</v>
      </c>
      <c r="G14" s="5" t="s">
        <v>40</v>
      </c>
      <c r="H14" s="3"/>
      <c r="I14" s="8">
        <v>1050</v>
      </c>
      <c r="J14" s="3">
        <v>11298</v>
      </c>
    </row>
    <row r="15" spans="2:10" ht="45" x14ac:dyDescent="0.25">
      <c r="B15" s="3">
        <v>11</v>
      </c>
      <c r="C15" s="4" t="s">
        <v>41</v>
      </c>
      <c r="D15" s="5" t="s">
        <v>15</v>
      </c>
      <c r="E15" s="3" t="s">
        <v>16</v>
      </c>
      <c r="F15" s="3">
        <v>2006</v>
      </c>
      <c r="G15" s="5" t="s">
        <v>42</v>
      </c>
      <c r="H15" s="3"/>
      <c r="I15" s="8">
        <v>288</v>
      </c>
      <c r="J15" s="3">
        <v>3098.88</v>
      </c>
    </row>
    <row r="16" spans="2:10" ht="45" x14ac:dyDescent="0.25">
      <c r="B16" s="3">
        <v>12</v>
      </c>
      <c r="C16" s="4" t="s">
        <v>43</v>
      </c>
      <c r="D16" s="5" t="s">
        <v>15</v>
      </c>
      <c r="E16" s="3" t="s">
        <v>44</v>
      </c>
      <c r="F16" s="3">
        <v>2006</v>
      </c>
      <c r="G16" s="5" t="s">
        <v>45</v>
      </c>
      <c r="H16" s="3"/>
      <c r="I16" s="8">
        <v>1163</v>
      </c>
      <c r="J16" s="3">
        <v>12513.88</v>
      </c>
    </row>
    <row r="17" spans="2:10" ht="45" x14ac:dyDescent="0.25">
      <c r="B17" s="3">
        <v>13</v>
      </c>
      <c r="C17" s="4" t="s">
        <v>46</v>
      </c>
      <c r="D17" s="5" t="s">
        <v>15</v>
      </c>
      <c r="E17" s="3" t="s">
        <v>16</v>
      </c>
      <c r="F17" s="3">
        <v>2006</v>
      </c>
      <c r="G17" s="5" t="s">
        <v>47</v>
      </c>
      <c r="H17" s="3"/>
      <c r="I17" s="8">
        <v>228</v>
      </c>
      <c r="J17" s="3">
        <v>2453.2800000000002</v>
      </c>
    </row>
    <row r="18" spans="2:10" ht="30" x14ac:dyDescent="0.25">
      <c r="B18" s="3">
        <v>14</v>
      </c>
      <c r="C18" s="4" t="s">
        <v>48</v>
      </c>
      <c r="D18" s="5" t="s">
        <v>15</v>
      </c>
      <c r="E18" s="3" t="s">
        <v>49</v>
      </c>
      <c r="F18" s="3">
        <v>2005</v>
      </c>
      <c r="G18" s="5" t="s">
        <v>50</v>
      </c>
      <c r="H18" s="3"/>
      <c r="I18" s="8">
        <v>48.17</v>
      </c>
      <c r="J18" s="3">
        <v>518.29999999999995</v>
      </c>
    </row>
    <row r="19" spans="2:10" ht="60" x14ac:dyDescent="0.25">
      <c r="B19" s="3">
        <v>15</v>
      </c>
      <c r="C19" s="4" t="s">
        <v>51</v>
      </c>
      <c r="D19" s="5" t="s">
        <v>11</v>
      </c>
      <c r="E19" s="3" t="s">
        <v>31</v>
      </c>
      <c r="F19" s="3">
        <v>2007</v>
      </c>
      <c r="G19" s="5" t="s">
        <v>52</v>
      </c>
      <c r="H19" s="3"/>
      <c r="I19" s="8">
        <v>3144.94</v>
      </c>
      <c r="J19" s="3">
        <v>33839.550000000003</v>
      </c>
    </row>
    <row r="20" spans="2:10" ht="45" x14ac:dyDescent="0.25">
      <c r="B20" s="3">
        <v>16</v>
      </c>
      <c r="C20" s="4" t="s">
        <v>53</v>
      </c>
      <c r="D20" s="5" t="s">
        <v>15</v>
      </c>
      <c r="E20" s="3" t="s">
        <v>54</v>
      </c>
      <c r="F20" s="3">
        <v>2007</v>
      </c>
      <c r="G20" s="5" t="s">
        <v>55</v>
      </c>
      <c r="H20" s="3"/>
      <c r="I20" s="8">
        <v>419.21</v>
      </c>
      <c r="J20" s="3">
        <v>4510.6899999999996</v>
      </c>
    </row>
    <row r="21" spans="2:10" ht="45" x14ac:dyDescent="0.25">
      <c r="B21" s="3">
        <v>17</v>
      </c>
      <c r="C21" s="4" t="s">
        <v>56</v>
      </c>
      <c r="D21" s="5" t="s">
        <v>15</v>
      </c>
      <c r="E21" s="3" t="s">
        <v>54</v>
      </c>
      <c r="F21" s="3">
        <v>2005</v>
      </c>
      <c r="G21" s="5" t="s">
        <v>57</v>
      </c>
      <c r="H21" s="3"/>
      <c r="I21" s="8">
        <v>416.91</v>
      </c>
      <c r="J21" s="3">
        <v>4485.95</v>
      </c>
    </row>
    <row r="22" spans="2:10" ht="45" x14ac:dyDescent="0.25">
      <c r="B22" s="3">
        <v>18</v>
      </c>
      <c r="C22" s="4" t="s">
        <v>58</v>
      </c>
      <c r="D22" s="5" t="s">
        <v>15</v>
      </c>
      <c r="E22" s="3" t="s">
        <v>59</v>
      </c>
      <c r="F22" s="3">
        <v>2005</v>
      </c>
      <c r="G22" s="5" t="s">
        <v>60</v>
      </c>
      <c r="H22" s="3"/>
      <c r="I22" s="8">
        <v>460.34</v>
      </c>
      <c r="J22" s="3">
        <v>4953.25</v>
      </c>
    </row>
    <row r="23" spans="2:10" ht="45" x14ac:dyDescent="0.25">
      <c r="B23" s="3">
        <v>19</v>
      </c>
      <c r="C23" s="4" t="s">
        <v>61</v>
      </c>
      <c r="D23" s="5" t="s">
        <v>11</v>
      </c>
      <c r="E23" s="3" t="s">
        <v>62</v>
      </c>
      <c r="F23" s="3">
        <v>2005</v>
      </c>
      <c r="G23" s="5" t="s">
        <v>63</v>
      </c>
      <c r="H23" s="3"/>
      <c r="I23" s="8">
        <v>3633.12</v>
      </c>
      <c r="J23" s="3">
        <v>39092.370000000003</v>
      </c>
    </row>
    <row r="24" spans="2:10" ht="60" x14ac:dyDescent="0.25">
      <c r="B24" s="3">
        <v>20</v>
      </c>
      <c r="C24" s="4" t="s">
        <v>64</v>
      </c>
      <c r="D24" s="3" t="s">
        <v>65</v>
      </c>
      <c r="E24" s="3" t="s">
        <v>66</v>
      </c>
      <c r="F24" s="3" t="s">
        <v>67</v>
      </c>
      <c r="G24" s="5" t="s">
        <v>68</v>
      </c>
      <c r="H24" s="3"/>
      <c r="I24" s="8">
        <v>9573.81</v>
      </c>
      <c r="J24" s="3">
        <v>103014.19</v>
      </c>
    </row>
    <row r="25" spans="2:10" ht="60" x14ac:dyDescent="0.25">
      <c r="B25" s="3">
        <v>21</v>
      </c>
      <c r="C25" s="4" t="s">
        <v>69</v>
      </c>
      <c r="D25" s="5" t="s">
        <v>15</v>
      </c>
      <c r="E25" s="3" t="s">
        <v>70</v>
      </c>
      <c r="F25" s="3" t="s">
        <v>71</v>
      </c>
      <c r="G25" s="5" t="s">
        <v>72</v>
      </c>
      <c r="H25" s="3"/>
      <c r="I25" s="8">
        <v>3272.77</v>
      </c>
      <c r="J25" s="3">
        <v>35215</v>
      </c>
    </row>
    <row r="26" spans="2:10" ht="60" x14ac:dyDescent="0.25">
      <c r="B26" s="3">
        <v>22</v>
      </c>
      <c r="C26" s="4" t="s">
        <v>73</v>
      </c>
      <c r="D26" s="3" t="s">
        <v>74</v>
      </c>
      <c r="E26" s="3" t="s">
        <v>75</v>
      </c>
      <c r="F26" s="3" t="s">
        <v>76</v>
      </c>
      <c r="G26" s="5" t="s">
        <v>77</v>
      </c>
      <c r="H26" s="3"/>
      <c r="I26" s="8">
        <v>6727.56</v>
      </c>
      <c r="J26" s="3">
        <v>72388.539999999994</v>
      </c>
    </row>
    <row r="27" spans="2:10" ht="45" x14ac:dyDescent="0.25">
      <c r="B27" s="3">
        <v>23</v>
      </c>
      <c r="C27" s="4" t="s">
        <v>78</v>
      </c>
      <c r="D27" s="5" t="s">
        <v>15</v>
      </c>
      <c r="E27" s="3" t="s">
        <v>79</v>
      </c>
      <c r="F27" s="3">
        <v>2005</v>
      </c>
      <c r="G27" s="5" t="s">
        <v>80</v>
      </c>
      <c r="H27" s="3"/>
      <c r="I27" s="8">
        <v>131.07</v>
      </c>
      <c r="J27" s="3">
        <v>1410.31</v>
      </c>
    </row>
    <row r="28" spans="2:10" ht="30" x14ac:dyDescent="0.25">
      <c r="B28" s="3">
        <v>24</v>
      </c>
      <c r="C28" s="4" t="s">
        <v>81</v>
      </c>
      <c r="D28" s="5" t="s">
        <v>15</v>
      </c>
      <c r="E28" s="3" t="s">
        <v>70</v>
      </c>
      <c r="F28" s="3">
        <v>2008</v>
      </c>
      <c r="G28" s="5" t="s">
        <v>82</v>
      </c>
      <c r="H28" s="3"/>
      <c r="I28" s="8">
        <v>505.51</v>
      </c>
      <c r="J28" s="3">
        <v>5439.28</v>
      </c>
    </row>
    <row r="29" spans="2:10" x14ac:dyDescent="0.25">
      <c r="B29" s="3">
        <v>25</v>
      </c>
      <c r="C29" s="4" t="s">
        <v>83</v>
      </c>
      <c r="D29" s="3"/>
      <c r="E29" s="3" t="s">
        <v>70</v>
      </c>
      <c r="F29" s="3">
        <v>2005</v>
      </c>
      <c r="G29" s="5" t="s">
        <v>84</v>
      </c>
      <c r="H29" s="3"/>
      <c r="I29" s="8">
        <v>2379.9</v>
      </c>
      <c r="J29" s="3">
        <v>7806072</v>
      </c>
    </row>
    <row r="30" spans="2:10" ht="51" x14ac:dyDescent="0.25">
      <c r="B30" s="3">
        <v>26</v>
      </c>
      <c r="C30" s="4" t="s">
        <v>85</v>
      </c>
      <c r="D30" s="3"/>
      <c r="E30" s="3"/>
      <c r="F30" s="3">
        <v>2005</v>
      </c>
      <c r="G30" s="5" t="s">
        <v>86</v>
      </c>
      <c r="H30" s="3"/>
      <c r="I30" s="12" t="s">
        <v>87</v>
      </c>
      <c r="J30" s="3"/>
    </row>
    <row r="31" spans="2:10" x14ac:dyDescent="0.25">
      <c r="B31" s="3">
        <v>27</v>
      </c>
      <c r="C31" s="4" t="s">
        <v>88</v>
      </c>
      <c r="D31" s="3"/>
      <c r="E31" s="3"/>
      <c r="F31" s="3">
        <v>2005</v>
      </c>
      <c r="G31" s="5" t="s">
        <v>86</v>
      </c>
      <c r="H31" s="3"/>
      <c r="I31" s="8">
        <v>4914.22</v>
      </c>
      <c r="J31" s="3"/>
    </row>
    <row r="32" spans="2:10" x14ac:dyDescent="0.25">
      <c r="B32" s="3">
        <v>28</v>
      </c>
      <c r="C32" s="4" t="s">
        <v>89</v>
      </c>
      <c r="D32" s="3"/>
      <c r="E32" s="3"/>
      <c r="F32" s="3">
        <v>2005</v>
      </c>
      <c r="G32" s="5" t="s">
        <v>86</v>
      </c>
      <c r="H32" s="3"/>
      <c r="I32" s="8" t="s">
        <v>90</v>
      </c>
      <c r="J32" s="3"/>
    </row>
    <row r="37" spans="7:7" x14ac:dyDescent="0.25">
      <c r="G37">
        <f>1558+882</f>
        <v>2440</v>
      </c>
    </row>
    <row r="38" spans="7:7" x14ac:dyDescent="0.25">
      <c r="G38">
        <f>25*25*4</f>
        <v>2500</v>
      </c>
    </row>
  </sheetData>
  <mergeCells count="1">
    <mergeCell ref="B3:J3"/>
  </mergeCells>
  <dataValidations disablePrompts="1" count="2">
    <dataValidation type="list" allowBlank="1" showInputMessage="1" showErrorMessage="1" sqref="G5:G11" xr:uid="{60B08EA4-2511-4627-BB88-978B13734ADA}">
      <formula1>$K$2:$K$9</formula1>
    </dataValidation>
    <dataValidation type="list" allowBlank="1" showInputMessage="1" showErrorMessage="1" sqref="H5:H32" xr:uid="{45869BFE-49D0-4EF9-970B-DBD72D2C3D6E}">
      <formula1>"Very Good, Good, Average, Poor, Ordinary with wreckages in the structure"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F1D47-92F4-422F-81EB-5E055D94C525}">
  <dimension ref="B2:Y40"/>
  <sheetViews>
    <sheetView topLeftCell="E1" zoomScale="70" zoomScaleNormal="70" workbookViewId="0">
      <selection activeCell="K39" sqref="K39"/>
    </sheetView>
  </sheetViews>
  <sheetFormatPr defaultRowHeight="15" x14ac:dyDescent="0.25"/>
  <cols>
    <col min="2" max="2" width="6.7109375" customWidth="1"/>
    <col min="3" max="3" width="12.42578125" customWidth="1"/>
    <col min="4" max="4" width="18" customWidth="1"/>
    <col min="5" max="5" width="38.42578125" customWidth="1"/>
    <col min="6" max="6" width="13.140625" customWidth="1"/>
    <col min="7" max="7" width="11.7109375" customWidth="1"/>
    <col min="8" max="8" width="10.5703125" customWidth="1"/>
    <col min="9" max="9" width="16.28515625" customWidth="1"/>
    <col min="10" max="10" width="12.7109375" customWidth="1"/>
    <col min="11" max="11" width="11.42578125" customWidth="1"/>
    <col min="12" max="12" width="10.7109375" customWidth="1"/>
    <col min="13" max="13" width="12" style="47" customWidth="1"/>
    <col min="14" max="14" width="9.140625" customWidth="1"/>
    <col min="15" max="15" width="13.140625" customWidth="1"/>
    <col min="16" max="16" width="11.85546875" style="60" customWidth="1"/>
    <col min="17" max="17" width="12.5703125" customWidth="1"/>
    <col min="18" max="18" width="13.85546875" customWidth="1"/>
    <col min="19" max="19" width="20.28515625" customWidth="1"/>
    <col min="20" max="20" width="14.42578125" customWidth="1"/>
    <col min="21" max="21" width="14.28515625" customWidth="1"/>
    <col min="22" max="22" width="22.140625" bestFit="1" customWidth="1"/>
    <col min="23" max="25" width="0" hidden="1" customWidth="1"/>
  </cols>
  <sheetData>
    <row r="2" spans="2:25" x14ac:dyDescent="0.25">
      <c r="B2" s="140" t="s">
        <v>116</v>
      </c>
      <c r="C2" s="140"/>
      <c r="D2" s="140"/>
      <c r="E2" s="140"/>
      <c r="F2" s="140"/>
      <c r="G2" s="140"/>
      <c r="H2" s="140"/>
      <c r="I2" s="140"/>
      <c r="J2" s="140"/>
      <c r="K2" s="140"/>
      <c r="L2" s="140"/>
      <c r="M2" s="140"/>
      <c r="N2" s="140"/>
      <c r="O2" s="140"/>
      <c r="P2" s="141"/>
      <c r="Q2" s="140"/>
      <c r="R2" s="140"/>
      <c r="S2" s="140"/>
      <c r="T2" s="140"/>
      <c r="U2" s="140"/>
      <c r="V2" s="140"/>
      <c r="W2" s="142"/>
      <c r="X2" s="140"/>
      <c r="Y2" s="140"/>
    </row>
    <row r="3" spans="2:25" ht="75" x14ac:dyDescent="0.25">
      <c r="B3" s="13" t="s">
        <v>91</v>
      </c>
      <c r="C3" s="13" t="s">
        <v>92</v>
      </c>
      <c r="D3" s="14" t="s">
        <v>93</v>
      </c>
      <c r="E3" s="13" t="s">
        <v>94</v>
      </c>
      <c r="F3" s="13" t="s">
        <v>95</v>
      </c>
      <c r="G3" s="13" t="s">
        <v>96</v>
      </c>
      <c r="H3" s="13" t="s">
        <v>97</v>
      </c>
      <c r="I3" s="13" t="s">
        <v>98</v>
      </c>
      <c r="J3" s="13" t="s">
        <v>99</v>
      </c>
      <c r="K3" s="13" t="s">
        <v>100</v>
      </c>
      <c r="L3" s="13" t="s">
        <v>101</v>
      </c>
      <c r="M3" s="13" t="s">
        <v>102</v>
      </c>
      <c r="N3" s="13" t="s">
        <v>103</v>
      </c>
      <c r="O3" s="13" t="s">
        <v>104</v>
      </c>
      <c r="P3" s="61" t="s">
        <v>105</v>
      </c>
      <c r="Q3" s="13" t="s">
        <v>106</v>
      </c>
      <c r="R3" s="13" t="s">
        <v>107</v>
      </c>
      <c r="S3" s="13" t="s">
        <v>108</v>
      </c>
      <c r="T3" s="13" t="s">
        <v>109</v>
      </c>
      <c r="U3" s="13" t="s">
        <v>110</v>
      </c>
      <c r="V3" s="13" t="s">
        <v>111</v>
      </c>
      <c r="W3" s="15" t="s">
        <v>112</v>
      </c>
      <c r="X3" s="16" t="s">
        <v>113</v>
      </c>
      <c r="Y3" s="16" t="s">
        <v>114</v>
      </c>
    </row>
    <row r="4" spans="2:25" ht="45" x14ac:dyDescent="0.25">
      <c r="B4" s="32">
        <v>1</v>
      </c>
      <c r="C4" s="33" t="s">
        <v>11</v>
      </c>
      <c r="D4" s="34" t="s">
        <v>10</v>
      </c>
      <c r="E4" s="33" t="s">
        <v>13</v>
      </c>
      <c r="F4" s="32" t="s">
        <v>115</v>
      </c>
      <c r="G4" s="35">
        <v>3996</v>
      </c>
      <c r="H4" s="36">
        <f>G4*10.76</f>
        <v>42996.959999999999</v>
      </c>
      <c r="I4" s="37" t="s">
        <v>12</v>
      </c>
      <c r="J4" s="37">
        <v>2005</v>
      </c>
      <c r="K4" s="32">
        <v>2022</v>
      </c>
      <c r="L4" s="32">
        <f t="shared" ref="L4:L34" si="0">K4-J4</f>
        <v>17</v>
      </c>
      <c r="M4" s="32">
        <v>40</v>
      </c>
      <c r="N4" s="32">
        <v>0.05</v>
      </c>
      <c r="O4" s="38">
        <f>(1-N4)/M4</f>
        <v>2.375E-2</v>
      </c>
      <c r="P4" s="40">
        <v>1300</v>
      </c>
      <c r="Q4" s="39">
        <f>P4*10.7639</f>
        <v>13993.07</v>
      </c>
      <c r="R4" s="40">
        <f>Q4*G4</f>
        <v>55916307.719999999</v>
      </c>
      <c r="S4" s="40">
        <f>R4*O4*L4</f>
        <v>22576209.241950002</v>
      </c>
      <c r="T4" s="40">
        <f>MAX(R4-S4,0)</f>
        <v>33340098.478049997</v>
      </c>
      <c r="U4" s="32">
        <v>0</v>
      </c>
      <c r="V4" s="40">
        <f>IF(T4&gt;N4*R4,T4*(1+U4),R4*N4)</f>
        <v>33340098.478049997</v>
      </c>
      <c r="W4" s="21">
        <v>800</v>
      </c>
      <c r="X4" s="5">
        <v>0.99</v>
      </c>
      <c r="Y4" s="22">
        <f>(W4*X4*G4)</f>
        <v>3164832</v>
      </c>
    </row>
    <row r="5" spans="2:25" ht="45" x14ac:dyDescent="0.25">
      <c r="B5" s="24">
        <v>2</v>
      </c>
      <c r="C5" s="25" t="s">
        <v>15</v>
      </c>
      <c r="D5" s="26" t="s">
        <v>14</v>
      </c>
      <c r="E5" s="25" t="s">
        <v>17</v>
      </c>
      <c r="F5" s="24" t="s">
        <v>115</v>
      </c>
      <c r="G5" s="27">
        <v>274.7</v>
      </c>
      <c r="H5" s="24">
        <f t="shared" ref="H5:H34" si="1">G5*10.7639</f>
        <v>2956.8433299999997</v>
      </c>
      <c r="I5" s="28" t="s">
        <v>16</v>
      </c>
      <c r="J5" s="28">
        <v>2005</v>
      </c>
      <c r="K5" s="24">
        <v>2022</v>
      </c>
      <c r="L5" s="24">
        <f t="shared" si="0"/>
        <v>17</v>
      </c>
      <c r="M5" s="24">
        <v>40</v>
      </c>
      <c r="N5" s="24">
        <v>0.05</v>
      </c>
      <c r="O5" s="29">
        <f>(1-N5)/M5</f>
        <v>2.375E-2</v>
      </c>
      <c r="P5" s="40">
        <v>800</v>
      </c>
      <c r="Q5" s="30">
        <f>P5*10.7639</f>
        <v>8611.119999999999</v>
      </c>
      <c r="R5" s="31">
        <f>Q5*G5</f>
        <v>2365474.6639999994</v>
      </c>
      <c r="S5" s="31">
        <f>R5*O5*L5</f>
        <v>955060.39558999974</v>
      </c>
      <c r="T5" s="31">
        <f>MAX(R5-S5,0)</f>
        <v>1410414.2684099996</v>
      </c>
      <c r="U5" s="32">
        <v>0</v>
      </c>
      <c r="V5" s="31">
        <f>IF(T5&gt;N5*R5,T5*(1+U5),R5*N5)</f>
        <v>1410414.2684099996</v>
      </c>
      <c r="W5" s="21">
        <v>800</v>
      </c>
      <c r="X5" s="5">
        <v>0.99</v>
      </c>
      <c r="Y5" s="22">
        <f>W5*H5</f>
        <v>2365474.6639999999</v>
      </c>
    </row>
    <row r="6" spans="2:25" ht="30" x14ac:dyDescent="0.25">
      <c r="B6" s="17">
        <v>3</v>
      </c>
      <c r="C6" s="5" t="s">
        <v>11</v>
      </c>
      <c r="D6" s="4" t="s">
        <v>18</v>
      </c>
      <c r="E6" s="5" t="s">
        <v>20</v>
      </c>
      <c r="F6" s="17" t="s">
        <v>115</v>
      </c>
      <c r="G6" s="8">
        <v>322.76</v>
      </c>
      <c r="H6" s="17">
        <f t="shared" si="1"/>
        <v>3474.1563639999999</v>
      </c>
      <c r="I6" s="3" t="s">
        <v>19</v>
      </c>
      <c r="J6" s="3">
        <v>2005</v>
      </c>
      <c r="K6" s="17">
        <v>2022</v>
      </c>
      <c r="L6" s="17">
        <f t="shared" si="0"/>
        <v>17</v>
      </c>
      <c r="M6" s="17">
        <v>60</v>
      </c>
      <c r="N6" s="17">
        <v>0.05</v>
      </c>
      <c r="O6" s="18">
        <f>(1-N6)/M6</f>
        <v>1.5833333333333331E-2</v>
      </c>
      <c r="P6" s="40">
        <v>1300</v>
      </c>
      <c r="Q6" s="19">
        <f>P6*10.7639</f>
        <v>13993.07</v>
      </c>
      <c r="R6" s="20">
        <f>Q6*G6</f>
        <v>4516403.2731999997</v>
      </c>
      <c r="S6" s="20">
        <f>R6*O6*L6</f>
        <v>1215665.2143696665</v>
      </c>
      <c r="T6" s="20">
        <f>MAX(R6-S6,0)</f>
        <v>3300738.0588303329</v>
      </c>
      <c r="U6" s="32">
        <v>0</v>
      </c>
      <c r="V6" s="20">
        <f>IF(T6&gt;N6*R6,T6*(1+U6),R6*N6)</f>
        <v>3300738.0588303329</v>
      </c>
      <c r="W6" s="21">
        <v>800</v>
      </c>
      <c r="X6" s="5"/>
      <c r="Y6" s="22">
        <f t="shared" ref="Y6:Y8" si="2">W6*H6</f>
        <v>2779325.0912000001</v>
      </c>
    </row>
    <row r="7" spans="2:25" ht="45" x14ac:dyDescent="0.25">
      <c r="B7" s="32">
        <v>4</v>
      </c>
      <c r="C7" s="33" t="s">
        <v>15</v>
      </c>
      <c r="D7" s="9" t="s">
        <v>21</v>
      </c>
      <c r="E7" s="33" t="s">
        <v>23</v>
      </c>
      <c r="F7" s="32" t="s">
        <v>115</v>
      </c>
      <c r="G7" s="41">
        <v>2940</v>
      </c>
      <c r="H7" s="32">
        <f t="shared" si="1"/>
        <v>31645.865999999998</v>
      </c>
      <c r="I7" s="37" t="s">
        <v>22</v>
      </c>
      <c r="J7" s="37">
        <v>2005</v>
      </c>
      <c r="K7" s="32">
        <v>2022</v>
      </c>
      <c r="L7" s="32">
        <f t="shared" si="0"/>
        <v>17</v>
      </c>
      <c r="M7" s="32">
        <v>40</v>
      </c>
      <c r="N7" s="32">
        <v>0.05</v>
      </c>
      <c r="O7" s="38">
        <f>(1-N7)/M7</f>
        <v>2.375E-2</v>
      </c>
      <c r="P7" s="40">
        <v>1300</v>
      </c>
      <c r="Q7" s="39">
        <f>P7*10.7639</f>
        <v>13993.07</v>
      </c>
      <c r="R7" s="40">
        <f>Q7*G7</f>
        <v>41139625.799999997</v>
      </c>
      <c r="S7" s="40">
        <f>R7*O7*L7</f>
        <v>16610123.916749999</v>
      </c>
      <c r="T7" s="40">
        <f>MAX(R7-S7,0)</f>
        <v>24529501.883249998</v>
      </c>
      <c r="U7" s="32">
        <v>0</v>
      </c>
      <c r="V7" s="40">
        <f>IF(T7&gt;N7*R7,T7*(1+U7),R7*N7)</f>
        <v>24529501.883249998</v>
      </c>
      <c r="W7" s="21">
        <v>800</v>
      </c>
      <c r="X7" s="5"/>
      <c r="Y7" s="22">
        <f t="shared" si="2"/>
        <v>25316692.799999997</v>
      </c>
    </row>
    <row r="8" spans="2:25" ht="45" x14ac:dyDescent="0.25">
      <c r="B8" s="17">
        <v>5</v>
      </c>
      <c r="C8" s="5" t="s">
        <v>15</v>
      </c>
      <c r="D8" s="4" t="s">
        <v>24</v>
      </c>
      <c r="E8" s="5" t="s">
        <v>27</v>
      </c>
      <c r="F8" s="17" t="s">
        <v>115</v>
      </c>
      <c r="G8" s="8">
        <v>16000</v>
      </c>
      <c r="H8" s="17">
        <f t="shared" si="1"/>
        <v>172222.4</v>
      </c>
      <c r="I8" s="3" t="s">
        <v>25</v>
      </c>
      <c r="J8" s="3">
        <v>2006</v>
      </c>
      <c r="K8" s="17">
        <v>2022</v>
      </c>
      <c r="L8" s="17">
        <f t="shared" si="0"/>
        <v>16</v>
      </c>
      <c r="M8" s="17">
        <v>40</v>
      </c>
      <c r="N8" s="17">
        <v>0.05</v>
      </c>
      <c r="O8" s="18">
        <f t="shared" ref="O8:O34" si="3">(1-N8)/M8</f>
        <v>2.375E-2</v>
      </c>
      <c r="P8" s="40">
        <v>1200</v>
      </c>
      <c r="Q8" s="19">
        <f t="shared" ref="Q8:Q34" si="4">P8*10.7639</f>
        <v>12916.68</v>
      </c>
      <c r="R8" s="20">
        <f>Q8*G8</f>
        <v>206666880</v>
      </c>
      <c r="S8" s="20">
        <f t="shared" ref="S8:S34" si="5">R8*O8*L8</f>
        <v>78533414.400000006</v>
      </c>
      <c r="T8" s="20">
        <f t="shared" ref="T8:T34" si="6">MAX(R8-S8,0)</f>
        <v>128133465.59999999</v>
      </c>
      <c r="U8" s="32">
        <v>0</v>
      </c>
      <c r="V8" s="20">
        <f t="shared" ref="V8:V34" si="7">IF(T8&gt;N8*R8,T8*(1+U8),R8*N8)</f>
        <v>128133465.59999999</v>
      </c>
      <c r="W8" s="21">
        <v>800</v>
      </c>
      <c r="X8" s="5"/>
      <c r="Y8" s="22">
        <f t="shared" si="2"/>
        <v>137777920</v>
      </c>
    </row>
    <row r="9" spans="2:25" ht="45" x14ac:dyDescent="0.25">
      <c r="B9" s="17">
        <v>6</v>
      </c>
      <c r="C9" s="5" t="s">
        <v>15</v>
      </c>
      <c r="D9" s="4" t="s">
        <v>28</v>
      </c>
      <c r="E9" s="5" t="s">
        <v>29</v>
      </c>
      <c r="F9" s="17" t="s">
        <v>115</v>
      </c>
      <c r="G9" s="8">
        <v>756</v>
      </c>
      <c r="H9" s="17">
        <f t="shared" si="1"/>
        <v>8137.5083999999997</v>
      </c>
      <c r="I9" s="3" t="s">
        <v>16</v>
      </c>
      <c r="J9" s="3">
        <v>2005</v>
      </c>
      <c r="K9" s="17">
        <v>2022</v>
      </c>
      <c r="L9" s="17">
        <f>K9-J9</f>
        <v>17</v>
      </c>
      <c r="M9" s="17">
        <v>40</v>
      </c>
      <c r="N9" s="17">
        <v>0.05</v>
      </c>
      <c r="O9" s="18">
        <f t="shared" si="3"/>
        <v>2.375E-2</v>
      </c>
      <c r="P9" s="40">
        <v>1000</v>
      </c>
      <c r="Q9" s="19">
        <f t="shared" si="4"/>
        <v>10763.9</v>
      </c>
      <c r="R9" s="20">
        <f t="shared" ref="R9:R34" si="8">Q9*G9</f>
        <v>8137508.3999999994</v>
      </c>
      <c r="S9" s="20">
        <f t="shared" si="5"/>
        <v>3285519.0164999999</v>
      </c>
      <c r="T9" s="20">
        <f t="shared" si="6"/>
        <v>4851989.3834999995</v>
      </c>
      <c r="U9" s="32">
        <v>0</v>
      </c>
      <c r="V9" s="20">
        <f t="shared" si="7"/>
        <v>4851989.3834999995</v>
      </c>
    </row>
    <row r="10" spans="2:25" ht="105" x14ac:dyDescent="0.25">
      <c r="B10" s="17">
        <v>7</v>
      </c>
      <c r="C10" s="5" t="s">
        <v>11</v>
      </c>
      <c r="D10" s="67" t="s">
        <v>30</v>
      </c>
      <c r="E10" s="5" t="s">
        <v>32</v>
      </c>
      <c r="F10" s="17" t="s">
        <v>115</v>
      </c>
      <c r="G10" s="8">
        <v>1296</v>
      </c>
      <c r="H10" s="17">
        <f t="shared" si="1"/>
        <v>13950.0144</v>
      </c>
      <c r="I10" s="3" t="s">
        <v>31</v>
      </c>
      <c r="J10" s="3">
        <v>2005</v>
      </c>
      <c r="K10" s="17">
        <v>2022</v>
      </c>
      <c r="L10" s="17">
        <f t="shared" si="0"/>
        <v>17</v>
      </c>
      <c r="M10" s="17">
        <v>40</v>
      </c>
      <c r="N10" s="17">
        <v>0.05</v>
      </c>
      <c r="O10" s="18">
        <f t="shared" si="3"/>
        <v>2.375E-2</v>
      </c>
      <c r="P10" s="40">
        <v>1100</v>
      </c>
      <c r="Q10" s="19">
        <f t="shared" si="4"/>
        <v>11840.289999999999</v>
      </c>
      <c r="R10" s="20">
        <f t="shared" si="8"/>
        <v>15345015.839999998</v>
      </c>
      <c r="S10" s="20">
        <f t="shared" si="5"/>
        <v>6195550.1453999989</v>
      </c>
      <c r="T10" s="20">
        <f t="shared" si="6"/>
        <v>9149465.6945999991</v>
      </c>
      <c r="U10" s="32">
        <v>0</v>
      </c>
      <c r="V10" s="20">
        <f t="shared" si="7"/>
        <v>9149465.6945999991</v>
      </c>
    </row>
    <row r="11" spans="2:25" ht="45" x14ac:dyDescent="0.25">
      <c r="B11" s="17">
        <v>8</v>
      </c>
      <c r="C11" s="5" t="s">
        <v>15</v>
      </c>
      <c r="D11" s="4" t="s">
        <v>33</v>
      </c>
      <c r="E11" s="5" t="s">
        <v>29</v>
      </c>
      <c r="F11" s="17" t="s">
        <v>115</v>
      </c>
      <c r="G11" s="8">
        <v>251.2</v>
      </c>
      <c r="H11" s="17">
        <f t="shared" si="1"/>
        <v>2703.8916799999997</v>
      </c>
      <c r="I11" s="3" t="s">
        <v>34</v>
      </c>
      <c r="J11" s="3">
        <v>2006</v>
      </c>
      <c r="K11" s="17">
        <v>2022</v>
      </c>
      <c r="L11" s="17">
        <f t="shared" si="0"/>
        <v>16</v>
      </c>
      <c r="M11" s="48">
        <v>40</v>
      </c>
      <c r="N11" s="17">
        <v>0.05</v>
      </c>
      <c r="O11" s="18">
        <f t="shared" si="3"/>
        <v>2.375E-2</v>
      </c>
      <c r="P11" s="40">
        <v>1000</v>
      </c>
      <c r="Q11" s="126">
        <f t="shared" si="4"/>
        <v>10763.9</v>
      </c>
      <c r="R11" s="125">
        <f t="shared" si="8"/>
        <v>2703891.6799999997</v>
      </c>
      <c r="S11" s="125">
        <f t="shared" si="5"/>
        <v>1027478.8383999999</v>
      </c>
      <c r="T11" s="125">
        <f t="shared" si="6"/>
        <v>1676412.8415999999</v>
      </c>
      <c r="U11" s="32">
        <v>0</v>
      </c>
      <c r="V11" s="20">
        <f t="shared" si="7"/>
        <v>1676412.8415999999</v>
      </c>
    </row>
    <row r="12" spans="2:25" ht="75" x14ac:dyDescent="0.25">
      <c r="B12" s="24">
        <v>9</v>
      </c>
      <c r="C12" s="25" t="s">
        <v>15</v>
      </c>
      <c r="D12" s="26" t="s">
        <v>35</v>
      </c>
      <c r="E12" s="25" t="s">
        <v>37</v>
      </c>
      <c r="F12" s="24" t="s">
        <v>115</v>
      </c>
      <c r="G12" s="27">
        <v>480</v>
      </c>
      <c r="H12" s="24">
        <f t="shared" si="1"/>
        <v>5166.6719999999996</v>
      </c>
      <c r="I12" s="28" t="s">
        <v>36</v>
      </c>
      <c r="J12" s="28">
        <v>2006</v>
      </c>
      <c r="K12" s="24">
        <v>2022</v>
      </c>
      <c r="L12" s="24">
        <f t="shared" si="0"/>
        <v>16</v>
      </c>
      <c r="M12" s="48">
        <v>40</v>
      </c>
      <c r="N12" s="17">
        <v>0.05</v>
      </c>
      <c r="O12" s="18">
        <f t="shared" si="3"/>
        <v>2.375E-2</v>
      </c>
      <c r="P12" s="40">
        <v>1200</v>
      </c>
      <c r="Q12" s="126">
        <f t="shared" si="4"/>
        <v>12916.68</v>
      </c>
      <c r="R12" s="125">
        <f t="shared" si="8"/>
        <v>6200006.4000000004</v>
      </c>
      <c r="S12" s="125">
        <f t="shared" si="5"/>
        <v>2356002.432</v>
      </c>
      <c r="T12" s="125">
        <f t="shared" si="6"/>
        <v>3844003.9680000003</v>
      </c>
      <c r="U12" s="32">
        <v>0</v>
      </c>
      <c r="V12" s="20">
        <f t="shared" si="7"/>
        <v>3844003.9680000003</v>
      </c>
    </row>
    <row r="13" spans="2:25" ht="60" x14ac:dyDescent="0.25">
      <c r="B13" s="17">
        <v>10</v>
      </c>
      <c r="C13" s="5" t="s">
        <v>11</v>
      </c>
      <c r="D13" s="4" t="s">
        <v>38</v>
      </c>
      <c r="E13" s="5" t="s">
        <v>40</v>
      </c>
      <c r="F13" s="17" t="s">
        <v>115</v>
      </c>
      <c r="G13" s="8">
        <v>1050</v>
      </c>
      <c r="H13" s="17">
        <f t="shared" si="1"/>
        <v>11302.094999999999</v>
      </c>
      <c r="I13" s="3" t="s">
        <v>39</v>
      </c>
      <c r="J13" s="3">
        <v>2005</v>
      </c>
      <c r="K13" s="17">
        <v>2022</v>
      </c>
      <c r="L13" s="17">
        <f t="shared" si="0"/>
        <v>17</v>
      </c>
      <c r="M13" s="3">
        <v>60</v>
      </c>
      <c r="N13" s="17">
        <v>0.05</v>
      </c>
      <c r="O13" s="18">
        <f t="shared" si="3"/>
        <v>1.5833333333333331E-2</v>
      </c>
      <c r="P13" s="40">
        <v>1300</v>
      </c>
      <c r="Q13" s="126">
        <f t="shared" si="4"/>
        <v>13993.07</v>
      </c>
      <c r="R13" s="125">
        <f t="shared" si="8"/>
        <v>14692723.5</v>
      </c>
      <c r="S13" s="125">
        <f t="shared" si="5"/>
        <v>3954791.4087499995</v>
      </c>
      <c r="T13" s="125">
        <f t="shared" si="6"/>
        <v>10737932.091250001</v>
      </c>
      <c r="U13" s="32">
        <v>0</v>
      </c>
      <c r="V13" s="20">
        <f t="shared" si="7"/>
        <v>10737932.091250001</v>
      </c>
    </row>
    <row r="14" spans="2:25" ht="75" x14ac:dyDescent="0.25">
      <c r="B14" s="42">
        <v>11</v>
      </c>
      <c r="C14" s="43" t="s">
        <v>15</v>
      </c>
      <c r="D14" s="44" t="s">
        <v>41</v>
      </c>
      <c r="E14" s="43" t="s">
        <v>42</v>
      </c>
      <c r="F14" s="42" t="s">
        <v>115</v>
      </c>
      <c r="G14" s="45">
        <v>288</v>
      </c>
      <c r="H14" s="42">
        <f t="shared" si="1"/>
        <v>3100.0032000000001</v>
      </c>
      <c r="I14" s="46" t="s">
        <v>16</v>
      </c>
      <c r="J14" s="46">
        <v>2006</v>
      </c>
      <c r="K14" s="42">
        <v>2022</v>
      </c>
      <c r="L14" s="42">
        <f t="shared" si="0"/>
        <v>16</v>
      </c>
      <c r="M14" s="48">
        <v>40</v>
      </c>
      <c r="N14" s="17">
        <v>0.05</v>
      </c>
      <c r="O14" s="18">
        <f t="shared" si="3"/>
        <v>2.375E-2</v>
      </c>
      <c r="P14" s="40">
        <v>1000</v>
      </c>
      <c r="Q14" s="126">
        <f t="shared" si="4"/>
        <v>10763.9</v>
      </c>
      <c r="R14" s="125">
        <f t="shared" si="8"/>
        <v>3100003.1999999997</v>
      </c>
      <c r="S14" s="125">
        <f t="shared" si="5"/>
        <v>1178001.216</v>
      </c>
      <c r="T14" s="125">
        <f t="shared" si="6"/>
        <v>1922001.9839999997</v>
      </c>
      <c r="U14" s="32">
        <v>0</v>
      </c>
      <c r="V14" s="20">
        <f t="shared" si="7"/>
        <v>1922001.9839999997</v>
      </c>
    </row>
    <row r="15" spans="2:25" ht="75" x14ac:dyDescent="0.25">
      <c r="B15" s="17">
        <v>12</v>
      </c>
      <c r="C15" s="5" t="s">
        <v>15</v>
      </c>
      <c r="D15" s="4" t="s">
        <v>43</v>
      </c>
      <c r="E15" s="5" t="s">
        <v>45</v>
      </c>
      <c r="F15" s="17" t="s">
        <v>115</v>
      </c>
      <c r="G15" s="8">
        <v>1163</v>
      </c>
      <c r="H15" s="17">
        <f t="shared" si="1"/>
        <v>12518.4157</v>
      </c>
      <c r="I15" s="3" t="s">
        <v>44</v>
      </c>
      <c r="J15" s="3">
        <v>2006</v>
      </c>
      <c r="K15" s="17">
        <v>2022</v>
      </c>
      <c r="L15" s="17">
        <f t="shared" si="0"/>
        <v>16</v>
      </c>
      <c r="M15" s="3">
        <v>60</v>
      </c>
      <c r="N15" s="17">
        <v>0.05</v>
      </c>
      <c r="O15" s="18">
        <f t="shared" si="3"/>
        <v>1.5833333333333331E-2</v>
      </c>
      <c r="P15" s="40">
        <v>1300</v>
      </c>
      <c r="Q15" s="126">
        <f t="shared" si="4"/>
        <v>13993.07</v>
      </c>
      <c r="R15" s="125">
        <f t="shared" si="8"/>
        <v>16273940.41</v>
      </c>
      <c r="S15" s="125">
        <f t="shared" si="5"/>
        <v>4122731.5705333329</v>
      </c>
      <c r="T15" s="125">
        <f t="shared" si="6"/>
        <v>12151208.839466667</v>
      </c>
      <c r="U15" s="32">
        <v>0</v>
      </c>
      <c r="V15" s="20">
        <f t="shared" si="7"/>
        <v>12151208.839466667</v>
      </c>
    </row>
    <row r="16" spans="2:25" ht="90" x14ac:dyDescent="0.25">
      <c r="B16" s="42">
        <v>13</v>
      </c>
      <c r="C16" s="43" t="s">
        <v>15</v>
      </c>
      <c r="D16" s="44" t="s">
        <v>46</v>
      </c>
      <c r="E16" s="43" t="s">
        <v>47</v>
      </c>
      <c r="F16" s="42" t="s">
        <v>115</v>
      </c>
      <c r="G16" s="45">
        <v>228</v>
      </c>
      <c r="H16" s="42">
        <f t="shared" si="1"/>
        <v>2454.1691999999998</v>
      </c>
      <c r="I16" s="46" t="s">
        <v>16</v>
      </c>
      <c r="J16" s="46">
        <v>2006</v>
      </c>
      <c r="K16" s="42">
        <v>2022</v>
      </c>
      <c r="L16" s="42">
        <f t="shared" si="0"/>
        <v>16</v>
      </c>
      <c r="M16" s="48">
        <v>40</v>
      </c>
      <c r="N16" s="17">
        <v>0.05</v>
      </c>
      <c r="O16" s="18">
        <f t="shared" si="3"/>
        <v>2.375E-2</v>
      </c>
      <c r="P16" s="40">
        <v>1100</v>
      </c>
      <c r="Q16" s="63">
        <f t="shared" si="4"/>
        <v>11840.289999999999</v>
      </c>
      <c r="R16" s="64">
        <f t="shared" si="8"/>
        <v>2699586.1199999996</v>
      </c>
      <c r="S16" s="125">
        <f t="shared" si="5"/>
        <v>1025842.7255999999</v>
      </c>
      <c r="T16" s="125">
        <f t="shared" si="6"/>
        <v>1673743.3943999996</v>
      </c>
      <c r="U16" s="32">
        <v>0</v>
      </c>
      <c r="V16" s="20">
        <f t="shared" si="7"/>
        <v>1673743.3943999996</v>
      </c>
    </row>
    <row r="17" spans="2:22" ht="45" x14ac:dyDescent="0.25">
      <c r="B17" s="17">
        <v>14</v>
      </c>
      <c r="C17" s="5" t="s">
        <v>15</v>
      </c>
      <c r="D17" s="4" t="s">
        <v>48</v>
      </c>
      <c r="E17" s="5" t="s">
        <v>50</v>
      </c>
      <c r="F17" s="17" t="s">
        <v>115</v>
      </c>
      <c r="G17" s="8">
        <v>48.17</v>
      </c>
      <c r="H17" s="17">
        <f t="shared" si="1"/>
        <v>518.49706300000003</v>
      </c>
      <c r="I17" s="3" t="s">
        <v>49</v>
      </c>
      <c r="J17" s="3">
        <v>2005</v>
      </c>
      <c r="K17" s="17">
        <v>2022</v>
      </c>
      <c r="L17" s="17">
        <f t="shared" si="0"/>
        <v>17</v>
      </c>
      <c r="M17" s="3">
        <v>60</v>
      </c>
      <c r="N17" s="17">
        <v>0.05</v>
      </c>
      <c r="O17" s="18">
        <f t="shared" si="3"/>
        <v>1.5833333333333331E-2</v>
      </c>
      <c r="P17" s="40">
        <v>1300</v>
      </c>
      <c r="Q17" s="126">
        <f t="shared" si="4"/>
        <v>13993.07</v>
      </c>
      <c r="R17" s="125">
        <f t="shared" si="8"/>
        <v>674046.18189999997</v>
      </c>
      <c r="S17" s="125">
        <f t="shared" si="5"/>
        <v>181430.76396141664</v>
      </c>
      <c r="T17" s="125">
        <f t="shared" si="6"/>
        <v>492615.4179385833</v>
      </c>
      <c r="U17" s="32">
        <v>0</v>
      </c>
      <c r="V17" s="20">
        <f t="shared" si="7"/>
        <v>492615.4179385833</v>
      </c>
    </row>
    <row r="18" spans="2:22" ht="105" x14ac:dyDescent="0.25">
      <c r="B18" s="17">
        <v>15</v>
      </c>
      <c r="C18" s="5" t="s">
        <v>11</v>
      </c>
      <c r="D18" s="4" t="s">
        <v>51</v>
      </c>
      <c r="E18" s="5" t="s">
        <v>52</v>
      </c>
      <c r="F18" s="17" t="s">
        <v>115</v>
      </c>
      <c r="G18" s="8">
        <v>1400</v>
      </c>
      <c r="H18" s="17">
        <f t="shared" si="1"/>
        <v>15069.46</v>
      </c>
      <c r="I18" s="3" t="s">
        <v>31</v>
      </c>
      <c r="J18" s="3">
        <v>2007</v>
      </c>
      <c r="K18" s="17">
        <v>2022</v>
      </c>
      <c r="L18" s="17">
        <f t="shared" si="0"/>
        <v>15</v>
      </c>
      <c r="M18" s="3">
        <v>60</v>
      </c>
      <c r="N18" s="17">
        <v>0.05</v>
      </c>
      <c r="O18" s="18">
        <f t="shared" si="3"/>
        <v>1.5833333333333331E-2</v>
      </c>
      <c r="P18" s="40">
        <v>1400</v>
      </c>
      <c r="Q18" s="126">
        <f t="shared" si="4"/>
        <v>15069.46</v>
      </c>
      <c r="R18" s="125">
        <f t="shared" si="8"/>
        <v>21097244</v>
      </c>
      <c r="S18" s="125">
        <f t="shared" si="5"/>
        <v>5010595.4499999993</v>
      </c>
      <c r="T18" s="125">
        <f t="shared" si="6"/>
        <v>16086648.550000001</v>
      </c>
      <c r="U18" s="32">
        <v>0</v>
      </c>
      <c r="V18" s="20">
        <f t="shared" si="7"/>
        <v>16086648.550000001</v>
      </c>
    </row>
    <row r="19" spans="2:22" ht="75" x14ac:dyDescent="0.25">
      <c r="B19" s="17">
        <v>16</v>
      </c>
      <c r="C19" s="5" t="s">
        <v>15</v>
      </c>
      <c r="D19" s="4" t="s">
        <v>53</v>
      </c>
      <c r="E19" s="5" t="s">
        <v>55</v>
      </c>
      <c r="F19" s="17" t="s">
        <v>115</v>
      </c>
      <c r="G19" s="8">
        <v>419.21</v>
      </c>
      <c r="H19" s="17">
        <f t="shared" si="1"/>
        <v>4512.334519</v>
      </c>
      <c r="I19" s="3" t="s">
        <v>54</v>
      </c>
      <c r="J19" s="3">
        <v>2007</v>
      </c>
      <c r="K19" s="17">
        <v>2022</v>
      </c>
      <c r="L19" s="17">
        <f t="shared" si="0"/>
        <v>15</v>
      </c>
      <c r="M19" s="3">
        <v>60</v>
      </c>
      <c r="N19" s="17">
        <v>0.05</v>
      </c>
      <c r="O19" s="18">
        <f t="shared" si="3"/>
        <v>1.5833333333333331E-2</v>
      </c>
      <c r="P19" s="40">
        <v>1400</v>
      </c>
      <c r="Q19" s="126">
        <f t="shared" si="4"/>
        <v>15069.46</v>
      </c>
      <c r="R19" s="125">
        <f t="shared" si="8"/>
        <v>6317268.3265999993</v>
      </c>
      <c r="S19" s="125">
        <f t="shared" si="5"/>
        <v>1500351.2275674997</v>
      </c>
      <c r="T19" s="125">
        <f t="shared" si="6"/>
        <v>4816917.0990324998</v>
      </c>
      <c r="U19" s="32">
        <v>0</v>
      </c>
      <c r="V19" s="20">
        <f t="shared" si="7"/>
        <v>4816917.0990324998</v>
      </c>
    </row>
    <row r="20" spans="2:22" ht="90" x14ac:dyDescent="0.25">
      <c r="B20" s="42">
        <v>17</v>
      </c>
      <c r="C20" s="43" t="s">
        <v>15</v>
      </c>
      <c r="D20" s="44" t="s">
        <v>56</v>
      </c>
      <c r="E20" s="43" t="s">
        <v>57</v>
      </c>
      <c r="F20" s="42" t="s">
        <v>115</v>
      </c>
      <c r="G20" s="45">
        <v>416.91</v>
      </c>
      <c r="H20" s="42">
        <f t="shared" si="1"/>
        <v>4487.5775490000005</v>
      </c>
      <c r="I20" s="46" t="s">
        <v>54</v>
      </c>
      <c r="J20" s="46">
        <v>2005</v>
      </c>
      <c r="K20" s="42">
        <v>2022</v>
      </c>
      <c r="L20" s="42">
        <f t="shared" si="0"/>
        <v>17</v>
      </c>
      <c r="M20" s="48">
        <v>40</v>
      </c>
      <c r="N20" s="17">
        <v>0.05</v>
      </c>
      <c r="O20" s="18">
        <f t="shared" si="3"/>
        <v>2.375E-2</v>
      </c>
      <c r="P20" s="40">
        <v>800</v>
      </c>
      <c r="Q20" s="126">
        <f t="shared" si="4"/>
        <v>8611.119999999999</v>
      </c>
      <c r="R20" s="125">
        <f t="shared" si="8"/>
        <v>3590062.0392</v>
      </c>
      <c r="S20" s="125">
        <f t="shared" si="5"/>
        <v>1449487.5483270001</v>
      </c>
      <c r="T20" s="125">
        <f t="shared" si="6"/>
        <v>2140574.4908729997</v>
      </c>
      <c r="U20" s="32">
        <v>0</v>
      </c>
      <c r="V20" s="20">
        <f t="shared" si="7"/>
        <v>2140574.4908729997</v>
      </c>
    </row>
    <row r="21" spans="2:22" ht="75" x14ac:dyDescent="0.25">
      <c r="B21" s="17">
        <v>18</v>
      </c>
      <c r="C21" s="5" t="s">
        <v>15</v>
      </c>
      <c r="D21" s="4" t="s">
        <v>58</v>
      </c>
      <c r="E21" s="5" t="s">
        <v>60</v>
      </c>
      <c r="F21" s="17" t="s">
        <v>115</v>
      </c>
      <c r="G21" s="8">
        <v>460.34</v>
      </c>
      <c r="H21" s="17">
        <f t="shared" si="1"/>
        <v>4955.0537259999992</v>
      </c>
      <c r="I21" s="3" t="s">
        <v>59</v>
      </c>
      <c r="J21" s="3">
        <v>2005</v>
      </c>
      <c r="K21" s="17">
        <v>2022</v>
      </c>
      <c r="L21" s="17">
        <f t="shared" si="0"/>
        <v>17</v>
      </c>
      <c r="M21" s="3">
        <v>60</v>
      </c>
      <c r="N21" s="17">
        <v>0.05</v>
      </c>
      <c r="O21" s="18">
        <f t="shared" si="3"/>
        <v>1.5833333333333331E-2</v>
      </c>
      <c r="P21" s="40">
        <v>1300</v>
      </c>
      <c r="Q21" s="126">
        <f t="shared" si="4"/>
        <v>13993.07</v>
      </c>
      <c r="R21" s="125">
        <f t="shared" si="8"/>
        <v>6441569.8437999999</v>
      </c>
      <c r="S21" s="125">
        <f t="shared" si="5"/>
        <v>1733855.8829561663</v>
      </c>
      <c r="T21" s="125">
        <f t="shared" si="6"/>
        <v>4707713.9608438332</v>
      </c>
      <c r="U21" s="32">
        <v>0</v>
      </c>
      <c r="V21" s="20">
        <f t="shared" si="7"/>
        <v>4707713.9608438332</v>
      </c>
    </row>
    <row r="22" spans="2:22" ht="90" x14ac:dyDescent="0.25">
      <c r="B22" s="17">
        <v>19</v>
      </c>
      <c r="C22" s="5" t="s">
        <v>11</v>
      </c>
      <c r="D22" s="4" t="s">
        <v>61</v>
      </c>
      <c r="E22" s="5" t="s">
        <v>63</v>
      </c>
      <c r="F22" s="17" t="s">
        <v>115</v>
      </c>
      <c r="G22" s="8">
        <v>2000</v>
      </c>
      <c r="H22" s="17">
        <f t="shared" si="1"/>
        <v>21527.8</v>
      </c>
      <c r="I22" s="3" t="s">
        <v>62</v>
      </c>
      <c r="J22" s="3">
        <v>2005</v>
      </c>
      <c r="K22" s="17">
        <v>2022</v>
      </c>
      <c r="L22" s="17">
        <f t="shared" si="0"/>
        <v>17</v>
      </c>
      <c r="M22" s="3">
        <v>60</v>
      </c>
      <c r="N22" s="17">
        <v>0.05</v>
      </c>
      <c r="O22" s="18">
        <f t="shared" si="3"/>
        <v>1.5833333333333331E-2</v>
      </c>
      <c r="P22" s="40">
        <v>1400</v>
      </c>
      <c r="Q22" s="126">
        <f t="shared" si="4"/>
        <v>15069.46</v>
      </c>
      <c r="R22" s="125">
        <f t="shared" si="8"/>
        <v>30138920</v>
      </c>
      <c r="S22" s="125">
        <f t="shared" si="5"/>
        <v>8112392.6333333319</v>
      </c>
      <c r="T22" s="125">
        <f t="shared" si="6"/>
        <v>22026527.366666667</v>
      </c>
      <c r="U22" s="32">
        <v>0</v>
      </c>
      <c r="V22" s="20">
        <f t="shared" si="7"/>
        <v>22026527.366666667</v>
      </c>
    </row>
    <row r="23" spans="2:22" s="55" customFormat="1" ht="105" x14ac:dyDescent="0.25">
      <c r="B23" s="49">
        <v>20</v>
      </c>
      <c r="C23" s="50" t="s">
        <v>65</v>
      </c>
      <c r="D23" s="51" t="s">
        <v>64</v>
      </c>
      <c r="E23" s="52" t="s">
        <v>68</v>
      </c>
      <c r="F23" s="49" t="s">
        <v>115</v>
      </c>
      <c r="G23" s="53">
        <v>7200</v>
      </c>
      <c r="H23" s="49">
        <f t="shared" si="1"/>
        <v>77500.08</v>
      </c>
      <c r="I23" s="50" t="s">
        <v>66</v>
      </c>
      <c r="J23" s="50">
        <v>2005</v>
      </c>
      <c r="K23" s="49">
        <v>2022</v>
      </c>
      <c r="L23" s="49">
        <f t="shared" si="0"/>
        <v>17</v>
      </c>
      <c r="M23" s="50">
        <v>60</v>
      </c>
      <c r="N23" s="49">
        <v>0.05</v>
      </c>
      <c r="O23" s="54">
        <f t="shared" si="3"/>
        <v>1.5833333333333331E-2</v>
      </c>
      <c r="P23" s="40">
        <v>1400</v>
      </c>
      <c r="Q23" s="126">
        <f t="shared" si="4"/>
        <v>15069.46</v>
      </c>
      <c r="R23" s="125">
        <f t="shared" si="8"/>
        <v>108500112</v>
      </c>
      <c r="S23" s="125">
        <f t="shared" si="5"/>
        <v>29204613.479999997</v>
      </c>
      <c r="T23" s="125">
        <f t="shared" si="6"/>
        <v>79295498.520000011</v>
      </c>
      <c r="U23" s="32">
        <v>0</v>
      </c>
      <c r="V23" s="20">
        <f t="shared" si="7"/>
        <v>79295498.520000011</v>
      </c>
    </row>
    <row r="24" spans="2:22" s="55" customFormat="1" ht="105" x14ac:dyDescent="0.25">
      <c r="B24" s="48">
        <v>21</v>
      </c>
      <c r="C24" s="56" t="s">
        <v>15</v>
      </c>
      <c r="D24" s="57" t="s">
        <v>69</v>
      </c>
      <c r="E24" s="56" t="s">
        <v>72</v>
      </c>
      <c r="F24" s="48" t="s">
        <v>115</v>
      </c>
      <c r="G24" s="58">
        <v>3272.77</v>
      </c>
      <c r="H24" s="48">
        <f t="shared" si="1"/>
        <v>35227.769003000001</v>
      </c>
      <c r="I24" s="59" t="s">
        <v>70</v>
      </c>
      <c r="J24" s="59">
        <v>2005</v>
      </c>
      <c r="K24" s="48">
        <v>2022</v>
      </c>
      <c r="L24" s="48">
        <f t="shared" si="0"/>
        <v>17</v>
      </c>
      <c r="M24" s="59">
        <v>60</v>
      </c>
      <c r="N24" s="49">
        <v>0.05</v>
      </c>
      <c r="O24" s="54">
        <f t="shared" si="3"/>
        <v>1.5833333333333331E-2</v>
      </c>
      <c r="P24" s="40">
        <v>1400</v>
      </c>
      <c r="Q24" s="126">
        <f t="shared" si="4"/>
        <v>15069.46</v>
      </c>
      <c r="R24" s="125">
        <f t="shared" si="8"/>
        <v>49318876.604199998</v>
      </c>
      <c r="S24" s="125">
        <f t="shared" si="5"/>
        <v>13274997.619297165</v>
      </c>
      <c r="T24" s="125">
        <f t="shared" si="6"/>
        <v>36043878.984902829</v>
      </c>
      <c r="U24" s="32">
        <v>0</v>
      </c>
      <c r="V24" s="20">
        <f t="shared" si="7"/>
        <v>36043878.984902829</v>
      </c>
    </row>
    <row r="25" spans="2:22" s="55" customFormat="1" ht="105" x14ac:dyDescent="0.25">
      <c r="B25" s="49">
        <v>22</v>
      </c>
      <c r="C25" s="50" t="s">
        <v>74</v>
      </c>
      <c r="D25" s="51" t="s">
        <v>73</v>
      </c>
      <c r="E25" s="52" t="s">
        <v>77</v>
      </c>
      <c r="F25" s="49" t="s">
        <v>115</v>
      </c>
      <c r="G25" s="53">
        <v>5000</v>
      </c>
      <c r="H25" s="49">
        <f t="shared" si="1"/>
        <v>53819.5</v>
      </c>
      <c r="I25" s="50" t="s">
        <v>75</v>
      </c>
      <c r="J25" s="50">
        <v>2005</v>
      </c>
      <c r="K25" s="49">
        <v>2022</v>
      </c>
      <c r="L25" s="49">
        <f t="shared" si="0"/>
        <v>17</v>
      </c>
      <c r="M25" s="50">
        <v>60</v>
      </c>
      <c r="N25" s="49">
        <v>0.05</v>
      </c>
      <c r="O25" s="54">
        <f t="shared" si="3"/>
        <v>1.5833333333333331E-2</v>
      </c>
      <c r="P25" s="40">
        <v>1400</v>
      </c>
      <c r="Q25" s="126">
        <f t="shared" si="4"/>
        <v>15069.46</v>
      </c>
      <c r="R25" s="125">
        <f t="shared" si="8"/>
        <v>75347300</v>
      </c>
      <c r="S25" s="125">
        <f t="shared" si="5"/>
        <v>20280981.583333332</v>
      </c>
      <c r="T25" s="125">
        <f t="shared" si="6"/>
        <v>55066318.416666672</v>
      </c>
      <c r="U25" s="32">
        <v>0</v>
      </c>
      <c r="V25" s="20">
        <f t="shared" si="7"/>
        <v>55066318.416666672</v>
      </c>
    </row>
    <row r="26" spans="2:22" ht="75" x14ac:dyDescent="0.25">
      <c r="B26" s="17">
        <v>23</v>
      </c>
      <c r="C26" s="5" t="s">
        <v>15</v>
      </c>
      <c r="D26" s="4" t="s">
        <v>78</v>
      </c>
      <c r="E26" s="5" t="s">
        <v>80</v>
      </c>
      <c r="F26" s="17" t="s">
        <v>115</v>
      </c>
      <c r="G26" s="8">
        <v>131.07</v>
      </c>
      <c r="H26" s="17">
        <f t="shared" si="1"/>
        <v>1410.8243729999999</v>
      </c>
      <c r="I26" s="3" t="s">
        <v>79</v>
      </c>
      <c r="J26" s="3">
        <v>2005</v>
      </c>
      <c r="K26" s="17">
        <v>2022</v>
      </c>
      <c r="L26" s="17">
        <f t="shared" si="0"/>
        <v>17</v>
      </c>
      <c r="M26" s="3">
        <v>60</v>
      </c>
      <c r="N26" s="17">
        <v>0.05</v>
      </c>
      <c r="O26" s="18">
        <f t="shared" si="3"/>
        <v>1.5833333333333331E-2</v>
      </c>
      <c r="P26" s="40">
        <v>1200</v>
      </c>
      <c r="Q26" s="126">
        <f t="shared" si="4"/>
        <v>12916.68</v>
      </c>
      <c r="R26" s="125">
        <f t="shared" si="8"/>
        <v>1692989.2475999999</v>
      </c>
      <c r="S26" s="125">
        <f t="shared" si="5"/>
        <v>455696.27247899992</v>
      </c>
      <c r="T26" s="125">
        <f t="shared" si="6"/>
        <v>1237292.9751209999</v>
      </c>
      <c r="U26" s="32">
        <v>0</v>
      </c>
      <c r="V26" s="20">
        <f t="shared" si="7"/>
        <v>1237292.9751209999</v>
      </c>
    </row>
    <row r="27" spans="2:22" x14ac:dyDescent="0.25">
      <c r="B27" s="42"/>
      <c r="C27" s="43"/>
      <c r="D27" s="44"/>
      <c r="E27" s="43"/>
      <c r="F27" s="42"/>
      <c r="G27" s="45"/>
      <c r="H27" s="42"/>
      <c r="I27" s="46"/>
      <c r="J27" s="46">
        <v>2001</v>
      </c>
      <c r="K27" s="42">
        <v>2022</v>
      </c>
      <c r="L27" s="42">
        <f t="shared" si="0"/>
        <v>21</v>
      </c>
      <c r="M27" s="46">
        <v>60</v>
      </c>
      <c r="N27" s="24"/>
      <c r="O27" s="29"/>
      <c r="P27" s="40"/>
      <c r="Q27" s="63"/>
      <c r="R27" s="64"/>
      <c r="S27" s="125"/>
      <c r="T27" s="125"/>
      <c r="U27" s="32"/>
      <c r="V27" s="31"/>
    </row>
    <row r="28" spans="2:22" ht="60" x14ac:dyDescent="0.25">
      <c r="B28" s="42">
        <v>24</v>
      </c>
      <c r="C28" s="43" t="s">
        <v>15</v>
      </c>
      <c r="D28" s="44" t="s">
        <v>81</v>
      </c>
      <c r="E28" s="43" t="s">
        <v>82</v>
      </c>
      <c r="F28" s="42" t="s">
        <v>115</v>
      </c>
      <c r="G28" s="45">
        <v>505.51</v>
      </c>
      <c r="H28" s="42">
        <f t="shared" si="1"/>
        <v>5441.2590890000001</v>
      </c>
      <c r="I28" s="46" t="s">
        <v>70</v>
      </c>
      <c r="J28" s="46">
        <v>2008</v>
      </c>
      <c r="K28" s="42">
        <v>2022</v>
      </c>
      <c r="L28" s="42">
        <f t="shared" si="0"/>
        <v>14</v>
      </c>
      <c r="M28" s="48">
        <v>40</v>
      </c>
      <c r="N28" s="24">
        <v>0.05</v>
      </c>
      <c r="O28" s="29">
        <f t="shared" si="3"/>
        <v>2.375E-2</v>
      </c>
      <c r="P28" s="40">
        <v>1000</v>
      </c>
      <c r="Q28" s="63">
        <f t="shared" si="4"/>
        <v>10763.9</v>
      </c>
      <c r="R28" s="64">
        <f t="shared" si="8"/>
        <v>5441259.0889999997</v>
      </c>
      <c r="S28" s="125">
        <f t="shared" si="5"/>
        <v>1809218.6470925</v>
      </c>
      <c r="T28" s="125">
        <f t="shared" si="6"/>
        <v>3632040.4419074999</v>
      </c>
      <c r="U28" s="32">
        <v>0</v>
      </c>
      <c r="V28" s="31">
        <f t="shared" si="7"/>
        <v>3632040.4419074999</v>
      </c>
    </row>
    <row r="29" spans="2:22" x14ac:dyDescent="0.25">
      <c r="B29" s="65"/>
      <c r="C29" s="65"/>
      <c r="D29" s="65"/>
      <c r="E29" s="65"/>
      <c r="F29" s="65"/>
      <c r="G29" s="65"/>
      <c r="H29" s="65"/>
      <c r="I29" s="65"/>
      <c r="J29" s="65"/>
      <c r="K29" s="65"/>
      <c r="L29" s="65"/>
      <c r="M29" s="65"/>
      <c r="N29" s="65"/>
      <c r="O29" s="65"/>
      <c r="P29" s="65"/>
      <c r="Q29" s="65"/>
      <c r="R29" s="66">
        <f>SUM(R4:R28)</f>
        <v>688317014.33949995</v>
      </c>
      <c r="S29" s="66">
        <f>SUM(S4:S28)</f>
        <v>226050011.6301904</v>
      </c>
      <c r="T29" s="66">
        <f>SUM(T4:T28)</f>
        <v>462267002.70930964</v>
      </c>
      <c r="U29" s="65"/>
      <c r="V29" s="136">
        <f>SUM(V4:V28)</f>
        <v>462267002.70930964</v>
      </c>
    </row>
    <row r="30" spans="2:22" x14ac:dyDescent="0.25">
      <c r="B30" s="143"/>
      <c r="C30" s="144"/>
      <c r="D30" s="144"/>
      <c r="E30" s="144"/>
      <c r="F30" s="144"/>
      <c r="G30" s="144"/>
      <c r="H30" s="144"/>
      <c r="I30" s="144"/>
      <c r="J30" s="144"/>
      <c r="K30" s="144"/>
      <c r="L30" s="144"/>
      <c r="M30" s="144"/>
      <c r="N30" s="144"/>
      <c r="O30" s="144"/>
      <c r="P30" s="144"/>
      <c r="Q30" s="144"/>
      <c r="R30" s="144"/>
      <c r="S30" s="144"/>
      <c r="T30" s="144"/>
      <c r="U30" s="144"/>
      <c r="V30" s="145"/>
    </row>
    <row r="31" spans="2:22" ht="30" x14ac:dyDescent="0.25">
      <c r="B31" s="17">
        <v>25</v>
      </c>
      <c r="C31" s="23"/>
      <c r="D31" s="4" t="s">
        <v>83</v>
      </c>
      <c r="E31" s="5" t="s">
        <v>84</v>
      </c>
      <c r="F31" s="17" t="s">
        <v>115</v>
      </c>
      <c r="G31" s="8">
        <v>2379.9</v>
      </c>
      <c r="H31" s="17">
        <f t="shared" si="1"/>
        <v>25617.00561</v>
      </c>
      <c r="I31" s="3" t="s">
        <v>70</v>
      </c>
      <c r="J31" s="3">
        <v>2005</v>
      </c>
      <c r="K31" s="17">
        <v>2022</v>
      </c>
      <c r="L31" s="17">
        <f t="shared" si="0"/>
        <v>17</v>
      </c>
      <c r="M31" s="3"/>
      <c r="N31" s="17">
        <v>0.05</v>
      </c>
      <c r="O31" s="18" t="e">
        <f t="shared" si="3"/>
        <v>#DIV/0!</v>
      </c>
      <c r="P31" s="62"/>
      <c r="Q31" s="63">
        <f t="shared" si="4"/>
        <v>0</v>
      </c>
      <c r="R31" s="64">
        <f t="shared" si="8"/>
        <v>0</v>
      </c>
      <c r="S31" s="64" t="e">
        <f t="shared" si="5"/>
        <v>#DIV/0!</v>
      </c>
      <c r="T31" s="64" t="e">
        <f t="shared" si="6"/>
        <v>#DIV/0!</v>
      </c>
      <c r="U31" s="17">
        <v>0.05</v>
      </c>
      <c r="V31" s="20" t="e">
        <f t="shared" si="7"/>
        <v>#DIV/0!</v>
      </c>
    </row>
    <row r="32" spans="2:22" ht="76.5" x14ac:dyDescent="0.25">
      <c r="B32" s="17">
        <v>26</v>
      </c>
      <c r="C32" s="23"/>
      <c r="D32" s="4" t="s">
        <v>85</v>
      </c>
      <c r="E32" s="5" t="s">
        <v>86</v>
      </c>
      <c r="F32" s="17" t="s">
        <v>115</v>
      </c>
      <c r="G32" s="12" t="s">
        <v>87</v>
      </c>
      <c r="H32" s="17" t="e">
        <f t="shared" si="1"/>
        <v>#VALUE!</v>
      </c>
      <c r="I32" s="23"/>
      <c r="J32" s="3">
        <v>2005</v>
      </c>
      <c r="K32" s="17">
        <v>2022</v>
      </c>
      <c r="L32" s="17">
        <f t="shared" si="0"/>
        <v>17</v>
      </c>
      <c r="M32" s="3"/>
      <c r="N32" s="17">
        <v>0.05</v>
      </c>
      <c r="O32" s="18" t="e">
        <f t="shared" si="3"/>
        <v>#DIV/0!</v>
      </c>
      <c r="P32" s="62"/>
      <c r="Q32" s="63">
        <f t="shared" si="4"/>
        <v>0</v>
      </c>
      <c r="R32" s="64" t="e">
        <f t="shared" si="8"/>
        <v>#VALUE!</v>
      </c>
      <c r="S32" s="64" t="e">
        <f t="shared" si="5"/>
        <v>#VALUE!</v>
      </c>
      <c r="T32" s="64" t="e">
        <f t="shared" si="6"/>
        <v>#VALUE!</v>
      </c>
      <c r="U32" s="17">
        <v>0.05</v>
      </c>
      <c r="V32" s="20" t="e">
        <f t="shared" si="7"/>
        <v>#VALUE!</v>
      </c>
    </row>
    <row r="33" spans="2:22" x14ac:dyDescent="0.25">
      <c r="B33" s="17">
        <v>27</v>
      </c>
      <c r="C33" s="23"/>
      <c r="D33" s="4" t="s">
        <v>88</v>
      </c>
      <c r="E33" s="5" t="s">
        <v>86</v>
      </c>
      <c r="F33" s="17" t="s">
        <v>115</v>
      </c>
      <c r="G33" s="8">
        <v>4914.22</v>
      </c>
      <c r="H33" s="17">
        <f t="shared" si="1"/>
        <v>52896.172658000003</v>
      </c>
      <c r="I33" s="23"/>
      <c r="J33" s="3">
        <v>2005</v>
      </c>
      <c r="K33" s="17">
        <v>2022</v>
      </c>
      <c r="L33" s="17">
        <f t="shared" si="0"/>
        <v>17</v>
      </c>
      <c r="M33" s="3"/>
      <c r="N33" s="17">
        <v>0.05</v>
      </c>
      <c r="O33" s="18" t="e">
        <f t="shared" si="3"/>
        <v>#DIV/0!</v>
      </c>
      <c r="P33" s="62"/>
      <c r="Q33" s="63">
        <f t="shared" si="4"/>
        <v>0</v>
      </c>
      <c r="R33" s="64">
        <f t="shared" si="8"/>
        <v>0</v>
      </c>
      <c r="S33" s="64" t="e">
        <f t="shared" si="5"/>
        <v>#DIV/0!</v>
      </c>
      <c r="T33" s="64" t="e">
        <f t="shared" si="6"/>
        <v>#DIV/0!</v>
      </c>
      <c r="U33" s="17">
        <v>0.05</v>
      </c>
      <c r="V33" s="20" t="e">
        <f t="shared" si="7"/>
        <v>#DIV/0!</v>
      </c>
    </row>
    <row r="34" spans="2:22" x14ac:dyDescent="0.25">
      <c r="B34" s="17">
        <v>28</v>
      </c>
      <c r="C34" s="23"/>
      <c r="D34" s="4" t="s">
        <v>89</v>
      </c>
      <c r="E34" s="5" t="s">
        <v>86</v>
      </c>
      <c r="F34" s="17" t="s">
        <v>115</v>
      </c>
      <c r="G34" s="8" t="s">
        <v>90</v>
      </c>
      <c r="H34" s="17" t="e">
        <f t="shared" si="1"/>
        <v>#VALUE!</v>
      </c>
      <c r="I34" s="23"/>
      <c r="J34" s="3">
        <v>2005</v>
      </c>
      <c r="K34" s="17">
        <v>2022</v>
      </c>
      <c r="L34" s="17">
        <f t="shared" si="0"/>
        <v>17</v>
      </c>
      <c r="M34" s="3"/>
      <c r="N34" s="17">
        <v>0.05</v>
      </c>
      <c r="O34" s="18" t="e">
        <f t="shared" si="3"/>
        <v>#DIV/0!</v>
      </c>
      <c r="P34" s="62"/>
      <c r="Q34" s="63">
        <f t="shared" si="4"/>
        <v>0</v>
      </c>
      <c r="R34" s="64" t="e">
        <f t="shared" si="8"/>
        <v>#VALUE!</v>
      </c>
      <c r="S34" s="64" t="e">
        <f t="shared" si="5"/>
        <v>#VALUE!</v>
      </c>
      <c r="T34" s="64" t="e">
        <f t="shared" si="6"/>
        <v>#VALUE!</v>
      </c>
      <c r="U34" s="17">
        <v>0.05</v>
      </c>
      <c r="V34" s="20" t="e">
        <f t="shared" si="7"/>
        <v>#VALUE!</v>
      </c>
    </row>
    <row r="39" spans="2:22" x14ac:dyDescent="0.25">
      <c r="K39">
        <f>(1-5%)/60</f>
        <v>1.5833333333333331E-2</v>
      </c>
    </row>
    <row r="40" spans="2:22" x14ac:dyDescent="0.25">
      <c r="K40">
        <f>1500*21*K39</f>
        <v>498.74999999999994</v>
      </c>
    </row>
  </sheetData>
  <autoFilter ref="B3:V34" xr:uid="{FF9F1D47-92F4-422F-81EB-5E055D94C525}"/>
  <mergeCells count="2">
    <mergeCell ref="B2:Y2"/>
    <mergeCell ref="B30:V30"/>
  </mergeCells>
  <dataValidations count="2">
    <dataValidation type="list" allowBlank="1" showInputMessage="1" showErrorMessage="1" promptTitle="Condition of Structure" prompt="Condition of Structure" sqref="F4:F28 F31:F34" xr:uid="{85027F3A-5E1F-4A26-A440-EEED191FD035}">
      <formula1>"Poor, Average, Ordinary, Good, Very Good, Excellent"</formula1>
    </dataValidation>
    <dataValidation type="list" allowBlank="1" showInputMessage="1" showErrorMessage="1" sqref="E4:E10" xr:uid="{DADE21BF-30BD-4C11-BA72-A90C5B9B3995}">
      <formula1>$K$2:$K$9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E4D5-9C74-42B8-B19A-4BC94305E4EB}">
  <dimension ref="B3:M15"/>
  <sheetViews>
    <sheetView workbookViewId="0">
      <selection activeCell="H15" sqref="H15"/>
    </sheetView>
  </sheetViews>
  <sheetFormatPr defaultRowHeight="15" x14ac:dyDescent="0.25"/>
  <cols>
    <col min="3" max="3" width="14.5703125" customWidth="1"/>
    <col min="7" max="7" width="11.85546875" customWidth="1"/>
    <col min="8" max="8" width="28" customWidth="1"/>
    <col min="11" max="11" width="11" customWidth="1"/>
    <col min="12" max="12" width="14.28515625" customWidth="1"/>
    <col min="13" max="13" width="16.7109375" customWidth="1"/>
  </cols>
  <sheetData>
    <row r="3" spans="2:13" x14ac:dyDescent="0.25">
      <c r="B3" s="146" t="s">
        <v>117</v>
      </c>
      <c r="C3" s="146"/>
      <c r="D3" s="146"/>
      <c r="E3" s="146"/>
      <c r="F3" s="146"/>
      <c r="G3" s="146"/>
      <c r="H3" s="146"/>
      <c r="I3" s="146"/>
      <c r="J3" s="146"/>
      <c r="K3" s="146"/>
      <c r="L3" s="146"/>
      <c r="M3" s="146"/>
    </row>
    <row r="4" spans="2:13" ht="45" x14ac:dyDescent="0.25">
      <c r="B4" s="68" t="s">
        <v>1</v>
      </c>
      <c r="C4" s="154" t="s">
        <v>118</v>
      </c>
      <c r="D4" s="155"/>
      <c r="E4" s="156"/>
      <c r="F4" s="69" t="s">
        <v>129</v>
      </c>
      <c r="G4" s="68" t="s">
        <v>5</v>
      </c>
      <c r="H4" s="68" t="s">
        <v>119</v>
      </c>
      <c r="I4" s="68" t="s">
        <v>7</v>
      </c>
      <c r="J4" s="68" t="s">
        <v>120</v>
      </c>
      <c r="K4" s="68" t="s">
        <v>121</v>
      </c>
      <c r="L4" s="69" t="s">
        <v>122</v>
      </c>
      <c r="M4" s="69" t="s">
        <v>123</v>
      </c>
    </row>
    <row r="5" spans="2:13" ht="30" x14ac:dyDescent="0.25">
      <c r="B5" s="70">
        <v>1</v>
      </c>
      <c r="C5" s="147" t="s">
        <v>124</v>
      </c>
      <c r="D5" s="148"/>
      <c r="E5" s="148"/>
      <c r="F5" s="5">
        <v>9</v>
      </c>
      <c r="G5" s="88">
        <v>2005</v>
      </c>
      <c r="H5" s="5" t="s">
        <v>84</v>
      </c>
      <c r="I5" s="72" t="s">
        <v>125</v>
      </c>
      <c r="J5" s="8">
        <v>2379.9</v>
      </c>
      <c r="K5" s="73">
        <f>(J5*10.76)</f>
        <v>25607.724000000002</v>
      </c>
      <c r="L5" s="74">
        <v>2400</v>
      </c>
      <c r="M5" s="75">
        <f>(J5*L5)</f>
        <v>5711760</v>
      </c>
    </row>
    <row r="6" spans="2:13" x14ac:dyDescent="0.25">
      <c r="B6" s="70">
        <v>2</v>
      </c>
      <c r="C6" s="149" t="s">
        <v>85</v>
      </c>
      <c r="D6" s="150"/>
      <c r="E6" s="150"/>
      <c r="F6" s="5"/>
      <c r="G6" s="88">
        <v>2005</v>
      </c>
      <c r="H6" s="71" t="s">
        <v>126</v>
      </c>
      <c r="I6" s="3" t="s">
        <v>125</v>
      </c>
      <c r="J6" s="86">
        <f>1558+882</f>
        <v>2440</v>
      </c>
      <c r="K6" s="6">
        <f>+J6*10.76</f>
        <v>26254.399999999998</v>
      </c>
      <c r="L6" s="76">
        <v>17000</v>
      </c>
      <c r="M6" s="75">
        <f>(J6*L6)</f>
        <v>41480000</v>
      </c>
    </row>
    <row r="7" spans="2:13" x14ac:dyDescent="0.25">
      <c r="B7" s="77">
        <v>3</v>
      </c>
      <c r="C7" s="151" t="s">
        <v>88</v>
      </c>
      <c r="D7" s="152"/>
      <c r="E7" s="152"/>
      <c r="F7" s="5"/>
      <c r="G7" s="89">
        <v>2005</v>
      </c>
      <c r="H7" s="78" t="s">
        <v>86</v>
      </c>
      <c r="I7" s="28" t="s">
        <v>125</v>
      </c>
      <c r="J7" s="27">
        <v>4914.22</v>
      </c>
      <c r="K7" s="79">
        <f t="shared" ref="K7:K8" si="0">+J7*10.76</f>
        <v>52877.0072</v>
      </c>
      <c r="L7" s="80">
        <v>2400</v>
      </c>
      <c r="M7" s="81">
        <f t="shared" ref="M7" si="1">(J7*L7)</f>
        <v>11794128</v>
      </c>
    </row>
    <row r="8" spans="2:13" x14ac:dyDescent="0.25">
      <c r="B8" s="3">
        <v>4</v>
      </c>
      <c r="C8" s="149" t="s">
        <v>128</v>
      </c>
      <c r="D8" s="150"/>
      <c r="E8" s="150"/>
      <c r="F8" s="5"/>
      <c r="G8" s="90">
        <v>2005</v>
      </c>
      <c r="H8" s="87" t="s">
        <v>86</v>
      </c>
      <c r="I8" s="3" t="s">
        <v>125</v>
      </c>
      <c r="J8" s="8">
        <v>2500</v>
      </c>
      <c r="K8" s="79">
        <f t="shared" si="0"/>
        <v>26900</v>
      </c>
      <c r="L8" s="74">
        <v>2000</v>
      </c>
      <c r="M8" s="75">
        <f>L8*J8</f>
        <v>5000000</v>
      </c>
    </row>
    <row r="9" spans="2:13" x14ac:dyDescent="0.25">
      <c r="B9" s="153" t="s">
        <v>127</v>
      </c>
      <c r="C9" s="153"/>
      <c r="D9" s="153"/>
      <c r="E9" s="153"/>
      <c r="F9" s="153"/>
      <c r="G9" s="153"/>
      <c r="H9" s="153"/>
      <c r="I9" s="153"/>
      <c r="J9" s="83">
        <f>SUM(J5:J7)</f>
        <v>9734.119999999999</v>
      </c>
      <c r="K9" s="83">
        <f>SUM(K5:K7)</f>
        <v>104739.1312</v>
      </c>
      <c r="L9" s="84"/>
      <c r="M9" s="85">
        <f>SUM(M5:M8)</f>
        <v>63985888</v>
      </c>
    </row>
    <row r="15" spans="2:13" x14ac:dyDescent="0.25">
      <c r="H15" s="60">
        <f>M9+Building_working!V29</f>
        <v>526252890.70930964</v>
      </c>
    </row>
  </sheetData>
  <mergeCells count="7">
    <mergeCell ref="B3:M3"/>
    <mergeCell ref="C5:E5"/>
    <mergeCell ref="C6:E6"/>
    <mergeCell ref="C7:E7"/>
    <mergeCell ref="B9:I9"/>
    <mergeCell ref="C8:E8"/>
    <mergeCell ref="C4:E4"/>
  </mergeCells>
  <dataValidations count="2">
    <dataValidation type="list" allowBlank="1" showInputMessage="1" showErrorMessage="1" sqref="I6:I8" xr:uid="{69D3450D-18C6-4FF8-9826-E84003A67AE2}">
      <formula1>"Very Good, Good, Average, Poor, Ordinary with wreckages in the structure"</formula1>
    </dataValidation>
    <dataValidation type="list" operator="equal" allowBlank="1" showInputMessage="1" showErrorMessage="1" sqref="I5" xr:uid="{131C3D05-FE7F-4553-846D-6B66D4128B62}">
      <formula1>"Very Good,Good,Average,Poor,Ordinary with wreckages in the structure"</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5F105-2D44-498B-8B83-D2AE222A6AA5}">
  <dimension ref="D3:I14"/>
  <sheetViews>
    <sheetView tabSelected="1" workbookViewId="0">
      <selection activeCell="H19" sqref="H19"/>
    </sheetView>
  </sheetViews>
  <sheetFormatPr defaultRowHeight="15" x14ac:dyDescent="0.25"/>
  <cols>
    <col min="6" max="6" width="10.5703125" customWidth="1"/>
    <col min="8" max="8" width="17.140625" customWidth="1"/>
    <col min="9" max="9" width="21.42578125" customWidth="1"/>
  </cols>
  <sheetData>
    <row r="3" spans="4:9" ht="36.75" customHeight="1" x14ac:dyDescent="0.25">
      <c r="D3" s="157" t="s">
        <v>205</v>
      </c>
      <c r="E3" s="157"/>
      <c r="F3" s="157"/>
      <c r="G3" s="157"/>
      <c r="H3" s="157"/>
      <c r="I3" s="157"/>
    </row>
    <row r="4" spans="4:9" ht="30" x14ac:dyDescent="0.25">
      <c r="D4" s="91" t="s">
        <v>91</v>
      </c>
      <c r="E4" s="158" t="s">
        <v>118</v>
      </c>
      <c r="F4" s="159"/>
      <c r="G4" s="91" t="s">
        <v>130</v>
      </c>
      <c r="H4" s="91" t="s">
        <v>131</v>
      </c>
      <c r="I4" s="92" t="s">
        <v>132</v>
      </c>
    </row>
    <row r="5" spans="4:9" x14ac:dyDescent="0.25">
      <c r="D5" s="3">
        <v>1</v>
      </c>
      <c r="E5" s="160" t="s">
        <v>141</v>
      </c>
      <c r="F5" s="161"/>
      <c r="G5" s="3" t="s">
        <v>133</v>
      </c>
      <c r="H5" s="137">
        <f>Building_working!R29</f>
        <v>688317014.33949995</v>
      </c>
      <c r="I5" s="137">
        <f>Building_working!V29</f>
        <v>462267002.70930964</v>
      </c>
    </row>
    <row r="6" spans="4:9" x14ac:dyDescent="0.25">
      <c r="D6" s="28">
        <v>2</v>
      </c>
      <c r="E6" s="160" t="s">
        <v>134</v>
      </c>
      <c r="F6" s="161"/>
      <c r="G6" s="93" t="s">
        <v>135</v>
      </c>
      <c r="H6" s="137">
        <f>'Road_&amp;_Drainage'!M9</f>
        <v>63985888</v>
      </c>
      <c r="I6" s="137">
        <f>'Road_&amp;_Drainage'!M9</f>
        <v>63985888</v>
      </c>
    </row>
    <row r="7" spans="4:9" x14ac:dyDescent="0.25">
      <c r="D7" s="162" t="s">
        <v>127</v>
      </c>
      <c r="E7" s="163"/>
      <c r="F7" s="163"/>
      <c r="G7" s="164"/>
      <c r="H7" s="138">
        <f>SUM(H5:H6)</f>
        <v>752302902.33949995</v>
      </c>
      <c r="I7" s="138">
        <f>SUM(I5:I6)</f>
        <v>526252890.70930964</v>
      </c>
    </row>
    <row r="8" spans="4:9" x14ac:dyDescent="0.25">
      <c r="D8" s="166" t="s">
        <v>136</v>
      </c>
      <c r="E8" s="167"/>
      <c r="F8" s="167"/>
      <c r="G8" s="167"/>
      <c r="H8" s="167"/>
      <c r="I8" s="168"/>
    </row>
    <row r="9" spans="4:9" ht="38.25" customHeight="1" x14ac:dyDescent="0.25">
      <c r="D9" s="169" t="s">
        <v>142</v>
      </c>
      <c r="E9" s="170"/>
      <c r="F9" s="170"/>
      <c r="G9" s="170"/>
      <c r="H9" s="170"/>
      <c r="I9" s="171"/>
    </row>
    <row r="10" spans="4:9" ht="59.25" customHeight="1" x14ac:dyDescent="0.25">
      <c r="D10" s="169" t="s">
        <v>137</v>
      </c>
      <c r="E10" s="170"/>
      <c r="F10" s="170"/>
      <c r="G10" s="170"/>
      <c r="H10" s="170"/>
      <c r="I10" s="171"/>
    </row>
    <row r="11" spans="4:9" ht="51.75" customHeight="1" x14ac:dyDescent="0.25">
      <c r="D11" s="165" t="s">
        <v>138</v>
      </c>
      <c r="E11" s="165"/>
      <c r="F11" s="165"/>
      <c r="G11" s="165"/>
      <c r="H11" s="165"/>
      <c r="I11" s="165"/>
    </row>
    <row r="12" spans="4:9" ht="48" customHeight="1" x14ac:dyDescent="0.25">
      <c r="D12" s="165" t="s">
        <v>139</v>
      </c>
      <c r="E12" s="165"/>
      <c r="F12" s="165"/>
      <c r="G12" s="165"/>
      <c r="H12" s="165"/>
      <c r="I12" s="165"/>
    </row>
    <row r="13" spans="4:9" ht="44.25" customHeight="1" x14ac:dyDescent="0.25">
      <c r="D13" s="165" t="s">
        <v>189</v>
      </c>
      <c r="E13" s="165"/>
      <c r="F13" s="165"/>
      <c r="G13" s="165"/>
      <c r="H13" s="165"/>
      <c r="I13" s="165"/>
    </row>
    <row r="14" spans="4:9" ht="29.25" customHeight="1" x14ac:dyDescent="0.25">
      <c r="D14" s="165" t="s">
        <v>140</v>
      </c>
      <c r="E14" s="165"/>
      <c r="F14" s="165"/>
      <c r="G14" s="165"/>
      <c r="H14" s="165"/>
      <c r="I14" s="165"/>
    </row>
  </sheetData>
  <mergeCells count="12">
    <mergeCell ref="D14:I14"/>
    <mergeCell ref="D8:I8"/>
    <mergeCell ref="D9:I9"/>
    <mergeCell ref="D10:I10"/>
    <mergeCell ref="D11:I11"/>
    <mergeCell ref="D12:I12"/>
    <mergeCell ref="D13:I13"/>
    <mergeCell ref="D3:I3"/>
    <mergeCell ref="E4:F4"/>
    <mergeCell ref="E5:F5"/>
    <mergeCell ref="E6:F6"/>
    <mergeCell ref="D7:G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B269-D65D-4D8E-B1B4-7B147519EED2}">
  <dimension ref="C4:G9"/>
  <sheetViews>
    <sheetView workbookViewId="0">
      <selection activeCell="N17" sqref="N17"/>
    </sheetView>
  </sheetViews>
  <sheetFormatPr defaultRowHeight="15" x14ac:dyDescent="0.25"/>
  <cols>
    <col min="4" max="4" width="21" bestFit="1" customWidth="1"/>
  </cols>
  <sheetData>
    <row r="4" spans="3:7" x14ac:dyDescent="0.25">
      <c r="C4" s="172" t="s">
        <v>143</v>
      </c>
      <c r="D4" s="173"/>
      <c r="E4" s="173"/>
      <c r="F4" s="173"/>
      <c r="G4" s="173"/>
    </row>
    <row r="5" spans="3:7" ht="55.5" x14ac:dyDescent="0.25">
      <c r="C5" s="91" t="s">
        <v>91</v>
      </c>
      <c r="D5" s="91" t="s">
        <v>144</v>
      </c>
      <c r="E5" s="92" t="s">
        <v>145</v>
      </c>
      <c r="F5" s="92" t="s">
        <v>146</v>
      </c>
      <c r="G5" s="92" t="s">
        <v>147</v>
      </c>
    </row>
    <row r="6" spans="3:7" x14ac:dyDescent="0.25">
      <c r="C6" s="94">
        <v>1</v>
      </c>
      <c r="D6" s="95" t="s">
        <v>148</v>
      </c>
      <c r="E6" s="94">
        <v>12</v>
      </c>
      <c r="F6" s="96">
        <v>14.51</v>
      </c>
      <c r="G6" s="97">
        <f>(F6*2.471)</f>
        <v>35.854210000000002</v>
      </c>
    </row>
    <row r="7" spans="3:7" x14ac:dyDescent="0.25">
      <c r="C7" s="94">
        <v>3</v>
      </c>
      <c r="D7" s="95" t="s">
        <v>149</v>
      </c>
      <c r="E7" s="94">
        <v>22</v>
      </c>
      <c r="F7" s="98">
        <v>20.399999999999999</v>
      </c>
      <c r="G7" s="97">
        <f t="shared" ref="G7:G8" si="0">(F7*2.471)</f>
        <v>50.4084</v>
      </c>
    </row>
    <row r="8" spans="3:7" x14ac:dyDescent="0.25">
      <c r="C8" s="94">
        <v>4</v>
      </c>
      <c r="D8" s="95" t="s">
        <v>150</v>
      </c>
      <c r="E8" s="94">
        <v>1</v>
      </c>
      <c r="F8" s="98">
        <v>0.06</v>
      </c>
      <c r="G8" s="97">
        <f t="shared" si="0"/>
        <v>0.14826</v>
      </c>
    </row>
    <row r="9" spans="3:7" x14ac:dyDescent="0.25">
      <c r="C9" s="153" t="s">
        <v>127</v>
      </c>
      <c r="D9" s="153"/>
      <c r="E9" s="82">
        <f>SUM(E6:E8)</f>
        <v>35</v>
      </c>
      <c r="F9" s="99">
        <f>SUM(F6:F8)</f>
        <v>34.97</v>
      </c>
      <c r="G9" s="99">
        <f>SUM(G6:G8)</f>
        <v>86.410869999999989</v>
      </c>
    </row>
  </sheetData>
  <mergeCells count="2">
    <mergeCell ref="C4:G4"/>
    <mergeCell ref="C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378C-8205-4417-8EEB-32FF5D81B355}">
  <dimension ref="D3:L11"/>
  <sheetViews>
    <sheetView workbookViewId="0">
      <selection activeCell="K16" sqref="K16"/>
    </sheetView>
  </sheetViews>
  <sheetFormatPr defaultRowHeight="15" x14ac:dyDescent="0.25"/>
  <cols>
    <col min="5" max="5" width="15.42578125" bestFit="1" customWidth="1"/>
    <col min="7" max="7" width="9.5703125" bestFit="1" customWidth="1"/>
    <col min="8" max="8" width="11.5703125" bestFit="1" customWidth="1"/>
    <col min="9" max="9" width="15.85546875" bestFit="1" customWidth="1"/>
    <col min="10" max="10" width="10.5703125" bestFit="1" customWidth="1"/>
    <col min="11" max="11" width="14.28515625" bestFit="1" customWidth="1"/>
    <col min="12" max="12" width="15.85546875" bestFit="1" customWidth="1"/>
  </cols>
  <sheetData>
    <row r="3" spans="4:12" x14ac:dyDescent="0.25">
      <c r="D3" s="172" t="s">
        <v>151</v>
      </c>
      <c r="E3" s="172"/>
      <c r="F3" s="172"/>
      <c r="G3" s="172"/>
      <c r="H3" s="172"/>
      <c r="I3" s="172"/>
      <c r="J3" s="172"/>
      <c r="K3" s="172"/>
      <c r="L3" s="172"/>
    </row>
    <row r="4" spans="4:12" ht="90" x14ac:dyDescent="0.25">
      <c r="D4" s="92" t="s">
        <v>152</v>
      </c>
      <c r="E4" s="92" t="s">
        <v>144</v>
      </c>
      <c r="F4" s="92" t="s">
        <v>153</v>
      </c>
      <c r="G4" s="92" t="s">
        <v>154</v>
      </c>
      <c r="H4" s="92" t="s">
        <v>155</v>
      </c>
      <c r="I4" s="100" t="s">
        <v>156</v>
      </c>
      <c r="J4" s="100" t="s">
        <v>157</v>
      </c>
      <c r="K4" s="101" t="s">
        <v>158</v>
      </c>
      <c r="L4" s="101" t="s">
        <v>159</v>
      </c>
    </row>
    <row r="5" spans="4:12" x14ac:dyDescent="0.25">
      <c r="D5" s="102">
        <v>1</v>
      </c>
      <c r="E5" s="95" t="s">
        <v>148</v>
      </c>
      <c r="F5" s="96">
        <v>14.51</v>
      </c>
      <c r="G5" s="103">
        <f>(F5*2.471)</f>
        <v>35.854210000000002</v>
      </c>
      <c r="H5" s="103">
        <f>(G5*4046.85)</f>
        <v>145096.6097385</v>
      </c>
      <c r="I5" s="104">
        <v>6000000</v>
      </c>
      <c r="J5" s="104">
        <v>4400</v>
      </c>
      <c r="K5" s="105">
        <f>(F5*I5)</f>
        <v>87060000</v>
      </c>
      <c r="L5" s="105">
        <f>(J5*H5)</f>
        <v>638425082.84940004</v>
      </c>
    </row>
    <row r="6" spans="4:12" x14ac:dyDescent="0.25">
      <c r="D6" s="102">
        <v>2</v>
      </c>
      <c r="E6" s="95" t="s">
        <v>149</v>
      </c>
      <c r="F6" s="98">
        <v>20.399999999999999</v>
      </c>
      <c r="G6" s="103">
        <f t="shared" ref="G6:G7" si="0">(F6*2.471)</f>
        <v>50.4084</v>
      </c>
      <c r="H6" s="103">
        <f t="shared" ref="H6:H7" si="1">(G6*4046.85)</f>
        <v>203995.23353999999</v>
      </c>
      <c r="I6" s="104">
        <v>10000000</v>
      </c>
      <c r="J6" s="104">
        <v>5000</v>
      </c>
      <c r="K6" s="105">
        <f t="shared" ref="K6:K7" si="2">(F6*I6)</f>
        <v>204000000</v>
      </c>
      <c r="L6" s="105">
        <f t="shared" ref="L6:L7" si="3">(J6*H6)</f>
        <v>1019976167.6999999</v>
      </c>
    </row>
    <row r="7" spans="4:12" x14ac:dyDescent="0.25">
      <c r="D7" s="102">
        <v>3</v>
      </c>
      <c r="E7" s="95" t="s">
        <v>150</v>
      </c>
      <c r="F7" s="98">
        <v>0.06</v>
      </c>
      <c r="G7" s="103">
        <f t="shared" si="0"/>
        <v>0.14826</v>
      </c>
      <c r="H7" s="103">
        <f t="shared" si="1"/>
        <v>599.98598100000004</v>
      </c>
      <c r="I7" s="104">
        <v>4800000</v>
      </c>
      <c r="J7" s="104">
        <v>1200</v>
      </c>
      <c r="K7" s="105">
        <f t="shared" si="2"/>
        <v>288000</v>
      </c>
      <c r="L7" s="105">
        <f t="shared" si="3"/>
        <v>719983.17720000003</v>
      </c>
    </row>
    <row r="8" spans="4:12" x14ac:dyDescent="0.25">
      <c r="D8" s="153" t="s">
        <v>127</v>
      </c>
      <c r="E8" s="153"/>
      <c r="F8" s="106">
        <f>SUM(F5:F7)</f>
        <v>34.97</v>
      </c>
      <c r="G8" s="106">
        <f>SUM(G5:G7)</f>
        <v>86.410869999999989</v>
      </c>
      <c r="H8" s="106">
        <f>SUM(H5:H7)</f>
        <v>349691.82925950002</v>
      </c>
      <c r="I8" s="107"/>
      <c r="J8" s="107"/>
      <c r="K8" s="108">
        <f>SUM(K5:K7)</f>
        <v>291348000</v>
      </c>
      <c r="L8" s="108">
        <f>SUM(L5:L7)</f>
        <v>1659121233.7265999</v>
      </c>
    </row>
    <row r="9" spans="4:12" x14ac:dyDescent="0.25">
      <c r="D9" s="174" t="s">
        <v>160</v>
      </c>
      <c r="E9" s="174"/>
      <c r="F9" s="174"/>
      <c r="G9" s="174"/>
      <c r="H9" s="174"/>
      <c r="I9" s="174"/>
      <c r="J9" s="174"/>
      <c r="K9" s="174"/>
      <c r="L9" s="174"/>
    </row>
    <row r="10" spans="4:12" x14ac:dyDescent="0.25">
      <c r="D10" s="174" t="s">
        <v>161</v>
      </c>
      <c r="E10" s="174"/>
      <c r="F10" s="174"/>
      <c r="G10" s="174"/>
      <c r="H10" s="174"/>
      <c r="I10" s="174"/>
      <c r="J10" s="174"/>
      <c r="K10" s="174"/>
      <c r="L10" s="174"/>
    </row>
    <row r="11" spans="4:12" x14ac:dyDescent="0.25">
      <c r="D11" s="175" t="s">
        <v>162</v>
      </c>
      <c r="E11" s="175"/>
      <c r="F11" s="175"/>
      <c r="G11" s="175"/>
      <c r="H11" s="175"/>
      <c r="I11" s="175"/>
      <c r="J11" s="175"/>
      <c r="K11" s="175"/>
      <c r="L11" s="175"/>
    </row>
  </sheetData>
  <mergeCells count="5">
    <mergeCell ref="D3:L3"/>
    <mergeCell ref="D8:E8"/>
    <mergeCell ref="D9:L9"/>
    <mergeCell ref="D10:L10"/>
    <mergeCell ref="D11:L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3B53-4BCA-4A84-B000-71303E8FD2AE}">
  <dimension ref="F6:I20"/>
  <sheetViews>
    <sheetView workbookViewId="0">
      <selection activeCell="I25" sqref="I25"/>
    </sheetView>
  </sheetViews>
  <sheetFormatPr defaultRowHeight="15" x14ac:dyDescent="0.25"/>
  <cols>
    <col min="6" max="6" width="21.140625" customWidth="1"/>
    <col min="7" max="7" width="22.140625" customWidth="1"/>
    <col min="8" max="8" width="24.5703125" customWidth="1"/>
    <col min="9" max="9" width="18.5703125" bestFit="1" customWidth="1"/>
  </cols>
  <sheetData>
    <row r="6" spans="6:9" x14ac:dyDescent="0.25">
      <c r="F6" s="179" t="s">
        <v>163</v>
      </c>
      <c r="G6" s="179"/>
      <c r="H6" s="179"/>
      <c r="I6" s="179"/>
    </row>
    <row r="7" spans="6:9" ht="42.75" x14ac:dyDescent="0.25">
      <c r="F7" s="109" t="s">
        <v>144</v>
      </c>
      <c r="G7" s="109" t="s">
        <v>164</v>
      </c>
      <c r="H7" s="109" t="s">
        <v>165</v>
      </c>
      <c r="I7" s="110" t="s">
        <v>166</v>
      </c>
    </row>
    <row r="8" spans="6:9" x14ac:dyDescent="0.25">
      <c r="F8" s="95" t="s">
        <v>148</v>
      </c>
      <c r="G8" s="96">
        <v>14.51</v>
      </c>
      <c r="H8" s="104">
        <v>6000000</v>
      </c>
      <c r="I8" s="75">
        <f>(G8*H8)</f>
        <v>87060000</v>
      </c>
    </row>
    <row r="9" spans="6:9" x14ac:dyDescent="0.25">
      <c r="F9" s="95" t="s">
        <v>149</v>
      </c>
      <c r="G9" s="98">
        <v>20.399999999999999</v>
      </c>
      <c r="H9" s="104">
        <v>10000000</v>
      </c>
      <c r="I9" s="75">
        <f t="shared" ref="I9:I10" si="0">(G9*H9)</f>
        <v>204000000</v>
      </c>
    </row>
    <row r="10" spans="6:9" x14ac:dyDescent="0.25">
      <c r="F10" s="95" t="s">
        <v>150</v>
      </c>
      <c r="G10" s="98">
        <v>0.06</v>
      </c>
      <c r="H10" s="104">
        <v>4800000</v>
      </c>
      <c r="I10" s="75">
        <f t="shared" si="0"/>
        <v>288000</v>
      </c>
    </row>
    <row r="11" spans="6:9" x14ac:dyDescent="0.25">
      <c r="F11" s="111" t="s">
        <v>127</v>
      </c>
      <c r="G11" s="106">
        <f>SUM(G8:G10)</f>
        <v>34.97</v>
      </c>
      <c r="H11" s="112"/>
      <c r="I11" s="113">
        <f>SUM(I8:I10)</f>
        <v>291348000</v>
      </c>
    </row>
    <row r="12" spans="6:9" x14ac:dyDescent="0.25">
      <c r="F12" s="180" t="s">
        <v>167</v>
      </c>
      <c r="G12" s="180"/>
      <c r="H12" s="114" t="s">
        <v>168</v>
      </c>
      <c r="I12" s="115">
        <f>2*I11</f>
        <v>582696000</v>
      </c>
    </row>
    <row r="13" spans="6:9" x14ac:dyDescent="0.25">
      <c r="F13" s="176"/>
      <c r="G13" s="176"/>
      <c r="H13" s="176"/>
      <c r="I13" s="176"/>
    </row>
    <row r="14" spans="6:9" x14ac:dyDescent="0.25">
      <c r="F14" s="177" t="s">
        <v>169</v>
      </c>
      <c r="G14" s="177"/>
      <c r="H14" s="116"/>
      <c r="I14" s="116">
        <v>0</v>
      </c>
    </row>
    <row r="15" spans="6:9" x14ac:dyDescent="0.25">
      <c r="F15" s="176"/>
      <c r="G15" s="176"/>
      <c r="H15" s="176"/>
      <c r="I15" s="176"/>
    </row>
    <row r="16" spans="6:9" x14ac:dyDescent="0.25">
      <c r="F16" s="178" t="s">
        <v>170</v>
      </c>
      <c r="G16" s="178"/>
      <c r="H16" s="178"/>
      <c r="I16" s="115">
        <f>I14+I12</f>
        <v>582696000</v>
      </c>
    </row>
    <row r="17" spans="6:9" x14ac:dyDescent="0.25">
      <c r="F17" s="176"/>
      <c r="G17" s="176"/>
      <c r="H17" s="176"/>
      <c r="I17" s="176"/>
    </row>
    <row r="18" spans="6:9" x14ac:dyDescent="0.25">
      <c r="F18" s="177" t="s">
        <v>171</v>
      </c>
      <c r="G18" s="177"/>
      <c r="H18" s="116" t="s">
        <v>172</v>
      </c>
      <c r="I18" s="75">
        <f>I16*100%</f>
        <v>582696000</v>
      </c>
    </row>
    <row r="19" spans="6:9" x14ac:dyDescent="0.25">
      <c r="F19" s="176"/>
      <c r="G19" s="176"/>
      <c r="H19" s="176"/>
      <c r="I19" s="176"/>
    </row>
    <row r="20" spans="6:9" x14ac:dyDescent="0.25">
      <c r="F20" s="178" t="s">
        <v>173</v>
      </c>
      <c r="G20" s="178"/>
      <c r="H20" s="178"/>
      <c r="I20" s="115">
        <f>I18+I16</f>
        <v>1165392000</v>
      </c>
    </row>
  </sheetData>
  <mergeCells count="10">
    <mergeCell ref="F17:I17"/>
    <mergeCell ref="F18:G18"/>
    <mergeCell ref="F19:I19"/>
    <mergeCell ref="F20:H20"/>
    <mergeCell ref="F6:I6"/>
    <mergeCell ref="F12:G12"/>
    <mergeCell ref="F13:I13"/>
    <mergeCell ref="F14:G14"/>
    <mergeCell ref="F15:I15"/>
    <mergeCell ref="F16:H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A8AF2-BF67-4121-A94E-C06B42D55ACC}">
  <dimension ref="B4:I14"/>
  <sheetViews>
    <sheetView workbookViewId="0">
      <selection activeCell="F7" sqref="F7"/>
    </sheetView>
  </sheetViews>
  <sheetFormatPr defaultRowHeight="15" x14ac:dyDescent="0.25"/>
  <cols>
    <col min="3" max="3" width="29.5703125" customWidth="1"/>
    <col min="4" max="4" width="11.7109375" customWidth="1"/>
    <col min="5" max="5" width="8.7109375" bestFit="1" customWidth="1"/>
    <col min="6" max="6" width="21.85546875" bestFit="1" customWidth="1"/>
    <col min="9" max="9" width="15.85546875" bestFit="1" customWidth="1"/>
  </cols>
  <sheetData>
    <row r="4" spans="2:9" ht="15.75" x14ac:dyDescent="0.25">
      <c r="B4" s="182" t="s">
        <v>174</v>
      </c>
      <c r="C4" s="182"/>
      <c r="D4" s="182"/>
      <c r="E4" s="182"/>
      <c r="F4" s="182"/>
    </row>
    <row r="5" spans="2:9" x14ac:dyDescent="0.25">
      <c r="B5" s="183" t="s">
        <v>175</v>
      </c>
      <c r="C5" s="184" t="s">
        <v>176</v>
      </c>
      <c r="D5" s="186" t="s">
        <v>177</v>
      </c>
      <c r="E5" s="187"/>
      <c r="F5" s="188" t="s">
        <v>178</v>
      </c>
      <c r="I5" s="123">
        <v>12100000</v>
      </c>
    </row>
    <row r="6" spans="2:9" x14ac:dyDescent="0.25">
      <c r="B6" s="183"/>
      <c r="C6" s="185"/>
      <c r="D6" s="117" t="s">
        <v>179</v>
      </c>
      <c r="E6" s="117" t="s">
        <v>180</v>
      </c>
      <c r="F6" s="188"/>
    </row>
    <row r="7" spans="2:9" x14ac:dyDescent="0.25">
      <c r="B7" s="116">
        <v>1</v>
      </c>
      <c r="C7" s="118" t="s">
        <v>181</v>
      </c>
      <c r="D7" s="3">
        <v>86.4</v>
      </c>
      <c r="E7" s="6">
        <v>34.950000000000003</v>
      </c>
      <c r="F7" s="119">
        <f>(D7*I5)</f>
        <v>1045440000.0000001</v>
      </c>
    </row>
    <row r="8" spans="2:9" ht="30" x14ac:dyDescent="0.25">
      <c r="B8" s="116">
        <v>2</v>
      </c>
      <c r="C8" s="118" t="s">
        <v>182</v>
      </c>
      <c r="D8" s="189">
        <v>0.05</v>
      </c>
      <c r="E8" s="190"/>
      <c r="F8" s="120">
        <f>F7*5%</f>
        <v>52272000.000000007</v>
      </c>
    </row>
    <row r="9" spans="2:9" ht="75" x14ac:dyDescent="0.25">
      <c r="B9" s="116">
        <v>3</v>
      </c>
      <c r="C9" s="118" t="s">
        <v>183</v>
      </c>
      <c r="D9" s="189">
        <v>0.1</v>
      </c>
      <c r="E9" s="190"/>
      <c r="F9" s="120">
        <f>F7*10%</f>
        <v>104544000.00000001</v>
      </c>
    </row>
    <row r="10" spans="2:9" ht="30" x14ac:dyDescent="0.25">
      <c r="B10" s="116">
        <v>4</v>
      </c>
      <c r="C10" s="121" t="s">
        <v>184</v>
      </c>
      <c r="D10" s="191" t="s">
        <v>185</v>
      </c>
      <c r="E10" s="192"/>
      <c r="F10" s="120">
        <f>D7*250000</f>
        <v>21600000</v>
      </c>
    </row>
    <row r="11" spans="2:9" x14ac:dyDescent="0.25">
      <c r="B11" s="193" t="s">
        <v>186</v>
      </c>
      <c r="C11" s="194"/>
      <c r="D11" s="194"/>
      <c r="E11" s="195"/>
      <c r="F11" s="122">
        <f>SUM(F7:F10)</f>
        <v>1223856000.0000002</v>
      </c>
    </row>
    <row r="12" spans="2:9" x14ac:dyDescent="0.25">
      <c r="B12" s="196" t="s">
        <v>136</v>
      </c>
      <c r="C12" s="196"/>
      <c r="D12" s="196"/>
      <c r="E12" s="196"/>
      <c r="F12" s="196"/>
    </row>
    <row r="13" spans="2:9" x14ac:dyDescent="0.25">
      <c r="B13" s="181" t="s">
        <v>187</v>
      </c>
      <c r="C13" s="181"/>
      <c r="D13" s="181"/>
      <c r="E13" s="181"/>
      <c r="F13" s="181"/>
    </row>
    <row r="14" spans="2:9" x14ac:dyDescent="0.25">
      <c r="B14" s="181" t="s">
        <v>188</v>
      </c>
      <c r="C14" s="181"/>
      <c r="D14" s="181"/>
      <c r="E14" s="181"/>
      <c r="F14" s="181"/>
    </row>
  </sheetData>
  <mergeCells count="12">
    <mergeCell ref="B14:F14"/>
    <mergeCell ref="B4:F4"/>
    <mergeCell ref="B5:B6"/>
    <mergeCell ref="C5:C6"/>
    <mergeCell ref="D5:E5"/>
    <mergeCell ref="F5:F6"/>
    <mergeCell ref="D8:E8"/>
    <mergeCell ref="D9:E9"/>
    <mergeCell ref="D10:E10"/>
    <mergeCell ref="B11:E11"/>
    <mergeCell ref="B12:F12"/>
    <mergeCell ref="B13:F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5EBB3-3A0E-47E7-88D3-2639B68ACBE8}">
  <dimension ref="C4:G14"/>
  <sheetViews>
    <sheetView workbookViewId="0">
      <selection activeCell="F18" sqref="F18"/>
    </sheetView>
  </sheetViews>
  <sheetFormatPr defaultRowHeight="15" x14ac:dyDescent="0.25"/>
  <cols>
    <col min="3" max="3" width="31.42578125" bestFit="1" customWidth="1"/>
    <col min="4" max="4" width="11.140625" bestFit="1" customWidth="1"/>
    <col min="5" max="5" width="17.28515625" bestFit="1" customWidth="1"/>
    <col min="6" max="6" width="19.28515625" bestFit="1" customWidth="1"/>
    <col min="7" max="7" width="16.7109375" bestFit="1" customWidth="1"/>
  </cols>
  <sheetData>
    <row r="4" spans="3:7" x14ac:dyDescent="0.25">
      <c r="C4" s="197" t="s">
        <v>190</v>
      </c>
      <c r="D4" s="198"/>
      <c r="E4" s="198"/>
      <c r="F4" s="198"/>
      <c r="G4" s="198"/>
    </row>
    <row r="5" spans="3:7" ht="15.75" x14ac:dyDescent="0.25">
      <c r="C5" s="127" t="s">
        <v>191</v>
      </c>
      <c r="D5" s="128" t="s">
        <v>192</v>
      </c>
      <c r="E5" s="128" t="s">
        <v>193</v>
      </c>
      <c r="F5" s="128" t="s">
        <v>194</v>
      </c>
      <c r="G5" s="128" t="s">
        <v>195</v>
      </c>
    </row>
    <row r="6" spans="3:7" ht="15.75" x14ac:dyDescent="0.25">
      <c r="C6" s="129" t="s">
        <v>196</v>
      </c>
      <c r="D6" s="111">
        <v>86.4</v>
      </c>
      <c r="E6" s="130">
        <f>D6*0.25</f>
        <v>21.6</v>
      </c>
      <c r="F6" s="130">
        <f>D6*0.4</f>
        <v>34.56</v>
      </c>
      <c r="G6" s="130">
        <f>D6*0.35</f>
        <v>30.24</v>
      </c>
    </row>
    <row r="7" spans="3:7" ht="15.75" x14ac:dyDescent="0.25">
      <c r="C7" s="129" t="s">
        <v>197</v>
      </c>
      <c r="D7" s="124"/>
      <c r="E7" s="131">
        <v>12100000</v>
      </c>
      <c r="F7" s="131">
        <f>E7*0.85</f>
        <v>10285000</v>
      </c>
      <c r="G7" s="131">
        <f>E7*0.7</f>
        <v>8470000</v>
      </c>
    </row>
    <row r="8" spans="3:7" ht="15.75" x14ac:dyDescent="0.25">
      <c r="C8" s="129" t="s">
        <v>198</v>
      </c>
      <c r="D8" s="124"/>
      <c r="E8" s="131">
        <f>E7*E6</f>
        <v>261360000.00000003</v>
      </c>
      <c r="F8" s="131">
        <f t="shared" ref="F8:G8" si="0">F7*F6</f>
        <v>355449600</v>
      </c>
      <c r="G8" s="131">
        <f t="shared" si="0"/>
        <v>256132800</v>
      </c>
    </row>
    <row r="9" spans="3:7" ht="15.75" x14ac:dyDescent="0.25">
      <c r="C9" s="129" t="s">
        <v>199</v>
      </c>
      <c r="D9" s="124"/>
      <c r="E9" s="199">
        <f>SUM(E8:G8)</f>
        <v>872942400</v>
      </c>
      <c r="F9" s="199"/>
      <c r="G9" s="199"/>
    </row>
    <row r="10" spans="3:7" ht="15.75" x14ac:dyDescent="0.25">
      <c r="C10" s="129" t="s">
        <v>200</v>
      </c>
      <c r="D10" s="124"/>
      <c r="E10" s="200">
        <f>E9/D6</f>
        <v>10103500</v>
      </c>
      <c r="F10" s="200"/>
      <c r="G10" s="200"/>
    </row>
    <row r="11" spans="3:7" ht="30" x14ac:dyDescent="0.25">
      <c r="C11" s="132" t="s">
        <v>182</v>
      </c>
      <c r="D11" s="124"/>
      <c r="E11" s="124"/>
      <c r="F11" s="124"/>
      <c r="G11" s="131">
        <f>E9*5%</f>
        <v>43647120</v>
      </c>
    </row>
    <row r="12" spans="3:7" ht="75" x14ac:dyDescent="0.25">
      <c r="C12" s="132" t="s">
        <v>201</v>
      </c>
      <c r="D12" s="124"/>
      <c r="E12" s="124"/>
      <c r="F12" s="124"/>
      <c r="G12" s="131">
        <f>E9*5%</f>
        <v>43647120</v>
      </c>
    </row>
    <row r="13" spans="3:7" ht="30" x14ac:dyDescent="0.25">
      <c r="C13" s="133" t="s">
        <v>202</v>
      </c>
      <c r="D13" s="124" t="s">
        <v>203</v>
      </c>
      <c r="E13" s="124"/>
      <c r="F13" s="124"/>
      <c r="G13" s="134">
        <f>250000*D6</f>
        <v>21600000</v>
      </c>
    </row>
    <row r="14" spans="3:7" x14ac:dyDescent="0.25">
      <c r="C14" s="201" t="s">
        <v>204</v>
      </c>
      <c r="D14" s="201"/>
      <c r="E14" s="201"/>
      <c r="F14" s="201"/>
      <c r="G14" s="135">
        <f>E9+G11+G12+G13</f>
        <v>981836640</v>
      </c>
    </row>
  </sheetData>
  <mergeCells count="4">
    <mergeCell ref="C4:G4"/>
    <mergeCell ref="E9:G9"/>
    <mergeCell ref="E10:G10"/>
    <mergeCell ref="C14: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Building_working</vt:lpstr>
      <vt:lpstr>Road_&amp;_Drainage</vt:lpstr>
      <vt:lpstr>Summary</vt:lpstr>
      <vt:lpstr>Villages</vt:lpstr>
      <vt:lpstr>Circle_rate</vt:lpstr>
      <vt:lpstr>Land_acqusition</vt:lpstr>
      <vt:lpstr>Land Valuation</vt:lpstr>
      <vt:lpstr>Belting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Arup Banerjee</cp:lastModifiedBy>
  <dcterms:created xsi:type="dcterms:W3CDTF">2022-06-06T13:13:40Z</dcterms:created>
  <dcterms:modified xsi:type="dcterms:W3CDTF">2022-07-27T10:53:30Z</dcterms:modified>
</cp:coreProperties>
</file>