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Y:\Arup Banerjee\BHSL DOCS\Pratappur\"/>
    </mc:Choice>
  </mc:AlternateContent>
  <xr:revisionPtr revIDLastSave="0" documentId="13_ncr:1_{081A67C9-20C5-42EA-8F38-A225922C50DF}" xr6:coauthVersionLast="47" xr6:coauthVersionMax="47" xr10:uidLastSave="{00000000-0000-0000-0000-000000000000}"/>
  <bookViews>
    <workbookView xWindow="-120" yWindow="-120" windowWidth="20730" windowHeight="11160" activeTab="2" xr2:uid="{8624F19E-53D0-4427-8A6A-BFFBF4D91AE3}"/>
  </bookViews>
  <sheets>
    <sheet name="Land area sheet" sheetId="1" r:id="rId1"/>
    <sheet name="Village Details" sheetId="2" r:id="rId2"/>
    <sheet name="Circle_rate" sheetId="3" r:id="rId3"/>
    <sheet name="Land Aqcuisition" sheetId="4" r:id="rId4"/>
    <sheet name="Land Valuation" sheetId="5" r:id="rId5"/>
    <sheet name="Working" sheetId="6" r:id="rId6"/>
  </sheets>
  <externalReferences>
    <externalReference r:id="rId7"/>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 i="5" l="1"/>
  <c r="J3" i="5"/>
  <c r="H9" i="5"/>
  <c r="N6" i="5"/>
  <c r="O6" i="5" s="1"/>
  <c r="P6" i="5" s="1"/>
  <c r="H10" i="5"/>
  <c r="M9" i="5"/>
  <c r="J9" i="6" l="1"/>
  <c r="I9" i="6"/>
  <c r="H9" i="6"/>
  <c r="E9" i="6"/>
  <c r="E11" i="6"/>
  <c r="E6" i="6"/>
  <c r="D9" i="4"/>
  <c r="F8" i="4"/>
  <c r="F7" i="4"/>
  <c r="F6" i="4"/>
  <c r="F5" i="4"/>
  <c r="F9" i="4" s="1"/>
  <c r="F10" i="4" s="1"/>
  <c r="F14" i="4" s="1"/>
  <c r="F16" i="4" s="1"/>
  <c r="F18" i="4" s="1"/>
  <c r="F9" i="3"/>
  <c r="E9" i="3"/>
  <c r="J8" i="3"/>
  <c r="G8" i="3"/>
  <c r="K8" i="3" s="1"/>
  <c r="F8" i="3"/>
  <c r="J7" i="3"/>
  <c r="G7" i="3"/>
  <c r="K7" i="3" s="1"/>
  <c r="F7" i="3"/>
  <c r="J6" i="3"/>
  <c r="G6" i="3"/>
  <c r="K6" i="3" s="1"/>
  <c r="F6" i="3"/>
  <c r="J5" i="3"/>
  <c r="J9" i="3" s="1"/>
  <c r="G5" i="3"/>
  <c r="K5" i="3" s="1"/>
  <c r="F5" i="3"/>
  <c r="F9" i="2"/>
  <c r="E9" i="2"/>
  <c r="G8" i="2"/>
  <c r="G7" i="2"/>
  <c r="G6" i="2"/>
  <c r="G5" i="2"/>
  <c r="G9" i="2" s="1"/>
  <c r="G37" i="1"/>
  <c r="H37" i="1" s="1"/>
  <c r="F36" i="1"/>
  <c r="F35" i="1"/>
  <c r="F34" i="1"/>
  <c r="F33" i="1"/>
  <c r="F32" i="1"/>
  <c r="F31" i="1"/>
  <c r="F30" i="1"/>
  <c r="F29" i="1"/>
  <c r="F28" i="1"/>
  <c r="F27" i="1"/>
  <c r="F26" i="1"/>
  <c r="F25" i="1"/>
  <c r="F24" i="1"/>
  <c r="F23" i="1"/>
  <c r="F22" i="1"/>
  <c r="F21" i="1"/>
  <c r="F20" i="1"/>
  <c r="F19" i="1"/>
  <c r="F18" i="1"/>
  <c r="F17" i="1"/>
  <c r="F15" i="1"/>
  <c r="F14" i="1"/>
  <c r="F13" i="1"/>
  <c r="F12" i="1"/>
  <c r="F11" i="1"/>
  <c r="F10" i="1"/>
  <c r="F9" i="1"/>
  <c r="F8" i="1"/>
  <c r="F7" i="1"/>
  <c r="F37" i="1" s="1"/>
  <c r="F6" i="1"/>
  <c r="F5" i="1"/>
  <c r="N9" i="5" l="1"/>
  <c r="H6" i="5"/>
  <c r="H7" i="5" s="1"/>
  <c r="N7" i="5"/>
  <c r="K9" i="3"/>
  <c r="G9" i="3"/>
  <c r="J7" i="5" l="1"/>
  <c r="H8" i="5"/>
  <c r="J9" i="5"/>
  <c r="J11" i="5" l="1"/>
  <c r="J12" i="5" s="1"/>
  <c r="J13" i="5" s="1"/>
  <c r="J14" i="5" s="1"/>
  <c r="H11" i="5"/>
  <c r="L14" i="5" s="1"/>
  <c r="J8" i="5"/>
  <c r="L8" i="5" s="1"/>
  <c r="L7" i="5"/>
  <c r="O10" i="5" l="1"/>
  <c r="N12" i="5"/>
</calcChain>
</file>

<file path=xl/sharedStrings.xml><?xml version="1.0" encoding="utf-8"?>
<sst xmlns="http://schemas.openxmlformats.org/spreadsheetml/2006/main" count="165" uniqueCount="115">
  <si>
    <t>S.NO.</t>
  </si>
  <si>
    <t>Village</t>
  </si>
  <si>
    <t>Plot No.</t>
  </si>
  <si>
    <t xml:space="preserve">Area 
(in Hect.) </t>
  </si>
  <si>
    <t>Area
 (in acre)</t>
  </si>
  <si>
    <t>Present Use</t>
  </si>
  <si>
    <t>A.</t>
  </si>
  <si>
    <t>Chapura Dubauli Tapa aliwan, Pargana : Salempur, Majhauli, Distt : Deoria, U.P.</t>
  </si>
  <si>
    <t>1/3</t>
  </si>
  <si>
    <t>Market</t>
  </si>
  <si>
    <t>2/1 me</t>
  </si>
  <si>
    <t>Industrial Land West of boundry Wall.Sugar factory compound &amp; General Managr'sBungalow, Compound Chief Engr Banglow, Astt Engrs banglow, CLUB, Guest House,CDO.Bonglow</t>
  </si>
  <si>
    <t>Sugar Factory</t>
  </si>
  <si>
    <t>4me</t>
  </si>
  <si>
    <t>Room for storing old bags &amp; loud speaker house</t>
  </si>
  <si>
    <t>Gross Weighment office for Bihar &amp; U.P. &amp; OIL Godown.</t>
  </si>
  <si>
    <t>6me</t>
  </si>
  <si>
    <t>Servant's Quarter</t>
  </si>
  <si>
    <t>Director's Banglow Compound</t>
  </si>
  <si>
    <t>Director Banglow</t>
  </si>
  <si>
    <t>Dirty Water drains</t>
  </si>
  <si>
    <t>Waste Land</t>
  </si>
  <si>
    <t>(b).</t>
  </si>
  <si>
    <t>6 MI</t>
  </si>
  <si>
    <t>Jharhi River for water treatmet, details in Cash office safe (0.19 Hect from three persons)</t>
  </si>
  <si>
    <t>Effluent Plant</t>
  </si>
  <si>
    <t>Bakunnthpur, TAPA Baliwan, Pargana : Salempur, Majhauli, Distt : Deoria, U.P.</t>
  </si>
  <si>
    <t>Sweeper'sQuarter</t>
  </si>
  <si>
    <t>………….do………..</t>
  </si>
  <si>
    <t>80Me</t>
  </si>
  <si>
    <t>Parking Yard</t>
  </si>
  <si>
    <t>Parking Yard Bullok shed, Gobar gas plant</t>
  </si>
  <si>
    <t>81MI</t>
  </si>
  <si>
    <t>Industrial Land in possession of Bhushan Singh</t>
  </si>
  <si>
    <t>Hill side quarter Industrial Land</t>
  </si>
  <si>
    <t>223 KH</t>
  </si>
  <si>
    <t>Ditch etc</t>
  </si>
  <si>
    <t>225 KH</t>
  </si>
  <si>
    <t>226 KH</t>
  </si>
  <si>
    <t>227 K</t>
  </si>
  <si>
    <t>Old press mud</t>
  </si>
  <si>
    <t>Parking Yard (Bihar), Bullock shed, Jhanda park</t>
  </si>
  <si>
    <t>Khap Bankat (Bihar)</t>
  </si>
  <si>
    <t>Play Ground</t>
  </si>
  <si>
    <t>D.</t>
  </si>
  <si>
    <t>Sirsia powar TAPA Baliwan,Pargana : Salempur, Majhauli, Distt : Deoria, U.P.</t>
  </si>
  <si>
    <t>462 KH</t>
  </si>
  <si>
    <t>Cane Centers</t>
  </si>
  <si>
    <t>Grand Total (a).+(b).</t>
  </si>
  <si>
    <t>BHSL, PRATAPUR, DEORIA</t>
  </si>
  <si>
    <t xml:space="preserve">LAND AREA STATEMENT </t>
  </si>
  <si>
    <t>Sr. No.</t>
  </si>
  <si>
    <t>Village Name</t>
  </si>
  <si>
    <t>Total no. of Deeds</t>
  </si>
  <si>
    <r>
      <t xml:space="preserve">Land Area 
</t>
    </r>
    <r>
      <rPr>
        <i/>
        <sz val="10"/>
        <color theme="1"/>
        <rFont val="Calibri"/>
        <family val="2"/>
        <scheme val="minor"/>
      </rPr>
      <t>(in Hectare)</t>
    </r>
  </si>
  <si>
    <r>
      <t xml:space="preserve">Land Area 
</t>
    </r>
    <r>
      <rPr>
        <i/>
        <sz val="10"/>
        <color theme="1"/>
        <rFont val="Calibri"/>
        <family val="2"/>
        <scheme val="minor"/>
      </rPr>
      <t>(in Acres)</t>
    </r>
  </si>
  <si>
    <t>Chapura Dabauli</t>
  </si>
  <si>
    <t>Bakuntupur</t>
  </si>
  <si>
    <t>Khap bankat</t>
  </si>
  <si>
    <t>Sirsia</t>
  </si>
  <si>
    <t>Total</t>
  </si>
  <si>
    <t>VALUATION AS PER GOVT. GUIDELINE RATES</t>
  </si>
  <si>
    <t>S.No</t>
  </si>
  <si>
    <r>
      <t xml:space="preserve">Area  </t>
    </r>
    <r>
      <rPr>
        <i/>
        <sz val="11"/>
        <color theme="1"/>
        <rFont val="Calibri"/>
        <family val="2"/>
        <scheme val="minor"/>
      </rPr>
      <t>(Hectare)</t>
    </r>
  </si>
  <si>
    <r>
      <t xml:space="preserve">Area </t>
    </r>
    <r>
      <rPr>
        <i/>
        <sz val="11"/>
        <color theme="1"/>
        <rFont val="Calibri"/>
        <family val="2"/>
        <scheme val="minor"/>
      </rPr>
      <t>(Acre)</t>
    </r>
  </si>
  <si>
    <r>
      <t xml:space="preserve">Area
</t>
    </r>
    <r>
      <rPr>
        <i/>
        <sz val="11"/>
        <color theme="1"/>
        <rFont val="Calibri"/>
        <family val="2"/>
        <scheme val="minor"/>
      </rPr>
      <t>(sq. mtr.)</t>
    </r>
  </si>
  <si>
    <r>
      <t xml:space="preserve">Govt. Guidelines Rates 
</t>
    </r>
    <r>
      <rPr>
        <i/>
        <sz val="11"/>
        <color theme="1"/>
        <rFont val="Calibri"/>
        <family val="2"/>
        <scheme val="minor"/>
      </rPr>
      <t>(in Hectare)</t>
    </r>
    <r>
      <rPr>
        <b/>
        <sz val="11"/>
        <color theme="1"/>
        <rFont val="Calibri"/>
        <family val="2"/>
        <scheme val="minor"/>
      </rPr>
      <t xml:space="preserve">
</t>
    </r>
  </si>
  <si>
    <r>
      <t xml:space="preserve">Govt. Guidelines Rates 
</t>
    </r>
    <r>
      <rPr>
        <i/>
        <sz val="11"/>
        <color theme="1"/>
        <rFont val="Calibri"/>
        <family val="2"/>
        <scheme val="minor"/>
      </rPr>
      <t>(in sq. mtr.)</t>
    </r>
    <r>
      <rPr>
        <b/>
        <sz val="11"/>
        <color theme="1"/>
        <rFont val="Calibri"/>
        <family val="2"/>
        <scheme val="minor"/>
      </rPr>
      <t xml:space="preserve">
</t>
    </r>
  </si>
  <si>
    <t>Agricultural  Govt. Guideline Value</t>
  </si>
  <si>
    <t>Non- Agricultural  Govt. Guideline Value</t>
  </si>
  <si>
    <t>Remarks:</t>
  </si>
  <si>
    <t>1. The above mentioned land area has been taken on the basis of information/ data provided by the company.</t>
  </si>
  <si>
    <t>2. These circle rates gives only the indicative values. However, actually this value has no reference to the real market transaction value which is much less for this kind of land considering the land used for Industrial purpose comparing it with non-agricultural land. Hence no reference can be derived out of the Circle Guideline Value</t>
  </si>
  <si>
    <t>VALUATION OF PROJECT LAND | BAJAJ HINDUSTHAN SUGAR LIMITED | VILLAGE- PRATAPPUR   | DISTRICT- DEORIA</t>
  </si>
  <si>
    <r>
      <t xml:space="preserve">Area
</t>
    </r>
    <r>
      <rPr>
        <i/>
        <sz val="10"/>
        <rFont val="Calibri"/>
        <family val="2"/>
        <scheme val="minor"/>
      </rPr>
      <t>(in Hectare)</t>
    </r>
  </si>
  <si>
    <r>
      <t xml:space="preserve">Land Rate under Land Acquisition Act-2013
</t>
    </r>
    <r>
      <rPr>
        <i/>
        <sz val="10"/>
        <rFont val="Calibri"/>
        <family val="2"/>
        <scheme val="minor"/>
      </rPr>
      <t>(in per hectares)</t>
    </r>
  </si>
  <si>
    <t xml:space="preserve">Total </t>
  </si>
  <si>
    <r>
      <t xml:space="preserve">Factor for Land Falls under Rural Area </t>
    </r>
    <r>
      <rPr>
        <b/>
        <sz val="11"/>
        <color theme="1"/>
        <rFont val="Calibri"/>
        <family val="2"/>
        <scheme val="minor"/>
      </rPr>
      <t>(B)</t>
    </r>
  </si>
  <si>
    <r>
      <t xml:space="preserve"> 2 times of Value of </t>
    </r>
    <r>
      <rPr>
        <b/>
        <sz val="11"/>
        <color theme="1"/>
        <rFont val="Calibri"/>
        <family val="2"/>
        <scheme val="minor"/>
      </rPr>
      <t>A</t>
    </r>
  </si>
  <si>
    <r>
      <t xml:space="preserve">Value of Assets attached to land or building </t>
    </r>
    <r>
      <rPr>
        <b/>
        <sz val="11"/>
        <color theme="1"/>
        <rFont val="Calibri"/>
        <family val="2"/>
        <scheme val="minor"/>
      </rPr>
      <t>(C)</t>
    </r>
  </si>
  <si>
    <t>Total (D=B+C)</t>
  </si>
  <si>
    <t>Add Solatium
(100%) (E)</t>
  </si>
  <si>
    <t>100% of value D</t>
  </si>
  <si>
    <t>Total Award Value (F=D+E)</t>
  </si>
  <si>
    <t xml:space="preserve">FAIR MARKET VALUATION OF LAND OF  : M/S. BAJAJ HINDUSTHAN SUGAR LIMITED, PRATAPPUR, DEORIA, UTTAR PRTADESH  </t>
  </si>
  <si>
    <t>Sr.No.</t>
  </si>
  <si>
    <t>Particulars</t>
  </si>
  <si>
    <t>Original Land Area</t>
  </si>
  <si>
    <t xml:space="preserve">Fair Market Valuation </t>
  </si>
  <si>
    <t>Acres</t>
  </si>
  <si>
    <t>Hectares</t>
  </si>
  <si>
    <t>Power Plant Land</t>
  </si>
  <si>
    <t>Add 5% premium for non agriculture land</t>
  </si>
  <si>
    <t xml:space="preserve">Add: Land Development, Site Levelling charges etc. </t>
  </si>
  <si>
    <t xml:space="preserve">  At Rs.2.5 Lacs per acre</t>
  </si>
  <si>
    <t>GRAND TOTAL</t>
  </si>
  <si>
    <t>Notes:</t>
  </si>
  <si>
    <t>1.  Land area details has been provided to us by the company, which is relied upon in good faith.</t>
  </si>
  <si>
    <t>rate calculation</t>
  </si>
  <si>
    <t>min rate</t>
  </si>
  <si>
    <t>max rate</t>
  </si>
  <si>
    <t>acc. To patwari / katha</t>
  </si>
  <si>
    <t xml:space="preserve"> 1 katha = </t>
  </si>
  <si>
    <t>sq. mtr</t>
  </si>
  <si>
    <t>adopted rate per katha</t>
  </si>
  <si>
    <t xml:space="preserve">1 acre = </t>
  </si>
  <si>
    <t>sq mtr</t>
  </si>
  <si>
    <t>market rates per acre</t>
  </si>
  <si>
    <t>15% discount for large parcel of land</t>
  </si>
  <si>
    <t>Per Acre</t>
  </si>
  <si>
    <t>Per  Sq.mtr.</t>
  </si>
  <si>
    <t>Per Katha</t>
  </si>
  <si>
    <t>Per Sq.mtr.</t>
  </si>
  <si>
    <t>Add 5% for cost &amp; effort considerations to cover administrative cost, effort towards land acquisition &amp; consolidation etc.</t>
  </si>
  <si>
    <r>
      <t xml:space="preserve">2. As per the our calculations, the market rate for the subject power project is comes out to be </t>
    </r>
    <r>
      <rPr>
        <i/>
        <sz val="11"/>
        <rFont val="Calibri"/>
        <family val="2"/>
        <scheme val="minor"/>
      </rPr>
      <t xml:space="preserve">Rs.1 crore 65 Lakhs </t>
    </r>
    <r>
      <rPr>
        <i/>
        <sz val="11"/>
        <color theme="1"/>
        <rFont val="Calibri"/>
        <family val="2"/>
        <scheme val="minor"/>
      </rPr>
      <t xml:space="preserve"> per Acres, which seems to be reasonable in our point of 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</si>
</sst>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_ [$₹-4009]\ * #,##0.00_ ;_ [$₹-4009]\ * \-#,##0.00_ ;_ [$₹-4009]\ * &quot;-&quot;??_ ;_ @_ "/>
    <numFmt numFmtId="165" formatCode="_ [$₹-4009]\ * #,##0_ ;_ [$₹-4009]\ * \-#,##0_ ;_ [$₹-4009]\ * &quot;-&quot;??_ ;_ @_ "/>
    <numFmt numFmtId="166" formatCode="_ &quot;₹&quot;\ * #,##0_ ;_ &quot;₹&quot;\ * \-#,##0_ ;_ &quot;₹&quot;\ * &quot;-&quot;??_ ;_ @_ "/>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i/>
      <sz val="10"/>
      <color theme="1"/>
      <name val="Calibri"/>
      <family val="2"/>
      <scheme val="minor"/>
    </font>
    <font>
      <sz val="11"/>
      <name val="Calibri"/>
      <family val="2"/>
      <scheme val="minor"/>
    </font>
    <font>
      <i/>
      <sz val="11"/>
      <color theme="1"/>
      <name val="Calibri"/>
      <family val="2"/>
      <scheme val="minor"/>
    </font>
    <font>
      <b/>
      <i/>
      <sz val="11"/>
      <color theme="1"/>
      <name val="Calibri"/>
      <family val="2"/>
      <scheme val="minor"/>
    </font>
    <font>
      <b/>
      <sz val="11"/>
      <name val="Calibri"/>
      <family val="2"/>
      <scheme val="minor"/>
    </font>
    <font>
      <i/>
      <sz val="10"/>
      <name val="Calibri"/>
      <family val="2"/>
      <scheme val="minor"/>
    </font>
    <font>
      <b/>
      <sz val="12"/>
      <color theme="0"/>
      <name val="Calibri"/>
      <family val="2"/>
      <scheme val="minor"/>
    </font>
    <font>
      <i/>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44">
    <xf numFmtId="0" fontId="0" fillId="0" borderId="0" xfId="0"/>
    <xf numFmtId="0" fontId="5" fillId="0" borderId="1" xfId="0" applyFont="1" applyBorder="1" applyAlignment="1">
      <alignment horizontal="center" vertical="center" wrapText="1"/>
    </xf>
    <xf numFmtId="43" fontId="5" fillId="0" borderId="1" xfId="0" applyNumberFormat="1" applyFont="1" applyBorder="1" applyAlignment="1">
      <alignment horizontal="center" vertical="center" wrapText="1"/>
    </xf>
    <xf numFmtId="0" fontId="5" fillId="0" borderId="1" xfId="0" applyFont="1" applyBorder="1" applyAlignment="1">
      <alignment vertical="top" wrapText="1"/>
    </xf>
    <xf numFmtId="0" fontId="5" fillId="0" borderId="2" xfId="0" applyFont="1" applyBorder="1" applyAlignment="1">
      <alignment horizontal="center" vertical="center" wrapText="1"/>
    </xf>
    <xf numFmtId="43" fontId="5" fillId="0" borderId="2" xfId="0" applyNumberFormat="1" applyFont="1" applyBorder="1" applyAlignment="1">
      <alignment horizontal="center" vertical="center" wrapText="1"/>
    </xf>
    <xf numFmtId="0" fontId="5" fillId="0" borderId="2" xfId="0" applyFont="1" applyBorder="1" applyAlignment="1">
      <alignment vertical="top" wrapText="1"/>
    </xf>
    <xf numFmtId="0" fontId="5" fillId="0" borderId="3" xfId="0" applyFont="1" applyBorder="1" applyAlignment="1">
      <alignment horizontal="center" vertical="center" wrapText="1"/>
    </xf>
    <xf numFmtId="14" fontId="5" fillId="0" borderId="3" xfId="0" quotePrefix="1" applyNumberFormat="1" applyFont="1" applyBorder="1" applyAlignment="1">
      <alignment horizontal="center" vertical="center" wrapText="1"/>
    </xf>
    <xf numFmtId="43" fontId="5" fillId="0" borderId="3" xfId="0" applyNumberFormat="1" applyFont="1" applyBorder="1" applyAlignment="1">
      <alignment horizontal="center" vertical="center"/>
    </xf>
    <xf numFmtId="43" fontId="5" fillId="0" borderId="3" xfId="0" applyNumberFormat="1" applyFont="1" applyBorder="1" applyAlignment="1">
      <alignment horizontal="center" vertical="center" wrapText="1"/>
    </xf>
    <xf numFmtId="0" fontId="5" fillId="0" borderId="3" xfId="0" applyFont="1" applyBorder="1" applyAlignment="1">
      <alignment vertical="top" wrapText="1"/>
    </xf>
    <xf numFmtId="0" fontId="5" fillId="0" borderId="3" xfId="0" quotePrefix="1" applyFont="1" applyBorder="1" applyAlignment="1">
      <alignment horizontal="center" vertical="center" wrapText="1"/>
    </xf>
    <xf numFmtId="0" fontId="5" fillId="0" borderId="4" xfId="0" applyFont="1" applyBorder="1" applyAlignment="1">
      <alignment horizontal="center" vertical="center" wrapText="1"/>
    </xf>
    <xf numFmtId="43" fontId="5" fillId="0" borderId="4" xfId="0" applyNumberFormat="1" applyFont="1" applyBorder="1" applyAlignment="1">
      <alignment horizontal="center" vertical="center"/>
    </xf>
    <xf numFmtId="43" fontId="5" fillId="0" borderId="4" xfId="0" applyNumberFormat="1" applyFont="1" applyBorder="1" applyAlignment="1">
      <alignment horizontal="center" vertical="center" wrapText="1"/>
    </xf>
    <xf numFmtId="0" fontId="5" fillId="0" borderId="4" xfId="0" applyFont="1" applyBorder="1" applyAlignment="1">
      <alignment vertical="top" wrapText="1"/>
    </xf>
    <xf numFmtId="0" fontId="5" fillId="0" borderId="3" xfId="0" applyFont="1" applyBorder="1" applyAlignment="1">
      <alignment horizontal="center" vertical="center"/>
    </xf>
    <xf numFmtId="43" fontId="6"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left" vertical="top" wrapText="1"/>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0" borderId="8" xfId="0" applyBorder="1" applyAlignment="1">
      <alignment horizontal="center"/>
    </xf>
    <xf numFmtId="0" fontId="5" fillId="0" borderId="1" xfId="0" applyFont="1" applyBorder="1"/>
    <xf numFmtId="0" fontId="0" fillId="0" borderId="1" xfId="0" applyBorder="1" applyAlignment="1">
      <alignment horizontal="center"/>
    </xf>
    <xf numFmtId="2" fontId="8" fillId="5" borderId="9" xfId="0" applyNumberFormat="1" applyFont="1" applyFill="1" applyBorder="1" applyAlignment="1">
      <alignment horizontal="center" vertic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3" fillId="4" borderId="8"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65" fontId="3" fillId="4" borderId="9"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5"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165" fontId="0" fillId="5" borderId="1" xfId="0" applyNumberFormat="1" applyFill="1" applyBorder="1" applyAlignment="1">
      <alignment horizontal="center" vertical="center" wrapText="1"/>
    </xf>
    <xf numFmtId="165" fontId="0" fillId="5" borderId="9" xfId="0" applyNumberFormat="1" applyFill="1" applyBorder="1" applyAlignment="1">
      <alignment horizontal="center" vertical="center" wrapText="1"/>
    </xf>
    <xf numFmtId="0" fontId="5" fillId="5" borderId="1" xfId="0" applyFont="1" applyFill="1" applyBorder="1"/>
    <xf numFmtId="2" fontId="0" fillId="0" borderId="1" xfId="0" applyNumberFormat="1" applyBorder="1" applyAlignment="1">
      <alignment horizontal="center" vertical="center"/>
    </xf>
    <xf numFmtId="164" fontId="0" fillId="0" borderId="1" xfId="0" applyNumberFormat="1" applyBorder="1" applyAlignment="1">
      <alignment horizontal="center"/>
    </xf>
    <xf numFmtId="165" fontId="3" fillId="0" borderId="1" xfId="0" applyNumberFormat="1" applyFont="1" applyBorder="1" applyAlignment="1">
      <alignment vertical="center"/>
    </xf>
    <xf numFmtId="165" fontId="3" fillId="0" borderId="9" xfId="0" applyNumberFormat="1" applyFont="1" applyBorder="1" applyAlignment="1">
      <alignment vertical="center"/>
    </xf>
    <xf numFmtId="0" fontId="11" fillId="7"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9" xfId="0" applyFont="1" applyFill="1" applyBorder="1" applyAlignment="1">
      <alignment horizontal="center" vertical="center"/>
    </xf>
    <xf numFmtId="0" fontId="5" fillId="0" borderId="1" xfId="0" applyFont="1" applyBorder="1" applyAlignment="1">
      <alignment horizontal="center" vertical="center"/>
    </xf>
    <xf numFmtId="164" fontId="0" fillId="0" borderId="9" xfId="0" applyNumberFormat="1" applyBorder="1" applyAlignment="1">
      <alignment vertical="center"/>
    </xf>
    <xf numFmtId="0" fontId="5" fillId="5" borderId="1" xfId="0" applyFont="1" applyFill="1" applyBorder="1" applyAlignment="1">
      <alignment horizontal="center" vertical="center"/>
    </xf>
    <xf numFmtId="0" fontId="3" fillId="0" borderId="8"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vertical="center"/>
    </xf>
    <xf numFmtId="164" fontId="3" fillId="0" borderId="16" xfId="0" applyNumberFormat="1" applyFont="1" applyBorder="1" applyAlignment="1">
      <alignment vertical="center"/>
    </xf>
    <xf numFmtId="0" fontId="0" fillId="0" borderId="18" xfId="0" applyBorder="1" applyAlignment="1">
      <alignment vertical="center"/>
    </xf>
    <xf numFmtId="164" fontId="3" fillId="0" borderId="9" xfId="0" applyNumberFormat="1" applyFont="1" applyBorder="1" applyAlignment="1">
      <alignment vertical="center"/>
    </xf>
    <xf numFmtId="0" fontId="0" fillId="0" borderId="1" xfId="0" applyBorder="1" applyAlignment="1">
      <alignment vertical="center"/>
    </xf>
    <xf numFmtId="0" fontId="0" fillId="0" borderId="9" xfId="0" applyBorder="1" applyAlignment="1">
      <alignment vertical="center"/>
    </xf>
    <xf numFmtId="164" fontId="3" fillId="0" borderId="18" xfId="0" applyNumberFormat="1" applyFont="1" applyBorder="1" applyAlignment="1">
      <alignment vertical="center"/>
    </xf>
    <xf numFmtId="0" fontId="0" fillId="0" borderId="8" xfId="0" applyBorder="1" applyAlignment="1">
      <alignment horizontal="center" vertical="center"/>
    </xf>
    <xf numFmtId="0" fontId="0" fillId="0" borderId="1" xfId="0" applyBorder="1" applyAlignment="1">
      <alignment horizontal="center" vertical="center"/>
    </xf>
    <xf numFmtId="0" fontId="3" fillId="9" borderId="1" xfId="0" applyFont="1" applyFill="1" applyBorder="1" applyAlignment="1">
      <alignment vertical="center" wrapText="1"/>
    </xf>
    <xf numFmtId="0" fontId="0" fillId="0" borderId="20" xfId="0" applyBorder="1" applyAlignment="1">
      <alignment vertical="center" wrapText="1"/>
    </xf>
    <xf numFmtId="44" fontId="8" fillId="0" borderId="9" xfId="2" applyFont="1" applyBorder="1" applyAlignment="1">
      <alignment vertical="center"/>
    </xf>
    <xf numFmtId="44" fontId="0" fillId="0" borderId="9" xfId="2" applyFont="1" applyBorder="1" applyAlignment="1">
      <alignment vertical="center"/>
    </xf>
    <xf numFmtId="0" fontId="0" fillId="5" borderId="20" xfId="0" applyFill="1" applyBorder="1" applyAlignment="1">
      <alignment vertical="center" wrapText="1"/>
    </xf>
    <xf numFmtId="44" fontId="3" fillId="9" borderId="9" xfId="2" applyFont="1" applyFill="1" applyBorder="1" applyAlignment="1">
      <alignment vertical="center"/>
    </xf>
    <xf numFmtId="3" fontId="0" fillId="0" borderId="0" xfId="0" applyNumberFormat="1"/>
    <xf numFmtId="44" fontId="0" fillId="0" borderId="0" xfId="1" applyFont="1"/>
    <xf numFmtId="44" fontId="0" fillId="0" borderId="0" xfId="0" applyNumberFormat="1"/>
    <xf numFmtId="0" fontId="0" fillId="0" borderId="8" xfId="0" applyBorder="1" applyAlignment="1">
      <alignment horizontal="center" vertical="center"/>
    </xf>
    <xf numFmtId="166" fontId="0" fillId="0" borderId="0" xfId="0" applyNumberFormat="1"/>
    <xf numFmtId="166" fontId="3" fillId="0" borderId="0" xfId="0" applyNumberFormat="1" applyFont="1"/>
    <xf numFmtId="43" fontId="0" fillId="0" borderId="0" xfId="0" applyNumberFormat="1"/>
    <xf numFmtId="166" fontId="3" fillId="4" borderId="1" xfId="0" applyNumberFormat="1" applyFont="1" applyFill="1" applyBorder="1"/>
    <xf numFmtId="44" fontId="3" fillId="4" borderId="1" xfId="0" applyNumberFormat="1" applyFont="1" applyFill="1" applyBorder="1"/>
    <xf numFmtId="0" fontId="3" fillId="4" borderId="1" xfId="0" applyFont="1" applyFill="1" applyBorder="1"/>
    <xf numFmtId="43" fontId="3" fillId="0" borderId="1" xfId="3" applyFont="1" applyBorder="1"/>
    <xf numFmtId="43" fontId="3" fillId="0" borderId="1" xfId="0" applyNumberFormat="1" applyFont="1" applyBorder="1"/>
    <xf numFmtId="0" fontId="13" fillId="0" borderId="0" xfId="0" applyFont="1" applyFill="1" applyBorder="1" applyAlignment="1">
      <alignment horizontal="center" vertical="center" wrapText="1"/>
    </xf>
    <xf numFmtId="44" fontId="3" fillId="0" borderId="0" xfId="2" applyFont="1" applyFill="1" applyBorder="1" applyAlignment="1">
      <alignment vertical="center"/>
    </xf>
    <xf numFmtId="44" fontId="8" fillId="0" borderId="0" xfId="2" applyFont="1" applyFill="1" applyBorder="1" applyAlignment="1">
      <alignment vertical="center"/>
    </xf>
    <xf numFmtId="44" fontId="0" fillId="0" borderId="0" xfId="2" applyFont="1" applyFill="1" applyBorder="1" applyAlignment="1">
      <alignment vertical="center"/>
    </xf>
    <xf numFmtId="166" fontId="0" fillId="0" borderId="21" xfId="0" applyNumberFormat="1" applyBorder="1"/>
    <xf numFmtId="44" fontId="0" fillId="0" borderId="21" xfId="0" applyNumberFormat="1" applyBorder="1"/>
    <xf numFmtId="0" fontId="10"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xf>
    <xf numFmtId="0" fontId="2"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18" xfId="0" applyFont="1" applyBorder="1" applyAlignment="1">
      <alignment horizontal="left" vertical="center"/>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3" fillId="9" borderId="8" xfId="0" applyFont="1" applyFill="1" applyBorder="1" applyAlignment="1">
      <alignment horizontal="center" vertical="center"/>
    </xf>
    <xf numFmtId="0" fontId="3" fillId="9" borderId="19" xfId="0" applyFont="1" applyFill="1" applyBorder="1" applyAlignment="1">
      <alignment vertical="center"/>
    </xf>
    <xf numFmtId="0" fontId="3" fillId="9" borderId="22" xfId="0" applyFont="1" applyFill="1" applyBorder="1" applyAlignment="1">
      <alignment vertical="center"/>
    </xf>
    <xf numFmtId="0" fontId="3" fillId="9" borderId="20" xfId="0" applyFont="1" applyFill="1" applyBorder="1" applyAlignment="1">
      <alignment vertical="center" wrapText="1"/>
    </xf>
    <xf numFmtId="0" fontId="3" fillId="9" borderId="21" xfId="0" applyFont="1" applyFill="1" applyBorder="1" applyAlignment="1">
      <alignment vertical="center" wrapText="1"/>
    </xf>
    <xf numFmtId="44" fontId="3" fillId="9" borderId="9" xfId="2" applyFont="1" applyFill="1" applyBorder="1" applyAlignment="1">
      <alignment vertical="center"/>
    </xf>
    <xf numFmtId="9" fontId="0" fillId="0" borderId="20" xfId="0" applyNumberFormat="1" applyBorder="1" applyAlignment="1">
      <alignment horizontal="center" vertical="center"/>
    </xf>
    <xf numFmtId="0" fontId="0" fillId="0" borderId="21" xfId="0" applyBorder="1" applyAlignment="1">
      <alignment horizontal="center" vertical="center"/>
    </xf>
    <xf numFmtId="0" fontId="0" fillId="5" borderId="20" xfId="0" applyFill="1" applyBorder="1" applyAlignment="1">
      <alignment vertical="center"/>
    </xf>
    <xf numFmtId="0" fontId="0" fillId="5" borderId="23" xfId="0" applyFill="1" applyBorder="1" applyAlignment="1">
      <alignment vertical="center"/>
    </xf>
    <xf numFmtId="0" fontId="3" fillId="9" borderId="24" xfId="0" applyFont="1" applyFill="1" applyBorder="1" applyAlignment="1">
      <alignment vertical="center"/>
    </xf>
    <xf numFmtId="0" fontId="3" fillId="9" borderId="23" xfId="0" applyFont="1" applyFill="1" applyBorder="1" applyAlignment="1">
      <alignment vertical="center"/>
    </xf>
    <xf numFmtId="0" fontId="3" fillId="9" borderId="21" xfId="0" applyFont="1" applyFill="1" applyBorder="1" applyAlignment="1">
      <alignment vertical="center"/>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0" fillId="0" borderId="20" xfId="0" applyBorder="1" applyAlignment="1">
      <alignment horizontal="center" vertical="center"/>
    </xf>
  </cellXfs>
  <cellStyles count="4">
    <cellStyle name="Comma" xfId="3" builtinId="3"/>
    <cellStyle name="Currency" xfId="1" builtinId="4"/>
    <cellStyle name="Currency 6" xfId="2" xr:uid="{FE0C5FFC-2B24-4EBE-8ACD-71CC3E79ED0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8,%20OVR/318-%20Checked-%20CONSTRUCTION%20AND%20LAND%20WOR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ROUGH WORK"/>
      <sheetName val="other structure"/>
      <sheetName val="sUMMARY"/>
      <sheetName val="BUILDING AREA STATEMENT"/>
      <sheetName val="bUILDING dESCRIPTION"/>
      <sheetName val="LAND"/>
      <sheetName val="villages"/>
      <sheetName val="circle rates"/>
      <sheetName val="land acquisition"/>
      <sheetName val="land valuation"/>
      <sheetName val="rate calculation"/>
    </sheetNames>
    <sheetDataSet>
      <sheetData sheetId="0" refreshError="1"/>
      <sheetData sheetId="1" refreshError="1"/>
      <sheetData sheetId="2" refreshError="1"/>
      <sheetData sheetId="3">
        <row r="9">
          <cell r="K9">
            <v>206864351.28000003</v>
          </cell>
        </row>
      </sheetData>
      <sheetData sheetId="4" refreshError="1"/>
      <sheetData sheetId="5" refreshError="1"/>
      <sheetData sheetId="6" refreshError="1"/>
      <sheetData sheetId="7" refreshError="1"/>
      <sheetData sheetId="8" refreshError="1"/>
      <sheetData sheetId="9" refreshError="1"/>
      <sheetData sheetId="10">
        <row r="15">
          <cell r="K15">
            <v>848848750.00000012</v>
          </cell>
        </row>
      </sheetData>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845F3-2A17-4886-BB16-C07E341AF5BC}">
  <dimension ref="C2:H37"/>
  <sheetViews>
    <sheetView workbookViewId="0">
      <selection activeCell="D10" sqref="D10"/>
    </sheetView>
  </sheetViews>
  <sheetFormatPr defaultRowHeight="15" x14ac:dyDescent="0.25"/>
  <cols>
    <col min="3" max="3" width="5.85546875" customWidth="1"/>
    <col min="4" max="4" width="43.140625" customWidth="1"/>
    <col min="5" max="5" width="15.28515625" customWidth="1"/>
    <col min="6" max="6" width="13" customWidth="1"/>
    <col min="7" max="7" width="11" customWidth="1"/>
    <col min="8" max="8" width="49.42578125" customWidth="1"/>
  </cols>
  <sheetData>
    <row r="2" spans="3:8" x14ac:dyDescent="0.25">
      <c r="C2" s="89" t="s">
        <v>49</v>
      </c>
      <c r="D2" s="89"/>
      <c r="E2" s="89"/>
      <c r="F2" s="89"/>
      <c r="G2" s="89"/>
      <c r="H2" s="89"/>
    </row>
    <row r="3" spans="3:8" ht="25.5" x14ac:dyDescent="0.25">
      <c r="C3" s="1" t="s">
        <v>0</v>
      </c>
      <c r="D3" s="1" t="s">
        <v>1</v>
      </c>
      <c r="E3" s="1" t="s">
        <v>2</v>
      </c>
      <c r="F3" s="2" t="s">
        <v>3</v>
      </c>
      <c r="G3" s="2" t="s">
        <v>4</v>
      </c>
      <c r="H3" s="3" t="s">
        <v>5</v>
      </c>
    </row>
    <row r="4" spans="3:8" x14ac:dyDescent="0.25">
      <c r="C4" s="4" t="s">
        <v>6</v>
      </c>
      <c r="D4" s="4"/>
      <c r="E4" s="4"/>
      <c r="F4" s="5"/>
      <c r="G4" s="5"/>
      <c r="H4" s="6"/>
    </row>
    <row r="5" spans="3:8" ht="25.5" x14ac:dyDescent="0.25">
      <c r="C5" s="7">
        <v>1</v>
      </c>
      <c r="D5" s="7" t="s">
        <v>7</v>
      </c>
      <c r="E5" s="8" t="s">
        <v>8</v>
      </c>
      <c r="F5" s="9">
        <f t="shared" ref="F5:F36" si="0">G5/2.471</f>
        <v>0.27498988263860785</v>
      </c>
      <c r="G5" s="10">
        <v>0.67949999999999999</v>
      </c>
      <c r="H5" s="11" t="s">
        <v>9</v>
      </c>
    </row>
    <row r="6" spans="3:8" ht="51" x14ac:dyDescent="0.25">
      <c r="C6" s="7">
        <v>2</v>
      </c>
      <c r="D6" s="7" t="s">
        <v>7</v>
      </c>
      <c r="E6" s="12" t="s">
        <v>10</v>
      </c>
      <c r="F6" s="9">
        <f t="shared" si="0"/>
        <v>10.28300283286119</v>
      </c>
      <c r="G6" s="10">
        <v>25.409300000000002</v>
      </c>
      <c r="H6" s="11" t="s">
        <v>11</v>
      </c>
    </row>
    <row r="7" spans="3:8" ht="25.5" x14ac:dyDescent="0.25">
      <c r="C7" s="7">
        <v>3</v>
      </c>
      <c r="D7" s="7" t="s">
        <v>7</v>
      </c>
      <c r="E7" s="7">
        <v>3</v>
      </c>
      <c r="F7" s="9">
        <f t="shared" si="0"/>
        <v>0.58700121408336703</v>
      </c>
      <c r="G7" s="10">
        <v>1.45048</v>
      </c>
      <c r="H7" s="11" t="s">
        <v>12</v>
      </c>
    </row>
    <row r="8" spans="3:8" ht="25.5" x14ac:dyDescent="0.25">
      <c r="C8" s="7">
        <v>4</v>
      </c>
      <c r="D8" s="7" t="s">
        <v>7</v>
      </c>
      <c r="E8" s="7" t="s">
        <v>13</v>
      </c>
      <c r="F8" s="9">
        <f t="shared" si="0"/>
        <v>3.2000000000000001E-2</v>
      </c>
      <c r="G8" s="10">
        <v>7.9072000000000003E-2</v>
      </c>
      <c r="H8" s="11" t="s">
        <v>14</v>
      </c>
    </row>
    <row r="9" spans="3:8" ht="25.5" x14ac:dyDescent="0.25">
      <c r="C9" s="7">
        <v>5</v>
      </c>
      <c r="D9" s="7" t="s">
        <v>7</v>
      </c>
      <c r="E9" s="7">
        <v>5</v>
      </c>
      <c r="F9" s="9">
        <f t="shared" si="0"/>
        <v>0.10099999999999999</v>
      </c>
      <c r="G9" s="10">
        <v>0.24957099999999999</v>
      </c>
      <c r="H9" s="11" t="s">
        <v>15</v>
      </c>
    </row>
    <row r="10" spans="3:8" ht="25.5" x14ac:dyDescent="0.25">
      <c r="C10" s="7">
        <v>6</v>
      </c>
      <c r="D10" s="7" t="s">
        <v>7</v>
      </c>
      <c r="E10" s="7" t="s">
        <v>16</v>
      </c>
      <c r="F10" s="9">
        <f t="shared" si="0"/>
        <v>0.72</v>
      </c>
      <c r="G10" s="10">
        <v>1.77912</v>
      </c>
      <c r="H10" s="11" t="s">
        <v>17</v>
      </c>
    </row>
    <row r="11" spans="3:8" ht="25.5" x14ac:dyDescent="0.25">
      <c r="C11" s="7">
        <v>7</v>
      </c>
      <c r="D11" s="7" t="s">
        <v>7</v>
      </c>
      <c r="E11" s="7">
        <v>7</v>
      </c>
      <c r="F11" s="9">
        <f t="shared" si="0"/>
        <v>0.60704168352893562</v>
      </c>
      <c r="G11" s="10">
        <v>1.5</v>
      </c>
      <c r="H11" s="11" t="s">
        <v>18</v>
      </c>
    </row>
    <row r="12" spans="3:8" ht="25.5" x14ac:dyDescent="0.25">
      <c r="C12" s="7">
        <v>8</v>
      </c>
      <c r="D12" s="7" t="s">
        <v>7</v>
      </c>
      <c r="E12" s="7">
        <v>8</v>
      </c>
      <c r="F12" s="9">
        <f t="shared" si="0"/>
        <v>0.16199999999999998</v>
      </c>
      <c r="G12" s="10">
        <v>0.40030199999999999</v>
      </c>
      <c r="H12" s="11" t="s">
        <v>19</v>
      </c>
    </row>
    <row r="13" spans="3:8" ht="25.5" x14ac:dyDescent="0.25">
      <c r="C13" s="7">
        <v>9</v>
      </c>
      <c r="D13" s="7" t="s">
        <v>7</v>
      </c>
      <c r="E13" s="7">
        <v>9</v>
      </c>
      <c r="F13" s="9">
        <f t="shared" si="0"/>
        <v>3.5999999999999997E-2</v>
      </c>
      <c r="G13" s="10">
        <v>8.8955999999999993E-2</v>
      </c>
      <c r="H13" s="11" t="s">
        <v>20</v>
      </c>
    </row>
    <row r="14" spans="3:8" ht="25.5" x14ac:dyDescent="0.25">
      <c r="C14" s="7">
        <v>10</v>
      </c>
      <c r="D14" s="7" t="s">
        <v>7</v>
      </c>
      <c r="E14" s="7">
        <v>10</v>
      </c>
      <c r="F14" s="9">
        <f t="shared" si="0"/>
        <v>2.4E-2</v>
      </c>
      <c r="G14" s="10">
        <v>5.9304000000000003E-2</v>
      </c>
      <c r="H14" s="11" t="s">
        <v>21</v>
      </c>
    </row>
    <row r="15" spans="3:8" ht="25.5" x14ac:dyDescent="0.25">
      <c r="C15" s="7">
        <v>11</v>
      </c>
      <c r="D15" s="7" t="s">
        <v>7</v>
      </c>
      <c r="E15" s="7">
        <v>11</v>
      </c>
      <c r="F15" s="9">
        <f t="shared" si="0"/>
        <v>1.7239983812221771</v>
      </c>
      <c r="G15" s="10">
        <v>4.26</v>
      </c>
      <c r="H15" s="11" t="s">
        <v>20</v>
      </c>
    </row>
    <row r="16" spans="3:8" ht="25.5" x14ac:dyDescent="0.25">
      <c r="C16" s="7" t="s">
        <v>22</v>
      </c>
      <c r="D16" s="7" t="s">
        <v>7</v>
      </c>
      <c r="E16" s="7" t="s">
        <v>23</v>
      </c>
      <c r="F16" s="9">
        <v>0.19</v>
      </c>
      <c r="G16" s="10">
        <v>0.46950000000000003</v>
      </c>
      <c r="H16" s="11" t="s">
        <v>24</v>
      </c>
    </row>
    <row r="17" spans="3:8" ht="25.5" x14ac:dyDescent="0.25">
      <c r="C17" s="13">
        <v>12</v>
      </c>
      <c r="D17" s="7" t="s">
        <v>7</v>
      </c>
      <c r="E17" s="13">
        <v>12</v>
      </c>
      <c r="F17" s="14">
        <f t="shared" si="0"/>
        <v>0.38400000000000001</v>
      </c>
      <c r="G17" s="15">
        <v>0.94886400000000004</v>
      </c>
      <c r="H17" s="16" t="s">
        <v>25</v>
      </c>
    </row>
    <row r="18" spans="3:8" ht="25.5" x14ac:dyDescent="0.25">
      <c r="C18" s="17">
        <v>1</v>
      </c>
      <c r="D18" s="7" t="s">
        <v>26</v>
      </c>
      <c r="E18" s="7">
        <v>77</v>
      </c>
      <c r="F18" s="9">
        <f t="shared" si="0"/>
        <v>0.12950222581950627</v>
      </c>
      <c r="G18" s="10">
        <v>0.32</v>
      </c>
      <c r="H18" s="11" t="s">
        <v>27</v>
      </c>
    </row>
    <row r="19" spans="3:8" x14ac:dyDescent="0.25">
      <c r="C19" s="7">
        <v>2</v>
      </c>
      <c r="D19" s="7" t="s">
        <v>28</v>
      </c>
      <c r="E19" s="7">
        <v>78</v>
      </c>
      <c r="F19" s="9">
        <f t="shared" si="0"/>
        <v>0.02</v>
      </c>
      <c r="G19" s="10">
        <v>4.9419999999999999E-2</v>
      </c>
      <c r="H19" s="11" t="s">
        <v>27</v>
      </c>
    </row>
    <row r="20" spans="3:8" x14ac:dyDescent="0.25">
      <c r="C20" s="7">
        <v>3</v>
      </c>
      <c r="D20" s="7" t="s">
        <v>28</v>
      </c>
      <c r="E20" s="7" t="s">
        <v>29</v>
      </c>
      <c r="F20" s="9">
        <f t="shared" si="0"/>
        <v>0.23899999999999999</v>
      </c>
      <c r="G20" s="10">
        <v>0.59056900000000001</v>
      </c>
      <c r="H20" s="11" t="s">
        <v>30</v>
      </c>
    </row>
    <row r="21" spans="3:8" x14ac:dyDescent="0.25">
      <c r="C21" s="7">
        <v>4</v>
      </c>
      <c r="D21" s="7" t="s">
        <v>28</v>
      </c>
      <c r="E21" s="7">
        <v>256</v>
      </c>
      <c r="F21" s="9">
        <f t="shared" si="0"/>
        <v>1.2E-2</v>
      </c>
      <c r="G21" s="10">
        <v>2.9652000000000001E-2</v>
      </c>
      <c r="H21" s="11" t="s">
        <v>30</v>
      </c>
    </row>
    <row r="22" spans="3:8" x14ac:dyDescent="0.25">
      <c r="C22" s="7">
        <v>5</v>
      </c>
      <c r="D22" s="7" t="s">
        <v>28</v>
      </c>
      <c r="E22" s="7">
        <v>257</v>
      </c>
      <c r="F22" s="9">
        <f t="shared" si="0"/>
        <v>2.823</v>
      </c>
      <c r="G22" s="10">
        <v>6.9756330000000002</v>
      </c>
      <c r="H22" s="11" t="s">
        <v>31</v>
      </c>
    </row>
    <row r="23" spans="3:8" x14ac:dyDescent="0.25">
      <c r="C23" s="7">
        <v>6</v>
      </c>
      <c r="D23" s="7" t="s">
        <v>28</v>
      </c>
      <c r="E23" s="7" t="s">
        <v>32</v>
      </c>
      <c r="F23" s="9">
        <f t="shared" si="0"/>
        <v>7.1999999999999995E-2</v>
      </c>
      <c r="G23" s="10">
        <v>0.17791199999999999</v>
      </c>
      <c r="H23" s="11" t="s">
        <v>33</v>
      </c>
    </row>
    <row r="24" spans="3:8" x14ac:dyDescent="0.25">
      <c r="C24" s="7">
        <v>7</v>
      </c>
      <c r="D24" s="7" t="s">
        <v>28</v>
      </c>
      <c r="E24" s="7">
        <v>217</v>
      </c>
      <c r="F24" s="9">
        <f t="shared" si="0"/>
        <v>2.0589999999999997</v>
      </c>
      <c r="G24" s="10">
        <v>5.0877889999999999</v>
      </c>
      <c r="H24" s="11" t="s">
        <v>34</v>
      </c>
    </row>
    <row r="25" spans="3:8" x14ac:dyDescent="0.25">
      <c r="C25" s="7">
        <v>8</v>
      </c>
      <c r="D25" s="7" t="s">
        <v>28</v>
      </c>
      <c r="E25" s="7" t="s">
        <v>35</v>
      </c>
      <c r="F25" s="9">
        <f t="shared" si="0"/>
        <v>0.20599999999999999</v>
      </c>
      <c r="G25" s="10">
        <v>0.50902599999999998</v>
      </c>
      <c r="H25" s="11" t="s">
        <v>36</v>
      </c>
    </row>
    <row r="26" spans="3:8" x14ac:dyDescent="0.25">
      <c r="C26" s="7">
        <v>9</v>
      </c>
      <c r="D26" s="7" t="s">
        <v>28</v>
      </c>
      <c r="E26" s="7" t="s">
        <v>37</v>
      </c>
      <c r="F26" s="9">
        <f t="shared" si="0"/>
        <v>1.0070000000000001</v>
      </c>
      <c r="G26" s="10">
        <v>2.4882970000000002</v>
      </c>
      <c r="H26" s="11"/>
    </row>
    <row r="27" spans="3:8" x14ac:dyDescent="0.25">
      <c r="C27" s="7">
        <v>10</v>
      </c>
      <c r="D27" s="7" t="s">
        <v>28</v>
      </c>
      <c r="E27" s="7" t="s">
        <v>38</v>
      </c>
      <c r="F27" s="9">
        <f t="shared" si="0"/>
        <v>8.0000000000000002E-3</v>
      </c>
      <c r="G27" s="10">
        <v>1.9768000000000001E-2</v>
      </c>
      <c r="H27" s="11"/>
    </row>
    <row r="28" spans="3:8" x14ac:dyDescent="0.25">
      <c r="C28" s="7">
        <v>11</v>
      </c>
      <c r="D28" s="7" t="s">
        <v>28</v>
      </c>
      <c r="E28" s="7" t="s">
        <v>39</v>
      </c>
      <c r="F28" s="9">
        <f t="shared" si="0"/>
        <v>0.32399999999999995</v>
      </c>
      <c r="G28" s="10">
        <v>0.80060399999999998</v>
      </c>
      <c r="H28" s="11" t="s">
        <v>40</v>
      </c>
    </row>
    <row r="29" spans="3:8" x14ac:dyDescent="0.25">
      <c r="C29" s="13">
        <v>12</v>
      </c>
      <c r="D29" s="13" t="s">
        <v>28</v>
      </c>
      <c r="E29" s="13">
        <v>259</v>
      </c>
      <c r="F29" s="14">
        <f t="shared" si="0"/>
        <v>2.1159999999999997</v>
      </c>
      <c r="G29" s="15">
        <v>5.2286359999999998</v>
      </c>
      <c r="H29" s="16" t="s">
        <v>41</v>
      </c>
    </row>
    <row r="30" spans="3:8" x14ac:dyDescent="0.25">
      <c r="C30" s="17">
        <v>1</v>
      </c>
      <c r="D30" s="7" t="s">
        <v>42</v>
      </c>
      <c r="E30" s="7">
        <v>4014</v>
      </c>
      <c r="F30" s="9">
        <f t="shared" si="0"/>
        <v>2.4281667341157425E-2</v>
      </c>
      <c r="G30" s="10">
        <v>0.06</v>
      </c>
      <c r="H30" s="11" t="s">
        <v>43</v>
      </c>
    </row>
    <row r="31" spans="3:8" x14ac:dyDescent="0.25">
      <c r="C31" s="7">
        <v>2</v>
      </c>
      <c r="D31" s="7" t="s">
        <v>28</v>
      </c>
      <c r="E31" s="7">
        <v>4017</v>
      </c>
      <c r="F31" s="9">
        <f t="shared" si="0"/>
        <v>1.7442331040064749</v>
      </c>
      <c r="G31" s="10">
        <v>4.3099999999999996</v>
      </c>
      <c r="H31" s="11" t="s">
        <v>43</v>
      </c>
    </row>
    <row r="32" spans="3:8" x14ac:dyDescent="0.25">
      <c r="C32" s="13">
        <v>3</v>
      </c>
      <c r="D32" s="13" t="s">
        <v>28</v>
      </c>
      <c r="E32" s="13">
        <v>4018</v>
      </c>
      <c r="F32" s="14">
        <f t="shared" si="0"/>
        <v>2.0234722784297856E-2</v>
      </c>
      <c r="G32" s="15">
        <v>0.05</v>
      </c>
      <c r="H32" s="16" t="s">
        <v>43</v>
      </c>
    </row>
    <row r="33" spans="3:8" ht="25.5" x14ac:dyDescent="0.25">
      <c r="C33" s="7" t="s">
        <v>44</v>
      </c>
      <c r="D33" s="7" t="s">
        <v>45</v>
      </c>
      <c r="E33" s="7" t="s">
        <v>46</v>
      </c>
      <c r="F33" s="9">
        <f t="shared" si="0"/>
        <v>1.2019425333872926E-2</v>
      </c>
      <c r="G33" s="10">
        <v>2.9700000000000001E-2</v>
      </c>
      <c r="H33" s="11" t="s">
        <v>47</v>
      </c>
    </row>
    <row r="34" spans="3:8" x14ac:dyDescent="0.25">
      <c r="C34" s="7"/>
      <c r="D34" s="7" t="s">
        <v>28</v>
      </c>
      <c r="E34" s="7">
        <v>1064</v>
      </c>
      <c r="F34" s="9">
        <f t="shared" si="0"/>
        <v>0.20598947794415215</v>
      </c>
      <c r="G34" s="10">
        <v>0.50900000000000001</v>
      </c>
      <c r="H34" s="11" t="s">
        <v>47</v>
      </c>
    </row>
    <row r="35" spans="3:8" x14ac:dyDescent="0.25">
      <c r="C35" s="7"/>
      <c r="D35" s="7" t="s">
        <v>28</v>
      </c>
      <c r="E35" s="7">
        <v>1066</v>
      </c>
      <c r="F35" s="9">
        <f t="shared" si="0"/>
        <v>0.20198300283286119</v>
      </c>
      <c r="G35" s="10">
        <v>0.49909999999999999</v>
      </c>
      <c r="H35" s="11" t="s">
        <v>47</v>
      </c>
    </row>
    <row r="36" spans="3:8" x14ac:dyDescent="0.25">
      <c r="C36" s="7"/>
      <c r="D36" s="7" t="s">
        <v>28</v>
      </c>
      <c r="E36" s="7">
        <v>1067</v>
      </c>
      <c r="F36" s="9">
        <f t="shared" si="0"/>
        <v>0.32399838122217722</v>
      </c>
      <c r="G36" s="10">
        <v>0.80059999999999998</v>
      </c>
      <c r="H36" s="11" t="s">
        <v>47</v>
      </c>
    </row>
    <row r="37" spans="3:8" x14ac:dyDescent="0.25">
      <c r="C37" s="88" t="s">
        <v>48</v>
      </c>
      <c r="D37" s="88"/>
      <c r="E37" s="88"/>
      <c r="F37" s="18">
        <f>SUM(F5:F36)</f>
        <v>26.673276001618778</v>
      </c>
      <c r="G37" s="18">
        <f>SUM(G5:G36)</f>
        <v>65.909675000000007</v>
      </c>
      <c r="H37" s="19">
        <f>G37/2.471</f>
        <v>26.673280048563338</v>
      </c>
    </row>
  </sheetData>
  <mergeCells count="2">
    <mergeCell ref="C37:E37"/>
    <mergeCell ref="C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2A3B4-795E-43C4-9651-A4EE6DC49980}">
  <dimension ref="C2:G9"/>
  <sheetViews>
    <sheetView workbookViewId="0">
      <selection activeCell="I12" sqref="I12"/>
    </sheetView>
  </sheetViews>
  <sheetFormatPr defaultRowHeight="15" x14ac:dyDescent="0.25"/>
  <cols>
    <col min="3" max="3" width="6.85546875" bestFit="1" customWidth="1"/>
    <col min="4" max="4" width="14.7109375" bestFit="1" customWidth="1"/>
  </cols>
  <sheetData>
    <row r="2" spans="3:7" ht="15.75" thickBot="1" x14ac:dyDescent="0.3"/>
    <row r="3" spans="3:7" x14ac:dyDescent="0.25">
      <c r="C3" s="90" t="s">
        <v>50</v>
      </c>
      <c r="D3" s="91"/>
      <c r="E3" s="91"/>
      <c r="F3" s="91"/>
      <c r="G3" s="92"/>
    </row>
    <row r="4" spans="3:7" ht="55.5" x14ac:dyDescent="0.25">
      <c r="C4" s="20" t="s">
        <v>51</v>
      </c>
      <c r="D4" s="21" t="s">
        <v>52</v>
      </c>
      <c r="E4" s="22" t="s">
        <v>53</v>
      </c>
      <c r="F4" s="22" t="s">
        <v>54</v>
      </c>
      <c r="G4" s="23" t="s">
        <v>55</v>
      </c>
    </row>
    <row r="5" spans="3:7" x14ac:dyDescent="0.25">
      <c r="C5" s="24">
        <v>1</v>
      </c>
      <c r="D5" s="25" t="s">
        <v>56</v>
      </c>
      <c r="E5" s="26">
        <v>13</v>
      </c>
      <c r="F5" s="25">
        <v>15.13</v>
      </c>
      <c r="G5" s="27">
        <f>(F5*2.471)</f>
        <v>37.386230000000005</v>
      </c>
    </row>
    <row r="6" spans="3:7" x14ac:dyDescent="0.25">
      <c r="C6" s="24">
        <v>2</v>
      </c>
      <c r="D6" s="25" t="s">
        <v>57</v>
      </c>
      <c r="E6" s="26">
        <v>12</v>
      </c>
      <c r="F6" s="25">
        <v>9.02</v>
      </c>
      <c r="G6" s="27">
        <f t="shared" ref="G6:G8" si="0">(F6*2.471)</f>
        <v>22.288419999999999</v>
      </c>
    </row>
    <row r="7" spans="3:7" x14ac:dyDescent="0.25">
      <c r="C7" s="24">
        <v>3</v>
      </c>
      <c r="D7" s="25" t="s">
        <v>58</v>
      </c>
      <c r="E7" s="26">
        <v>3</v>
      </c>
      <c r="F7" s="25">
        <v>1.79</v>
      </c>
      <c r="G7" s="27">
        <f t="shared" si="0"/>
        <v>4.4230900000000002</v>
      </c>
    </row>
    <row r="8" spans="3:7" x14ac:dyDescent="0.25">
      <c r="C8" s="24">
        <v>4</v>
      </c>
      <c r="D8" s="25" t="s">
        <v>59</v>
      </c>
      <c r="E8" s="26">
        <v>4</v>
      </c>
      <c r="F8" s="25">
        <v>0.74</v>
      </c>
      <c r="G8" s="27">
        <f t="shared" si="0"/>
        <v>1.8285400000000001</v>
      </c>
    </row>
    <row r="9" spans="3:7" ht="15.75" thickBot="1" x14ac:dyDescent="0.3">
      <c r="C9" s="93" t="s">
        <v>60</v>
      </c>
      <c r="D9" s="94"/>
      <c r="E9" s="28">
        <f>SUM(E5:E8)</f>
        <v>32</v>
      </c>
      <c r="F9" s="29">
        <f>SUM(F5:F8)</f>
        <v>26.679999999999996</v>
      </c>
      <c r="G9" s="30">
        <f>SUM(G5:G8)</f>
        <v>65.926280000000006</v>
      </c>
    </row>
  </sheetData>
  <mergeCells count="2">
    <mergeCell ref="C3:G3"/>
    <mergeCell ref="C9:D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7212-EBD2-4EF0-9386-FCA97F670F41}">
  <dimension ref="C2:K12"/>
  <sheetViews>
    <sheetView tabSelected="1" workbookViewId="0">
      <selection activeCell="J9" sqref="J9"/>
    </sheetView>
  </sheetViews>
  <sheetFormatPr defaultRowHeight="15" x14ac:dyDescent="0.25"/>
  <cols>
    <col min="3" max="3" width="5.140625" bestFit="1" customWidth="1"/>
    <col min="4" max="4" width="14.7109375" bestFit="1" customWidth="1"/>
    <col min="5" max="5" width="8.7109375" bestFit="1" customWidth="1"/>
    <col min="6" max="6" width="9.5703125" bestFit="1" customWidth="1"/>
    <col min="7" max="7" width="11.5703125" bestFit="1" customWidth="1"/>
    <col min="8" max="8" width="15.85546875" bestFit="1" customWidth="1"/>
    <col min="9" max="9" width="12.85546875" customWidth="1"/>
    <col min="10" max="10" width="14.28515625" bestFit="1" customWidth="1"/>
    <col min="11" max="11" width="15.85546875" bestFit="1" customWidth="1"/>
  </cols>
  <sheetData>
    <row r="2" spans="3:11" ht="15.75" thickBot="1" x14ac:dyDescent="0.3"/>
    <row r="3" spans="3:11" x14ac:dyDescent="0.25">
      <c r="C3" s="90" t="s">
        <v>61</v>
      </c>
      <c r="D3" s="95"/>
      <c r="E3" s="95"/>
      <c r="F3" s="95"/>
      <c r="G3" s="95"/>
      <c r="H3" s="95"/>
      <c r="I3" s="95"/>
      <c r="J3" s="95"/>
      <c r="K3" s="96"/>
    </row>
    <row r="4" spans="3:11" ht="75" x14ac:dyDescent="0.25">
      <c r="C4" s="31" t="s">
        <v>62</v>
      </c>
      <c r="D4" s="22" t="s">
        <v>52</v>
      </c>
      <c r="E4" s="22" t="s">
        <v>63</v>
      </c>
      <c r="F4" s="22" t="s">
        <v>64</v>
      </c>
      <c r="G4" s="22" t="s">
        <v>65</v>
      </c>
      <c r="H4" s="32" t="s">
        <v>66</v>
      </c>
      <c r="I4" s="32" t="s">
        <v>67</v>
      </c>
      <c r="J4" s="33" t="s">
        <v>68</v>
      </c>
      <c r="K4" s="34" t="s">
        <v>69</v>
      </c>
    </row>
    <row r="5" spans="3:11" x14ac:dyDescent="0.25">
      <c r="C5" s="35">
        <v>1</v>
      </c>
      <c r="D5" s="25" t="s">
        <v>56</v>
      </c>
      <c r="E5" s="25">
        <v>15.13</v>
      </c>
      <c r="F5" s="36">
        <f>E5*2.471</f>
        <v>37.386230000000005</v>
      </c>
      <c r="G5" s="36">
        <f>(F5*4046.85)</f>
        <v>151296.46487550001</v>
      </c>
      <c r="H5" s="37">
        <v>27000000</v>
      </c>
      <c r="I5" s="37">
        <v>5500</v>
      </c>
      <c r="J5" s="38">
        <f>(E5*H5)</f>
        <v>408510000</v>
      </c>
      <c r="K5" s="39">
        <f>(I5*G5)</f>
        <v>832130556.81525004</v>
      </c>
    </row>
    <row r="6" spans="3:11" x14ac:dyDescent="0.25">
      <c r="C6" s="35">
        <v>2</v>
      </c>
      <c r="D6" s="25" t="s">
        <v>57</v>
      </c>
      <c r="E6" s="25">
        <v>9.02</v>
      </c>
      <c r="F6" s="36">
        <f t="shared" ref="F6:F8" si="0">E6*2.471</f>
        <v>22.288419999999999</v>
      </c>
      <c r="G6" s="36">
        <f t="shared" ref="G6:G8" si="1">(F6*4046.85)</f>
        <v>90197.892476999987</v>
      </c>
      <c r="H6" s="37">
        <v>29000000</v>
      </c>
      <c r="I6" s="37">
        <v>6800</v>
      </c>
      <c r="J6" s="38">
        <f t="shared" ref="J6:J8" si="2">(E6*H6)</f>
        <v>261580000</v>
      </c>
      <c r="K6" s="39">
        <f t="shared" ref="K6:K8" si="3">(I6*G6)</f>
        <v>613345668.84359992</v>
      </c>
    </row>
    <row r="7" spans="3:11" x14ac:dyDescent="0.25">
      <c r="C7" s="35">
        <v>3</v>
      </c>
      <c r="D7" s="40" t="s">
        <v>58</v>
      </c>
      <c r="E7" s="40">
        <v>1.79</v>
      </c>
      <c r="F7" s="36">
        <f t="shared" si="0"/>
        <v>4.4230900000000002</v>
      </c>
      <c r="G7" s="36">
        <f t="shared" si="1"/>
        <v>17899.5817665</v>
      </c>
      <c r="H7" s="37">
        <v>10254650</v>
      </c>
      <c r="I7" s="37">
        <v>1136</v>
      </c>
      <c r="J7" s="38">
        <f t="shared" si="2"/>
        <v>18355823.5</v>
      </c>
      <c r="K7" s="39">
        <f t="shared" si="3"/>
        <v>20333924.886744</v>
      </c>
    </row>
    <row r="8" spans="3:11" x14ac:dyDescent="0.25">
      <c r="C8" s="35">
        <v>4</v>
      </c>
      <c r="D8" s="25" t="s">
        <v>59</v>
      </c>
      <c r="E8" s="25">
        <v>0.74</v>
      </c>
      <c r="F8" s="36">
        <f t="shared" si="0"/>
        <v>1.8285400000000001</v>
      </c>
      <c r="G8" s="36">
        <f t="shared" si="1"/>
        <v>7399.8270990000001</v>
      </c>
      <c r="H8" s="37">
        <v>27000000</v>
      </c>
      <c r="I8" s="37">
        <v>5900</v>
      </c>
      <c r="J8" s="38">
        <f t="shared" si="2"/>
        <v>19980000</v>
      </c>
      <c r="K8" s="39">
        <f t="shared" si="3"/>
        <v>43658979.884099998</v>
      </c>
    </row>
    <row r="9" spans="3:11" x14ac:dyDescent="0.25">
      <c r="C9" s="97" t="s">
        <v>60</v>
      </c>
      <c r="D9" s="98"/>
      <c r="E9" s="41">
        <f>SUM(E5:E8)</f>
        <v>26.679999999999996</v>
      </c>
      <c r="F9" s="41">
        <f>SUM(F5:F8)</f>
        <v>65.926280000000006</v>
      </c>
      <c r="G9" s="41">
        <f>SUM(G5:G8)</f>
        <v>266793.76621799998</v>
      </c>
      <c r="H9" s="42"/>
      <c r="I9" s="42"/>
      <c r="J9" s="43">
        <f>SUM(J5:J8)</f>
        <v>708425823.5</v>
      </c>
      <c r="K9" s="44">
        <f>SUM(K5:K8)</f>
        <v>1509469130.4296939</v>
      </c>
    </row>
    <row r="10" spans="3:11" x14ac:dyDescent="0.25">
      <c r="C10" s="99" t="s">
        <v>70</v>
      </c>
      <c r="D10" s="100"/>
      <c r="E10" s="100"/>
      <c r="F10" s="100"/>
      <c r="G10" s="100"/>
      <c r="H10" s="100"/>
      <c r="I10" s="100"/>
      <c r="J10" s="100"/>
      <c r="K10" s="101"/>
    </row>
    <row r="11" spans="3:11" ht="21.75" customHeight="1" x14ac:dyDescent="0.25">
      <c r="C11" s="99" t="s">
        <v>71</v>
      </c>
      <c r="D11" s="100"/>
      <c r="E11" s="100"/>
      <c r="F11" s="100"/>
      <c r="G11" s="100"/>
      <c r="H11" s="100"/>
      <c r="I11" s="100"/>
      <c r="J11" s="100"/>
      <c r="K11" s="101"/>
    </row>
    <row r="12" spans="3:11" ht="43.5" customHeight="1" thickBot="1" x14ac:dyDescent="0.3">
      <c r="C12" s="102" t="s">
        <v>72</v>
      </c>
      <c r="D12" s="103"/>
      <c r="E12" s="103"/>
      <c r="F12" s="103"/>
      <c r="G12" s="103"/>
      <c r="H12" s="103"/>
      <c r="I12" s="103"/>
      <c r="J12" s="103"/>
      <c r="K12" s="104"/>
    </row>
  </sheetData>
  <mergeCells count="5">
    <mergeCell ref="C3:K3"/>
    <mergeCell ref="C9:D9"/>
    <mergeCell ref="C10:K10"/>
    <mergeCell ref="C11:K11"/>
    <mergeCell ref="C12:K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C8CE-66F2-4761-B3C1-7C433A61D60B}">
  <dimension ref="C2:F18"/>
  <sheetViews>
    <sheetView topLeftCell="A3" workbookViewId="0">
      <selection activeCell="C17" sqref="C17:F17"/>
    </sheetView>
  </sheetViews>
  <sheetFormatPr defaultRowHeight="15" x14ac:dyDescent="0.25"/>
  <cols>
    <col min="3" max="3" width="23.28515625" customWidth="1"/>
    <col min="4" max="4" width="15.5703125" customWidth="1"/>
    <col min="5" max="5" width="21.42578125" customWidth="1"/>
    <col min="6" max="6" width="18.5703125" bestFit="1" customWidth="1"/>
  </cols>
  <sheetData>
    <row r="2" spans="3:6" ht="15.75" thickBot="1" x14ac:dyDescent="0.3"/>
    <row r="3" spans="3:6" ht="30.75" customHeight="1" x14ac:dyDescent="0.25">
      <c r="C3" s="114" t="s">
        <v>73</v>
      </c>
      <c r="D3" s="115"/>
      <c r="E3" s="115"/>
      <c r="F3" s="116"/>
    </row>
    <row r="4" spans="3:6" ht="42.75" x14ac:dyDescent="0.25">
      <c r="C4" s="45" t="s">
        <v>52</v>
      </c>
      <c r="D4" s="46" t="s">
        <v>74</v>
      </c>
      <c r="E4" s="46" t="s">
        <v>75</v>
      </c>
      <c r="F4" s="47" t="s">
        <v>76</v>
      </c>
    </row>
    <row r="5" spans="3:6" x14ac:dyDescent="0.25">
      <c r="C5" s="48" t="s">
        <v>56</v>
      </c>
      <c r="D5" s="25">
        <v>15.13</v>
      </c>
      <c r="E5" s="37">
        <v>27000000</v>
      </c>
      <c r="F5" s="49">
        <f>(D5*E5)</f>
        <v>408510000</v>
      </c>
    </row>
    <row r="6" spans="3:6" x14ac:dyDescent="0.25">
      <c r="C6" s="48" t="s">
        <v>57</v>
      </c>
      <c r="D6" s="25">
        <v>9.02</v>
      </c>
      <c r="E6" s="37">
        <v>29000000</v>
      </c>
      <c r="F6" s="49">
        <f t="shared" ref="F6:F8" si="0">(D6*E6)</f>
        <v>261580000</v>
      </c>
    </row>
    <row r="7" spans="3:6" x14ac:dyDescent="0.25">
      <c r="C7" s="50" t="s">
        <v>58</v>
      </c>
      <c r="D7" s="40">
        <v>1.79</v>
      </c>
      <c r="E7" s="37">
        <v>10254650</v>
      </c>
      <c r="F7" s="49">
        <f t="shared" si="0"/>
        <v>18355823.5</v>
      </c>
    </row>
    <row r="8" spans="3:6" x14ac:dyDescent="0.25">
      <c r="C8" s="48" t="s">
        <v>59</v>
      </c>
      <c r="D8" s="25">
        <v>0.74</v>
      </c>
      <c r="E8" s="37">
        <v>27000000</v>
      </c>
      <c r="F8" s="49">
        <f t="shared" si="0"/>
        <v>19980000</v>
      </c>
    </row>
    <row r="9" spans="3:6" x14ac:dyDescent="0.25">
      <c r="C9" s="51" t="s">
        <v>60</v>
      </c>
      <c r="D9" s="52">
        <f>SUM(D5:D8)</f>
        <v>26.679999999999996</v>
      </c>
      <c r="E9" s="53"/>
      <c r="F9" s="54">
        <f>SUM(F5:F8)</f>
        <v>708425823.5</v>
      </c>
    </row>
    <row r="10" spans="3:6" x14ac:dyDescent="0.25">
      <c r="C10" s="117" t="s">
        <v>77</v>
      </c>
      <c r="D10" s="118"/>
      <c r="E10" s="55" t="s">
        <v>78</v>
      </c>
      <c r="F10" s="56">
        <f>2*F9</f>
        <v>1416851647</v>
      </c>
    </row>
    <row r="11" spans="3:6" x14ac:dyDescent="0.25">
      <c r="C11" s="105"/>
      <c r="D11" s="106"/>
      <c r="E11" s="106"/>
      <c r="F11" s="107"/>
    </row>
    <row r="12" spans="3:6" x14ac:dyDescent="0.25">
      <c r="C12" s="108" t="s">
        <v>79</v>
      </c>
      <c r="D12" s="109"/>
      <c r="E12" s="57"/>
      <c r="F12" s="58">
        <v>0</v>
      </c>
    </row>
    <row r="13" spans="3:6" x14ac:dyDescent="0.25">
      <c r="C13" s="105"/>
      <c r="D13" s="106"/>
      <c r="E13" s="106"/>
      <c r="F13" s="107"/>
    </row>
    <row r="14" spans="3:6" x14ac:dyDescent="0.25">
      <c r="C14" s="119" t="s">
        <v>80</v>
      </c>
      <c r="D14" s="120"/>
      <c r="E14" s="120"/>
      <c r="F14" s="56">
        <f>F12+F10</f>
        <v>1416851647</v>
      </c>
    </row>
    <row r="15" spans="3:6" x14ac:dyDescent="0.25">
      <c r="C15" s="105"/>
      <c r="D15" s="106"/>
      <c r="E15" s="106"/>
      <c r="F15" s="107"/>
    </row>
    <row r="16" spans="3:6" x14ac:dyDescent="0.25">
      <c r="C16" s="108" t="s">
        <v>81</v>
      </c>
      <c r="D16" s="109"/>
      <c r="E16" s="57" t="s">
        <v>82</v>
      </c>
      <c r="F16" s="49">
        <f>F14*100%</f>
        <v>1416851647</v>
      </c>
    </row>
    <row r="17" spans="3:6" ht="15.75" thickBot="1" x14ac:dyDescent="0.3">
      <c r="C17" s="110"/>
      <c r="D17" s="111"/>
      <c r="E17" s="111"/>
      <c r="F17" s="112"/>
    </row>
    <row r="18" spans="3:6" x14ac:dyDescent="0.25">
      <c r="C18" s="113" t="s">
        <v>83</v>
      </c>
      <c r="D18" s="113"/>
      <c r="E18" s="113"/>
      <c r="F18" s="59">
        <f>F16+F14</f>
        <v>2833703294</v>
      </c>
    </row>
  </sheetData>
  <mergeCells count="10">
    <mergeCell ref="C15:F15"/>
    <mergeCell ref="C16:D16"/>
    <mergeCell ref="C17:F17"/>
    <mergeCell ref="C18:E18"/>
    <mergeCell ref="C3:F3"/>
    <mergeCell ref="C10:D10"/>
    <mergeCell ref="C11:F11"/>
    <mergeCell ref="C12:D12"/>
    <mergeCell ref="C13:F13"/>
    <mergeCell ref="C14:E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61A3-E34E-4FC3-ABBB-D435C7C57818}">
  <dimension ref="D2:P14"/>
  <sheetViews>
    <sheetView topLeftCell="B7" workbookViewId="0">
      <selection activeCell="K4" sqref="K4"/>
    </sheetView>
  </sheetViews>
  <sheetFormatPr defaultRowHeight="15" x14ac:dyDescent="0.25"/>
  <cols>
    <col min="5" max="5" width="43.7109375" customWidth="1"/>
    <col min="6" max="6" width="11.42578125" customWidth="1"/>
    <col min="7" max="7" width="12.28515625" customWidth="1"/>
    <col min="8" max="8" width="21.85546875" bestFit="1" customWidth="1"/>
    <col min="9" max="9" width="21.85546875" customWidth="1"/>
    <col min="10" max="10" width="16.85546875" bestFit="1" customWidth="1"/>
    <col min="11" max="11" width="16.85546875" customWidth="1"/>
    <col min="12" max="12" width="15.85546875" bestFit="1" customWidth="1"/>
    <col min="13" max="13" width="13.28515625" bestFit="1" customWidth="1"/>
    <col min="14" max="14" width="15.85546875" bestFit="1" customWidth="1"/>
    <col min="15" max="15" width="16.85546875" bestFit="1" customWidth="1"/>
    <col min="16" max="16" width="11.5703125" bestFit="1" customWidth="1"/>
  </cols>
  <sheetData>
    <row r="2" spans="4:16" ht="15.75" thickBot="1" x14ac:dyDescent="0.3"/>
    <row r="3" spans="4:16" ht="33" customHeight="1" x14ac:dyDescent="0.25">
      <c r="D3" s="123" t="s">
        <v>84</v>
      </c>
      <c r="E3" s="124"/>
      <c r="F3" s="124"/>
      <c r="G3" s="124"/>
      <c r="H3" s="125"/>
      <c r="I3" s="80"/>
      <c r="J3" s="70">
        <f>H6/F6</f>
        <v>16499999.999999998</v>
      </c>
      <c r="K3" s="70">
        <f>H6/F6</f>
        <v>16499999.999999998</v>
      </c>
    </row>
    <row r="4" spans="4:16" x14ac:dyDescent="0.25">
      <c r="D4" s="126" t="s">
        <v>85</v>
      </c>
      <c r="E4" s="127" t="s">
        <v>86</v>
      </c>
      <c r="F4" s="129" t="s">
        <v>87</v>
      </c>
      <c r="G4" s="130"/>
      <c r="H4" s="131" t="s">
        <v>88</v>
      </c>
      <c r="I4" s="81"/>
    </row>
    <row r="5" spans="4:16" x14ac:dyDescent="0.25">
      <c r="D5" s="126"/>
      <c r="E5" s="128"/>
      <c r="F5" s="62" t="s">
        <v>89</v>
      </c>
      <c r="G5" s="62" t="s">
        <v>90</v>
      </c>
      <c r="H5" s="131"/>
      <c r="I5" s="81"/>
      <c r="N5" s="77" t="s">
        <v>109</v>
      </c>
      <c r="O5" s="77" t="s">
        <v>112</v>
      </c>
      <c r="P5" s="77" t="s">
        <v>111</v>
      </c>
    </row>
    <row r="6" spans="4:16" x14ac:dyDescent="0.25">
      <c r="D6" s="60">
        <v>1</v>
      </c>
      <c r="E6" s="63" t="s">
        <v>91</v>
      </c>
      <c r="F6" s="61">
        <v>65.930000000000007</v>
      </c>
      <c r="G6" s="41">
        <v>26.68</v>
      </c>
      <c r="H6" s="64">
        <f>N6*F6</f>
        <v>1087845000</v>
      </c>
      <c r="I6" s="82"/>
      <c r="N6" s="78">
        <f>16500000</f>
        <v>16500000</v>
      </c>
      <c r="O6" s="79">
        <f>N6/4046.86</f>
        <v>4077.2351897520543</v>
      </c>
      <c r="P6" s="79">
        <f>O6*142</f>
        <v>578967.39694479166</v>
      </c>
    </row>
    <row r="7" spans="4:16" x14ac:dyDescent="0.25">
      <c r="D7" s="71"/>
      <c r="E7" s="63" t="s">
        <v>108</v>
      </c>
      <c r="F7" s="143"/>
      <c r="G7" s="133"/>
      <c r="H7" s="64">
        <f>H6*0.85</f>
        <v>924668250</v>
      </c>
      <c r="I7" s="82"/>
      <c r="J7" s="70">
        <f>H7/F6</f>
        <v>14024999.999999998</v>
      </c>
      <c r="K7" s="70"/>
      <c r="L7" s="70">
        <f>J7/4.84</f>
        <v>2897727.2727272725</v>
      </c>
      <c r="N7" s="74">
        <f>N6/4.84</f>
        <v>3409090.9090909092</v>
      </c>
    </row>
    <row r="8" spans="4:16" x14ac:dyDescent="0.25">
      <c r="D8" s="60">
        <v>2</v>
      </c>
      <c r="E8" s="63" t="s">
        <v>92</v>
      </c>
      <c r="F8" s="132">
        <v>0.05</v>
      </c>
      <c r="G8" s="133"/>
      <c r="H8" s="65">
        <f>H7*5%</f>
        <v>46233412.5</v>
      </c>
      <c r="I8" s="83"/>
      <c r="J8" s="70">
        <f>J7/4046.86</f>
        <v>3465.6499112892461</v>
      </c>
      <c r="K8" s="70"/>
      <c r="L8" s="70">
        <f>J8*142</f>
        <v>492122.28740307293</v>
      </c>
    </row>
    <row r="9" spans="4:16" ht="45" x14ac:dyDescent="0.25">
      <c r="D9" s="60">
        <v>3</v>
      </c>
      <c r="E9" s="63" t="s">
        <v>113</v>
      </c>
      <c r="F9" s="132">
        <v>0.05</v>
      </c>
      <c r="G9" s="133"/>
      <c r="H9" s="65">
        <f>H7*F9</f>
        <v>46233412.5</v>
      </c>
      <c r="I9" s="83"/>
      <c r="J9" s="72">
        <f>H7*5%</f>
        <v>46233412.5</v>
      </c>
      <c r="K9" s="72"/>
      <c r="L9" s="70"/>
      <c r="M9" s="70">
        <f>L9*142</f>
        <v>0</v>
      </c>
      <c r="N9" s="74">
        <f>N6/4046.86</f>
        <v>4077.2351897520543</v>
      </c>
    </row>
    <row r="10" spans="4:16" ht="30" x14ac:dyDescent="0.25">
      <c r="D10" s="60">
        <v>4</v>
      </c>
      <c r="E10" s="66" t="s">
        <v>93</v>
      </c>
      <c r="F10" s="134" t="s">
        <v>94</v>
      </c>
      <c r="G10" s="135"/>
      <c r="H10" s="65">
        <f>F6*250000*90%</f>
        <v>14834250.000000002</v>
      </c>
      <c r="I10" s="83"/>
      <c r="O10" s="70">
        <f>H11-'[1]land valuation'!$K$15</f>
        <v>183120574.99999988</v>
      </c>
    </row>
    <row r="11" spans="4:16" x14ac:dyDescent="0.25">
      <c r="D11" s="136" t="s">
        <v>95</v>
      </c>
      <c r="E11" s="137"/>
      <c r="F11" s="137"/>
      <c r="G11" s="138"/>
      <c r="H11" s="67">
        <f>SUM(H7:H10)</f>
        <v>1031969325</v>
      </c>
      <c r="I11" s="81"/>
      <c r="J11" s="73">
        <f>H10+J9+H8+H7</f>
        <v>1031969325</v>
      </c>
      <c r="K11" s="73"/>
    </row>
    <row r="12" spans="4:16" x14ac:dyDescent="0.25">
      <c r="D12" s="139" t="s">
        <v>96</v>
      </c>
      <c r="E12" s="140"/>
      <c r="F12" s="140"/>
      <c r="G12" s="140"/>
      <c r="H12" s="140"/>
      <c r="I12" s="86"/>
      <c r="J12" s="84">
        <f>J11/F6</f>
        <v>15652499.999999998</v>
      </c>
      <c r="K12" s="75" t="s">
        <v>109</v>
      </c>
      <c r="N12" s="70">
        <f>H11/F6</f>
        <v>15652499.999999998</v>
      </c>
    </row>
    <row r="13" spans="4:16" ht="15.75" customHeight="1" x14ac:dyDescent="0.25">
      <c r="D13" s="141" t="s">
        <v>97</v>
      </c>
      <c r="E13" s="142"/>
      <c r="F13" s="142"/>
      <c r="G13" s="142"/>
      <c r="H13" s="142"/>
      <c r="I13" s="87"/>
      <c r="J13" s="85">
        <f>J12/4046.86</f>
        <v>3867.8135640966075</v>
      </c>
      <c r="K13" s="76" t="s">
        <v>110</v>
      </c>
    </row>
    <row r="14" spans="4:16" ht="33.75" customHeight="1" thickBot="1" x14ac:dyDescent="0.3">
      <c r="D14" s="121" t="s">
        <v>114</v>
      </c>
      <c r="E14" s="122"/>
      <c r="F14" s="122"/>
      <c r="G14" s="122"/>
      <c r="H14" s="122"/>
      <c r="I14" s="87"/>
      <c r="J14" s="85">
        <f>J13*142</f>
        <v>549229.52610171831</v>
      </c>
      <c r="K14" s="76" t="s">
        <v>111</v>
      </c>
      <c r="L14" s="70">
        <f>H11/F6</f>
        <v>15652499.999999998</v>
      </c>
    </row>
  </sheetData>
  <mergeCells count="13">
    <mergeCell ref="D14:H14"/>
    <mergeCell ref="D3:H3"/>
    <mergeCell ref="D4:D5"/>
    <mergeCell ref="E4:E5"/>
    <mergeCell ref="F4:G4"/>
    <mergeCell ref="H4:H5"/>
    <mergeCell ref="F8:G8"/>
    <mergeCell ref="F9:G9"/>
    <mergeCell ref="F10:G10"/>
    <mergeCell ref="D11:G11"/>
    <mergeCell ref="D12:H12"/>
    <mergeCell ref="D13:H13"/>
    <mergeCell ref="F7:G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EF1BA-A4ED-4F85-86D1-2BF4115F2F1D}">
  <dimension ref="D3:J11"/>
  <sheetViews>
    <sheetView workbookViewId="0">
      <selection activeCell="J9" sqref="J9"/>
    </sheetView>
  </sheetViews>
  <sheetFormatPr defaultRowHeight="15" x14ac:dyDescent="0.25"/>
  <cols>
    <col min="4" max="4" width="21.5703125" bestFit="1" customWidth="1"/>
    <col min="5" max="5" width="13.7109375" bestFit="1" customWidth="1"/>
    <col min="6" max="6" width="10.5703125" bestFit="1" customWidth="1"/>
    <col min="7" max="9" width="15.85546875" bestFit="1" customWidth="1"/>
    <col min="10" max="10" width="19.7109375" customWidth="1"/>
  </cols>
  <sheetData>
    <row r="3" spans="4:10" x14ac:dyDescent="0.25">
      <c r="D3" t="s">
        <v>98</v>
      </c>
      <c r="H3" t="s">
        <v>99</v>
      </c>
      <c r="I3" t="s">
        <v>100</v>
      </c>
    </row>
    <row r="4" spans="4:10" x14ac:dyDescent="0.25">
      <c r="D4" t="s">
        <v>101</v>
      </c>
      <c r="E4" t="s">
        <v>102</v>
      </c>
      <c r="F4">
        <v>140</v>
      </c>
      <c r="G4" t="s">
        <v>103</v>
      </c>
      <c r="H4" s="68">
        <v>500000</v>
      </c>
      <c r="I4" s="68">
        <v>600000</v>
      </c>
      <c r="J4">
        <v>700000</v>
      </c>
    </row>
    <row r="6" spans="4:10" x14ac:dyDescent="0.25">
      <c r="D6" t="s">
        <v>104</v>
      </c>
      <c r="E6">
        <f>(H4+I4)/2</f>
        <v>550000</v>
      </c>
    </row>
    <row r="8" spans="4:10" x14ac:dyDescent="0.25">
      <c r="D8" t="s">
        <v>105</v>
      </c>
      <c r="E8">
        <v>4046.86</v>
      </c>
      <c r="F8" t="s">
        <v>106</v>
      </c>
    </row>
    <row r="9" spans="4:10" x14ac:dyDescent="0.25">
      <c r="D9" t="s">
        <v>105</v>
      </c>
      <c r="E9">
        <f>(E8/F4)</f>
        <v>28.906142857142857</v>
      </c>
      <c r="H9" s="69">
        <f>H4*E9</f>
        <v>14453071.428571429</v>
      </c>
      <c r="I9" s="69">
        <f>I4*E9</f>
        <v>17343685.714285713</v>
      </c>
      <c r="J9" s="69">
        <f>J4*E9</f>
        <v>20234300</v>
      </c>
    </row>
    <row r="11" spans="4:10" x14ac:dyDescent="0.25">
      <c r="D11" t="s">
        <v>107</v>
      </c>
      <c r="E11">
        <f>E9*E6</f>
        <v>15898378.571428571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Land area sheet</vt:lpstr>
      <vt:lpstr>Village Details</vt:lpstr>
      <vt:lpstr>Circle_rate</vt:lpstr>
      <vt:lpstr>Land Aqcuisition</vt:lpstr>
      <vt:lpstr>Land Valuation</vt:lpstr>
      <vt:lpstr>Working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Aditya</cp:lastModifiedBy>
  <dcterms:created xsi:type="dcterms:W3CDTF">2022-06-23T06:51:34Z</dcterms:created>
  <dcterms:modified xsi:type="dcterms:W3CDTF">2022-07-05T11:15:49Z</dcterms:modified>
</cp:coreProperties>
</file>