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Y:\Arup Banerjee\BHSL DOCS\BHSL_FV\Rudhauli_VIS(2022-23)-PL073-061-110, BHSL_Rudhauli\Report_&amp;_Working\"/>
    </mc:Choice>
  </mc:AlternateContent>
  <xr:revisionPtr revIDLastSave="0" documentId="13_ncr:1_{01641A61-5743-441B-A19A-2265F550FDE5}" xr6:coauthVersionLast="47" xr6:coauthVersionMax="47" xr10:uidLastSave="{00000000-0000-0000-0000-000000000000}"/>
  <bookViews>
    <workbookView xWindow="-120" yWindow="-120" windowWidth="20730" windowHeight="11160" activeTab="5" xr2:uid="{FDB94DCD-38FD-43B4-A18F-3BA412BFFB5D}"/>
  </bookViews>
  <sheets>
    <sheet name="Sugar" sheetId="1" r:id="rId1"/>
    <sheet name="Sugar_working" sheetId="4" r:id="rId2"/>
    <sheet name="Distillery" sheetId="2" r:id="rId3"/>
    <sheet name="Distillery_Working" sheetId="5" r:id="rId4"/>
    <sheet name="Boundary_Wall" sheetId="8" r:id="rId5"/>
    <sheet name="Summary" sheetId="9" r:id="rId6"/>
    <sheet name="Land_Valuation" sheetId="10" r:id="rId7"/>
    <sheet name="Circle_rate" sheetId="11" r:id="rId8"/>
  </sheets>
  <definedNames>
    <definedName name="_xlnm._FilterDatabase" localSheetId="3" hidden="1">Distillery_Working!$B$4:$W$23</definedName>
    <definedName name="_xlnm._FilterDatabase" localSheetId="1" hidden="1">Sugar_working!$B$4:$W$40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9" i="9" l="1"/>
  <c r="E9" i="9"/>
  <c r="E7" i="9"/>
  <c r="F7" i="9"/>
  <c r="E8" i="9"/>
  <c r="E6" i="9"/>
  <c r="K9" i="10"/>
  <c r="I5" i="10"/>
  <c r="I9" i="10"/>
  <c r="I8" i="11"/>
  <c r="J8" i="11"/>
  <c r="F8" i="11"/>
  <c r="E8" i="11"/>
  <c r="J6" i="11"/>
  <c r="J7" i="11"/>
  <c r="J5" i="11"/>
  <c r="I6" i="11"/>
  <c r="I7" i="11"/>
  <c r="I5" i="11"/>
  <c r="F6" i="11"/>
  <c r="F7" i="11"/>
  <c r="F5" i="11"/>
  <c r="F7" i="10"/>
  <c r="G7" i="10" s="1"/>
  <c r="G8" i="10" s="1"/>
  <c r="G11" i="10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5" i="1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5" i="2"/>
  <c r="J24" i="2"/>
  <c r="J40" i="1"/>
  <c r="R33" i="4"/>
  <c r="S33" i="4" s="1"/>
  <c r="R34" i="4"/>
  <c r="S34" i="4" s="1"/>
  <c r="R35" i="4"/>
  <c r="S35" i="4" s="1"/>
  <c r="R36" i="4"/>
  <c r="S36" i="4" s="1"/>
  <c r="R37" i="4"/>
  <c r="S37" i="4" s="1"/>
  <c r="R38" i="4"/>
  <c r="S38" i="4" s="1"/>
  <c r="R39" i="4"/>
  <c r="S39" i="4" s="1"/>
  <c r="R32" i="4"/>
  <c r="S32" i="4" s="1"/>
  <c r="R31" i="4"/>
  <c r="S31" i="4" s="1"/>
  <c r="R30" i="4"/>
  <c r="S30" i="4" s="1"/>
  <c r="R29" i="4"/>
  <c r="S29" i="4" s="1"/>
  <c r="R28" i="4"/>
  <c r="S28" i="4" s="1"/>
  <c r="K9" i="8"/>
  <c r="K8" i="8"/>
  <c r="K7" i="8"/>
  <c r="K6" i="8"/>
  <c r="G9" i="10" l="1"/>
  <c r="I10" i="10"/>
  <c r="I12" i="10" s="1"/>
  <c r="I8" i="10"/>
  <c r="J8" i="10" s="1"/>
  <c r="G10" i="10"/>
  <c r="I7" i="10"/>
  <c r="K10" i="8"/>
  <c r="G12" i="10" l="1"/>
  <c r="K15" i="10" s="1"/>
  <c r="I13" i="10"/>
  <c r="J13" i="10" s="1"/>
  <c r="I23" i="5"/>
  <c r="I17" i="5"/>
  <c r="J17" i="5" s="1"/>
  <c r="I16" i="5"/>
  <c r="J16" i="5" s="1"/>
  <c r="R23" i="5"/>
  <c r="S23" i="5" s="1"/>
  <c r="P23" i="5"/>
  <c r="M23" i="5"/>
  <c r="J23" i="5"/>
  <c r="H23" i="5"/>
  <c r="R22" i="5"/>
  <c r="S22" i="5" s="1"/>
  <c r="P22" i="5"/>
  <c r="M22" i="5"/>
  <c r="J22" i="5"/>
  <c r="H22" i="5"/>
  <c r="R21" i="5"/>
  <c r="S21" i="5" s="1"/>
  <c r="P21" i="5"/>
  <c r="M21" i="5"/>
  <c r="J21" i="5"/>
  <c r="H21" i="5"/>
  <c r="R20" i="5"/>
  <c r="S20" i="5" s="1"/>
  <c r="P20" i="5"/>
  <c r="M20" i="5"/>
  <c r="J20" i="5"/>
  <c r="H20" i="5"/>
  <c r="R19" i="5"/>
  <c r="S19" i="5" s="1"/>
  <c r="P19" i="5"/>
  <c r="M19" i="5"/>
  <c r="J19" i="5"/>
  <c r="H19" i="5"/>
  <c r="R18" i="5"/>
  <c r="S18" i="5" s="1"/>
  <c r="P18" i="5"/>
  <c r="M18" i="5"/>
  <c r="J18" i="5"/>
  <c r="H18" i="5"/>
  <c r="R17" i="5"/>
  <c r="S17" i="5" s="1"/>
  <c r="P17" i="5"/>
  <c r="M17" i="5"/>
  <c r="H17" i="5"/>
  <c r="R16" i="5"/>
  <c r="S16" i="5" s="1"/>
  <c r="P16" i="5"/>
  <c r="M16" i="5"/>
  <c r="H16" i="5"/>
  <c r="R15" i="5"/>
  <c r="S15" i="5" s="1"/>
  <c r="P15" i="5"/>
  <c r="M15" i="5"/>
  <c r="J15" i="5"/>
  <c r="H15" i="5"/>
  <c r="R14" i="5"/>
  <c r="S14" i="5" s="1"/>
  <c r="P14" i="5"/>
  <c r="M14" i="5"/>
  <c r="J14" i="5"/>
  <c r="H14" i="5"/>
  <c r="R13" i="5"/>
  <c r="S13" i="5" s="1"/>
  <c r="P13" i="5"/>
  <c r="M13" i="5"/>
  <c r="J13" i="5"/>
  <c r="H13" i="5"/>
  <c r="R12" i="5"/>
  <c r="S12" i="5" s="1"/>
  <c r="P12" i="5"/>
  <c r="M12" i="5"/>
  <c r="J12" i="5"/>
  <c r="H12" i="5"/>
  <c r="R11" i="5"/>
  <c r="S11" i="5" s="1"/>
  <c r="P11" i="5"/>
  <c r="M11" i="5"/>
  <c r="J11" i="5"/>
  <c r="H11" i="5"/>
  <c r="R10" i="5"/>
  <c r="S10" i="5" s="1"/>
  <c r="P10" i="5"/>
  <c r="M10" i="5"/>
  <c r="J10" i="5"/>
  <c r="H10" i="5"/>
  <c r="R9" i="5"/>
  <c r="S9" i="5" s="1"/>
  <c r="P9" i="5"/>
  <c r="M9" i="5"/>
  <c r="J9" i="5"/>
  <c r="H9" i="5"/>
  <c r="Z9" i="5" s="1"/>
  <c r="R8" i="5"/>
  <c r="S8" i="5" s="1"/>
  <c r="P8" i="5"/>
  <c r="M8" i="5"/>
  <c r="J8" i="5"/>
  <c r="H8" i="5"/>
  <c r="Z8" i="5" s="1"/>
  <c r="R7" i="5"/>
  <c r="S7" i="5" s="1"/>
  <c r="P7" i="5"/>
  <c r="M7" i="5"/>
  <c r="J7" i="5"/>
  <c r="H7" i="5"/>
  <c r="Z7" i="5" s="1"/>
  <c r="R6" i="5"/>
  <c r="S6" i="5" s="1"/>
  <c r="P6" i="5"/>
  <c r="M6" i="5"/>
  <c r="J6" i="5"/>
  <c r="H6" i="5"/>
  <c r="Z6" i="5" s="1"/>
  <c r="Z5" i="5"/>
  <c r="R5" i="5"/>
  <c r="S5" i="5" s="1"/>
  <c r="P5" i="5"/>
  <c r="M5" i="5"/>
  <c r="J5" i="5"/>
  <c r="H5" i="5"/>
  <c r="P28" i="4"/>
  <c r="P29" i="4"/>
  <c r="P30" i="4"/>
  <c r="P31" i="4"/>
  <c r="P32" i="4"/>
  <c r="P33" i="4"/>
  <c r="P34" i="4"/>
  <c r="P35" i="4"/>
  <c r="P36" i="4"/>
  <c r="P37" i="4"/>
  <c r="P38" i="4"/>
  <c r="P39" i="4"/>
  <c r="M28" i="4"/>
  <c r="M29" i="4"/>
  <c r="M30" i="4"/>
  <c r="M31" i="4"/>
  <c r="M32" i="4"/>
  <c r="M33" i="4"/>
  <c r="M34" i="4"/>
  <c r="M35" i="4"/>
  <c r="M36" i="4"/>
  <c r="M37" i="4"/>
  <c r="M38" i="4"/>
  <c r="M39" i="4"/>
  <c r="J6" i="4"/>
  <c r="J7" i="4"/>
  <c r="J8" i="4"/>
  <c r="J9" i="4"/>
  <c r="J10" i="4"/>
  <c r="J11" i="4"/>
  <c r="J12" i="4"/>
  <c r="J13" i="4"/>
  <c r="J14" i="4"/>
  <c r="J15" i="4"/>
  <c r="J16" i="4"/>
  <c r="J17" i="4"/>
  <c r="J18" i="4"/>
  <c r="J19" i="4"/>
  <c r="J20" i="4"/>
  <c r="J21" i="4"/>
  <c r="J22" i="4"/>
  <c r="J23" i="4"/>
  <c r="J24" i="4"/>
  <c r="J25" i="4"/>
  <c r="J26" i="4"/>
  <c r="J27" i="4"/>
  <c r="J28" i="4"/>
  <c r="J29" i="4"/>
  <c r="J30" i="4"/>
  <c r="J31" i="4"/>
  <c r="J32" i="4"/>
  <c r="J33" i="4"/>
  <c r="J34" i="4"/>
  <c r="J35" i="4"/>
  <c r="J36" i="4"/>
  <c r="J37" i="4"/>
  <c r="J38" i="4"/>
  <c r="J39" i="4"/>
  <c r="J5" i="4"/>
  <c r="H6" i="4"/>
  <c r="Z6" i="4" s="1"/>
  <c r="H7" i="4"/>
  <c r="Z7" i="4" s="1"/>
  <c r="H8" i="4"/>
  <c r="Z8" i="4" s="1"/>
  <c r="H9" i="4"/>
  <c r="Z9" i="4" s="1"/>
  <c r="H10" i="4"/>
  <c r="H11" i="4"/>
  <c r="H12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37" i="4"/>
  <c r="H38" i="4"/>
  <c r="H39" i="4"/>
  <c r="H5" i="4"/>
  <c r="R27" i="4"/>
  <c r="S27" i="4" s="1"/>
  <c r="P27" i="4"/>
  <c r="M27" i="4"/>
  <c r="R26" i="4"/>
  <c r="S26" i="4" s="1"/>
  <c r="P26" i="4"/>
  <c r="M26" i="4"/>
  <c r="R25" i="4"/>
  <c r="S25" i="4" s="1"/>
  <c r="P25" i="4"/>
  <c r="M25" i="4"/>
  <c r="R24" i="4"/>
  <c r="S24" i="4" s="1"/>
  <c r="P24" i="4"/>
  <c r="M24" i="4"/>
  <c r="R23" i="4"/>
  <c r="S23" i="4" s="1"/>
  <c r="P23" i="4"/>
  <c r="M23" i="4"/>
  <c r="R22" i="4"/>
  <c r="S22" i="4" s="1"/>
  <c r="P22" i="4"/>
  <c r="M22" i="4"/>
  <c r="R21" i="4"/>
  <c r="S21" i="4" s="1"/>
  <c r="P21" i="4"/>
  <c r="M21" i="4"/>
  <c r="R20" i="4"/>
  <c r="S20" i="4" s="1"/>
  <c r="P20" i="4"/>
  <c r="M20" i="4"/>
  <c r="R19" i="4"/>
  <c r="S19" i="4" s="1"/>
  <c r="P19" i="4"/>
  <c r="M19" i="4"/>
  <c r="R18" i="4"/>
  <c r="S18" i="4" s="1"/>
  <c r="P18" i="4"/>
  <c r="M18" i="4"/>
  <c r="R17" i="4"/>
  <c r="S17" i="4" s="1"/>
  <c r="P17" i="4"/>
  <c r="M17" i="4"/>
  <c r="R16" i="4"/>
  <c r="S16" i="4" s="1"/>
  <c r="P16" i="4"/>
  <c r="M16" i="4"/>
  <c r="R15" i="4"/>
  <c r="S15" i="4" s="1"/>
  <c r="P15" i="4"/>
  <c r="M15" i="4"/>
  <c r="R14" i="4"/>
  <c r="S14" i="4" s="1"/>
  <c r="P14" i="4"/>
  <c r="M14" i="4"/>
  <c r="R13" i="4"/>
  <c r="S13" i="4" s="1"/>
  <c r="P13" i="4"/>
  <c r="M13" i="4"/>
  <c r="R12" i="4"/>
  <c r="S12" i="4" s="1"/>
  <c r="P12" i="4"/>
  <c r="M12" i="4"/>
  <c r="R11" i="4"/>
  <c r="S11" i="4" s="1"/>
  <c r="P11" i="4"/>
  <c r="M11" i="4"/>
  <c r="R10" i="4"/>
  <c r="S10" i="4" s="1"/>
  <c r="P10" i="4"/>
  <c r="M10" i="4"/>
  <c r="R9" i="4"/>
  <c r="S9" i="4" s="1"/>
  <c r="P9" i="4"/>
  <c r="M9" i="4"/>
  <c r="R8" i="4"/>
  <c r="S8" i="4" s="1"/>
  <c r="P8" i="4"/>
  <c r="M8" i="4"/>
  <c r="R7" i="4"/>
  <c r="S7" i="4" s="1"/>
  <c r="P7" i="4"/>
  <c r="M7" i="4"/>
  <c r="R6" i="4"/>
  <c r="S6" i="4" s="1"/>
  <c r="P6" i="4"/>
  <c r="M6" i="4"/>
  <c r="Z5" i="4"/>
  <c r="R5" i="4"/>
  <c r="S5" i="4" s="1"/>
  <c r="P5" i="4"/>
  <c r="M5" i="4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5" i="2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5" i="1"/>
  <c r="K40" i="1" s="1"/>
  <c r="K11" i="10" l="1"/>
  <c r="S40" i="4"/>
  <c r="T37" i="4"/>
  <c r="U37" i="4" s="1"/>
  <c r="W37" i="4" s="1"/>
  <c r="T36" i="4"/>
  <c r="U36" i="4" s="1"/>
  <c r="W36" i="4" s="1"/>
  <c r="T32" i="4"/>
  <c r="U32" i="4" s="1"/>
  <c r="W32" i="4" s="1"/>
  <c r="T28" i="4"/>
  <c r="U28" i="4" s="1"/>
  <c r="W28" i="4" s="1"/>
  <c r="T33" i="4"/>
  <c r="U33" i="4" s="1"/>
  <c r="W33" i="4" s="1"/>
  <c r="T39" i="4"/>
  <c r="U39" i="4" s="1"/>
  <c r="W39" i="4" s="1"/>
  <c r="T35" i="4"/>
  <c r="U35" i="4" s="1"/>
  <c r="W35" i="4" s="1"/>
  <c r="T31" i="4"/>
  <c r="U31" i="4" s="1"/>
  <c r="W31" i="4" s="1"/>
  <c r="T38" i="4"/>
  <c r="U38" i="4" s="1"/>
  <c r="W38" i="4" s="1"/>
  <c r="T34" i="4"/>
  <c r="U34" i="4" s="1"/>
  <c r="W34" i="4" s="1"/>
  <c r="K24" i="2"/>
  <c r="S24" i="5"/>
  <c r="T30" i="4"/>
  <c r="U30" i="4" s="1"/>
  <c r="W30" i="4" s="1"/>
  <c r="T29" i="4"/>
  <c r="U29" i="4" s="1"/>
  <c r="W29" i="4" s="1"/>
  <c r="T9" i="4"/>
  <c r="U9" i="4" s="1"/>
  <c r="W9" i="4" s="1"/>
  <c r="T11" i="5"/>
  <c r="U11" i="5" s="1"/>
  <c r="W11" i="5" s="1"/>
  <c r="T19" i="5"/>
  <c r="T15" i="5"/>
  <c r="U15" i="5" s="1"/>
  <c r="W15" i="5" s="1"/>
  <c r="T22" i="5"/>
  <c r="U22" i="5" s="1"/>
  <c r="W22" i="5" s="1"/>
  <c r="T23" i="5"/>
  <c r="U23" i="5" s="1"/>
  <c r="W23" i="5" s="1"/>
  <c r="T17" i="5"/>
  <c r="U17" i="5" s="1"/>
  <c r="W17" i="5" s="1"/>
  <c r="T18" i="5"/>
  <c r="U18" i="5" s="1"/>
  <c r="W18" i="5" s="1"/>
  <c r="T13" i="5"/>
  <c r="U13" i="5" s="1"/>
  <c r="W13" i="5" s="1"/>
  <c r="T21" i="5"/>
  <c r="U21" i="5" s="1"/>
  <c r="W21" i="5" s="1"/>
  <c r="T6" i="5"/>
  <c r="U6" i="5" s="1"/>
  <c r="W6" i="5" s="1"/>
  <c r="T8" i="5"/>
  <c r="U8" i="5" s="1"/>
  <c r="W8" i="5" s="1"/>
  <c r="T10" i="5"/>
  <c r="U10" i="5" s="1"/>
  <c r="W10" i="5" s="1"/>
  <c r="T14" i="5"/>
  <c r="U14" i="5" s="1"/>
  <c r="W14" i="5" s="1"/>
  <c r="U19" i="5"/>
  <c r="W19" i="5" s="1"/>
  <c r="T5" i="5"/>
  <c r="T7" i="5"/>
  <c r="U7" i="5" s="1"/>
  <c r="W7" i="5" s="1"/>
  <c r="T9" i="5"/>
  <c r="U9" i="5" s="1"/>
  <c r="W9" i="5" s="1"/>
  <c r="T12" i="5"/>
  <c r="U12" i="5" s="1"/>
  <c r="W12" i="5" s="1"/>
  <c r="T16" i="5"/>
  <c r="U16" i="5" s="1"/>
  <c r="W16" i="5" s="1"/>
  <c r="T20" i="5"/>
  <c r="U20" i="5" s="1"/>
  <c r="W20" i="5" s="1"/>
  <c r="T13" i="4"/>
  <c r="U13" i="4" s="1"/>
  <c r="W13" i="4" s="1"/>
  <c r="T21" i="4"/>
  <c r="U21" i="4" s="1"/>
  <c r="W21" i="4" s="1"/>
  <c r="T25" i="4"/>
  <c r="U25" i="4" s="1"/>
  <c r="W25" i="4" s="1"/>
  <c r="T16" i="4"/>
  <c r="U16" i="4" s="1"/>
  <c r="W16" i="4" s="1"/>
  <c r="T20" i="4"/>
  <c r="U20" i="4" s="1"/>
  <c r="W20" i="4" s="1"/>
  <c r="T15" i="4"/>
  <c r="U15" i="4" s="1"/>
  <c r="W15" i="4" s="1"/>
  <c r="T19" i="4"/>
  <c r="U19" i="4" s="1"/>
  <c r="W19" i="4" s="1"/>
  <c r="T18" i="4"/>
  <c r="U18" i="4" s="1"/>
  <c r="W18" i="4" s="1"/>
  <c r="T22" i="4"/>
  <c r="U22" i="4" s="1"/>
  <c r="W22" i="4" s="1"/>
  <c r="T26" i="4"/>
  <c r="U26" i="4" s="1"/>
  <c r="W26" i="4" s="1"/>
  <c r="T5" i="4"/>
  <c r="T6" i="4"/>
  <c r="U6" i="4" s="1"/>
  <c r="W6" i="4" s="1"/>
  <c r="T7" i="4"/>
  <c r="U7" i="4" s="1"/>
  <c r="W7" i="4" s="1"/>
  <c r="T8" i="4"/>
  <c r="U8" i="4" s="1"/>
  <c r="W8" i="4" s="1"/>
  <c r="T10" i="4"/>
  <c r="U10" i="4" s="1"/>
  <c r="W10" i="4" s="1"/>
  <c r="T11" i="4"/>
  <c r="U11" i="4" s="1"/>
  <c r="W11" i="4" s="1"/>
  <c r="T12" i="4"/>
  <c r="U12" i="4" s="1"/>
  <c r="W12" i="4" s="1"/>
  <c r="T14" i="4"/>
  <c r="U14" i="4" s="1"/>
  <c r="W14" i="4" s="1"/>
  <c r="T17" i="4"/>
  <c r="U17" i="4" s="1"/>
  <c r="W17" i="4" s="1"/>
  <c r="T23" i="4"/>
  <c r="U23" i="4" s="1"/>
  <c r="W23" i="4" s="1"/>
  <c r="T24" i="4"/>
  <c r="U24" i="4" s="1"/>
  <c r="W24" i="4" s="1"/>
  <c r="T27" i="4"/>
  <c r="U27" i="4" s="1"/>
  <c r="W27" i="4" s="1"/>
  <c r="U5" i="4" l="1"/>
  <c r="T40" i="4"/>
  <c r="U5" i="5"/>
  <c r="T24" i="5"/>
  <c r="W5" i="4" l="1"/>
  <c r="U40" i="4"/>
  <c r="W5" i="5"/>
  <c r="W24" i="5" s="1"/>
  <c r="F8" i="9" s="1"/>
  <c r="U24" i="5"/>
  <c r="AA5" i="4" l="1"/>
  <c r="W40" i="4"/>
  <c r="F6" i="9" s="1"/>
</calcChain>
</file>

<file path=xl/sharedStrings.xml><?xml version="1.0" encoding="utf-8"?>
<sst xmlns="http://schemas.openxmlformats.org/spreadsheetml/2006/main" count="588" uniqueCount="178">
  <si>
    <t xml:space="preserve">CIVIL/STRUCTURES VALUATION </t>
  </si>
  <si>
    <t>S.No.</t>
  </si>
  <si>
    <t>Block Name</t>
  </si>
  <si>
    <t>Total Slabs/ Floors</t>
  </si>
  <si>
    <t>Floor wise Height (ft.)</t>
  </si>
  <si>
    <t>Year of construction</t>
  </si>
  <si>
    <t>Structure condition</t>
  </si>
  <si>
    <t>Area (in sq. mtr.)</t>
  </si>
  <si>
    <t>Area (sq. fts.)</t>
  </si>
  <si>
    <t>G+1</t>
  </si>
  <si>
    <t>G</t>
  </si>
  <si>
    <t>G+2</t>
  </si>
  <si>
    <t>G+3</t>
  </si>
  <si>
    <t xml:space="preserve">Road Area </t>
  </si>
  <si>
    <t xml:space="preserve"> Type of construction                     (select from drop down)</t>
  </si>
  <si>
    <t>Sr. No.</t>
  </si>
  <si>
    <t>Floor</t>
  </si>
  <si>
    <t xml:space="preserve">Block Name </t>
  </si>
  <si>
    <t>Construction Category</t>
  </si>
  <si>
    <t>Condition of Structure</t>
  </si>
  <si>
    <r>
      <t xml:space="preserve">Area 
</t>
    </r>
    <r>
      <rPr>
        <i/>
        <sz val="11"/>
        <rFont val="Calibri"/>
        <family val="2"/>
        <scheme val="minor"/>
      </rPr>
      <t>(in sq mtr)</t>
    </r>
  </si>
  <si>
    <r>
      <t xml:space="preserve">Area 
</t>
    </r>
    <r>
      <rPr>
        <i/>
        <sz val="11"/>
        <rFont val="Calibri"/>
        <family val="2"/>
        <scheme val="minor"/>
      </rPr>
      <t>(in sq ft)</t>
    </r>
  </si>
  <si>
    <t>Height (in ft.)</t>
  </si>
  <si>
    <t>Year of Construction</t>
  </si>
  <si>
    <t xml:space="preserve">Year of Valuation </t>
  </si>
  <si>
    <r>
      <t xml:space="preserve">Total Life Consumed 
</t>
    </r>
    <r>
      <rPr>
        <i/>
        <sz val="11"/>
        <rFont val="Calibri"/>
        <family val="2"/>
        <scheme val="minor"/>
      </rPr>
      <t>(in yrs.)</t>
    </r>
  </si>
  <si>
    <r>
      <t xml:space="preserve">Total Economical Life
</t>
    </r>
    <r>
      <rPr>
        <i/>
        <sz val="11"/>
        <rFont val="Calibri"/>
        <family val="2"/>
        <scheme val="minor"/>
      </rPr>
      <t>(in yrs.)</t>
    </r>
  </si>
  <si>
    <t>Salvage value</t>
  </si>
  <si>
    <t>Depreciation Rate</t>
  </si>
  <si>
    <r>
      <t xml:space="preserve">Plinth Area  Rate 
</t>
    </r>
    <r>
      <rPr>
        <i/>
        <sz val="11"/>
        <rFont val="Calibri"/>
        <family val="2"/>
        <scheme val="minor"/>
      </rPr>
      <t>(in per sq.ft.)</t>
    </r>
  </si>
  <si>
    <r>
      <t xml:space="preserve">Plinth Area  Rate 
</t>
    </r>
    <r>
      <rPr>
        <b/>
        <i/>
        <sz val="11"/>
        <rFont val="Calibri"/>
        <family val="2"/>
        <scheme val="minor"/>
      </rPr>
      <t>(</t>
    </r>
    <r>
      <rPr>
        <i/>
        <sz val="11"/>
        <rFont val="Calibri"/>
        <family val="2"/>
        <scheme val="minor"/>
      </rPr>
      <t>In per sq. mtr.</t>
    </r>
    <r>
      <rPr>
        <b/>
        <i/>
        <sz val="11"/>
        <rFont val="Calibri"/>
        <family val="2"/>
        <scheme val="minor"/>
      </rPr>
      <t>)</t>
    </r>
  </si>
  <si>
    <r>
      <t>Gross Replacement Value
(</t>
    </r>
    <r>
      <rPr>
        <i/>
        <sz val="11"/>
        <rFont val="Calibri"/>
        <family val="2"/>
        <scheme val="minor"/>
      </rPr>
      <t>INR</t>
    </r>
    <r>
      <rPr>
        <b/>
        <sz val="11"/>
        <rFont val="Calibri"/>
        <family val="2"/>
        <scheme val="minor"/>
      </rPr>
      <t>)</t>
    </r>
  </si>
  <si>
    <r>
      <t>Total Deterioration 
(</t>
    </r>
    <r>
      <rPr>
        <i/>
        <sz val="11"/>
        <rFont val="Calibri"/>
        <family val="2"/>
        <scheme val="minor"/>
      </rPr>
      <t>INR</t>
    </r>
    <r>
      <rPr>
        <b/>
        <sz val="11"/>
        <rFont val="Calibri"/>
        <family val="2"/>
        <scheme val="minor"/>
      </rPr>
      <t xml:space="preserve">) </t>
    </r>
  </si>
  <si>
    <r>
      <t>Depreciated Value
(</t>
    </r>
    <r>
      <rPr>
        <i/>
        <sz val="11"/>
        <rFont val="Calibri"/>
        <family val="2"/>
        <scheme val="minor"/>
      </rPr>
      <t>INR</t>
    </r>
    <r>
      <rPr>
        <b/>
        <sz val="11"/>
        <rFont val="Calibri"/>
        <family val="2"/>
        <scheme val="minor"/>
      </rPr>
      <t>)</t>
    </r>
  </si>
  <si>
    <r>
      <t xml:space="preserve">Premium </t>
    </r>
    <r>
      <rPr>
        <sz val="11"/>
        <rFont val="Calibri"/>
        <family val="2"/>
        <scheme val="minor"/>
      </rPr>
      <t>(For additional aesthetics or renovation)</t>
    </r>
  </si>
  <si>
    <r>
      <t>Depreciated Replacement Market Value
(</t>
    </r>
    <r>
      <rPr>
        <i/>
        <sz val="11"/>
        <rFont val="Calibri"/>
        <family val="2"/>
        <scheme val="minor"/>
      </rPr>
      <t>INR</t>
    </r>
    <r>
      <rPr>
        <b/>
        <sz val="11"/>
        <rFont val="Calibri"/>
        <family val="2"/>
        <scheme val="minor"/>
      </rPr>
      <t>)</t>
    </r>
  </si>
  <si>
    <r>
      <t>Govt. Guideline rates
(</t>
    </r>
    <r>
      <rPr>
        <i/>
        <sz val="11"/>
        <rFont val="Calibri"/>
        <family val="2"/>
        <scheme val="minor"/>
      </rPr>
      <t>per sq. mtr.</t>
    </r>
    <r>
      <rPr>
        <b/>
        <sz val="11"/>
        <rFont val="Calibri"/>
        <family val="2"/>
        <scheme val="minor"/>
      </rPr>
      <t>)</t>
    </r>
  </si>
  <si>
    <t>Age Factor</t>
  </si>
  <si>
    <t>Total Govt. Guideline value</t>
  </si>
  <si>
    <t>Good</t>
  </si>
  <si>
    <t xml:space="preserve"> </t>
  </si>
  <si>
    <t>Height (in mtr.)</t>
  </si>
  <si>
    <t>Description</t>
  </si>
  <si>
    <t xml:space="preserve">Type of construction  </t>
  </si>
  <si>
    <r>
      <t xml:space="preserve">Area 
</t>
    </r>
    <r>
      <rPr>
        <i/>
        <sz val="11"/>
        <color indexed="8"/>
        <rFont val="Calibri"/>
        <family val="2"/>
      </rPr>
      <t>(in running mtr.)</t>
    </r>
  </si>
  <si>
    <t>Rates adopted</t>
  </si>
  <si>
    <t>Depreciated Replacement Cost</t>
  </si>
  <si>
    <t>Average</t>
  </si>
  <si>
    <t>Total</t>
  </si>
  <si>
    <t>Brick Work</t>
  </si>
  <si>
    <r>
      <t xml:space="preserve">4719
</t>
    </r>
    <r>
      <rPr>
        <i/>
        <sz val="11"/>
        <color indexed="8"/>
        <rFont val="Times New Roman"/>
        <family val="1"/>
      </rPr>
      <t>(in running mtr.)</t>
    </r>
  </si>
  <si>
    <r>
      <t xml:space="preserve">Area
</t>
    </r>
    <r>
      <rPr>
        <i/>
        <sz val="11"/>
        <color indexed="8"/>
        <rFont val="Calibri"/>
        <family val="2"/>
      </rPr>
      <t xml:space="preserve"> (sq. fts.)</t>
    </r>
  </si>
  <si>
    <t>Boundary Wall</t>
  </si>
  <si>
    <t>Out Side Colony</t>
  </si>
  <si>
    <t>Brick Wall with RCC Column</t>
  </si>
  <si>
    <t>Inside Colony</t>
  </si>
  <si>
    <t>Plant Area</t>
  </si>
  <si>
    <t>Distillery Area</t>
  </si>
  <si>
    <t>TOTAL</t>
  </si>
  <si>
    <t>Gross Block</t>
  </si>
  <si>
    <t>Depreciated Fair Market Value</t>
  </si>
  <si>
    <t>Sugar Unit</t>
  </si>
  <si>
    <t>Distellary Area</t>
  </si>
  <si>
    <t>Remarks:</t>
  </si>
  <si>
    <t>1.The covered area statement of the subject project has been taken on the basis of information/ data provided by the company.</t>
  </si>
  <si>
    <t>2. The condition of the structure is average and maintained by the company.</t>
  </si>
  <si>
    <t>3. The Valuation of the building/ civil structures has been done on the basis of 'Depreciated Replacement cost approach'</t>
  </si>
  <si>
    <t>EXTRA AMENITIES BOUNDARY WALLS</t>
  </si>
  <si>
    <t>Administrative Building</t>
  </si>
  <si>
    <t>Mill House</t>
  </si>
  <si>
    <t xml:space="preserve">MILL House Panel Room </t>
  </si>
  <si>
    <t>Boiler</t>
  </si>
  <si>
    <t>Boiler House Panel Room</t>
  </si>
  <si>
    <t>Power House</t>
  </si>
  <si>
    <t>Power House Control Room</t>
  </si>
  <si>
    <t>DG House</t>
  </si>
  <si>
    <t>Boiling House</t>
  </si>
  <si>
    <t>Sugar House</t>
  </si>
  <si>
    <t>Cooling Tower Process</t>
  </si>
  <si>
    <t>Canteen</t>
  </si>
  <si>
    <t>Weigh Bridge</t>
  </si>
  <si>
    <t>Store</t>
  </si>
  <si>
    <t>Sulphur Godown</t>
  </si>
  <si>
    <t>Workshop</t>
  </si>
  <si>
    <t>Fibrizer Panel Room</t>
  </si>
  <si>
    <t>UGR Tank</t>
  </si>
  <si>
    <t>Hospital</t>
  </si>
  <si>
    <t>Cane Enquirey</t>
  </si>
  <si>
    <t>Exise Office</t>
  </si>
  <si>
    <t>Security Office</t>
  </si>
  <si>
    <t>Gunny Bagg Godown</t>
  </si>
  <si>
    <t>Centrifugal Machine Pannel Room</t>
  </si>
  <si>
    <t>continous machine Pannel Room</t>
  </si>
  <si>
    <t>VFD Pannel Room ( Clari)</t>
  </si>
  <si>
    <t>Juice Pump MCC Room</t>
  </si>
  <si>
    <t>Cane Yard Canteen</t>
  </si>
  <si>
    <t>Toilets Near Lab</t>
  </si>
  <si>
    <t>Toilets Near D.M Plant</t>
  </si>
  <si>
    <t>DM Plant Lab</t>
  </si>
  <si>
    <t>Tube Well</t>
  </si>
  <si>
    <t>Sugar Godown</t>
  </si>
  <si>
    <t>Officer's Dormitory</t>
  </si>
  <si>
    <t>Labour Hutment</t>
  </si>
  <si>
    <t xml:space="preserve">Ground Floor </t>
  </si>
  <si>
    <t>Floor wise Height (mtr.)</t>
  </si>
  <si>
    <t>RCC Framed  Structure with RCC roof and brick masonry wall, Kota Stone Flooring in offices, MS  windows , Conduit wiring with Distemper &amp; snowcem painting</t>
  </si>
  <si>
    <t xml:space="preserve">RCC Foundation .MS Structure with AC  Sheeting , brick masonry wall and CC  Flooring </t>
  </si>
  <si>
    <t>RCC Framed  Structure with RCC roof and brick masonry wall,IPS  Flooring, Aluminium Doors/windows , Conduit wiring with Distemper &amp; snowcem painting</t>
  </si>
  <si>
    <t xml:space="preserve">RCC Foundation .MS Structure with GI  Sheeting  and CC  Flooring </t>
  </si>
  <si>
    <t>RCC Framed  Structure with RCC roof and brick masonry wall,Tiles  Flooring, Aluminium Doors/windows , Conduit wiring with Distemper &amp; snowcem painting</t>
  </si>
  <si>
    <t>RCC Framed  Structure with RCC roof</t>
  </si>
  <si>
    <t xml:space="preserve">RCC Foundation &amp; columns .Steel trusses with AC  Sheeting , brick masonry wall and CC  Flooring </t>
  </si>
  <si>
    <t>RCC Framed  Structure with RCC roof and brick masonry wall,IPS  Flooring , MS Doors/windows , Conduit wiring with Distemper &amp; snowcem painting</t>
  </si>
  <si>
    <t>RCC Framed  Structure with RCC roof and brick masonry wall, IPS Flooring , MS  windows , Conduit wiring with Distemper &amp; snowcem painting</t>
  </si>
  <si>
    <t xml:space="preserve">RCC Foundation &amp; column . trusses with AC  Sheeting , brick masonry wall and CC  Flooring </t>
  </si>
  <si>
    <t>RCC Framed  Structure with RCC roof and brick masonry wall,Tiles  Flooring , Aluminium  Doors/windows , Conduit wiring with Distemper &amp; snowcem painting</t>
  </si>
  <si>
    <t>Brick masonry wall and IPS  Flooring ,Steel trusses with AC  Sheeting ,</t>
  </si>
  <si>
    <t>RCC Framed  Structure with RCC roof and brick masonry wall,Tiles  Flooring , MS Doors/windows , Conduit wiring with Distemper &amp; snowcem painting</t>
  </si>
  <si>
    <t xml:space="preserve">RCC Foundation &amp; columns .Steel trusses with Colour coated  Sheeting , brick masonry wall and CC  Flooring </t>
  </si>
  <si>
    <t>Two Storey building , RCC Framed  Structure with RCC roof and brick masonry wall ,Tiles Flooring ,Kota Stone flooring in corridors &amp; halls ,Z frames , Flush door shutters , Glazed window with commercial sanitary fillings &amp; white wash , Distemper  painting</t>
  </si>
  <si>
    <t>Brick masonry wall, AC Sheet Roofing, IPS  Flooring ,MS Steel Doors</t>
  </si>
  <si>
    <t>Time office</t>
  </si>
  <si>
    <t>Security office</t>
  </si>
  <si>
    <t>Store / Security Berrack</t>
  </si>
  <si>
    <t>60T Weigh Bridge</t>
  </si>
  <si>
    <t>Ware &amp; pump House</t>
  </si>
  <si>
    <t>Fermentation House</t>
  </si>
  <si>
    <t>MCC Control room &amp; Lab building</t>
  </si>
  <si>
    <t>Distillation House</t>
  </si>
  <si>
    <t>Softener plant lab building</t>
  </si>
  <si>
    <t>Maintenance Berrack</t>
  </si>
  <si>
    <t>Mollasses pit</t>
  </si>
  <si>
    <t>30 TPH Boiler House</t>
  </si>
  <si>
    <t>ESP, MCC, DMW plant buliding</t>
  </si>
  <si>
    <t>3MW Power House</t>
  </si>
  <si>
    <t>BGE Room</t>
  </si>
  <si>
    <t>Biogas Scrubber pump house</t>
  </si>
  <si>
    <t>Biogas plant Lab building</t>
  </si>
  <si>
    <t>Bio-compost Lab &amp; MCC building</t>
  </si>
  <si>
    <t>RCC Framed  Structure with AC  Sheet roof and brick masonry wall, IPS  Flooring ,MS Steel Doors/windows , Conduit wiring with White Wash &amp; snowcem painting</t>
  </si>
  <si>
    <t xml:space="preserve">RCC Found.MS Structure with AC  Sheet roof and IPS  Flooring </t>
  </si>
  <si>
    <t>Two Storey building,RCC Framed  Structure with RCC roof and brick masonry wall,Kota Stone  Flooring , Aluminium Doors/windows , Conduit wiring with Distemper &amp; snowcem painting</t>
  </si>
  <si>
    <t>RCC Framed  Structure with RCC roof and brick masonry wall,IPS  Flooring , Aluminium Doors/windows , Conduit wiring with Distemper &amp; snowcem painting</t>
  </si>
  <si>
    <t>Brick masonry wall, AC Sheet Roofing, IPS  Flooring ,MS Steel Doors/windows , Conduit wiring with Distemper &amp; snowcem painting</t>
  </si>
  <si>
    <t>Floor Wise Height (ft.)</t>
  </si>
  <si>
    <t>Continous machine Pannel Room</t>
  </si>
  <si>
    <t>S.r. No.</t>
  </si>
  <si>
    <t>Particulars</t>
  </si>
  <si>
    <t>Orignal Land area</t>
  </si>
  <si>
    <t>Land rate (INR/Acre)</t>
  </si>
  <si>
    <t>Fair Market Value (INR)</t>
  </si>
  <si>
    <t>Acres</t>
  </si>
  <si>
    <t>Hectares</t>
  </si>
  <si>
    <t>Subject Land</t>
  </si>
  <si>
    <t>Add 5% premium for non agriculture land</t>
  </si>
  <si>
    <t>Add: Land Development, Site Levelling charges e.t.c (assumed 90% of the land developed)</t>
  </si>
  <si>
    <t>At Rs. 2.5 Lakh  per acre</t>
  </si>
  <si>
    <t>Grand Total</t>
  </si>
  <si>
    <t>Notes :</t>
  </si>
  <si>
    <t>1. Land area details has been provided to us by the company, which is relied upon in good faith.</t>
  </si>
  <si>
    <t>Land Rate</t>
  </si>
  <si>
    <t xml:space="preserve"> MARKET VALUE OF STRUCTURES OF M/S. BAJAJ HINDUSTHAN SUGAR LIMITED.| PROPERTY OF INDUSTRIAL PROPERTY | SITUATED AT: VILLAGE- RUDHAULI, U.P</t>
  </si>
  <si>
    <t xml:space="preserve">  MARKET VALUE OF STRUCTURES OF M/S. BAJAJ HINDUSTHAN SUGAR LIMITED.| PROPERTY OF INDUSTRIAL PROPERTY | SITUATED AT: VILLAGE- RUDHAULI, U.P</t>
  </si>
  <si>
    <t>Fair Market Value of Land of : M/S. BAJAJ HINDUSTHAN SUGAR LIMITED, RUDHAULI, UTTAR PRADESH</t>
  </si>
  <si>
    <t>Village Name</t>
  </si>
  <si>
    <t>Guideline Value Non-Agricultural land</t>
  </si>
  <si>
    <t>Athdama/Rudhauli</t>
  </si>
  <si>
    <t>Gandharia/Bhanpur</t>
  </si>
  <si>
    <t>Bugrug</t>
  </si>
  <si>
    <r>
      <t xml:space="preserve">Guideline rate
</t>
    </r>
    <r>
      <rPr>
        <sz val="11"/>
        <color theme="1"/>
        <rFont val="Calibri"/>
        <family val="2"/>
        <scheme val="minor"/>
      </rPr>
      <t>(Non-Agricultural land)</t>
    </r>
  </si>
  <si>
    <r>
      <t>Guideline Value Agricultural land</t>
    </r>
    <r>
      <rPr>
        <sz val="11"/>
        <color theme="1"/>
        <rFont val="Calibri"/>
        <family val="2"/>
        <scheme val="minor"/>
      </rPr>
      <t xml:space="preserve"> </t>
    </r>
  </si>
  <si>
    <r>
      <t xml:space="preserve">Guideline rate
</t>
    </r>
    <r>
      <rPr>
        <sz val="11"/>
        <color theme="1"/>
        <rFont val="Calibri"/>
        <family val="2"/>
        <scheme val="minor"/>
      </rPr>
      <t>(Agricultural land)</t>
    </r>
  </si>
  <si>
    <r>
      <t xml:space="preserve">Land Area
</t>
    </r>
    <r>
      <rPr>
        <sz val="11"/>
        <color theme="1"/>
        <rFont val="Calibri"/>
        <family val="2"/>
        <scheme val="minor"/>
      </rPr>
      <t>(in sq.mtr.)</t>
    </r>
  </si>
  <si>
    <r>
      <t xml:space="preserve">Land Area
</t>
    </r>
    <r>
      <rPr>
        <sz val="11"/>
        <color theme="1"/>
        <rFont val="Calibri"/>
        <family val="2"/>
        <scheme val="minor"/>
      </rPr>
      <t>(in hectare)</t>
    </r>
  </si>
  <si>
    <t>20% discount for large parcel of land</t>
  </si>
  <si>
    <t>Add 5% for cost &amp; effort considerations to cover administrative cost, effort towards land acquisition &amp; consolidation e.t.c.</t>
  </si>
  <si>
    <t>2. As per our calculations, the market rate for the subject property is comes out to be Rs.35,00,000/- per acres, which seems to be reasonable in our view.</t>
  </si>
  <si>
    <t>BUILDING/ CIVIL STRUCTURE | BAJAJ HINDUSTHAN SUGAR LIMITED | RUDAULI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</si>
</sst>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 &quot;₹&quot;\ * #,##0.00_ ;_ &quot;₹&quot;\ * \-#,##0.00_ ;_ &quot;₹&quot;\ * &quot;-&quot;??_ ;_ @_ "/>
    <numFmt numFmtId="43" formatCode="_ * #,##0.00_ ;_ * \-#,##0.00_ ;_ * &quot;-&quot;??_ ;_ @_ "/>
    <numFmt numFmtId="164" formatCode="0.000"/>
    <numFmt numFmtId="165" formatCode="_ [$₹-4009]\ * #,##0.00_ ;_ [$₹-4009]\ * \-#,##0.00_ ;_ [$₹-4009]\ * &quot;-&quot;??_ ;_ @_ "/>
    <numFmt numFmtId="166" formatCode="_ [$₹-4009]\ * #,##0_ ;_ [$₹-4009]\ * \-#,##0_ ;_ [$₹-4009]\ * &quot;-&quot;??_ ;_ @_ "/>
    <numFmt numFmtId="167" formatCode="_ &quot;₹&quot;\ * #,##0_ ;_ &quot;₹&quot;\ * \-#,##0_ ;_ &quot;₹&quot;\ * &quot;-&quot;??_ ;_ @_ "/>
    <numFmt numFmtId="168" formatCode="0.0"/>
    <numFmt numFmtId="169" formatCode="[$₹-860]\ #,##0"/>
    <numFmt numFmtId="170" formatCode="[$₹-860]\ #,##0.0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indexed="9"/>
      <name val="Times New Roman"/>
      <family val="1"/>
      <charset val="1"/>
    </font>
    <font>
      <b/>
      <sz val="11"/>
      <color indexed="8"/>
      <name val="Times New Roman"/>
      <family val="1"/>
      <charset val="1"/>
    </font>
    <font>
      <sz val="11"/>
      <color indexed="8"/>
      <name val="Times New Roman"/>
      <family val="1"/>
      <charset val="1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2"/>
      <color indexed="9"/>
      <name val="Calibri"/>
      <family val="2"/>
    </font>
    <font>
      <i/>
      <sz val="11"/>
      <color indexed="8"/>
      <name val="Calibri"/>
      <family val="2"/>
    </font>
    <font>
      <i/>
      <sz val="11"/>
      <color indexed="8"/>
      <name val="Times New Roman"/>
      <family val="1"/>
    </font>
    <font>
      <b/>
      <sz val="10"/>
      <color indexed="8"/>
      <name val="Arial"/>
      <family val="2"/>
    </font>
    <font>
      <b/>
      <sz val="11"/>
      <name val="Times New Roman"/>
      <family val="1"/>
      <charset val="1"/>
    </font>
    <font>
      <sz val="11"/>
      <name val="Times New Roman"/>
      <family val="1"/>
      <charset val="1"/>
    </font>
    <font>
      <b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0"/>
      <name val="Calibri"/>
      <family val="2"/>
    </font>
    <font>
      <b/>
      <sz val="11"/>
      <color indexed="8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indexed="44"/>
        <bgColor indexed="31"/>
      </patternFill>
    </fill>
    <fill>
      <patternFill patternType="solid">
        <fgColor theme="4" tint="-0.499984740745262"/>
        <bgColor indexed="62"/>
      </patternFill>
    </fill>
    <fill>
      <patternFill patternType="solid">
        <fgColor rgb="FF1E366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56"/>
        <bgColor indexed="63"/>
      </patternFill>
    </fill>
    <fill>
      <patternFill patternType="solid">
        <fgColor theme="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4" fontId="1" fillId="0" borderId="0" applyFont="0" applyFill="0" applyBorder="0" applyAlignment="0" applyProtection="0"/>
    <xf numFmtId="0" fontId="13" fillId="0" borderId="0"/>
  </cellStyleXfs>
  <cellXfs count="176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8" fillId="5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/>
    </xf>
    <xf numFmtId="0" fontId="8" fillId="6" borderId="2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2" fontId="12" fillId="0" borderId="1" xfId="0" applyNumberFormat="1" applyFont="1" applyBorder="1" applyAlignment="1">
      <alignment horizontal="center" vertical="center" wrapText="1"/>
    </xf>
    <xf numFmtId="164" fontId="12" fillId="0" borderId="1" xfId="0" applyNumberFormat="1" applyFont="1" applyBorder="1" applyAlignment="1">
      <alignment horizontal="center" vertical="center" wrapText="1"/>
    </xf>
    <xf numFmtId="165" fontId="12" fillId="0" borderId="1" xfId="0" applyNumberFormat="1" applyFont="1" applyBorder="1" applyAlignment="1">
      <alignment horizontal="center" vertical="center" wrapText="1"/>
    </xf>
    <xf numFmtId="166" fontId="12" fillId="0" borderId="1" xfId="0" applyNumberFormat="1" applyFont="1" applyBorder="1" applyAlignment="1">
      <alignment horizontal="center" vertical="center" wrapText="1"/>
    </xf>
    <xf numFmtId="165" fontId="0" fillId="0" borderId="2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6" fontId="0" fillId="0" borderId="1" xfId="0" applyNumberForma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2" fontId="5" fillId="0" borderId="0" xfId="0" applyNumberFormat="1" applyFont="1" applyBorder="1" applyAlignment="1">
      <alignment horizontal="center" vertical="center"/>
    </xf>
    <xf numFmtId="1" fontId="5" fillId="0" borderId="0" xfId="0" applyNumberFormat="1" applyFont="1" applyBorder="1" applyAlignment="1">
      <alignment horizontal="center" vertical="center"/>
    </xf>
    <xf numFmtId="0" fontId="0" fillId="0" borderId="1" xfId="0" applyBorder="1"/>
    <xf numFmtId="1" fontId="5" fillId="0" borderId="1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2" fontId="12" fillId="0" borderId="0" xfId="0" applyNumberFormat="1" applyFont="1" applyBorder="1" applyAlignment="1">
      <alignment horizontal="center" vertical="center" wrapText="1"/>
    </xf>
    <xf numFmtId="164" fontId="12" fillId="0" borderId="0" xfId="0" applyNumberFormat="1" applyFont="1" applyBorder="1" applyAlignment="1">
      <alignment horizontal="center" vertical="center" wrapText="1"/>
    </xf>
    <xf numFmtId="0" fontId="0" fillId="0" borderId="0" xfId="0" applyBorder="1"/>
    <xf numFmtId="0" fontId="5" fillId="0" borderId="0" xfId="0" applyFont="1" applyFill="1" applyBorder="1" applyAlignment="1">
      <alignment horizontal="center" vertical="center" wrapText="1"/>
    </xf>
    <xf numFmtId="0" fontId="7" fillId="0" borderId="1" xfId="0" applyFont="1" applyBorder="1"/>
    <xf numFmtId="166" fontId="7" fillId="0" borderId="1" xfId="0" applyNumberFormat="1" applyFont="1" applyBorder="1"/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165" fontId="12" fillId="0" borderId="1" xfId="0" applyNumberFormat="1" applyFont="1" applyFill="1" applyBorder="1" applyAlignment="1">
      <alignment horizontal="center" vertical="center" wrapText="1"/>
    </xf>
    <xf numFmtId="166" fontId="12" fillId="0" borderId="1" xfId="0" applyNumberFormat="1" applyFont="1" applyFill="1" applyBorder="1" applyAlignment="1">
      <alignment horizontal="center" vertical="center" wrapText="1"/>
    </xf>
    <xf numFmtId="0" fontId="0" fillId="0" borderId="0" xfId="0" applyFill="1"/>
    <xf numFmtId="2" fontId="12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1" fontId="5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 wrapText="1"/>
    </xf>
    <xf numFmtId="164" fontId="12" fillId="0" borderId="0" xfId="0" applyNumberFormat="1" applyFont="1" applyFill="1" applyBorder="1" applyAlignment="1">
      <alignment horizontal="center" vertical="center" wrapText="1"/>
    </xf>
    <xf numFmtId="165" fontId="12" fillId="0" borderId="0" xfId="0" applyNumberFormat="1" applyFont="1" applyFill="1" applyBorder="1" applyAlignment="1">
      <alignment horizontal="center" vertical="center" wrapText="1"/>
    </xf>
    <xf numFmtId="166" fontId="12" fillId="0" borderId="0" xfId="0" applyNumberFormat="1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Border="1"/>
    <xf numFmtId="0" fontId="17" fillId="5" borderId="1" xfId="4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vertical="center"/>
    </xf>
    <xf numFmtId="0" fontId="11" fillId="0" borderId="1" xfId="0" applyFont="1" applyBorder="1" applyAlignment="1">
      <alignment horizontal="center"/>
    </xf>
    <xf numFmtId="0" fontId="11" fillId="0" borderId="1" xfId="0" applyFont="1" applyBorder="1"/>
    <xf numFmtId="166" fontId="0" fillId="0" borderId="0" xfId="0" applyNumberFormat="1"/>
    <xf numFmtId="166" fontId="11" fillId="0" borderId="1" xfId="0" applyNumberFormat="1" applyFont="1" applyBorder="1"/>
    <xf numFmtId="166" fontId="19" fillId="0" borderId="1" xfId="0" applyNumberFormat="1" applyFont="1" applyBorder="1" applyAlignment="1">
      <alignment vertical="center"/>
    </xf>
    <xf numFmtId="165" fontId="0" fillId="0" borderId="0" xfId="0" applyNumberFormat="1"/>
    <xf numFmtId="165" fontId="12" fillId="0" borderId="2" xfId="0" applyNumberFormat="1" applyFont="1" applyBorder="1" applyAlignment="1">
      <alignment horizontal="center" vertical="center" wrapText="1"/>
    </xf>
    <xf numFmtId="166" fontId="20" fillId="0" borderId="1" xfId="0" applyNumberFormat="1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166" fontId="20" fillId="5" borderId="1" xfId="0" applyNumberFormat="1" applyFont="1" applyFill="1" applyBorder="1" applyAlignment="1">
      <alignment horizontal="center" vertical="center" wrapText="1"/>
    </xf>
    <xf numFmtId="1" fontId="12" fillId="0" borderId="1" xfId="0" applyNumberFormat="1" applyFont="1" applyBorder="1" applyAlignment="1">
      <alignment horizontal="center" vertical="center" wrapText="1"/>
    </xf>
    <xf numFmtId="166" fontId="7" fillId="5" borderId="1" xfId="0" applyNumberFormat="1" applyFont="1" applyFill="1" applyBorder="1"/>
    <xf numFmtId="0" fontId="7" fillId="5" borderId="1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167" fontId="8" fillId="0" borderId="1" xfId="0" applyNumberFormat="1" applyFont="1" applyBorder="1" applyAlignment="1">
      <alignment horizontal="center" vertical="center"/>
    </xf>
    <xf numFmtId="166" fontId="0" fillId="0" borderId="1" xfId="0" applyNumberFormat="1" applyBorder="1"/>
    <xf numFmtId="166" fontId="8" fillId="0" borderId="2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5" fillId="0" borderId="3" xfId="0" applyFont="1" applyBorder="1" applyAlignment="1">
      <alignment horizontal="center" vertical="center"/>
    </xf>
    <xf numFmtId="2" fontId="5" fillId="0" borderId="0" xfId="0" applyNumberFormat="1" applyFont="1" applyBorder="1" applyAlignment="1">
      <alignment horizontal="right" vertical="center"/>
    </xf>
    <xf numFmtId="0" fontId="22" fillId="0" borderId="8" xfId="0" applyFont="1" applyFill="1" applyBorder="1" applyAlignment="1">
      <alignment horizontal="left" vertical="top"/>
    </xf>
    <xf numFmtId="0" fontId="0" fillId="0" borderId="8" xfId="0" applyFill="1" applyBorder="1" applyAlignment="1">
      <alignment horizontal="center" vertical="center"/>
    </xf>
    <xf numFmtId="2" fontId="0" fillId="0" borderId="8" xfId="0" applyNumberFormat="1" applyFill="1" applyBorder="1" applyAlignment="1">
      <alignment horizontal="center" vertical="center"/>
    </xf>
    <xf numFmtId="0" fontId="22" fillId="0" borderId="8" xfId="0" applyFont="1" applyFill="1" applyBorder="1" applyAlignment="1">
      <alignment horizontal="left" vertical="top" wrapText="1"/>
    </xf>
    <xf numFmtId="168" fontId="0" fillId="0" borderId="8" xfId="0" applyNumberForma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left" vertical="top"/>
    </xf>
    <xf numFmtId="0" fontId="0" fillId="0" borderId="1" xfId="0" applyFill="1" applyBorder="1" applyAlignment="1">
      <alignment horizontal="center" vertical="center"/>
    </xf>
    <xf numFmtId="2" fontId="0" fillId="0" borderId="1" xfId="0" applyNumberForma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left" vertical="top" wrapText="1"/>
    </xf>
    <xf numFmtId="168" fontId="0" fillId="0" borderId="1" xfId="0" applyNumberFormat="1" applyFill="1" applyBorder="1" applyAlignment="1">
      <alignment horizontal="center" vertical="center"/>
    </xf>
    <xf numFmtId="0" fontId="22" fillId="0" borderId="3" xfId="0" applyFont="1" applyFill="1" applyBorder="1" applyAlignment="1">
      <alignment horizontal="left" vertical="top"/>
    </xf>
    <xf numFmtId="0" fontId="0" fillId="0" borderId="3" xfId="0" applyFill="1" applyBorder="1" applyAlignment="1">
      <alignment horizontal="center" vertical="center"/>
    </xf>
    <xf numFmtId="0" fontId="22" fillId="0" borderId="3" xfId="0" applyFont="1" applyFill="1" applyBorder="1" applyAlignment="1">
      <alignment horizontal="left" vertical="top" wrapText="1"/>
    </xf>
    <xf numFmtId="168" fontId="0" fillId="0" borderId="3" xfId="0" applyNumberFormat="1" applyFill="1" applyBorder="1" applyAlignment="1">
      <alignment horizontal="center" vertical="center"/>
    </xf>
    <xf numFmtId="1" fontId="5" fillId="0" borderId="1" xfId="0" applyNumberFormat="1" applyFont="1" applyBorder="1" applyAlignment="1">
      <alignment horizontal="right" vertical="center"/>
    </xf>
    <xf numFmtId="1" fontId="23" fillId="0" borderId="1" xfId="0" applyNumberFormat="1" applyFont="1" applyBorder="1" applyAlignment="1">
      <alignment horizontal="center" vertical="center"/>
    </xf>
    <xf numFmtId="1" fontId="0" fillId="0" borderId="8" xfId="0" applyNumberFormat="1" applyFill="1" applyBorder="1" applyAlignment="1">
      <alignment horizontal="center" vertical="center"/>
    </xf>
    <xf numFmtId="1" fontId="0" fillId="0" borderId="1" xfId="0" applyNumberFormat="1" applyFill="1" applyBorder="1" applyAlignment="1">
      <alignment horizontal="center" vertical="center"/>
    </xf>
    <xf numFmtId="0" fontId="22" fillId="0" borderId="8" xfId="0" applyFont="1" applyFill="1" applyBorder="1" applyAlignment="1">
      <alignment horizontal="left" vertical="center"/>
    </xf>
    <xf numFmtId="0" fontId="12" fillId="0" borderId="3" xfId="0" applyFont="1" applyBorder="1" applyAlignment="1">
      <alignment horizontal="center" vertical="center" wrapText="1"/>
    </xf>
    <xf numFmtId="2" fontId="12" fillId="0" borderId="3" xfId="0" applyNumberFormat="1" applyFont="1" applyBorder="1" applyAlignment="1">
      <alignment horizontal="center" vertical="center" wrapText="1"/>
    </xf>
    <xf numFmtId="1" fontId="5" fillId="0" borderId="3" xfId="0" applyNumberFormat="1" applyFont="1" applyBorder="1" applyAlignment="1">
      <alignment horizontal="center" vertical="center"/>
    </xf>
    <xf numFmtId="164" fontId="12" fillId="0" borderId="3" xfId="0" applyNumberFormat="1" applyFont="1" applyBorder="1" applyAlignment="1">
      <alignment horizontal="center" vertical="center" wrapText="1"/>
    </xf>
    <xf numFmtId="165" fontId="12" fillId="0" borderId="3" xfId="0" applyNumberFormat="1" applyFont="1" applyFill="1" applyBorder="1" applyAlignment="1">
      <alignment horizontal="center" vertical="center" wrapText="1"/>
    </xf>
    <xf numFmtId="166" fontId="12" fillId="0" borderId="3" xfId="0" applyNumberFormat="1" applyFont="1" applyFill="1" applyBorder="1" applyAlignment="1">
      <alignment horizontal="center" vertical="center" wrapText="1"/>
    </xf>
    <xf numFmtId="166" fontId="12" fillId="0" borderId="3" xfId="0" applyNumberFormat="1" applyFont="1" applyBorder="1" applyAlignment="1">
      <alignment horizontal="center" vertical="center" wrapText="1"/>
    </xf>
    <xf numFmtId="0" fontId="22" fillId="0" borderId="8" xfId="0" applyFont="1" applyFill="1" applyBorder="1" applyAlignment="1">
      <alignment horizontal="center" vertical="top"/>
    </xf>
    <xf numFmtId="0" fontId="22" fillId="0" borderId="1" xfId="0" applyFont="1" applyFill="1" applyBorder="1" applyAlignment="1">
      <alignment horizontal="center" vertical="top"/>
    </xf>
    <xf numFmtId="0" fontId="22" fillId="0" borderId="3" xfId="0" applyFont="1" applyFill="1" applyBorder="1" applyAlignment="1">
      <alignment horizontal="center" vertical="top"/>
    </xf>
    <xf numFmtId="0" fontId="22" fillId="0" borderId="1" xfId="0" applyFont="1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22" fillId="0" borderId="8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2" fontId="5" fillId="0" borderId="0" xfId="0" applyNumberFormat="1" applyFont="1" applyFill="1" applyBorder="1" applyAlignment="1">
      <alignment horizontal="right" vertical="center" wrapText="1"/>
    </xf>
    <xf numFmtId="1" fontId="5" fillId="0" borderId="0" xfId="0" applyNumberFormat="1" applyFont="1" applyFill="1" applyBorder="1" applyAlignment="1">
      <alignment horizontal="right" vertical="center"/>
    </xf>
    <xf numFmtId="2" fontId="5" fillId="0" borderId="0" xfId="0" applyNumberFormat="1" applyFont="1" applyFill="1" applyBorder="1" applyAlignment="1">
      <alignment horizontal="right" vertical="center"/>
    </xf>
    <xf numFmtId="169" fontId="0" fillId="0" borderId="1" xfId="0" applyNumberFormat="1" applyBorder="1" applyAlignment="1">
      <alignment horizontal="center"/>
    </xf>
    <xf numFmtId="44" fontId="0" fillId="0" borderId="1" xfId="3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44" fontId="0" fillId="0" borderId="0" xfId="0" applyNumberFormat="1"/>
    <xf numFmtId="167" fontId="0" fillId="0" borderId="0" xfId="3" applyNumberFormat="1" applyFont="1"/>
    <xf numFmtId="167" fontId="0" fillId="0" borderId="1" xfId="3" applyNumberFormat="1" applyFont="1" applyBorder="1" applyAlignment="1">
      <alignment horizontal="center" vertical="center"/>
    </xf>
    <xf numFmtId="0" fontId="7" fillId="5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7" fillId="5" borderId="1" xfId="0" applyFont="1" applyFill="1" applyBorder="1" applyAlignment="1">
      <alignment horizontal="center" wrapText="1"/>
    </xf>
    <xf numFmtId="167" fontId="0" fillId="0" borderId="1" xfId="3" applyNumberFormat="1" applyFont="1" applyBorder="1" applyAlignment="1">
      <alignment horizontal="center"/>
    </xf>
    <xf numFmtId="167" fontId="7" fillId="0" borderId="1" xfId="0" applyNumberFormat="1" applyFont="1" applyBorder="1"/>
    <xf numFmtId="167" fontId="0" fillId="0" borderId="0" xfId="0" applyNumberFormat="1"/>
    <xf numFmtId="167" fontId="7" fillId="0" borderId="0" xfId="0" applyNumberFormat="1" applyFont="1"/>
    <xf numFmtId="170" fontId="0" fillId="0" borderId="0" xfId="0" applyNumberFormat="1"/>
    <xf numFmtId="0" fontId="7" fillId="0" borderId="0" xfId="0" applyFont="1" applyBorder="1" applyAlignment="1">
      <alignment horizontal="center" vertical="center" wrapText="1"/>
    </xf>
    <xf numFmtId="44" fontId="0" fillId="0" borderId="0" xfId="3" applyFont="1" applyBorder="1" applyAlignment="1">
      <alignment horizontal="center" vertical="center"/>
    </xf>
    <xf numFmtId="167" fontId="0" fillId="0" borderId="0" xfId="3" applyNumberFormat="1" applyFont="1" applyBorder="1" applyAlignment="1">
      <alignment horizontal="center" vertical="center"/>
    </xf>
    <xf numFmtId="0" fontId="21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left" vertical="top" wrapText="1"/>
    </xf>
    <xf numFmtId="0" fontId="6" fillId="0" borderId="0" xfId="0" applyFont="1" applyFill="1" applyAlignment="1">
      <alignment horizontal="center" wrapText="1"/>
    </xf>
    <xf numFmtId="167" fontId="8" fillId="0" borderId="1" xfId="0" applyNumberFormat="1" applyFont="1" applyBorder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/>
    </xf>
    <xf numFmtId="0" fontId="14" fillId="7" borderId="1" xfId="4" applyFont="1" applyFill="1" applyBorder="1" applyAlignment="1">
      <alignment horizontal="center" vertical="center"/>
    </xf>
    <xf numFmtId="0" fontId="17" fillId="5" borderId="4" xfId="4" applyFont="1" applyFill="1" applyBorder="1" applyAlignment="1">
      <alignment horizontal="center" vertical="center" wrapText="1"/>
    </xf>
    <xf numFmtId="0" fontId="17" fillId="5" borderId="2" xfId="4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4" fillId="7" borderId="1" xfId="4" applyFont="1" applyFill="1" applyBorder="1" applyAlignment="1">
      <alignment horizontal="center" vertical="center" wrapText="1"/>
    </xf>
    <xf numFmtId="0" fontId="7" fillId="5" borderId="4" xfId="0" applyFont="1" applyFill="1" applyBorder="1" applyAlignment="1">
      <alignment horizontal="center" vertical="center"/>
    </xf>
    <xf numFmtId="0" fontId="7" fillId="5" borderId="2" xfId="0" applyFont="1" applyFill="1" applyBorder="1" applyAlignment="1">
      <alignment horizontal="center" vertical="center"/>
    </xf>
    <xf numFmtId="0" fontId="0" fillId="0" borderId="4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21" fillId="0" borderId="4" xfId="0" applyFont="1" applyBorder="1" applyAlignment="1">
      <alignment horizontal="left" vertical="center"/>
    </xf>
    <xf numFmtId="0" fontId="21" fillId="0" borderId="7" xfId="0" applyFont="1" applyBorder="1" applyAlignment="1">
      <alignment horizontal="left" vertical="center"/>
    </xf>
    <xf numFmtId="0" fontId="21" fillId="0" borderId="2" xfId="0" applyFont="1" applyBorder="1" applyAlignment="1">
      <alignment horizontal="left" vertical="center"/>
    </xf>
    <xf numFmtId="0" fontId="21" fillId="0" borderId="4" xfId="0" applyFont="1" applyBorder="1" applyAlignment="1">
      <alignment horizontal="left" vertical="center" wrapText="1"/>
    </xf>
    <xf numFmtId="0" fontId="21" fillId="0" borderId="7" xfId="0" applyFont="1" applyBorder="1" applyAlignment="1">
      <alignment horizontal="left" vertical="center" wrapText="1"/>
    </xf>
    <xf numFmtId="0" fontId="21" fillId="0" borderId="2" xfId="0" applyFont="1" applyBorder="1" applyAlignment="1">
      <alignment horizontal="left" vertical="center" wrapText="1"/>
    </xf>
    <xf numFmtId="0" fontId="6" fillId="8" borderId="0" xfId="0" applyFont="1" applyFill="1" applyAlignment="1">
      <alignment horizont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left" vertical="top" wrapText="1"/>
    </xf>
    <xf numFmtId="9" fontId="0" fillId="0" borderId="9" xfId="0" applyNumberFormat="1" applyBorder="1" applyAlignment="1">
      <alignment horizontal="center" vertical="center"/>
    </xf>
    <xf numFmtId="9" fontId="0" fillId="0" borderId="5" xfId="0" applyNumberFormat="1" applyBorder="1" applyAlignment="1">
      <alignment horizontal="center" vertical="center"/>
    </xf>
    <xf numFmtId="9" fontId="0" fillId="0" borderId="10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7" fillId="0" borderId="4" xfId="0" applyFont="1" applyBorder="1" applyAlignment="1">
      <alignment horizontal="left"/>
    </xf>
    <xf numFmtId="0" fontId="7" fillId="0" borderId="7" xfId="0" applyFont="1" applyBorder="1" applyAlignment="1">
      <alignment horizontal="left"/>
    </xf>
    <xf numFmtId="0" fontId="21" fillId="0" borderId="1" xfId="0" applyFont="1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2" xfId="0" applyBorder="1" applyAlignment="1">
      <alignment horizontal="left"/>
    </xf>
  </cellXfs>
  <cellStyles count="5">
    <cellStyle name="Comma 2" xfId="1" xr:uid="{7674AEB9-59AA-4BF4-9AA8-7D43C3D9D7C4}"/>
    <cellStyle name="Currency" xfId="3" builtinId="4"/>
    <cellStyle name="Excel Built-in Normal" xfId="4" xr:uid="{2D6623C1-4912-4C97-B164-9E083E5291D7}"/>
    <cellStyle name="Normal" xfId="0" builtinId="0"/>
    <cellStyle name="Normal 3" xfId="2" xr:uid="{69214E0D-2F28-4E0F-8587-B4BBA26A961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567CEB-EF36-4291-9DA3-7CCBEBB560B3}">
  <sheetPr>
    <tabColor theme="0" tint="-4.9989318521683403E-2"/>
  </sheetPr>
  <dimension ref="B3:M53"/>
  <sheetViews>
    <sheetView topLeftCell="A37" workbookViewId="0">
      <selection activeCell="M5" sqref="M5"/>
    </sheetView>
  </sheetViews>
  <sheetFormatPr defaultRowHeight="15" x14ac:dyDescent="0.25"/>
  <cols>
    <col min="2" max="2" width="6" bestFit="1" customWidth="1"/>
    <col min="3" max="3" width="21.140625" style="6" customWidth="1"/>
    <col min="4" max="4" width="14.7109375" customWidth="1"/>
    <col min="5" max="6" width="16.42578125" customWidth="1"/>
    <col min="7" max="7" width="14.28515625" customWidth="1"/>
    <col min="8" max="8" width="26.7109375" style="6" customWidth="1"/>
    <col min="9" max="10" width="13.42578125" customWidth="1"/>
    <col min="11" max="11" width="14.28515625" customWidth="1"/>
  </cols>
  <sheetData>
    <row r="3" spans="2:13" ht="15.75" x14ac:dyDescent="0.25">
      <c r="B3" s="133" t="s">
        <v>0</v>
      </c>
      <c r="C3" s="133"/>
      <c r="D3" s="133"/>
      <c r="E3" s="133"/>
      <c r="F3" s="133"/>
      <c r="G3" s="133"/>
      <c r="H3" s="133"/>
      <c r="I3" s="133"/>
      <c r="J3" s="133"/>
      <c r="K3" s="133"/>
    </row>
    <row r="4" spans="2:13" ht="28.5" x14ac:dyDescent="0.25">
      <c r="B4" s="1" t="s">
        <v>1</v>
      </c>
      <c r="C4" s="1" t="s">
        <v>2</v>
      </c>
      <c r="D4" s="1" t="s">
        <v>3</v>
      </c>
      <c r="E4" s="1" t="s">
        <v>104</v>
      </c>
      <c r="F4" s="1" t="s">
        <v>4</v>
      </c>
      <c r="G4" s="1" t="s">
        <v>5</v>
      </c>
      <c r="H4" s="1" t="s">
        <v>14</v>
      </c>
      <c r="I4" s="1" t="s">
        <v>6</v>
      </c>
      <c r="J4" s="2" t="s">
        <v>7</v>
      </c>
      <c r="K4" s="1" t="s">
        <v>8</v>
      </c>
    </row>
    <row r="5" spans="2:13" ht="76.5" x14ac:dyDescent="0.25">
      <c r="B5" s="3">
        <v>1</v>
      </c>
      <c r="C5" s="74" t="s">
        <v>68</v>
      </c>
      <c r="D5" s="75" t="s">
        <v>103</v>
      </c>
      <c r="E5" s="76">
        <v>4</v>
      </c>
      <c r="F5" s="76">
        <f>E5*3.28084</f>
        <v>13.12336</v>
      </c>
      <c r="G5" s="75">
        <v>2007</v>
      </c>
      <c r="H5" s="77" t="s">
        <v>105</v>
      </c>
      <c r="I5" s="34" t="s">
        <v>47</v>
      </c>
      <c r="J5" s="78">
        <v>925</v>
      </c>
      <c r="K5" s="4">
        <f>J5*10.7639</f>
        <v>9956.6075000000001</v>
      </c>
    </row>
    <row r="6" spans="2:13" ht="38.25" x14ac:dyDescent="0.25">
      <c r="B6" s="3">
        <v>2</v>
      </c>
      <c r="C6" s="79" t="s">
        <v>69</v>
      </c>
      <c r="D6" s="80" t="s">
        <v>103</v>
      </c>
      <c r="E6" s="81">
        <v>19</v>
      </c>
      <c r="F6" s="76">
        <f t="shared" ref="F6:F39" si="0">E6*3.28084</f>
        <v>62.33596</v>
      </c>
      <c r="G6" s="75">
        <v>2007</v>
      </c>
      <c r="H6" s="82" t="s">
        <v>106</v>
      </c>
      <c r="I6" s="34" t="s">
        <v>47</v>
      </c>
      <c r="J6" s="83">
        <v>3377</v>
      </c>
      <c r="K6" s="4">
        <f t="shared" ref="K6:K39" si="1">J6*10.7639</f>
        <v>36349.690300000002</v>
      </c>
      <c r="M6" t="s">
        <v>40</v>
      </c>
    </row>
    <row r="7" spans="2:13" ht="76.5" x14ac:dyDescent="0.25">
      <c r="B7" s="3">
        <v>3</v>
      </c>
      <c r="C7" s="79" t="s">
        <v>70</v>
      </c>
      <c r="D7" s="80" t="s">
        <v>103</v>
      </c>
      <c r="E7" s="81">
        <v>4</v>
      </c>
      <c r="F7" s="76">
        <f t="shared" si="0"/>
        <v>13.12336</v>
      </c>
      <c r="G7" s="75">
        <v>2007</v>
      </c>
      <c r="H7" s="82" t="s">
        <v>107</v>
      </c>
      <c r="I7" s="34" t="s">
        <v>47</v>
      </c>
      <c r="J7" s="83">
        <v>732</v>
      </c>
      <c r="K7" s="4">
        <f t="shared" si="1"/>
        <v>7879.1747999999998</v>
      </c>
    </row>
    <row r="8" spans="2:13" ht="38.25" x14ac:dyDescent="0.25">
      <c r="B8" s="3">
        <v>4</v>
      </c>
      <c r="C8" s="79" t="s">
        <v>71</v>
      </c>
      <c r="D8" s="80" t="s">
        <v>103</v>
      </c>
      <c r="E8" s="81">
        <v>25.95</v>
      </c>
      <c r="F8" s="76">
        <f t="shared" si="0"/>
        <v>85.137798000000004</v>
      </c>
      <c r="G8" s="75">
        <v>2007</v>
      </c>
      <c r="H8" s="82" t="s">
        <v>108</v>
      </c>
      <c r="I8" s="34" t="s">
        <v>47</v>
      </c>
      <c r="J8" s="83">
        <v>510</v>
      </c>
      <c r="K8" s="4">
        <f t="shared" si="1"/>
        <v>5489.5889999999999</v>
      </c>
    </row>
    <row r="9" spans="2:13" ht="76.5" x14ac:dyDescent="0.25">
      <c r="B9" s="3">
        <v>5</v>
      </c>
      <c r="C9" s="79" t="s">
        <v>72</v>
      </c>
      <c r="D9" s="80" t="s">
        <v>103</v>
      </c>
      <c r="E9" s="81">
        <v>3.85</v>
      </c>
      <c r="F9" s="76">
        <f t="shared" si="0"/>
        <v>12.631234000000001</v>
      </c>
      <c r="G9" s="75">
        <v>2007</v>
      </c>
      <c r="H9" s="82" t="s">
        <v>109</v>
      </c>
      <c r="I9" s="34" t="s">
        <v>47</v>
      </c>
      <c r="J9" s="83">
        <v>488</v>
      </c>
      <c r="K9" s="4">
        <f t="shared" si="1"/>
        <v>5252.7831999999999</v>
      </c>
    </row>
    <row r="10" spans="2:13" ht="38.25" x14ac:dyDescent="0.25">
      <c r="B10" s="3">
        <v>6</v>
      </c>
      <c r="C10" s="79" t="s">
        <v>73</v>
      </c>
      <c r="D10" s="80" t="s">
        <v>103</v>
      </c>
      <c r="E10" s="81">
        <v>19</v>
      </c>
      <c r="F10" s="76">
        <f t="shared" si="0"/>
        <v>62.33596</v>
      </c>
      <c r="G10" s="75">
        <v>2007</v>
      </c>
      <c r="H10" s="82" t="s">
        <v>106</v>
      </c>
      <c r="I10" s="34" t="s">
        <v>47</v>
      </c>
      <c r="J10" s="83">
        <v>1125</v>
      </c>
      <c r="K10" s="4">
        <f t="shared" si="1"/>
        <v>12109.387499999999</v>
      </c>
    </row>
    <row r="11" spans="2:13" ht="76.5" x14ac:dyDescent="0.25">
      <c r="B11" s="3">
        <v>7</v>
      </c>
      <c r="C11" s="79" t="s">
        <v>74</v>
      </c>
      <c r="D11" s="80" t="s">
        <v>103</v>
      </c>
      <c r="E11" s="81">
        <v>4</v>
      </c>
      <c r="F11" s="76">
        <f t="shared" si="0"/>
        <v>13.12336</v>
      </c>
      <c r="G11" s="75">
        <v>2007</v>
      </c>
      <c r="H11" s="82" t="s">
        <v>109</v>
      </c>
      <c r="I11" s="34" t="s">
        <v>47</v>
      </c>
      <c r="J11" s="83">
        <v>504</v>
      </c>
      <c r="K11" s="4">
        <f t="shared" si="1"/>
        <v>5425.0055999999995</v>
      </c>
    </row>
    <row r="12" spans="2:13" ht="38.25" x14ac:dyDescent="0.25">
      <c r="B12" s="5">
        <v>8</v>
      </c>
      <c r="C12" s="79" t="s">
        <v>75</v>
      </c>
      <c r="D12" s="80" t="s">
        <v>103</v>
      </c>
      <c r="E12" s="81">
        <v>5</v>
      </c>
      <c r="F12" s="76">
        <f t="shared" si="0"/>
        <v>16.404199999999999</v>
      </c>
      <c r="G12" s="75">
        <v>2007</v>
      </c>
      <c r="H12" s="82" t="s">
        <v>106</v>
      </c>
      <c r="I12" s="34" t="s">
        <v>47</v>
      </c>
      <c r="J12" s="83">
        <v>420</v>
      </c>
      <c r="K12" s="4">
        <f t="shared" si="1"/>
        <v>4520.8379999999997</v>
      </c>
    </row>
    <row r="13" spans="2:13" ht="38.25" x14ac:dyDescent="0.25">
      <c r="B13" s="5">
        <v>9</v>
      </c>
      <c r="C13" s="79" t="s">
        <v>76</v>
      </c>
      <c r="D13" s="80" t="s">
        <v>103</v>
      </c>
      <c r="E13" s="81">
        <v>26</v>
      </c>
      <c r="F13" s="76">
        <f t="shared" si="0"/>
        <v>85.301839999999999</v>
      </c>
      <c r="G13" s="75">
        <v>2007</v>
      </c>
      <c r="H13" s="82" t="s">
        <v>106</v>
      </c>
      <c r="I13" s="34" t="s">
        <v>47</v>
      </c>
      <c r="J13" s="83">
        <v>4896</v>
      </c>
      <c r="K13" s="4">
        <f t="shared" si="1"/>
        <v>52700.054400000001</v>
      </c>
    </row>
    <row r="14" spans="2:13" ht="38.25" x14ac:dyDescent="0.25">
      <c r="B14" s="5">
        <v>10</v>
      </c>
      <c r="C14" s="79" t="s">
        <v>77</v>
      </c>
      <c r="D14" s="80" t="s">
        <v>103</v>
      </c>
      <c r="E14" s="81">
        <v>26</v>
      </c>
      <c r="F14" s="76">
        <f t="shared" si="0"/>
        <v>85.301839999999999</v>
      </c>
      <c r="G14" s="75">
        <v>2007</v>
      </c>
      <c r="H14" s="82" t="s">
        <v>106</v>
      </c>
      <c r="I14" s="34" t="s">
        <v>47</v>
      </c>
      <c r="J14" s="83">
        <v>1872</v>
      </c>
      <c r="K14" s="4">
        <f t="shared" si="1"/>
        <v>20150.020799999998</v>
      </c>
    </row>
    <row r="15" spans="2:13" ht="25.5" x14ac:dyDescent="0.25">
      <c r="B15" s="5">
        <v>11</v>
      </c>
      <c r="C15" s="79" t="s">
        <v>78</v>
      </c>
      <c r="D15" s="80" t="s">
        <v>103</v>
      </c>
      <c r="E15" s="81">
        <v>9.59</v>
      </c>
      <c r="F15" s="76">
        <f t="shared" si="0"/>
        <v>31.4632556</v>
      </c>
      <c r="G15" s="75">
        <v>2007</v>
      </c>
      <c r="H15" s="82" t="s">
        <v>110</v>
      </c>
      <c r="I15" s="34" t="s">
        <v>47</v>
      </c>
      <c r="J15" s="83">
        <v>730</v>
      </c>
      <c r="K15" s="4">
        <f t="shared" si="1"/>
        <v>7857.6469999999999</v>
      </c>
    </row>
    <row r="16" spans="2:13" ht="51" x14ac:dyDescent="0.25">
      <c r="B16" s="5">
        <v>12</v>
      </c>
      <c r="C16" s="79" t="s">
        <v>79</v>
      </c>
      <c r="D16" s="80" t="s">
        <v>103</v>
      </c>
      <c r="E16" s="81">
        <v>4</v>
      </c>
      <c r="F16" s="76">
        <f t="shared" si="0"/>
        <v>13.12336</v>
      </c>
      <c r="G16" s="75">
        <v>2007</v>
      </c>
      <c r="H16" s="82" t="s">
        <v>111</v>
      </c>
      <c r="I16" s="34" t="s">
        <v>47</v>
      </c>
      <c r="J16" s="83">
        <v>472</v>
      </c>
      <c r="K16" s="4">
        <f t="shared" si="1"/>
        <v>5080.5608000000002</v>
      </c>
    </row>
    <row r="17" spans="2:11" ht="63.75" x14ac:dyDescent="0.25">
      <c r="B17" s="5">
        <v>13</v>
      </c>
      <c r="C17" s="79" t="s">
        <v>80</v>
      </c>
      <c r="D17" s="80" t="s">
        <v>103</v>
      </c>
      <c r="E17" s="81">
        <v>3</v>
      </c>
      <c r="F17" s="76">
        <f t="shared" si="0"/>
        <v>9.8425200000000004</v>
      </c>
      <c r="G17" s="75">
        <v>2007</v>
      </c>
      <c r="H17" s="82" t="s">
        <v>112</v>
      </c>
      <c r="I17" s="34" t="s">
        <v>47</v>
      </c>
      <c r="J17" s="83">
        <v>74</v>
      </c>
      <c r="K17" s="4">
        <f t="shared" si="1"/>
        <v>796.52859999999998</v>
      </c>
    </row>
    <row r="18" spans="2:11" ht="51" x14ac:dyDescent="0.25">
      <c r="B18" s="5">
        <v>14</v>
      </c>
      <c r="C18" s="79" t="s">
        <v>81</v>
      </c>
      <c r="D18" s="80" t="s">
        <v>103</v>
      </c>
      <c r="E18" s="81">
        <v>8</v>
      </c>
      <c r="F18" s="76">
        <f t="shared" si="0"/>
        <v>26.24672</v>
      </c>
      <c r="G18" s="75">
        <v>2007</v>
      </c>
      <c r="H18" s="82" t="s">
        <v>111</v>
      </c>
      <c r="I18" s="34" t="s">
        <v>47</v>
      </c>
      <c r="J18" s="83">
        <v>600</v>
      </c>
      <c r="K18" s="4">
        <f t="shared" si="1"/>
        <v>6458.34</v>
      </c>
    </row>
    <row r="19" spans="2:11" ht="51" x14ac:dyDescent="0.25">
      <c r="B19" s="5">
        <v>15</v>
      </c>
      <c r="C19" s="79" t="s">
        <v>82</v>
      </c>
      <c r="D19" s="80" t="s">
        <v>103</v>
      </c>
      <c r="E19" s="81">
        <v>8</v>
      </c>
      <c r="F19" s="76">
        <f t="shared" si="0"/>
        <v>26.24672</v>
      </c>
      <c r="G19" s="75">
        <v>2007</v>
      </c>
      <c r="H19" s="82" t="s">
        <v>111</v>
      </c>
      <c r="I19" s="34" t="s">
        <v>47</v>
      </c>
      <c r="J19" s="83">
        <v>360</v>
      </c>
      <c r="K19" s="4">
        <f t="shared" si="1"/>
        <v>3875.0039999999999</v>
      </c>
    </row>
    <row r="20" spans="2:11" ht="38.25" x14ac:dyDescent="0.25">
      <c r="B20" s="5">
        <v>16</v>
      </c>
      <c r="C20" s="79" t="s">
        <v>83</v>
      </c>
      <c r="D20" s="80" t="s">
        <v>103</v>
      </c>
      <c r="E20" s="81">
        <v>19</v>
      </c>
      <c r="F20" s="76">
        <f t="shared" si="0"/>
        <v>62.33596</v>
      </c>
      <c r="G20" s="75">
        <v>2007</v>
      </c>
      <c r="H20" s="82" t="s">
        <v>106</v>
      </c>
      <c r="I20" s="34" t="s">
        <v>47</v>
      </c>
      <c r="J20" s="83">
        <v>375</v>
      </c>
      <c r="K20" s="4">
        <f t="shared" si="1"/>
        <v>4036.4624999999996</v>
      </c>
    </row>
    <row r="21" spans="2:11" ht="63.75" x14ac:dyDescent="0.25">
      <c r="B21" s="5">
        <v>17</v>
      </c>
      <c r="C21" s="79" t="s">
        <v>84</v>
      </c>
      <c r="D21" s="80" t="s">
        <v>103</v>
      </c>
      <c r="E21" s="81">
        <v>8</v>
      </c>
      <c r="F21" s="76">
        <f t="shared" si="0"/>
        <v>26.24672</v>
      </c>
      <c r="G21" s="75">
        <v>2007</v>
      </c>
      <c r="H21" s="82" t="s">
        <v>112</v>
      </c>
      <c r="I21" s="34" t="s">
        <v>47</v>
      </c>
      <c r="J21" s="83">
        <v>95</v>
      </c>
      <c r="K21" s="4">
        <f t="shared" si="1"/>
        <v>1022.5704999999999</v>
      </c>
    </row>
    <row r="22" spans="2:11" ht="25.5" x14ac:dyDescent="0.25">
      <c r="B22" s="5">
        <v>18</v>
      </c>
      <c r="C22" s="79" t="s">
        <v>85</v>
      </c>
      <c r="D22" s="80" t="s">
        <v>103</v>
      </c>
      <c r="E22" s="81">
        <v>2.5</v>
      </c>
      <c r="F22" s="76">
        <f t="shared" si="0"/>
        <v>8.2020999999999997</v>
      </c>
      <c r="G22" s="75">
        <v>2007</v>
      </c>
      <c r="H22" s="82" t="s">
        <v>110</v>
      </c>
      <c r="I22" s="34" t="s">
        <v>47</v>
      </c>
      <c r="J22" s="83">
        <v>730</v>
      </c>
      <c r="K22" s="4">
        <f t="shared" si="1"/>
        <v>7857.6469999999999</v>
      </c>
    </row>
    <row r="23" spans="2:11" ht="63.75" x14ac:dyDescent="0.25">
      <c r="B23" s="5">
        <v>19</v>
      </c>
      <c r="C23" s="79" t="s">
        <v>86</v>
      </c>
      <c r="D23" s="80" t="s">
        <v>103</v>
      </c>
      <c r="E23" s="81">
        <v>3</v>
      </c>
      <c r="F23" s="76">
        <f t="shared" si="0"/>
        <v>9.8425200000000004</v>
      </c>
      <c r="G23" s="75">
        <v>2007</v>
      </c>
      <c r="H23" s="82" t="s">
        <v>113</v>
      </c>
      <c r="I23" s="34" t="s">
        <v>47</v>
      </c>
      <c r="J23" s="83">
        <v>53</v>
      </c>
      <c r="K23" s="4">
        <f t="shared" si="1"/>
        <v>570.48669999999993</v>
      </c>
    </row>
    <row r="24" spans="2:11" ht="63.75" x14ac:dyDescent="0.25">
      <c r="B24" s="5">
        <v>20</v>
      </c>
      <c r="C24" s="79" t="s">
        <v>87</v>
      </c>
      <c r="D24" s="80" t="s">
        <v>103</v>
      </c>
      <c r="E24" s="81">
        <v>3</v>
      </c>
      <c r="F24" s="76">
        <f t="shared" si="0"/>
        <v>9.8425200000000004</v>
      </c>
      <c r="G24" s="75">
        <v>2007</v>
      </c>
      <c r="H24" s="82" t="s">
        <v>113</v>
      </c>
      <c r="I24" s="34" t="s">
        <v>47</v>
      </c>
      <c r="J24" s="83">
        <v>6</v>
      </c>
      <c r="K24" s="4">
        <f t="shared" si="1"/>
        <v>64.583399999999997</v>
      </c>
    </row>
    <row r="25" spans="2:11" ht="63.75" x14ac:dyDescent="0.25">
      <c r="B25" s="5">
        <v>21</v>
      </c>
      <c r="C25" s="79" t="s">
        <v>88</v>
      </c>
      <c r="D25" s="80" t="s">
        <v>103</v>
      </c>
      <c r="E25" s="81">
        <v>3</v>
      </c>
      <c r="F25" s="76">
        <f t="shared" si="0"/>
        <v>9.8425200000000004</v>
      </c>
      <c r="G25" s="75">
        <v>2007</v>
      </c>
      <c r="H25" s="82" t="s">
        <v>113</v>
      </c>
      <c r="I25" s="34" t="s">
        <v>47</v>
      </c>
      <c r="J25" s="83">
        <v>22</v>
      </c>
      <c r="K25" s="4">
        <f t="shared" si="1"/>
        <v>236.80579999999998</v>
      </c>
    </row>
    <row r="26" spans="2:11" ht="63.75" x14ac:dyDescent="0.25">
      <c r="B26" s="5">
        <v>22</v>
      </c>
      <c r="C26" s="79" t="s">
        <v>89</v>
      </c>
      <c r="D26" s="80" t="s">
        <v>103</v>
      </c>
      <c r="E26" s="81">
        <v>3</v>
      </c>
      <c r="F26" s="76">
        <f t="shared" si="0"/>
        <v>9.8425200000000004</v>
      </c>
      <c r="G26" s="75">
        <v>2007</v>
      </c>
      <c r="H26" s="82" t="s">
        <v>113</v>
      </c>
      <c r="I26" s="34" t="s">
        <v>47</v>
      </c>
      <c r="J26" s="83">
        <v>6</v>
      </c>
      <c r="K26" s="4">
        <f t="shared" si="1"/>
        <v>64.583399999999997</v>
      </c>
    </row>
    <row r="27" spans="2:11" ht="38.25" x14ac:dyDescent="0.25">
      <c r="B27" s="5">
        <v>23</v>
      </c>
      <c r="C27" s="79" t="s">
        <v>90</v>
      </c>
      <c r="D27" s="80" t="s">
        <v>103</v>
      </c>
      <c r="E27" s="81">
        <v>5</v>
      </c>
      <c r="F27" s="76">
        <f t="shared" si="0"/>
        <v>16.404199999999999</v>
      </c>
      <c r="G27" s="75">
        <v>2007</v>
      </c>
      <c r="H27" s="82" t="s">
        <v>114</v>
      </c>
      <c r="I27" s="34" t="s">
        <v>47</v>
      </c>
      <c r="J27" s="83">
        <v>608</v>
      </c>
      <c r="K27" s="4">
        <f t="shared" si="1"/>
        <v>6544.4511999999995</v>
      </c>
    </row>
    <row r="28" spans="2:11" ht="76.5" x14ac:dyDescent="0.25">
      <c r="B28" s="5">
        <v>24</v>
      </c>
      <c r="C28" s="79" t="s">
        <v>91</v>
      </c>
      <c r="D28" s="80" t="s">
        <v>103</v>
      </c>
      <c r="E28" s="81">
        <v>6</v>
      </c>
      <c r="F28" s="76">
        <f t="shared" si="0"/>
        <v>19.685040000000001</v>
      </c>
      <c r="G28" s="75">
        <v>2007</v>
      </c>
      <c r="H28" s="82" t="s">
        <v>115</v>
      </c>
      <c r="I28" s="34" t="s">
        <v>47</v>
      </c>
      <c r="J28" s="83">
        <v>630</v>
      </c>
      <c r="K28" s="4">
        <f t="shared" si="1"/>
        <v>6781.2569999999996</v>
      </c>
    </row>
    <row r="29" spans="2:11" ht="76.5" x14ac:dyDescent="0.25">
      <c r="B29" s="5">
        <v>25</v>
      </c>
      <c r="C29" s="79" t="s">
        <v>92</v>
      </c>
      <c r="D29" s="80" t="s">
        <v>103</v>
      </c>
      <c r="E29" s="81">
        <v>6</v>
      </c>
      <c r="F29" s="76">
        <f t="shared" si="0"/>
        <v>19.685040000000001</v>
      </c>
      <c r="G29" s="75">
        <v>2007</v>
      </c>
      <c r="H29" s="82" t="s">
        <v>115</v>
      </c>
      <c r="I29" s="34" t="s">
        <v>47</v>
      </c>
      <c r="J29" s="83">
        <v>75</v>
      </c>
      <c r="K29" s="4">
        <f t="shared" si="1"/>
        <v>807.29250000000002</v>
      </c>
    </row>
    <row r="30" spans="2:11" ht="76.5" x14ac:dyDescent="0.25">
      <c r="B30" s="5">
        <v>26</v>
      </c>
      <c r="C30" s="79" t="s">
        <v>93</v>
      </c>
      <c r="D30" s="80" t="s">
        <v>103</v>
      </c>
      <c r="E30" s="81">
        <v>3</v>
      </c>
      <c r="F30" s="76">
        <f t="shared" si="0"/>
        <v>9.8425200000000004</v>
      </c>
      <c r="G30" s="75">
        <v>2007</v>
      </c>
      <c r="H30" s="82" t="s">
        <v>115</v>
      </c>
      <c r="I30" s="34" t="s">
        <v>47</v>
      </c>
      <c r="J30" s="83">
        <v>50</v>
      </c>
      <c r="K30" s="4">
        <f t="shared" si="1"/>
        <v>538.19499999999994</v>
      </c>
    </row>
    <row r="31" spans="2:11" ht="76.5" x14ac:dyDescent="0.25">
      <c r="B31" s="5">
        <v>27</v>
      </c>
      <c r="C31" s="79" t="s">
        <v>94</v>
      </c>
      <c r="D31" s="80" t="s">
        <v>103</v>
      </c>
      <c r="E31" s="81">
        <v>3</v>
      </c>
      <c r="F31" s="76">
        <f t="shared" si="0"/>
        <v>9.8425200000000004</v>
      </c>
      <c r="G31" s="75">
        <v>2007</v>
      </c>
      <c r="H31" s="82" t="s">
        <v>115</v>
      </c>
      <c r="I31" s="34" t="s">
        <v>47</v>
      </c>
      <c r="J31" s="83">
        <v>120</v>
      </c>
      <c r="K31" s="4">
        <f t="shared" si="1"/>
        <v>1291.6679999999999</v>
      </c>
    </row>
    <row r="32" spans="2:11" ht="38.25" x14ac:dyDescent="0.25">
      <c r="B32" s="5">
        <v>28</v>
      </c>
      <c r="C32" s="79" t="s">
        <v>95</v>
      </c>
      <c r="D32" s="80" t="s">
        <v>103</v>
      </c>
      <c r="E32" s="81">
        <v>3</v>
      </c>
      <c r="F32" s="76">
        <f t="shared" si="0"/>
        <v>9.8425200000000004</v>
      </c>
      <c r="G32" s="75">
        <v>2007</v>
      </c>
      <c r="H32" s="82" t="s">
        <v>116</v>
      </c>
      <c r="I32" s="34" t="s">
        <v>47</v>
      </c>
      <c r="J32" s="83">
        <v>48</v>
      </c>
      <c r="K32" s="4">
        <f t="shared" si="1"/>
        <v>516.66719999999998</v>
      </c>
    </row>
    <row r="33" spans="2:11" ht="76.5" x14ac:dyDescent="0.25">
      <c r="B33" s="5">
        <v>29</v>
      </c>
      <c r="C33" s="79" t="s">
        <v>96</v>
      </c>
      <c r="D33" s="80" t="s">
        <v>103</v>
      </c>
      <c r="E33" s="81">
        <v>3</v>
      </c>
      <c r="F33" s="76">
        <f t="shared" si="0"/>
        <v>9.8425200000000004</v>
      </c>
      <c r="G33" s="75">
        <v>2007</v>
      </c>
      <c r="H33" s="82" t="s">
        <v>117</v>
      </c>
      <c r="I33" s="34" t="s">
        <v>47</v>
      </c>
      <c r="J33" s="83">
        <v>55</v>
      </c>
      <c r="K33" s="4">
        <f t="shared" si="1"/>
        <v>592.0145</v>
      </c>
    </row>
    <row r="34" spans="2:11" ht="76.5" x14ac:dyDescent="0.25">
      <c r="B34" s="5">
        <v>30</v>
      </c>
      <c r="C34" s="79" t="s">
        <v>97</v>
      </c>
      <c r="D34" s="80" t="s">
        <v>103</v>
      </c>
      <c r="E34" s="81">
        <v>3</v>
      </c>
      <c r="F34" s="76">
        <f t="shared" si="0"/>
        <v>9.8425200000000004</v>
      </c>
      <c r="G34" s="75">
        <v>2007</v>
      </c>
      <c r="H34" s="82" t="s">
        <v>117</v>
      </c>
      <c r="I34" s="34" t="s">
        <v>47</v>
      </c>
      <c r="J34" s="83">
        <v>100</v>
      </c>
      <c r="K34" s="4">
        <f t="shared" si="1"/>
        <v>1076.3899999999999</v>
      </c>
    </row>
    <row r="35" spans="2:11" ht="63.75" x14ac:dyDescent="0.25">
      <c r="B35" s="5">
        <v>31</v>
      </c>
      <c r="C35" s="79" t="s">
        <v>98</v>
      </c>
      <c r="D35" s="80" t="s">
        <v>103</v>
      </c>
      <c r="E35" s="81">
        <v>3</v>
      </c>
      <c r="F35" s="76">
        <f t="shared" si="0"/>
        <v>9.8425200000000004</v>
      </c>
      <c r="G35" s="75">
        <v>2007</v>
      </c>
      <c r="H35" s="82" t="s">
        <v>112</v>
      </c>
      <c r="I35" s="34" t="s">
        <v>47</v>
      </c>
      <c r="J35" s="83">
        <v>20</v>
      </c>
      <c r="K35" s="4">
        <f t="shared" si="1"/>
        <v>215.27799999999999</v>
      </c>
    </row>
    <row r="36" spans="2:11" ht="63.75" x14ac:dyDescent="0.25">
      <c r="B36" s="5">
        <v>32</v>
      </c>
      <c r="C36" s="79" t="s">
        <v>99</v>
      </c>
      <c r="D36" s="80" t="s">
        <v>103</v>
      </c>
      <c r="E36" s="81">
        <v>3</v>
      </c>
      <c r="F36" s="76">
        <f t="shared" si="0"/>
        <v>9.8425200000000004</v>
      </c>
      <c r="G36" s="75">
        <v>2007</v>
      </c>
      <c r="H36" s="82" t="s">
        <v>112</v>
      </c>
      <c r="I36" s="34" t="s">
        <v>47</v>
      </c>
      <c r="J36" s="83">
        <v>16</v>
      </c>
      <c r="K36" s="4">
        <f t="shared" si="1"/>
        <v>172.22239999999999</v>
      </c>
    </row>
    <row r="37" spans="2:11" ht="51" x14ac:dyDescent="0.25">
      <c r="B37" s="5">
        <v>33</v>
      </c>
      <c r="C37" s="84" t="s">
        <v>100</v>
      </c>
      <c r="D37" s="85" t="s">
        <v>103</v>
      </c>
      <c r="E37" s="81">
        <v>10</v>
      </c>
      <c r="F37" s="76">
        <f t="shared" si="0"/>
        <v>32.808399999999999</v>
      </c>
      <c r="G37" s="75">
        <v>2007</v>
      </c>
      <c r="H37" s="86" t="s">
        <v>118</v>
      </c>
      <c r="I37" s="34" t="s">
        <v>47</v>
      </c>
      <c r="J37" s="87">
        <v>8000</v>
      </c>
      <c r="K37" s="4">
        <f t="shared" si="1"/>
        <v>86111.2</v>
      </c>
    </row>
    <row r="38" spans="2:11" ht="114.75" x14ac:dyDescent="0.25">
      <c r="B38" s="5">
        <v>34</v>
      </c>
      <c r="C38" s="74" t="s">
        <v>101</v>
      </c>
      <c r="D38" s="85" t="s">
        <v>103</v>
      </c>
      <c r="E38" s="81">
        <v>21.2</v>
      </c>
      <c r="F38" s="76">
        <f t="shared" si="0"/>
        <v>69.553808000000004</v>
      </c>
      <c r="G38" s="75">
        <v>2007</v>
      </c>
      <c r="H38" s="82" t="s">
        <v>119</v>
      </c>
      <c r="I38" s="34" t="s">
        <v>47</v>
      </c>
      <c r="J38" s="83">
        <v>1209</v>
      </c>
      <c r="K38" s="4">
        <f t="shared" si="1"/>
        <v>13013.5551</v>
      </c>
    </row>
    <row r="39" spans="2:11" ht="38.25" x14ac:dyDescent="0.25">
      <c r="B39" s="5">
        <v>35</v>
      </c>
      <c r="C39" s="79" t="s">
        <v>102</v>
      </c>
      <c r="D39" s="80" t="s">
        <v>103</v>
      </c>
      <c r="E39" s="81">
        <v>3</v>
      </c>
      <c r="F39" s="76">
        <f t="shared" si="0"/>
        <v>9.8425200000000004</v>
      </c>
      <c r="G39" s="75">
        <v>2007</v>
      </c>
      <c r="H39" s="82" t="s">
        <v>120</v>
      </c>
      <c r="I39" s="34" t="s">
        <v>47</v>
      </c>
      <c r="J39" s="83">
        <v>960</v>
      </c>
      <c r="K39" s="4">
        <f t="shared" si="1"/>
        <v>10333.343999999999</v>
      </c>
    </row>
    <row r="40" spans="2:11" x14ac:dyDescent="0.25">
      <c r="B40" s="134" t="s">
        <v>58</v>
      </c>
      <c r="C40" s="134"/>
      <c r="D40" s="134"/>
      <c r="E40" s="134"/>
      <c r="F40" s="134"/>
      <c r="G40" s="134"/>
      <c r="H40" s="134"/>
      <c r="I40" s="134"/>
      <c r="J40" s="89">
        <f>SUM(J5:J39)</f>
        <v>30263</v>
      </c>
      <c r="K40" s="89">
        <f>SUM(K5:K39)</f>
        <v>325747.9057</v>
      </c>
    </row>
    <row r="41" spans="2:11" x14ac:dyDescent="0.25">
      <c r="B41" s="24"/>
      <c r="C41" s="25"/>
      <c r="D41" s="19"/>
      <c r="E41" s="19"/>
      <c r="F41" s="19"/>
      <c r="G41" s="19"/>
      <c r="H41" s="25"/>
      <c r="I41" s="19"/>
      <c r="J41" s="73"/>
      <c r="K41" s="73"/>
    </row>
    <row r="42" spans="2:11" x14ac:dyDescent="0.25">
      <c r="B42" s="24"/>
      <c r="C42" s="25"/>
      <c r="D42" s="19"/>
      <c r="E42" s="19"/>
      <c r="F42" s="19"/>
      <c r="G42" s="19"/>
      <c r="H42" s="25"/>
      <c r="I42" s="19"/>
      <c r="J42" s="73"/>
      <c r="K42" s="73"/>
    </row>
    <row r="43" spans="2:11" x14ac:dyDescent="0.25">
      <c r="B43" s="24"/>
      <c r="C43" s="25"/>
      <c r="D43" s="19"/>
      <c r="E43" s="19"/>
      <c r="F43" s="19"/>
      <c r="G43" s="19"/>
      <c r="H43" s="25"/>
      <c r="I43" s="19"/>
      <c r="J43" s="73"/>
      <c r="K43" s="73"/>
    </row>
    <row r="44" spans="2:11" x14ac:dyDescent="0.25">
      <c r="B44" s="24"/>
      <c r="C44" s="25"/>
      <c r="D44" s="19"/>
      <c r="E44" s="19"/>
      <c r="F44" s="19"/>
      <c r="G44" s="19"/>
      <c r="H44" s="25"/>
      <c r="I44" s="19"/>
      <c r="J44" s="73"/>
      <c r="K44" s="73"/>
    </row>
    <row r="45" spans="2:11" x14ac:dyDescent="0.25">
      <c r="B45" s="24"/>
      <c r="C45" s="25"/>
      <c r="D45" s="19"/>
      <c r="E45" s="19"/>
      <c r="F45" s="19"/>
      <c r="G45" s="19"/>
      <c r="H45" s="25"/>
      <c r="I45" s="19"/>
      <c r="J45" s="73"/>
      <c r="K45" s="73"/>
    </row>
    <row r="46" spans="2:11" x14ac:dyDescent="0.25">
      <c r="B46" s="24"/>
      <c r="C46" s="25"/>
      <c r="D46" s="19"/>
      <c r="E46" s="19"/>
      <c r="F46" s="19"/>
      <c r="G46" s="19"/>
      <c r="H46" s="25"/>
      <c r="I46" s="19"/>
      <c r="J46" s="73"/>
      <c r="K46" s="73"/>
    </row>
    <row r="47" spans="2:11" x14ac:dyDescent="0.25">
      <c r="B47" s="24"/>
      <c r="C47" s="25"/>
      <c r="D47" s="19"/>
      <c r="E47" s="19"/>
      <c r="F47" s="19"/>
      <c r="G47" s="19"/>
      <c r="H47" s="25"/>
      <c r="I47" s="19"/>
      <c r="J47" s="73"/>
      <c r="K47" s="73"/>
    </row>
    <row r="48" spans="2:11" x14ac:dyDescent="0.25">
      <c r="B48" s="24"/>
      <c r="C48" s="25"/>
      <c r="D48" s="19"/>
      <c r="E48" s="19"/>
      <c r="F48" s="19"/>
      <c r="G48" s="19"/>
      <c r="H48" s="25"/>
      <c r="I48" s="19"/>
      <c r="J48" s="73"/>
      <c r="K48" s="73"/>
    </row>
    <row r="49" spans="2:11" x14ac:dyDescent="0.25">
      <c r="B49" s="24"/>
      <c r="C49" s="25"/>
      <c r="D49" s="19"/>
      <c r="E49" s="19"/>
      <c r="F49" s="19"/>
      <c r="G49" s="19"/>
      <c r="H49" s="25"/>
      <c r="I49" s="19"/>
      <c r="J49" s="73"/>
      <c r="K49" s="73"/>
    </row>
    <row r="50" spans="2:11" x14ac:dyDescent="0.25">
      <c r="B50" s="24"/>
      <c r="C50" s="25"/>
      <c r="D50" s="19"/>
      <c r="E50" s="19"/>
      <c r="F50" s="19"/>
      <c r="G50" s="19"/>
      <c r="H50" s="25"/>
      <c r="I50" s="19"/>
      <c r="J50" s="73"/>
      <c r="K50" s="73"/>
    </row>
    <row r="51" spans="2:11" x14ac:dyDescent="0.25">
      <c r="B51" s="24"/>
      <c r="C51" s="25"/>
      <c r="D51" s="19"/>
      <c r="E51" s="19"/>
      <c r="F51" s="19"/>
      <c r="G51" s="19"/>
      <c r="H51" s="25"/>
      <c r="I51" s="19"/>
      <c r="J51" s="73"/>
      <c r="K51" s="73"/>
    </row>
    <row r="52" spans="2:11" x14ac:dyDescent="0.25">
      <c r="B52" s="24"/>
      <c r="C52" s="25"/>
      <c r="D52" s="19"/>
      <c r="E52" s="19"/>
      <c r="F52" s="19"/>
      <c r="G52" s="19"/>
      <c r="H52" s="25"/>
      <c r="I52" s="19"/>
      <c r="J52" s="73"/>
      <c r="K52" s="73"/>
    </row>
    <row r="53" spans="2:11" x14ac:dyDescent="0.25">
      <c r="B53" s="24"/>
      <c r="C53" s="25"/>
      <c r="D53" s="19"/>
      <c r="E53" s="19"/>
      <c r="F53" s="19"/>
      <c r="G53" s="19"/>
      <c r="H53" s="25"/>
      <c r="I53" s="19"/>
      <c r="J53" s="73"/>
      <c r="K53" s="73"/>
    </row>
  </sheetData>
  <mergeCells count="2">
    <mergeCell ref="B3:K3"/>
    <mergeCell ref="B40:I4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C28BEA-F622-45E1-BA03-608A2CA7F742}">
  <sheetPr>
    <tabColor theme="0" tint="-0.34998626667073579"/>
  </sheetPr>
  <dimension ref="B3:AA46"/>
  <sheetViews>
    <sheetView topLeftCell="F37" workbookViewId="0">
      <selection activeCell="AD5" sqref="AD5"/>
    </sheetView>
  </sheetViews>
  <sheetFormatPr defaultRowHeight="15" x14ac:dyDescent="0.25"/>
  <cols>
    <col min="2" max="2" width="6.7109375" customWidth="1"/>
    <col min="3" max="3" width="13.140625" hidden="1" customWidth="1"/>
    <col min="4" max="4" width="28.28515625" style="6" bestFit="1" customWidth="1"/>
    <col min="5" max="5" width="41.7109375" customWidth="1"/>
    <col min="6" max="6" width="13.140625" customWidth="1"/>
    <col min="7" max="7" width="14.85546875" bestFit="1" customWidth="1"/>
    <col min="8" max="8" width="10.5703125" customWidth="1"/>
    <col min="9" max="9" width="16.28515625" hidden="1" customWidth="1"/>
    <col min="10" max="10" width="16.28515625" customWidth="1"/>
    <col min="11" max="11" width="12.7109375" hidden="1" customWidth="1"/>
    <col min="12" max="12" width="11.42578125" hidden="1" customWidth="1"/>
    <col min="13" max="13" width="10.7109375" hidden="1" customWidth="1"/>
    <col min="14" max="14" width="12" hidden="1" customWidth="1"/>
    <col min="15" max="15" width="9.140625" hidden="1" customWidth="1"/>
    <col min="16" max="16" width="13.140625" hidden="1" customWidth="1"/>
    <col min="17" max="17" width="11.85546875" customWidth="1"/>
    <col min="18" max="18" width="12.5703125" customWidth="1"/>
    <col min="19" max="19" width="13.85546875" customWidth="1"/>
    <col min="20" max="20" width="13.7109375" customWidth="1"/>
    <col min="21" max="21" width="14.42578125" customWidth="1"/>
    <col min="22" max="22" width="14.28515625" hidden="1" customWidth="1"/>
    <col min="23" max="23" width="15.5703125" customWidth="1"/>
    <col min="24" max="26" width="0" hidden="1" customWidth="1"/>
  </cols>
  <sheetData>
    <row r="3" spans="2:27" x14ac:dyDescent="0.25">
      <c r="B3" s="135" t="s">
        <v>161</v>
      </c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35"/>
      <c r="P3" s="135"/>
      <c r="Q3" s="135"/>
      <c r="R3" s="135"/>
      <c r="S3" s="135"/>
      <c r="T3" s="135"/>
      <c r="U3" s="135"/>
      <c r="V3" s="135"/>
      <c r="W3" s="135"/>
      <c r="X3" s="135"/>
      <c r="Y3" s="135"/>
      <c r="Z3" s="135"/>
    </row>
    <row r="4" spans="2:27" ht="75" x14ac:dyDescent="0.25">
      <c r="B4" s="7" t="s">
        <v>15</v>
      </c>
      <c r="C4" s="7" t="s">
        <v>16</v>
      </c>
      <c r="D4" s="8" t="s">
        <v>17</v>
      </c>
      <c r="E4" s="7" t="s">
        <v>18</v>
      </c>
      <c r="F4" s="7" t="s">
        <v>19</v>
      </c>
      <c r="G4" s="7" t="s">
        <v>20</v>
      </c>
      <c r="H4" s="7" t="s">
        <v>21</v>
      </c>
      <c r="I4" s="7" t="s">
        <v>41</v>
      </c>
      <c r="J4" s="7" t="s">
        <v>22</v>
      </c>
      <c r="K4" s="7" t="s">
        <v>23</v>
      </c>
      <c r="L4" s="7" t="s">
        <v>24</v>
      </c>
      <c r="M4" s="7" t="s">
        <v>25</v>
      </c>
      <c r="N4" s="7" t="s">
        <v>26</v>
      </c>
      <c r="O4" s="7" t="s">
        <v>27</v>
      </c>
      <c r="P4" s="7" t="s">
        <v>28</v>
      </c>
      <c r="Q4" s="7" t="s">
        <v>29</v>
      </c>
      <c r="R4" s="7" t="s">
        <v>30</v>
      </c>
      <c r="S4" s="7" t="s">
        <v>31</v>
      </c>
      <c r="T4" s="7" t="s">
        <v>32</v>
      </c>
      <c r="U4" s="7" t="s">
        <v>33</v>
      </c>
      <c r="V4" s="7" t="s">
        <v>34</v>
      </c>
      <c r="W4" s="7" t="s">
        <v>35</v>
      </c>
      <c r="X4" s="9" t="s">
        <v>36</v>
      </c>
      <c r="Y4" s="10" t="s">
        <v>37</v>
      </c>
      <c r="Z4" s="10" t="s">
        <v>38</v>
      </c>
    </row>
    <row r="5" spans="2:27" ht="51" x14ac:dyDescent="0.25">
      <c r="B5" s="3">
        <v>1</v>
      </c>
      <c r="C5" s="75" t="s">
        <v>103</v>
      </c>
      <c r="D5" s="100" t="s">
        <v>68</v>
      </c>
      <c r="E5" s="77" t="s">
        <v>105</v>
      </c>
      <c r="F5" s="11" t="s">
        <v>39</v>
      </c>
      <c r="G5" s="78">
        <v>925</v>
      </c>
      <c r="H5" s="12">
        <f>G5*10.7639</f>
        <v>9956.6075000000001</v>
      </c>
      <c r="I5" s="90">
        <v>4</v>
      </c>
      <c r="J5" s="23">
        <f>I5*3.28084</f>
        <v>13.12336</v>
      </c>
      <c r="K5" s="3">
        <v>2007</v>
      </c>
      <c r="L5" s="11">
        <v>2022</v>
      </c>
      <c r="M5" s="11">
        <f t="shared" ref="M5:M39" si="0">L5-K5</f>
        <v>15</v>
      </c>
      <c r="N5" s="11">
        <v>60</v>
      </c>
      <c r="O5" s="11">
        <v>0.05</v>
      </c>
      <c r="P5" s="13">
        <f>(1-O5)/N5</f>
        <v>1.5833333333333331E-2</v>
      </c>
      <c r="Q5" s="14">
        <v>1200</v>
      </c>
      <c r="R5" s="58">
        <f>Q5*10.7639</f>
        <v>12916.68</v>
      </c>
      <c r="S5" s="15">
        <f>R5*G5</f>
        <v>11947929</v>
      </c>
      <c r="T5" s="15">
        <f>S5*P5*M5</f>
        <v>2837633.1374999997</v>
      </c>
      <c r="U5" s="15">
        <f>MAX(S5-T5,0)</f>
        <v>9110295.8625000007</v>
      </c>
      <c r="V5" s="11">
        <v>0</v>
      </c>
      <c r="W5" s="15">
        <f>IF(U5&gt;O5*S5,U5*(1+V5),S5*O5)</f>
        <v>9110295.8625000007</v>
      </c>
      <c r="X5" s="16">
        <v>800</v>
      </c>
      <c r="Y5" s="17">
        <v>0.99</v>
      </c>
      <c r="Z5" s="18">
        <f>(X5*Y5*G5)</f>
        <v>732600</v>
      </c>
      <c r="AA5" s="57">
        <f>W5/H5</f>
        <v>915.00000000000011</v>
      </c>
    </row>
    <row r="6" spans="2:27" ht="25.5" x14ac:dyDescent="0.25">
      <c r="B6" s="3">
        <v>2</v>
      </c>
      <c r="C6" s="75" t="s">
        <v>103</v>
      </c>
      <c r="D6" s="101" t="s">
        <v>69</v>
      </c>
      <c r="E6" s="82" t="s">
        <v>106</v>
      </c>
      <c r="F6" s="11" t="s">
        <v>39</v>
      </c>
      <c r="G6" s="83">
        <v>3377</v>
      </c>
      <c r="H6" s="12">
        <f t="shared" ref="H6:H39" si="1">G6*10.7639</f>
        <v>36349.690300000002</v>
      </c>
      <c r="I6" s="91">
        <v>19</v>
      </c>
      <c r="J6" s="23">
        <f t="shared" ref="J6:J39" si="2">I6*3.28084</f>
        <v>62.33596</v>
      </c>
      <c r="K6" s="3">
        <v>2007</v>
      </c>
      <c r="L6" s="11">
        <v>2022</v>
      </c>
      <c r="M6" s="11">
        <f t="shared" si="0"/>
        <v>15</v>
      </c>
      <c r="N6" s="11">
        <v>40</v>
      </c>
      <c r="O6" s="11">
        <v>0.05</v>
      </c>
      <c r="P6" s="13">
        <f>(1-O6)/N6</f>
        <v>2.375E-2</v>
      </c>
      <c r="Q6" s="14">
        <v>1400</v>
      </c>
      <c r="R6" s="58">
        <f>Q6*10.7639</f>
        <v>15069.46</v>
      </c>
      <c r="S6" s="15">
        <f>R6*G6</f>
        <v>50889566.419999994</v>
      </c>
      <c r="T6" s="15">
        <f>S6*P6*M6</f>
        <v>18129408.037124999</v>
      </c>
      <c r="U6" s="15">
        <f>MAX(S6-T6,0)</f>
        <v>32760158.382874995</v>
      </c>
      <c r="V6" s="11">
        <v>0</v>
      </c>
      <c r="W6" s="15">
        <f>IF(U6&gt;O6*S6,U6*(1+V6),S6*O6)</f>
        <v>32760158.382874995</v>
      </c>
      <c r="X6" s="16">
        <v>800</v>
      </c>
      <c r="Y6" s="17">
        <v>0.99</v>
      </c>
      <c r="Z6" s="18">
        <f>X6*H6</f>
        <v>29079752.240000002</v>
      </c>
    </row>
    <row r="7" spans="2:27" ht="51" x14ac:dyDescent="0.25">
      <c r="B7" s="3">
        <v>3</v>
      </c>
      <c r="C7" s="75" t="s">
        <v>103</v>
      </c>
      <c r="D7" s="101" t="s">
        <v>70</v>
      </c>
      <c r="E7" s="82" t="s">
        <v>107</v>
      </c>
      <c r="F7" s="11" t="s">
        <v>39</v>
      </c>
      <c r="G7" s="83">
        <v>732</v>
      </c>
      <c r="H7" s="12">
        <f t="shared" si="1"/>
        <v>7879.1747999999998</v>
      </c>
      <c r="I7" s="91">
        <v>4</v>
      </c>
      <c r="J7" s="23">
        <f t="shared" si="2"/>
        <v>13.12336</v>
      </c>
      <c r="K7" s="3">
        <v>2007</v>
      </c>
      <c r="L7" s="11">
        <v>2022</v>
      </c>
      <c r="M7" s="11">
        <f t="shared" si="0"/>
        <v>15</v>
      </c>
      <c r="N7" s="11">
        <v>60</v>
      </c>
      <c r="O7" s="11">
        <v>0.05</v>
      </c>
      <c r="P7" s="13">
        <f>(1-O7)/N7</f>
        <v>1.5833333333333331E-2</v>
      </c>
      <c r="Q7" s="14">
        <v>1200</v>
      </c>
      <c r="R7" s="58">
        <f>Q7*10.7639</f>
        <v>12916.68</v>
      </c>
      <c r="S7" s="15">
        <f>R7*G7</f>
        <v>9455009.7599999998</v>
      </c>
      <c r="T7" s="15">
        <f>S7*P7*M7</f>
        <v>2245564.8179999995</v>
      </c>
      <c r="U7" s="15">
        <f>MAX(S7-T7,0)</f>
        <v>7209444.9419999998</v>
      </c>
      <c r="V7" s="11">
        <v>0</v>
      </c>
      <c r="W7" s="15">
        <f>IF(U7&gt;O7*S7,U7*(1+V7),S7*O7)</f>
        <v>7209444.9419999998</v>
      </c>
      <c r="X7" s="16">
        <v>800</v>
      </c>
      <c r="Y7" s="17"/>
      <c r="Z7" s="18">
        <f t="shared" ref="Z7:Z9" si="3">X7*H7</f>
        <v>6303339.8399999999</v>
      </c>
    </row>
    <row r="8" spans="2:27" ht="25.5" x14ac:dyDescent="0.25">
      <c r="B8" s="3">
        <v>4</v>
      </c>
      <c r="C8" s="75" t="s">
        <v>103</v>
      </c>
      <c r="D8" s="101" t="s">
        <v>71</v>
      </c>
      <c r="E8" s="82" t="s">
        <v>108</v>
      </c>
      <c r="F8" s="11" t="s">
        <v>39</v>
      </c>
      <c r="G8" s="83">
        <v>510</v>
      </c>
      <c r="H8" s="12">
        <f t="shared" si="1"/>
        <v>5489.5889999999999</v>
      </c>
      <c r="I8" s="91">
        <v>25.95</v>
      </c>
      <c r="J8" s="23">
        <f t="shared" si="2"/>
        <v>85.137798000000004</v>
      </c>
      <c r="K8" s="3">
        <v>2007</v>
      </c>
      <c r="L8" s="11">
        <v>2022</v>
      </c>
      <c r="M8" s="11">
        <f t="shared" si="0"/>
        <v>15</v>
      </c>
      <c r="N8" s="11">
        <v>40</v>
      </c>
      <c r="O8" s="11">
        <v>0.05</v>
      </c>
      <c r="P8" s="13">
        <f>(1-O8)/N8</f>
        <v>2.375E-2</v>
      </c>
      <c r="Q8" s="14">
        <v>1400</v>
      </c>
      <c r="R8" s="58">
        <f>Q8*10.7639</f>
        <v>15069.46</v>
      </c>
      <c r="S8" s="15">
        <f>R8*G8</f>
        <v>7685424.5999999996</v>
      </c>
      <c r="T8" s="15">
        <f>S8*P8*M8</f>
        <v>2737932.5137499999</v>
      </c>
      <c r="U8" s="15">
        <f>MAX(S8-T8,0)</f>
        <v>4947492.0862499997</v>
      </c>
      <c r="V8" s="11">
        <v>0</v>
      </c>
      <c r="W8" s="15">
        <f>IF(U8&gt;O8*S8,U8*(1+V8),S8*O8)</f>
        <v>4947492.0862499997</v>
      </c>
      <c r="X8" s="16">
        <v>800</v>
      </c>
      <c r="Y8" s="17"/>
      <c r="Z8" s="18">
        <f t="shared" si="3"/>
        <v>4391671.2</v>
      </c>
    </row>
    <row r="9" spans="2:27" ht="51" x14ac:dyDescent="0.25">
      <c r="B9" s="3">
        <v>5</v>
      </c>
      <c r="C9" s="75" t="s">
        <v>103</v>
      </c>
      <c r="D9" s="101" t="s">
        <v>72</v>
      </c>
      <c r="E9" s="82" t="s">
        <v>109</v>
      </c>
      <c r="F9" s="11" t="s">
        <v>39</v>
      </c>
      <c r="G9" s="83">
        <v>488</v>
      </c>
      <c r="H9" s="12">
        <f t="shared" si="1"/>
        <v>5252.7831999999999</v>
      </c>
      <c r="I9" s="91">
        <v>3.85</v>
      </c>
      <c r="J9" s="23">
        <f t="shared" si="2"/>
        <v>12.631234000000001</v>
      </c>
      <c r="K9" s="3">
        <v>2007</v>
      </c>
      <c r="L9" s="11">
        <v>2022</v>
      </c>
      <c r="M9" s="11">
        <f t="shared" si="0"/>
        <v>15</v>
      </c>
      <c r="N9" s="11">
        <v>60</v>
      </c>
      <c r="O9" s="11">
        <v>0.05</v>
      </c>
      <c r="P9" s="13">
        <f t="shared" ref="P9:P11" si="4">(1-O9)/N9</f>
        <v>1.5833333333333331E-2</v>
      </c>
      <c r="Q9" s="14">
        <v>1100</v>
      </c>
      <c r="R9" s="58">
        <f t="shared" ref="R9:R39" si="5">Q9*10.7639</f>
        <v>11840.289999999999</v>
      </c>
      <c r="S9" s="15">
        <f>R9*G9</f>
        <v>5778061.5199999996</v>
      </c>
      <c r="T9" s="15">
        <f t="shared" ref="T9:T39" si="6">S9*P9*M9</f>
        <v>1372289.6109999998</v>
      </c>
      <c r="U9" s="15">
        <f t="shared" ref="U9:U39" si="7">MAX(S9-T9,0)</f>
        <v>4405771.909</v>
      </c>
      <c r="V9" s="11">
        <v>0</v>
      </c>
      <c r="W9" s="15">
        <f t="shared" ref="W9:W39" si="8">IF(U9&gt;O9*S9,U9*(1+V9),S9*O9)</f>
        <v>4405771.909</v>
      </c>
      <c r="X9" s="16">
        <v>800</v>
      </c>
      <c r="Y9" s="17"/>
      <c r="Z9" s="18">
        <f t="shared" si="3"/>
        <v>4202226.5599999996</v>
      </c>
    </row>
    <row r="10" spans="2:27" ht="25.5" x14ac:dyDescent="0.25">
      <c r="B10" s="3">
        <v>6</v>
      </c>
      <c r="C10" s="75" t="s">
        <v>103</v>
      </c>
      <c r="D10" s="101" t="s">
        <v>73</v>
      </c>
      <c r="E10" s="82" t="s">
        <v>106</v>
      </c>
      <c r="F10" s="11" t="s">
        <v>39</v>
      </c>
      <c r="G10" s="83">
        <v>1125</v>
      </c>
      <c r="H10" s="12">
        <f t="shared" si="1"/>
        <v>12109.387499999999</v>
      </c>
      <c r="I10" s="91">
        <v>19</v>
      </c>
      <c r="J10" s="23">
        <f t="shared" si="2"/>
        <v>62.33596</v>
      </c>
      <c r="K10" s="3">
        <v>2007</v>
      </c>
      <c r="L10" s="11">
        <v>2022</v>
      </c>
      <c r="M10" s="11">
        <f>L10-K10</f>
        <v>15</v>
      </c>
      <c r="N10" s="11">
        <v>40</v>
      </c>
      <c r="O10" s="11">
        <v>0.05</v>
      </c>
      <c r="P10" s="13">
        <f t="shared" si="4"/>
        <v>2.375E-2</v>
      </c>
      <c r="Q10" s="14">
        <v>1400</v>
      </c>
      <c r="R10" s="58">
        <f t="shared" si="5"/>
        <v>15069.46</v>
      </c>
      <c r="S10" s="15">
        <f t="shared" ref="S10:S39" si="9">R10*G10</f>
        <v>16953142.5</v>
      </c>
      <c r="T10" s="15">
        <f t="shared" si="6"/>
        <v>6039557.015625</v>
      </c>
      <c r="U10" s="15">
        <f t="shared" si="7"/>
        <v>10913585.484375</v>
      </c>
      <c r="V10" s="11">
        <v>0</v>
      </c>
      <c r="W10" s="15">
        <f t="shared" si="8"/>
        <v>10913585.484375</v>
      </c>
    </row>
    <row r="11" spans="2:27" ht="51" x14ac:dyDescent="0.25">
      <c r="B11" s="3">
        <v>7</v>
      </c>
      <c r="C11" s="75" t="s">
        <v>103</v>
      </c>
      <c r="D11" s="101" t="s">
        <v>74</v>
      </c>
      <c r="E11" s="82" t="s">
        <v>109</v>
      </c>
      <c r="F11" s="11" t="s">
        <v>39</v>
      </c>
      <c r="G11" s="83">
        <v>504</v>
      </c>
      <c r="H11" s="12">
        <f t="shared" si="1"/>
        <v>5425.0055999999995</v>
      </c>
      <c r="I11" s="91">
        <v>4</v>
      </c>
      <c r="J11" s="23">
        <f t="shared" si="2"/>
        <v>13.12336</v>
      </c>
      <c r="K11" s="3">
        <v>2007</v>
      </c>
      <c r="L11" s="11">
        <v>2022</v>
      </c>
      <c r="M11" s="11">
        <f t="shared" si="0"/>
        <v>15</v>
      </c>
      <c r="N11" s="11">
        <v>60</v>
      </c>
      <c r="O11" s="11">
        <v>0.05</v>
      </c>
      <c r="P11" s="13">
        <f t="shared" si="4"/>
        <v>1.5833333333333331E-2</v>
      </c>
      <c r="Q11" s="14">
        <v>1200</v>
      </c>
      <c r="R11" s="58">
        <f t="shared" si="5"/>
        <v>12916.68</v>
      </c>
      <c r="S11" s="15">
        <f t="shared" si="9"/>
        <v>6510006.7199999997</v>
      </c>
      <c r="T11" s="15">
        <f t="shared" si="6"/>
        <v>1546126.5959999997</v>
      </c>
      <c r="U11" s="15">
        <f t="shared" si="7"/>
        <v>4963880.1239999998</v>
      </c>
      <c r="V11" s="11">
        <v>0</v>
      </c>
      <c r="W11" s="15">
        <f t="shared" si="8"/>
        <v>4963880.1239999998</v>
      </c>
    </row>
    <row r="12" spans="2:27" ht="25.5" x14ac:dyDescent="0.25">
      <c r="B12" s="3">
        <v>8</v>
      </c>
      <c r="C12" s="75" t="s">
        <v>103</v>
      </c>
      <c r="D12" s="101" t="s">
        <v>75</v>
      </c>
      <c r="E12" s="82" t="s">
        <v>106</v>
      </c>
      <c r="F12" s="11" t="s">
        <v>39</v>
      </c>
      <c r="G12" s="83">
        <v>420</v>
      </c>
      <c r="H12" s="12">
        <f t="shared" si="1"/>
        <v>4520.8379999999997</v>
      </c>
      <c r="I12" s="91">
        <v>5</v>
      </c>
      <c r="J12" s="23">
        <f t="shared" si="2"/>
        <v>16.404199999999999</v>
      </c>
      <c r="K12" s="3">
        <v>2007</v>
      </c>
      <c r="L12" s="11">
        <v>2022</v>
      </c>
      <c r="M12" s="11">
        <f t="shared" si="0"/>
        <v>15</v>
      </c>
      <c r="N12" s="11">
        <v>40</v>
      </c>
      <c r="O12" s="11">
        <v>0.05</v>
      </c>
      <c r="P12" s="13">
        <f>(1-O12)/N12</f>
        <v>2.375E-2</v>
      </c>
      <c r="Q12" s="14">
        <v>1100</v>
      </c>
      <c r="R12" s="58">
        <f t="shared" si="5"/>
        <v>11840.289999999999</v>
      </c>
      <c r="S12" s="15">
        <f t="shared" si="9"/>
        <v>4972921.8</v>
      </c>
      <c r="T12" s="15">
        <f t="shared" si="6"/>
        <v>1771603.3912499999</v>
      </c>
      <c r="U12" s="15">
        <f t="shared" si="7"/>
        <v>3201318.4087499999</v>
      </c>
      <c r="V12" s="11">
        <v>0</v>
      </c>
      <c r="W12" s="15">
        <f t="shared" si="8"/>
        <v>3201318.4087499999</v>
      </c>
    </row>
    <row r="13" spans="2:27" ht="25.5" x14ac:dyDescent="0.25">
      <c r="B13" s="3">
        <v>9</v>
      </c>
      <c r="C13" s="75" t="s">
        <v>103</v>
      </c>
      <c r="D13" s="101" t="s">
        <v>76</v>
      </c>
      <c r="E13" s="82" t="s">
        <v>106</v>
      </c>
      <c r="F13" s="11" t="s">
        <v>39</v>
      </c>
      <c r="G13" s="83">
        <v>4896</v>
      </c>
      <c r="H13" s="12">
        <f t="shared" si="1"/>
        <v>52700.054400000001</v>
      </c>
      <c r="I13" s="91">
        <v>26</v>
      </c>
      <c r="J13" s="23">
        <f t="shared" si="2"/>
        <v>85.301839999999999</v>
      </c>
      <c r="K13" s="3">
        <v>2007</v>
      </c>
      <c r="L13" s="11">
        <v>2022</v>
      </c>
      <c r="M13" s="11">
        <f t="shared" si="0"/>
        <v>15</v>
      </c>
      <c r="N13" s="11">
        <v>40</v>
      </c>
      <c r="O13" s="11">
        <v>0.05</v>
      </c>
      <c r="P13" s="13">
        <f t="shared" ref="P13:P39" si="10">(1-O13)/N13</f>
        <v>2.375E-2</v>
      </c>
      <c r="Q13" s="14">
        <v>1400</v>
      </c>
      <c r="R13" s="58">
        <f t="shared" si="5"/>
        <v>15069.46</v>
      </c>
      <c r="S13" s="15">
        <f t="shared" si="9"/>
        <v>73780076.159999996</v>
      </c>
      <c r="T13" s="15">
        <f t="shared" si="6"/>
        <v>26284152.131999999</v>
      </c>
      <c r="U13" s="15">
        <f t="shared" si="7"/>
        <v>47495924.027999997</v>
      </c>
      <c r="V13" s="11">
        <v>0</v>
      </c>
      <c r="W13" s="15">
        <f t="shared" si="8"/>
        <v>47495924.027999997</v>
      </c>
    </row>
    <row r="14" spans="2:27" ht="25.5" x14ac:dyDescent="0.25">
      <c r="B14" s="3">
        <v>10</v>
      </c>
      <c r="C14" s="75" t="s">
        <v>103</v>
      </c>
      <c r="D14" s="101" t="s">
        <v>77</v>
      </c>
      <c r="E14" s="82" t="s">
        <v>106</v>
      </c>
      <c r="F14" s="11" t="s">
        <v>39</v>
      </c>
      <c r="G14" s="83">
        <v>1872</v>
      </c>
      <c r="H14" s="12">
        <f t="shared" si="1"/>
        <v>20150.020799999998</v>
      </c>
      <c r="I14" s="91">
        <v>26</v>
      </c>
      <c r="J14" s="23">
        <f t="shared" si="2"/>
        <v>85.301839999999999</v>
      </c>
      <c r="K14" s="3">
        <v>2007</v>
      </c>
      <c r="L14" s="11">
        <v>2022</v>
      </c>
      <c r="M14" s="11">
        <f t="shared" si="0"/>
        <v>15</v>
      </c>
      <c r="N14" s="11">
        <v>40</v>
      </c>
      <c r="O14" s="11">
        <v>0.05</v>
      </c>
      <c r="P14" s="13">
        <f t="shared" si="10"/>
        <v>2.375E-2</v>
      </c>
      <c r="Q14" s="14">
        <v>1400</v>
      </c>
      <c r="R14" s="58">
        <f t="shared" si="5"/>
        <v>15069.46</v>
      </c>
      <c r="S14" s="15">
        <f t="shared" si="9"/>
        <v>28210029.119999997</v>
      </c>
      <c r="T14" s="15">
        <f t="shared" si="6"/>
        <v>10049822.873999998</v>
      </c>
      <c r="U14" s="15">
        <f t="shared" si="7"/>
        <v>18160206.245999999</v>
      </c>
      <c r="V14" s="11">
        <v>0</v>
      </c>
      <c r="W14" s="15">
        <f t="shared" si="8"/>
        <v>18160206.245999999</v>
      </c>
    </row>
    <row r="15" spans="2:27" x14ac:dyDescent="0.25">
      <c r="B15" s="3">
        <v>11</v>
      </c>
      <c r="C15" s="75" t="s">
        <v>103</v>
      </c>
      <c r="D15" s="101" t="s">
        <v>78</v>
      </c>
      <c r="E15" s="82" t="s">
        <v>110</v>
      </c>
      <c r="F15" s="11" t="s">
        <v>39</v>
      </c>
      <c r="G15" s="83">
        <v>730</v>
      </c>
      <c r="H15" s="12">
        <f t="shared" si="1"/>
        <v>7857.6469999999999</v>
      </c>
      <c r="I15" s="91">
        <v>9.59</v>
      </c>
      <c r="J15" s="23">
        <f t="shared" si="2"/>
        <v>31.4632556</v>
      </c>
      <c r="K15" s="3">
        <v>2007</v>
      </c>
      <c r="L15" s="11">
        <v>2022</v>
      </c>
      <c r="M15" s="11">
        <f t="shared" si="0"/>
        <v>15</v>
      </c>
      <c r="N15" s="11">
        <v>60</v>
      </c>
      <c r="O15" s="11">
        <v>0.05</v>
      </c>
      <c r="P15" s="13">
        <f t="shared" si="10"/>
        <v>1.5833333333333331E-2</v>
      </c>
      <c r="Q15" s="14">
        <v>1200</v>
      </c>
      <c r="R15" s="58">
        <f t="shared" si="5"/>
        <v>12916.68</v>
      </c>
      <c r="S15" s="15">
        <f t="shared" si="9"/>
        <v>9429176.4000000004</v>
      </c>
      <c r="T15" s="15">
        <f t="shared" si="6"/>
        <v>2239429.3949999996</v>
      </c>
      <c r="U15" s="15">
        <f t="shared" si="7"/>
        <v>7189747.0050000008</v>
      </c>
      <c r="V15" s="11">
        <v>0</v>
      </c>
      <c r="W15" s="15">
        <f t="shared" si="8"/>
        <v>7189747.0050000008</v>
      </c>
    </row>
    <row r="16" spans="2:27" ht="25.5" x14ac:dyDescent="0.25">
      <c r="B16" s="3">
        <v>12</v>
      </c>
      <c r="C16" s="75" t="s">
        <v>103</v>
      </c>
      <c r="D16" s="101" t="s">
        <v>79</v>
      </c>
      <c r="E16" s="82" t="s">
        <v>111</v>
      </c>
      <c r="F16" s="11" t="s">
        <v>39</v>
      </c>
      <c r="G16" s="83">
        <v>472</v>
      </c>
      <c r="H16" s="12">
        <f t="shared" si="1"/>
        <v>5080.5608000000002</v>
      </c>
      <c r="I16" s="91">
        <v>4</v>
      </c>
      <c r="J16" s="23">
        <f t="shared" si="2"/>
        <v>13.12336</v>
      </c>
      <c r="K16" s="3">
        <v>2007</v>
      </c>
      <c r="L16" s="11">
        <v>2022</v>
      </c>
      <c r="M16" s="11">
        <f t="shared" si="0"/>
        <v>15</v>
      </c>
      <c r="N16" s="11">
        <v>40</v>
      </c>
      <c r="O16" s="11">
        <v>0.05</v>
      </c>
      <c r="P16" s="13">
        <f t="shared" si="10"/>
        <v>2.375E-2</v>
      </c>
      <c r="Q16" s="14">
        <v>1100</v>
      </c>
      <c r="R16" s="58">
        <f t="shared" si="5"/>
        <v>11840.289999999999</v>
      </c>
      <c r="S16" s="15">
        <f t="shared" si="9"/>
        <v>5588616.8799999999</v>
      </c>
      <c r="T16" s="15">
        <f t="shared" si="6"/>
        <v>1990944.7635000001</v>
      </c>
      <c r="U16" s="15">
        <f t="shared" si="7"/>
        <v>3597672.1164999995</v>
      </c>
      <c r="V16" s="11">
        <v>0</v>
      </c>
      <c r="W16" s="15">
        <f t="shared" si="8"/>
        <v>3597672.1164999995</v>
      </c>
    </row>
    <row r="17" spans="2:23" ht="51" x14ac:dyDescent="0.25">
      <c r="B17" s="3">
        <v>13</v>
      </c>
      <c r="C17" s="75" t="s">
        <v>103</v>
      </c>
      <c r="D17" s="101" t="s">
        <v>80</v>
      </c>
      <c r="E17" s="82" t="s">
        <v>112</v>
      </c>
      <c r="F17" s="11" t="s">
        <v>39</v>
      </c>
      <c r="G17" s="83">
        <v>74</v>
      </c>
      <c r="H17" s="12">
        <f t="shared" si="1"/>
        <v>796.52859999999998</v>
      </c>
      <c r="I17" s="91">
        <v>3</v>
      </c>
      <c r="J17" s="23">
        <f t="shared" si="2"/>
        <v>9.8425200000000004</v>
      </c>
      <c r="K17" s="3">
        <v>2007</v>
      </c>
      <c r="L17" s="11">
        <v>2022</v>
      </c>
      <c r="M17" s="11">
        <f t="shared" si="0"/>
        <v>15</v>
      </c>
      <c r="N17" s="11">
        <v>60</v>
      </c>
      <c r="O17" s="11">
        <v>0.05</v>
      </c>
      <c r="P17" s="13">
        <f t="shared" si="10"/>
        <v>1.5833333333333331E-2</v>
      </c>
      <c r="Q17" s="14">
        <v>900</v>
      </c>
      <c r="R17" s="58">
        <f t="shared" si="5"/>
        <v>9687.51</v>
      </c>
      <c r="S17" s="15">
        <f t="shared" si="9"/>
        <v>716875.74</v>
      </c>
      <c r="T17" s="15">
        <f t="shared" si="6"/>
        <v>170257.98824999997</v>
      </c>
      <c r="U17" s="15">
        <f t="shared" si="7"/>
        <v>546617.75175000005</v>
      </c>
      <c r="V17" s="11">
        <v>0</v>
      </c>
      <c r="W17" s="15">
        <f t="shared" si="8"/>
        <v>546617.75175000005</v>
      </c>
    </row>
    <row r="18" spans="2:23" ht="25.5" x14ac:dyDescent="0.25">
      <c r="B18" s="3">
        <v>14</v>
      </c>
      <c r="C18" s="75" t="s">
        <v>103</v>
      </c>
      <c r="D18" s="101" t="s">
        <v>81</v>
      </c>
      <c r="E18" s="82" t="s">
        <v>111</v>
      </c>
      <c r="F18" s="11" t="s">
        <v>39</v>
      </c>
      <c r="G18" s="83">
        <v>600</v>
      </c>
      <c r="H18" s="12">
        <f t="shared" si="1"/>
        <v>6458.34</v>
      </c>
      <c r="I18" s="91">
        <v>8</v>
      </c>
      <c r="J18" s="23">
        <f t="shared" si="2"/>
        <v>26.24672</v>
      </c>
      <c r="K18" s="3">
        <v>2007</v>
      </c>
      <c r="L18" s="11">
        <v>2022</v>
      </c>
      <c r="M18" s="11">
        <f t="shared" si="0"/>
        <v>15</v>
      </c>
      <c r="N18" s="11">
        <v>40</v>
      </c>
      <c r="O18" s="11">
        <v>0.05</v>
      </c>
      <c r="P18" s="13">
        <f t="shared" si="10"/>
        <v>2.375E-2</v>
      </c>
      <c r="Q18" s="14">
        <v>1200</v>
      </c>
      <c r="R18" s="58">
        <f t="shared" si="5"/>
        <v>12916.68</v>
      </c>
      <c r="S18" s="15">
        <f t="shared" si="9"/>
        <v>7750008</v>
      </c>
      <c r="T18" s="15">
        <f t="shared" si="6"/>
        <v>2760940.35</v>
      </c>
      <c r="U18" s="15">
        <f t="shared" si="7"/>
        <v>4989067.6500000004</v>
      </c>
      <c r="V18" s="11">
        <v>0</v>
      </c>
      <c r="W18" s="15">
        <f t="shared" si="8"/>
        <v>4989067.6500000004</v>
      </c>
    </row>
    <row r="19" spans="2:23" ht="25.5" x14ac:dyDescent="0.25">
      <c r="B19" s="3">
        <v>15</v>
      </c>
      <c r="C19" s="75" t="s">
        <v>103</v>
      </c>
      <c r="D19" s="101" t="s">
        <v>82</v>
      </c>
      <c r="E19" s="82" t="s">
        <v>111</v>
      </c>
      <c r="F19" s="11" t="s">
        <v>39</v>
      </c>
      <c r="G19" s="83">
        <v>360</v>
      </c>
      <c r="H19" s="12">
        <f t="shared" si="1"/>
        <v>3875.0039999999999</v>
      </c>
      <c r="I19" s="91">
        <v>8</v>
      </c>
      <c r="J19" s="23">
        <f t="shared" si="2"/>
        <v>26.24672</v>
      </c>
      <c r="K19" s="3">
        <v>2007</v>
      </c>
      <c r="L19" s="11">
        <v>2022</v>
      </c>
      <c r="M19" s="11">
        <f t="shared" si="0"/>
        <v>15</v>
      </c>
      <c r="N19" s="11">
        <v>40</v>
      </c>
      <c r="O19" s="11">
        <v>0.05</v>
      </c>
      <c r="P19" s="13">
        <f t="shared" si="10"/>
        <v>2.375E-2</v>
      </c>
      <c r="Q19" s="14">
        <v>1200</v>
      </c>
      <c r="R19" s="58">
        <f t="shared" si="5"/>
        <v>12916.68</v>
      </c>
      <c r="S19" s="15">
        <f t="shared" si="9"/>
        <v>4650004.8</v>
      </c>
      <c r="T19" s="15">
        <f t="shared" si="6"/>
        <v>1656564.21</v>
      </c>
      <c r="U19" s="15">
        <f t="shared" si="7"/>
        <v>2993440.59</v>
      </c>
      <c r="V19" s="11">
        <v>0</v>
      </c>
      <c r="W19" s="15">
        <f t="shared" si="8"/>
        <v>2993440.59</v>
      </c>
    </row>
    <row r="20" spans="2:23" ht="25.5" x14ac:dyDescent="0.25">
      <c r="B20" s="3">
        <v>16</v>
      </c>
      <c r="C20" s="75" t="s">
        <v>103</v>
      </c>
      <c r="D20" s="101" t="s">
        <v>83</v>
      </c>
      <c r="E20" s="82" t="s">
        <v>106</v>
      </c>
      <c r="F20" s="11" t="s">
        <v>39</v>
      </c>
      <c r="G20" s="83">
        <v>375</v>
      </c>
      <c r="H20" s="12">
        <f t="shared" si="1"/>
        <v>4036.4624999999996</v>
      </c>
      <c r="I20" s="91">
        <v>19</v>
      </c>
      <c r="J20" s="23">
        <f t="shared" si="2"/>
        <v>62.33596</v>
      </c>
      <c r="K20" s="3">
        <v>2007</v>
      </c>
      <c r="L20" s="11">
        <v>2022</v>
      </c>
      <c r="M20" s="11">
        <f t="shared" si="0"/>
        <v>15</v>
      </c>
      <c r="N20" s="11">
        <v>40</v>
      </c>
      <c r="O20" s="11">
        <v>0.05</v>
      </c>
      <c r="P20" s="13">
        <f t="shared" si="10"/>
        <v>2.375E-2</v>
      </c>
      <c r="Q20" s="14">
        <v>1200</v>
      </c>
      <c r="R20" s="58">
        <f t="shared" si="5"/>
        <v>12916.68</v>
      </c>
      <c r="S20" s="15">
        <f t="shared" si="9"/>
        <v>4843755</v>
      </c>
      <c r="T20" s="15">
        <f t="shared" si="6"/>
        <v>1725587.71875</v>
      </c>
      <c r="U20" s="15">
        <f t="shared" si="7"/>
        <v>3118167.28125</v>
      </c>
      <c r="V20" s="11">
        <v>0</v>
      </c>
      <c r="W20" s="15">
        <f t="shared" si="8"/>
        <v>3118167.28125</v>
      </c>
    </row>
    <row r="21" spans="2:23" ht="51" x14ac:dyDescent="0.25">
      <c r="B21" s="3">
        <v>17</v>
      </c>
      <c r="C21" s="75" t="s">
        <v>103</v>
      </c>
      <c r="D21" s="101" t="s">
        <v>84</v>
      </c>
      <c r="E21" s="82" t="s">
        <v>112</v>
      </c>
      <c r="F21" s="11" t="s">
        <v>39</v>
      </c>
      <c r="G21" s="83">
        <v>95</v>
      </c>
      <c r="H21" s="12">
        <f t="shared" si="1"/>
        <v>1022.5704999999999</v>
      </c>
      <c r="I21" s="91">
        <v>8</v>
      </c>
      <c r="J21" s="23">
        <f t="shared" si="2"/>
        <v>26.24672</v>
      </c>
      <c r="K21" s="3">
        <v>2007</v>
      </c>
      <c r="L21" s="11">
        <v>2022</v>
      </c>
      <c r="M21" s="11">
        <f t="shared" si="0"/>
        <v>15</v>
      </c>
      <c r="N21" s="11">
        <v>60</v>
      </c>
      <c r="O21" s="11">
        <v>0.05</v>
      </c>
      <c r="P21" s="13">
        <f t="shared" si="10"/>
        <v>1.5833333333333331E-2</v>
      </c>
      <c r="Q21" s="14">
        <v>1200</v>
      </c>
      <c r="R21" s="58">
        <f t="shared" si="5"/>
        <v>12916.68</v>
      </c>
      <c r="S21" s="15">
        <f t="shared" si="9"/>
        <v>1227084.6000000001</v>
      </c>
      <c r="T21" s="15">
        <f t="shared" si="6"/>
        <v>291432.59249999997</v>
      </c>
      <c r="U21" s="15">
        <f t="shared" si="7"/>
        <v>935652.00750000007</v>
      </c>
      <c r="V21" s="11">
        <v>0</v>
      </c>
      <c r="W21" s="15">
        <f t="shared" si="8"/>
        <v>935652.00750000007</v>
      </c>
    </row>
    <row r="22" spans="2:23" ht="40.5" customHeight="1" x14ac:dyDescent="0.25">
      <c r="B22" s="3">
        <v>18</v>
      </c>
      <c r="C22" s="75" t="s">
        <v>103</v>
      </c>
      <c r="D22" s="103" t="s">
        <v>85</v>
      </c>
      <c r="E22" s="82" t="s">
        <v>110</v>
      </c>
      <c r="F22" s="11" t="s">
        <v>39</v>
      </c>
      <c r="G22" s="83">
        <v>730</v>
      </c>
      <c r="H22" s="12">
        <f t="shared" si="1"/>
        <v>7857.6469999999999</v>
      </c>
      <c r="I22" s="91">
        <v>2.5</v>
      </c>
      <c r="J22" s="23">
        <f t="shared" si="2"/>
        <v>8.2020999999999997</v>
      </c>
      <c r="K22" s="3">
        <v>2007</v>
      </c>
      <c r="L22" s="11">
        <v>2022</v>
      </c>
      <c r="M22" s="11">
        <f t="shared" si="0"/>
        <v>15</v>
      </c>
      <c r="N22" s="11">
        <v>60</v>
      </c>
      <c r="O22" s="11">
        <v>0.05</v>
      </c>
      <c r="P22" s="13">
        <f t="shared" si="10"/>
        <v>1.5833333333333331E-2</v>
      </c>
      <c r="Q22" s="14">
        <v>1000</v>
      </c>
      <c r="R22" s="58">
        <f t="shared" si="5"/>
        <v>10763.9</v>
      </c>
      <c r="S22" s="15">
        <f t="shared" si="9"/>
        <v>7857647</v>
      </c>
      <c r="T22" s="15">
        <f t="shared" si="6"/>
        <v>1866191.1624999999</v>
      </c>
      <c r="U22" s="15">
        <f t="shared" si="7"/>
        <v>5991455.8375000004</v>
      </c>
      <c r="V22" s="11">
        <v>0</v>
      </c>
      <c r="W22" s="15">
        <f t="shared" si="8"/>
        <v>5991455.8375000004</v>
      </c>
    </row>
    <row r="23" spans="2:23" ht="51" x14ac:dyDescent="0.25">
      <c r="B23" s="3">
        <v>19</v>
      </c>
      <c r="C23" s="75" t="s">
        <v>103</v>
      </c>
      <c r="D23" s="101" t="s">
        <v>86</v>
      </c>
      <c r="E23" s="82" t="s">
        <v>113</v>
      </c>
      <c r="F23" s="11" t="s">
        <v>39</v>
      </c>
      <c r="G23" s="83">
        <v>53</v>
      </c>
      <c r="H23" s="12">
        <f t="shared" si="1"/>
        <v>570.48669999999993</v>
      </c>
      <c r="I23" s="91">
        <v>3</v>
      </c>
      <c r="J23" s="23">
        <f t="shared" si="2"/>
        <v>9.8425200000000004</v>
      </c>
      <c r="K23" s="3">
        <v>2007</v>
      </c>
      <c r="L23" s="11">
        <v>2022</v>
      </c>
      <c r="M23" s="11">
        <f t="shared" si="0"/>
        <v>15</v>
      </c>
      <c r="N23" s="11">
        <v>60</v>
      </c>
      <c r="O23" s="11">
        <v>0.05</v>
      </c>
      <c r="P23" s="13">
        <f t="shared" si="10"/>
        <v>1.5833333333333331E-2</v>
      </c>
      <c r="Q23" s="14">
        <v>1100</v>
      </c>
      <c r="R23" s="58">
        <f t="shared" si="5"/>
        <v>11840.289999999999</v>
      </c>
      <c r="S23" s="15">
        <f t="shared" si="9"/>
        <v>627535.37</v>
      </c>
      <c r="T23" s="15">
        <f t="shared" si="6"/>
        <v>149039.65037499997</v>
      </c>
      <c r="U23" s="15">
        <f t="shared" si="7"/>
        <v>478495.71962500003</v>
      </c>
      <c r="V23" s="11">
        <v>0</v>
      </c>
      <c r="W23" s="15">
        <f t="shared" si="8"/>
        <v>478495.71962500003</v>
      </c>
    </row>
    <row r="24" spans="2:23" ht="51" x14ac:dyDescent="0.25">
      <c r="B24" s="3">
        <v>20</v>
      </c>
      <c r="C24" s="75" t="s">
        <v>103</v>
      </c>
      <c r="D24" s="101" t="s">
        <v>87</v>
      </c>
      <c r="E24" s="82" t="s">
        <v>113</v>
      </c>
      <c r="F24" s="11" t="s">
        <v>39</v>
      </c>
      <c r="G24" s="83">
        <v>6</v>
      </c>
      <c r="H24" s="12">
        <f t="shared" si="1"/>
        <v>64.583399999999997</v>
      </c>
      <c r="I24" s="91">
        <v>3</v>
      </c>
      <c r="J24" s="23">
        <f t="shared" si="2"/>
        <v>9.8425200000000004</v>
      </c>
      <c r="K24" s="3">
        <v>2007</v>
      </c>
      <c r="L24" s="11">
        <v>2022</v>
      </c>
      <c r="M24" s="11">
        <f t="shared" si="0"/>
        <v>15</v>
      </c>
      <c r="N24" s="11">
        <v>60</v>
      </c>
      <c r="O24" s="11">
        <v>0.05</v>
      </c>
      <c r="P24" s="13">
        <f t="shared" si="10"/>
        <v>1.5833333333333331E-2</v>
      </c>
      <c r="Q24" s="14">
        <v>1100</v>
      </c>
      <c r="R24" s="58">
        <f t="shared" si="5"/>
        <v>11840.289999999999</v>
      </c>
      <c r="S24" s="15">
        <f t="shared" si="9"/>
        <v>71041.739999999991</v>
      </c>
      <c r="T24" s="15">
        <f t="shared" si="6"/>
        <v>16872.413249999998</v>
      </c>
      <c r="U24" s="15">
        <f t="shared" si="7"/>
        <v>54169.326749999993</v>
      </c>
      <c r="V24" s="11">
        <v>0</v>
      </c>
      <c r="W24" s="15">
        <f t="shared" si="8"/>
        <v>54169.326749999993</v>
      </c>
    </row>
    <row r="25" spans="2:23" ht="51" x14ac:dyDescent="0.25">
      <c r="B25" s="3">
        <v>21</v>
      </c>
      <c r="C25" s="75" t="s">
        <v>103</v>
      </c>
      <c r="D25" s="101" t="s">
        <v>88</v>
      </c>
      <c r="E25" s="82" t="s">
        <v>113</v>
      </c>
      <c r="F25" s="11" t="s">
        <v>39</v>
      </c>
      <c r="G25" s="83">
        <v>22</v>
      </c>
      <c r="H25" s="12">
        <f t="shared" si="1"/>
        <v>236.80579999999998</v>
      </c>
      <c r="I25" s="91">
        <v>3</v>
      </c>
      <c r="J25" s="23">
        <f t="shared" si="2"/>
        <v>9.8425200000000004</v>
      </c>
      <c r="K25" s="3">
        <v>2007</v>
      </c>
      <c r="L25" s="11">
        <v>2022</v>
      </c>
      <c r="M25" s="11">
        <f t="shared" si="0"/>
        <v>15</v>
      </c>
      <c r="N25" s="11">
        <v>60</v>
      </c>
      <c r="O25" s="11">
        <v>0.05</v>
      </c>
      <c r="P25" s="13">
        <f t="shared" si="10"/>
        <v>1.5833333333333331E-2</v>
      </c>
      <c r="Q25" s="14">
        <v>1200</v>
      </c>
      <c r="R25" s="58">
        <f t="shared" si="5"/>
        <v>12916.68</v>
      </c>
      <c r="S25" s="15">
        <f t="shared" si="9"/>
        <v>284166.96000000002</v>
      </c>
      <c r="T25" s="15">
        <f t="shared" si="6"/>
        <v>67489.652999999991</v>
      </c>
      <c r="U25" s="15">
        <f t="shared" si="7"/>
        <v>216677.30700000003</v>
      </c>
      <c r="V25" s="11">
        <v>0</v>
      </c>
      <c r="W25" s="15">
        <f t="shared" si="8"/>
        <v>216677.30700000003</v>
      </c>
    </row>
    <row r="26" spans="2:23" ht="51" x14ac:dyDescent="0.25">
      <c r="B26" s="3">
        <v>22</v>
      </c>
      <c r="C26" s="75" t="s">
        <v>103</v>
      </c>
      <c r="D26" s="101" t="s">
        <v>89</v>
      </c>
      <c r="E26" s="82" t="s">
        <v>113</v>
      </c>
      <c r="F26" s="11" t="s">
        <v>39</v>
      </c>
      <c r="G26" s="83">
        <v>6</v>
      </c>
      <c r="H26" s="12">
        <f t="shared" si="1"/>
        <v>64.583399999999997</v>
      </c>
      <c r="I26" s="91">
        <v>3</v>
      </c>
      <c r="J26" s="23">
        <f t="shared" si="2"/>
        <v>9.8425200000000004</v>
      </c>
      <c r="K26" s="3">
        <v>2007</v>
      </c>
      <c r="L26" s="11">
        <v>2022</v>
      </c>
      <c r="M26" s="11">
        <f t="shared" si="0"/>
        <v>15</v>
      </c>
      <c r="N26" s="11">
        <v>60</v>
      </c>
      <c r="O26" s="11">
        <v>0.05</v>
      </c>
      <c r="P26" s="13">
        <f t="shared" si="10"/>
        <v>1.5833333333333331E-2</v>
      </c>
      <c r="Q26" s="14">
        <v>1200</v>
      </c>
      <c r="R26" s="58">
        <f t="shared" si="5"/>
        <v>12916.68</v>
      </c>
      <c r="S26" s="15">
        <f t="shared" si="9"/>
        <v>77500.08</v>
      </c>
      <c r="T26" s="15">
        <f t="shared" si="6"/>
        <v>18406.269</v>
      </c>
      <c r="U26" s="15">
        <f t="shared" si="7"/>
        <v>59093.811000000002</v>
      </c>
      <c r="V26" s="11">
        <v>0</v>
      </c>
      <c r="W26" s="15">
        <f t="shared" si="8"/>
        <v>59093.811000000002</v>
      </c>
    </row>
    <row r="27" spans="2:23" ht="25.5" x14ac:dyDescent="0.25">
      <c r="B27" s="3">
        <v>23</v>
      </c>
      <c r="C27" s="75" t="s">
        <v>103</v>
      </c>
      <c r="D27" s="101" t="s">
        <v>90</v>
      </c>
      <c r="E27" s="82" t="s">
        <v>114</v>
      </c>
      <c r="F27" s="11" t="s">
        <v>39</v>
      </c>
      <c r="G27" s="83">
        <v>608</v>
      </c>
      <c r="H27" s="12">
        <f t="shared" si="1"/>
        <v>6544.4511999999995</v>
      </c>
      <c r="I27" s="91">
        <v>5</v>
      </c>
      <c r="J27" s="23">
        <f t="shared" si="2"/>
        <v>16.404199999999999</v>
      </c>
      <c r="K27" s="3">
        <v>2007</v>
      </c>
      <c r="L27" s="11">
        <v>2022</v>
      </c>
      <c r="M27" s="11">
        <f t="shared" si="0"/>
        <v>15</v>
      </c>
      <c r="N27" s="11">
        <v>40</v>
      </c>
      <c r="O27" s="11">
        <v>0.05</v>
      </c>
      <c r="P27" s="13">
        <f t="shared" si="10"/>
        <v>2.375E-2</v>
      </c>
      <c r="Q27" s="14">
        <v>1200</v>
      </c>
      <c r="R27" s="58">
        <f t="shared" si="5"/>
        <v>12916.68</v>
      </c>
      <c r="S27" s="15">
        <f t="shared" si="9"/>
        <v>7853341.4400000004</v>
      </c>
      <c r="T27" s="15">
        <f t="shared" si="6"/>
        <v>2797752.8880000003</v>
      </c>
      <c r="U27" s="15">
        <f t="shared" si="7"/>
        <v>5055588.5520000001</v>
      </c>
      <c r="V27" s="11">
        <v>0</v>
      </c>
      <c r="W27" s="15">
        <f t="shared" si="8"/>
        <v>5055588.5520000001</v>
      </c>
    </row>
    <row r="28" spans="2:23" ht="51" x14ac:dyDescent="0.25">
      <c r="B28" s="3">
        <v>24</v>
      </c>
      <c r="C28" s="75" t="s">
        <v>103</v>
      </c>
      <c r="D28" s="101" t="s">
        <v>91</v>
      </c>
      <c r="E28" s="82" t="s">
        <v>115</v>
      </c>
      <c r="F28" s="11" t="s">
        <v>39</v>
      </c>
      <c r="G28" s="83">
        <v>630</v>
      </c>
      <c r="H28" s="12">
        <f t="shared" si="1"/>
        <v>6781.2569999999996</v>
      </c>
      <c r="I28" s="91">
        <v>6</v>
      </c>
      <c r="J28" s="23">
        <f t="shared" si="2"/>
        <v>19.685040000000001</v>
      </c>
      <c r="K28" s="3">
        <v>2007</v>
      </c>
      <c r="L28" s="11">
        <v>2022</v>
      </c>
      <c r="M28" s="11">
        <f t="shared" si="0"/>
        <v>15</v>
      </c>
      <c r="N28" s="11">
        <v>60</v>
      </c>
      <c r="O28" s="11">
        <v>0.05</v>
      </c>
      <c r="P28" s="13">
        <f t="shared" si="10"/>
        <v>1.5833333333333331E-2</v>
      </c>
      <c r="Q28" s="37">
        <v>1100</v>
      </c>
      <c r="R28" s="37">
        <f t="shared" si="5"/>
        <v>11840.289999999999</v>
      </c>
      <c r="S28" s="38">
        <f t="shared" si="9"/>
        <v>7459382.6999999993</v>
      </c>
      <c r="T28" s="38">
        <f t="shared" si="6"/>
        <v>1771603.3912499996</v>
      </c>
      <c r="U28" s="38">
        <f t="shared" si="7"/>
        <v>5687779.3087499999</v>
      </c>
      <c r="V28" s="11">
        <v>0</v>
      </c>
      <c r="W28" s="15">
        <f t="shared" si="8"/>
        <v>5687779.3087499999</v>
      </c>
    </row>
    <row r="29" spans="2:23" ht="51" x14ac:dyDescent="0.25">
      <c r="B29" s="3">
        <v>25</v>
      </c>
      <c r="C29" s="75" t="s">
        <v>103</v>
      </c>
      <c r="D29" s="101" t="s">
        <v>145</v>
      </c>
      <c r="E29" s="82" t="s">
        <v>115</v>
      </c>
      <c r="F29" s="11" t="s">
        <v>39</v>
      </c>
      <c r="G29" s="83">
        <v>75</v>
      </c>
      <c r="H29" s="12">
        <f t="shared" si="1"/>
        <v>807.29250000000002</v>
      </c>
      <c r="I29" s="91">
        <v>6</v>
      </c>
      <c r="J29" s="23">
        <f t="shared" si="2"/>
        <v>19.685040000000001</v>
      </c>
      <c r="K29" s="3">
        <v>2007</v>
      </c>
      <c r="L29" s="11">
        <v>2022</v>
      </c>
      <c r="M29" s="11">
        <f t="shared" si="0"/>
        <v>15</v>
      </c>
      <c r="N29" s="11">
        <v>60</v>
      </c>
      <c r="O29" s="11">
        <v>0.05</v>
      </c>
      <c r="P29" s="13">
        <f t="shared" si="10"/>
        <v>1.5833333333333331E-2</v>
      </c>
      <c r="Q29" s="37">
        <v>1100</v>
      </c>
      <c r="R29" s="37">
        <f t="shared" si="5"/>
        <v>11840.289999999999</v>
      </c>
      <c r="S29" s="38">
        <f t="shared" si="9"/>
        <v>888021.74999999988</v>
      </c>
      <c r="T29" s="38">
        <f t="shared" si="6"/>
        <v>210905.16562499997</v>
      </c>
      <c r="U29" s="38">
        <f t="shared" si="7"/>
        <v>677116.58437499986</v>
      </c>
      <c r="V29" s="11">
        <v>0</v>
      </c>
      <c r="W29" s="15">
        <f t="shared" si="8"/>
        <v>677116.58437499986</v>
      </c>
    </row>
    <row r="30" spans="2:23" ht="51" x14ac:dyDescent="0.25">
      <c r="B30" s="3">
        <v>26</v>
      </c>
      <c r="C30" s="75" t="s">
        <v>103</v>
      </c>
      <c r="D30" s="101" t="s">
        <v>93</v>
      </c>
      <c r="E30" s="82" t="s">
        <v>115</v>
      </c>
      <c r="F30" s="11" t="s">
        <v>39</v>
      </c>
      <c r="G30" s="83">
        <v>50</v>
      </c>
      <c r="H30" s="12">
        <f t="shared" si="1"/>
        <v>538.19499999999994</v>
      </c>
      <c r="I30" s="91">
        <v>3</v>
      </c>
      <c r="J30" s="23">
        <f t="shared" si="2"/>
        <v>9.8425200000000004</v>
      </c>
      <c r="K30" s="3">
        <v>2007</v>
      </c>
      <c r="L30" s="11">
        <v>2022</v>
      </c>
      <c r="M30" s="11">
        <f t="shared" si="0"/>
        <v>15</v>
      </c>
      <c r="N30" s="11">
        <v>60</v>
      </c>
      <c r="O30" s="11">
        <v>0.05</v>
      </c>
      <c r="P30" s="13">
        <f t="shared" si="10"/>
        <v>1.5833333333333331E-2</v>
      </c>
      <c r="Q30" s="37">
        <v>1200</v>
      </c>
      <c r="R30" s="37">
        <f t="shared" si="5"/>
        <v>12916.68</v>
      </c>
      <c r="S30" s="38">
        <f t="shared" si="9"/>
        <v>645834</v>
      </c>
      <c r="T30" s="38">
        <f t="shared" si="6"/>
        <v>153385.57499999998</v>
      </c>
      <c r="U30" s="38">
        <f t="shared" si="7"/>
        <v>492448.42500000005</v>
      </c>
      <c r="V30" s="11">
        <v>0</v>
      </c>
      <c r="W30" s="15">
        <f t="shared" si="8"/>
        <v>492448.42500000005</v>
      </c>
    </row>
    <row r="31" spans="2:23" ht="51" x14ac:dyDescent="0.25">
      <c r="B31" s="3">
        <v>27</v>
      </c>
      <c r="C31" s="75" t="s">
        <v>103</v>
      </c>
      <c r="D31" s="101" t="s">
        <v>94</v>
      </c>
      <c r="E31" s="82" t="s">
        <v>115</v>
      </c>
      <c r="F31" s="11" t="s">
        <v>39</v>
      </c>
      <c r="G31" s="83">
        <v>120</v>
      </c>
      <c r="H31" s="12">
        <f t="shared" si="1"/>
        <v>1291.6679999999999</v>
      </c>
      <c r="I31" s="91">
        <v>3</v>
      </c>
      <c r="J31" s="23">
        <f t="shared" si="2"/>
        <v>9.8425200000000004</v>
      </c>
      <c r="K31" s="3">
        <v>2007</v>
      </c>
      <c r="L31" s="11">
        <v>2022</v>
      </c>
      <c r="M31" s="11">
        <f t="shared" si="0"/>
        <v>15</v>
      </c>
      <c r="N31" s="11">
        <v>60</v>
      </c>
      <c r="O31" s="11">
        <v>0.05</v>
      </c>
      <c r="P31" s="13">
        <f t="shared" si="10"/>
        <v>1.5833333333333331E-2</v>
      </c>
      <c r="Q31" s="37">
        <v>1200</v>
      </c>
      <c r="R31" s="37">
        <f t="shared" si="5"/>
        <v>12916.68</v>
      </c>
      <c r="S31" s="38">
        <f t="shared" si="9"/>
        <v>1550001.6</v>
      </c>
      <c r="T31" s="38">
        <f t="shared" si="6"/>
        <v>368125.38</v>
      </c>
      <c r="U31" s="38">
        <f t="shared" si="7"/>
        <v>1181876.2200000002</v>
      </c>
      <c r="V31" s="11">
        <v>0</v>
      </c>
      <c r="W31" s="15">
        <f t="shared" si="8"/>
        <v>1181876.2200000002</v>
      </c>
    </row>
    <row r="32" spans="2:23" ht="25.5" x14ac:dyDescent="0.25">
      <c r="B32" s="3">
        <v>28</v>
      </c>
      <c r="C32" s="75" t="s">
        <v>103</v>
      </c>
      <c r="D32" s="101" t="s">
        <v>95</v>
      </c>
      <c r="E32" s="82" t="s">
        <v>116</v>
      </c>
      <c r="F32" s="11" t="s">
        <v>39</v>
      </c>
      <c r="G32" s="83">
        <v>48</v>
      </c>
      <c r="H32" s="12">
        <f t="shared" si="1"/>
        <v>516.66719999999998</v>
      </c>
      <c r="I32" s="91">
        <v>3</v>
      </c>
      <c r="J32" s="23">
        <f t="shared" si="2"/>
        <v>9.8425200000000004</v>
      </c>
      <c r="K32" s="3">
        <v>2007</v>
      </c>
      <c r="L32" s="11">
        <v>2022</v>
      </c>
      <c r="M32" s="11">
        <f t="shared" si="0"/>
        <v>15</v>
      </c>
      <c r="N32" s="11">
        <v>40</v>
      </c>
      <c r="O32" s="11">
        <v>0.05</v>
      </c>
      <c r="P32" s="13">
        <f t="shared" si="10"/>
        <v>2.375E-2</v>
      </c>
      <c r="Q32" s="37">
        <v>1100</v>
      </c>
      <c r="R32" s="37">
        <f t="shared" si="5"/>
        <v>11840.289999999999</v>
      </c>
      <c r="S32" s="38">
        <f t="shared" si="9"/>
        <v>568333.91999999993</v>
      </c>
      <c r="T32" s="38">
        <f t="shared" si="6"/>
        <v>202468.95899999997</v>
      </c>
      <c r="U32" s="38">
        <f t="shared" si="7"/>
        <v>365864.96099999995</v>
      </c>
      <c r="V32" s="11">
        <v>0</v>
      </c>
      <c r="W32" s="15">
        <f t="shared" si="8"/>
        <v>365864.96099999995</v>
      </c>
    </row>
    <row r="33" spans="2:23" ht="51" x14ac:dyDescent="0.25">
      <c r="B33" s="3">
        <v>29</v>
      </c>
      <c r="C33" s="75" t="s">
        <v>103</v>
      </c>
      <c r="D33" s="101" t="s">
        <v>96</v>
      </c>
      <c r="E33" s="82" t="s">
        <v>117</v>
      </c>
      <c r="F33" s="11" t="s">
        <v>39</v>
      </c>
      <c r="G33" s="83">
        <v>55</v>
      </c>
      <c r="H33" s="12">
        <f t="shared" si="1"/>
        <v>592.0145</v>
      </c>
      <c r="I33" s="91">
        <v>3</v>
      </c>
      <c r="J33" s="23">
        <f t="shared" si="2"/>
        <v>9.8425200000000004</v>
      </c>
      <c r="K33" s="3">
        <v>2007</v>
      </c>
      <c r="L33" s="11">
        <v>2022</v>
      </c>
      <c r="M33" s="11">
        <f t="shared" si="0"/>
        <v>15</v>
      </c>
      <c r="N33" s="11">
        <v>60</v>
      </c>
      <c r="O33" s="11">
        <v>0.05</v>
      </c>
      <c r="P33" s="13">
        <f t="shared" si="10"/>
        <v>1.5833333333333331E-2</v>
      </c>
      <c r="Q33" s="37">
        <v>900</v>
      </c>
      <c r="R33" s="37">
        <f t="shared" si="5"/>
        <v>9687.51</v>
      </c>
      <c r="S33" s="38">
        <f t="shared" si="9"/>
        <v>532813.05000000005</v>
      </c>
      <c r="T33" s="38">
        <f t="shared" si="6"/>
        <v>126543.09937499999</v>
      </c>
      <c r="U33" s="38">
        <f t="shared" si="7"/>
        <v>406269.95062500006</v>
      </c>
      <c r="V33" s="11">
        <v>0</v>
      </c>
      <c r="W33" s="15">
        <f t="shared" si="8"/>
        <v>406269.95062500006</v>
      </c>
    </row>
    <row r="34" spans="2:23" ht="51" x14ac:dyDescent="0.25">
      <c r="B34" s="3">
        <v>30</v>
      </c>
      <c r="C34" s="75" t="s">
        <v>103</v>
      </c>
      <c r="D34" s="101" t="s">
        <v>97</v>
      </c>
      <c r="E34" s="82" t="s">
        <v>117</v>
      </c>
      <c r="F34" s="11" t="s">
        <v>39</v>
      </c>
      <c r="G34" s="83">
        <v>100</v>
      </c>
      <c r="H34" s="12">
        <f t="shared" si="1"/>
        <v>1076.3899999999999</v>
      </c>
      <c r="I34" s="91">
        <v>3</v>
      </c>
      <c r="J34" s="23">
        <f t="shared" si="2"/>
        <v>9.8425200000000004</v>
      </c>
      <c r="K34" s="3">
        <v>2007</v>
      </c>
      <c r="L34" s="11">
        <v>2022</v>
      </c>
      <c r="M34" s="11">
        <f t="shared" si="0"/>
        <v>15</v>
      </c>
      <c r="N34" s="11">
        <v>60</v>
      </c>
      <c r="O34" s="11">
        <v>0.05</v>
      </c>
      <c r="P34" s="13">
        <f t="shared" si="10"/>
        <v>1.5833333333333331E-2</v>
      </c>
      <c r="Q34" s="37">
        <v>900</v>
      </c>
      <c r="R34" s="37">
        <f t="shared" si="5"/>
        <v>9687.51</v>
      </c>
      <c r="S34" s="38">
        <f t="shared" si="9"/>
        <v>968751</v>
      </c>
      <c r="T34" s="38">
        <f t="shared" si="6"/>
        <v>230078.36249999996</v>
      </c>
      <c r="U34" s="38">
        <f t="shared" si="7"/>
        <v>738672.63750000007</v>
      </c>
      <c r="V34" s="11">
        <v>0</v>
      </c>
      <c r="W34" s="15">
        <f t="shared" si="8"/>
        <v>738672.63750000007</v>
      </c>
    </row>
    <row r="35" spans="2:23" ht="51" x14ac:dyDescent="0.25">
      <c r="B35" s="3">
        <v>31</v>
      </c>
      <c r="C35" s="75" t="s">
        <v>103</v>
      </c>
      <c r="D35" s="101" t="s">
        <v>98</v>
      </c>
      <c r="E35" s="82" t="s">
        <v>112</v>
      </c>
      <c r="F35" s="11" t="s">
        <v>39</v>
      </c>
      <c r="G35" s="83">
        <v>20</v>
      </c>
      <c r="H35" s="12">
        <f t="shared" si="1"/>
        <v>215.27799999999999</v>
      </c>
      <c r="I35" s="91">
        <v>3</v>
      </c>
      <c r="J35" s="23">
        <f t="shared" si="2"/>
        <v>9.8425200000000004</v>
      </c>
      <c r="K35" s="3">
        <v>2007</v>
      </c>
      <c r="L35" s="11">
        <v>2022</v>
      </c>
      <c r="M35" s="11">
        <f t="shared" si="0"/>
        <v>15</v>
      </c>
      <c r="N35" s="11">
        <v>60</v>
      </c>
      <c r="O35" s="11">
        <v>0.05</v>
      </c>
      <c r="P35" s="13">
        <f t="shared" si="10"/>
        <v>1.5833333333333331E-2</v>
      </c>
      <c r="Q35" s="37">
        <v>1200</v>
      </c>
      <c r="R35" s="37">
        <f t="shared" si="5"/>
        <v>12916.68</v>
      </c>
      <c r="S35" s="38">
        <f t="shared" si="9"/>
        <v>258333.6</v>
      </c>
      <c r="T35" s="38">
        <f t="shared" si="6"/>
        <v>61354.229999999996</v>
      </c>
      <c r="U35" s="38">
        <f t="shared" si="7"/>
        <v>196979.37</v>
      </c>
      <c r="V35" s="11">
        <v>0</v>
      </c>
      <c r="W35" s="15">
        <f t="shared" si="8"/>
        <v>196979.37</v>
      </c>
    </row>
    <row r="36" spans="2:23" ht="51" x14ac:dyDescent="0.25">
      <c r="B36" s="3">
        <v>32</v>
      </c>
      <c r="C36" s="75" t="s">
        <v>103</v>
      </c>
      <c r="D36" s="101" t="s">
        <v>99</v>
      </c>
      <c r="E36" s="82" t="s">
        <v>112</v>
      </c>
      <c r="F36" s="11" t="s">
        <v>39</v>
      </c>
      <c r="G36" s="83">
        <v>16</v>
      </c>
      <c r="H36" s="12">
        <f t="shared" si="1"/>
        <v>172.22239999999999</v>
      </c>
      <c r="I36" s="91">
        <v>3</v>
      </c>
      <c r="J36" s="23">
        <f t="shared" si="2"/>
        <v>9.8425200000000004</v>
      </c>
      <c r="K36" s="3">
        <v>2007</v>
      </c>
      <c r="L36" s="11">
        <v>2022</v>
      </c>
      <c r="M36" s="11">
        <f t="shared" si="0"/>
        <v>15</v>
      </c>
      <c r="N36" s="11">
        <v>60</v>
      </c>
      <c r="O36" s="11">
        <v>0.05</v>
      </c>
      <c r="P36" s="13">
        <f t="shared" si="10"/>
        <v>1.5833333333333331E-2</v>
      </c>
      <c r="Q36" s="37">
        <v>1100</v>
      </c>
      <c r="R36" s="37">
        <f t="shared" si="5"/>
        <v>11840.289999999999</v>
      </c>
      <c r="S36" s="38">
        <f t="shared" si="9"/>
        <v>189444.63999999998</v>
      </c>
      <c r="T36" s="38">
        <f t="shared" si="6"/>
        <v>44993.101999999984</v>
      </c>
      <c r="U36" s="38">
        <f t="shared" si="7"/>
        <v>144451.538</v>
      </c>
      <c r="V36" s="11">
        <v>0</v>
      </c>
      <c r="W36" s="15">
        <f t="shared" si="8"/>
        <v>144451.538</v>
      </c>
    </row>
    <row r="37" spans="2:23" ht="38.25" x14ac:dyDescent="0.25">
      <c r="B37" s="3">
        <v>33</v>
      </c>
      <c r="C37" s="75" t="s">
        <v>103</v>
      </c>
      <c r="D37" s="101" t="s">
        <v>100</v>
      </c>
      <c r="E37" s="86" t="s">
        <v>118</v>
      </c>
      <c r="F37" s="11" t="s">
        <v>39</v>
      </c>
      <c r="G37" s="87">
        <v>8000</v>
      </c>
      <c r="H37" s="12">
        <f t="shared" si="1"/>
        <v>86111.2</v>
      </c>
      <c r="I37" s="91">
        <v>10</v>
      </c>
      <c r="J37" s="23">
        <f t="shared" si="2"/>
        <v>32.808399999999999</v>
      </c>
      <c r="K37" s="3">
        <v>2007</v>
      </c>
      <c r="L37" s="11">
        <v>2022</v>
      </c>
      <c r="M37" s="11">
        <f t="shared" si="0"/>
        <v>15</v>
      </c>
      <c r="N37" s="11">
        <v>40</v>
      </c>
      <c r="O37" s="11">
        <v>0.05</v>
      </c>
      <c r="P37" s="13">
        <f t="shared" si="10"/>
        <v>2.375E-2</v>
      </c>
      <c r="Q37" s="37">
        <v>1200</v>
      </c>
      <c r="R37" s="37">
        <f t="shared" si="5"/>
        <v>12916.68</v>
      </c>
      <c r="S37" s="38">
        <f t="shared" si="9"/>
        <v>103333440</v>
      </c>
      <c r="T37" s="38">
        <f t="shared" si="6"/>
        <v>36812538</v>
      </c>
      <c r="U37" s="38">
        <f t="shared" si="7"/>
        <v>66520902</v>
      </c>
      <c r="V37" s="11">
        <v>0</v>
      </c>
      <c r="W37" s="15">
        <f t="shared" si="8"/>
        <v>66520902</v>
      </c>
    </row>
    <row r="38" spans="2:23" ht="76.5" x14ac:dyDescent="0.25">
      <c r="B38" s="3">
        <v>34</v>
      </c>
      <c r="C38" s="75" t="s">
        <v>103</v>
      </c>
      <c r="D38" s="101" t="s">
        <v>101</v>
      </c>
      <c r="E38" s="82" t="s">
        <v>119</v>
      </c>
      <c r="F38" s="11" t="s">
        <v>39</v>
      </c>
      <c r="G38" s="83">
        <v>1209</v>
      </c>
      <c r="H38" s="12">
        <f t="shared" si="1"/>
        <v>13013.5551</v>
      </c>
      <c r="I38" s="91">
        <v>21.2</v>
      </c>
      <c r="J38" s="23">
        <f t="shared" si="2"/>
        <v>69.553808000000004</v>
      </c>
      <c r="K38" s="3">
        <v>2007</v>
      </c>
      <c r="L38" s="11">
        <v>2022</v>
      </c>
      <c r="M38" s="11">
        <f t="shared" si="0"/>
        <v>15</v>
      </c>
      <c r="N38" s="11">
        <v>60</v>
      </c>
      <c r="O38" s="11">
        <v>0.05</v>
      </c>
      <c r="P38" s="13">
        <f t="shared" si="10"/>
        <v>1.5833333333333331E-2</v>
      </c>
      <c r="Q38" s="37">
        <v>1300</v>
      </c>
      <c r="R38" s="37">
        <f t="shared" si="5"/>
        <v>13993.07</v>
      </c>
      <c r="S38" s="38">
        <f t="shared" si="9"/>
        <v>16917621.629999999</v>
      </c>
      <c r="T38" s="38">
        <f t="shared" si="6"/>
        <v>4017935.1371249994</v>
      </c>
      <c r="U38" s="38">
        <f t="shared" si="7"/>
        <v>12899686.492874999</v>
      </c>
      <c r="V38" s="11">
        <v>0</v>
      </c>
      <c r="W38" s="15">
        <f t="shared" si="8"/>
        <v>12899686.492874999</v>
      </c>
    </row>
    <row r="39" spans="2:23" ht="25.5" x14ac:dyDescent="0.25">
      <c r="B39" s="72">
        <v>35</v>
      </c>
      <c r="C39" s="104" t="s">
        <v>103</v>
      </c>
      <c r="D39" s="102" t="s">
        <v>102</v>
      </c>
      <c r="E39" s="86" t="s">
        <v>120</v>
      </c>
      <c r="F39" s="93" t="s">
        <v>39</v>
      </c>
      <c r="G39" s="87">
        <v>960</v>
      </c>
      <c r="H39" s="94">
        <f t="shared" si="1"/>
        <v>10333.343999999999</v>
      </c>
      <c r="I39" s="91">
        <v>3</v>
      </c>
      <c r="J39" s="95">
        <f t="shared" si="2"/>
        <v>9.8425200000000004</v>
      </c>
      <c r="K39" s="3">
        <v>2007</v>
      </c>
      <c r="L39" s="93">
        <v>2022</v>
      </c>
      <c r="M39" s="93">
        <f t="shared" si="0"/>
        <v>15</v>
      </c>
      <c r="N39" s="93">
        <v>40</v>
      </c>
      <c r="O39" s="93">
        <v>0.05</v>
      </c>
      <c r="P39" s="96">
        <f t="shared" si="10"/>
        <v>2.375E-2</v>
      </c>
      <c r="Q39" s="97">
        <v>1200</v>
      </c>
      <c r="R39" s="97">
        <f t="shared" si="5"/>
        <v>12916.68</v>
      </c>
      <c r="S39" s="98">
        <f t="shared" si="9"/>
        <v>12400012.800000001</v>
      </c>
      <c r="T39" s="98">
        <f t="shared" si="6"/>
        <v>4417504.5600000005</v>
      </c>
      <c r="U39" s="98">
        <f t="shared" si="7"/>
        <v>7982508.2400000002</v>
      </c>
      <c r="V39" s="11">
        <v>0</v>
      </c>
      <c r="W39" s="99">
        <f t="shared" si="8"/>
        <v>7982508.2400000002</v>
      </c>
    </row>
    <row r="40" spans="2:23" x14ac:dyDescent="0.25">
      <c r="B40" s="136" t="s">
        <v>58</v>
      </c>
      <c r="C40" s="136"/>
      <c r="D40" s="136"/>
      <c r="E40" s="136"/>
      <c r="F40" s="136"/>
      <c r="G40" s="136"/>
      <c r="H40" s="136"/>
      <c r="I40" s="136"/>
      <c r="J40" s="136"/>
      <c r="K40" s="136"/>
      <c r="L40" s="136"/>
      <c r="M40" s="136"/>
      <c r="N40" s="136"/>
      <c r="O40" s="136"/>
      <c r="P40" s="136"/>
      <c r="Q40" s="136"/>
      <c r="R40" s="136"/>
      <c r="S40" s="59">
        <f>SUM(S5:S39)</f>
        <v>412870912.30000007</v>
      </c>
      <c r="T40" s="59">
        <f>SUM(T5:T39)</f>
        <v>137182434.14224997</v>
      </c>
      <c r="U40" s="59">
        <f>SUM(U5:U39)</f>
        <v>275688478.15774995</v>
      </c>
      <c r="V40" s="60"/>
      <c r="W40" s="61">
        <f>SUM(W5:W39)</f>
        <v>275688478.15774995</v>
      </c>
    </row>
    <row r="43" spans="2:23" s="39" customFormat="1" x14ac:dyDescent="0.25">
      <c r="B43" s="106"/>
      <c r="C43" s="41"/>
      <c r="D43" s="30"/>
      <c r="E43" s="30"/>
      <c r="F43" s="43"/>
      <c r="G43" s="107"/>
      <c r="H43" s="40"/>
      <c r="I43" s="48">
        <v>69.3</v>
      </c>
      <c r="J43" s="42"/>
      <c r="K43" s="41"/>
      <c r="L43" s="43"/>
      <c r="M43" s="43"/>
      <c r="N43" s="43"/>
      <c r="O43" s="43"/>
      <c r="P43" s="44"/>
    </row>
    <row r="44" spans="2:23" s="39" customFormat="1" x14ac:dyDescent="0.25">
      <c r="B44" s="106"/>
      <c r="C44" s="41"/>
      <c r="D44" s="30"/>
      <c r="E44" s="30"/>
      <c r="F44" s="43"/>
      <c r="G44" s="108"/>
      <c r="H44" s="40"/>
      <c r="I44" s="41"/>
      <c r="J44" s="42"/>
      <c r="K44" s="41"/>
      <c r="L44" s="43"/>
      <c r="M44" s="43"/>
      <c r="N44" s="43"/>
      <c r="O44" s="43"/>
      <c r="P44" s="44"/>
    </row>
    <row r="45" spans="2:23" s="39" customFormat="1" x14ac:dyDescent="0.25">
      <c r="B45" s="106"/>
      <c r="C45" s="41"/>
      <c r="D45" s="30"/>
      <c r="E45" s="30"/>
      <c r="F45" s="43"/>
      <c r="G45" s="108"/>
      <c r="H45" s="40"/>
      <c r="I45" s="41"/>
      <c r="J45" s="42"/>
      <c r="K45" s="41"/>
      <c r="L45" s="43"/>
      <c r="M45" s="43"/>
      <c r="N45" s="43"/>
      <c r="O45" s="43"/>
      <c r="P45" s="44"/>
    </row>
    <row r="46" spans="2:23" s="39" customFormat="1" x14ac:dyDescent="0.25">
      <c r="B46" s="106"/>
      <c r="C46" s="41"/>
      <c r="D46" s="30"/>
      <c r="E46" s="30"/>
      <c r="F46" s="43"/>
      <c r="G46" s="109"/>
      <c r="H46" s="40"/>
      <c r="I46" s="41"/>
      <c r="J46" s="42"/>
      <c r="K46" s="41"/>
      <c r="L46" s="43"/>
      <c r="M46" s="43"/>
      <c r="N46" s="43"/>
      <c r="O46" s="43"/>
      <c r="P46" s="44"/>
      <c r="Q46" s="45"/>
      <c r="R46" s="45"/>
      <c r="S46" s="46"/>
      <c r="T46" s="46"/>
      <c r="U46" s="46"/>
      <c r="V46" s="43"/>
      <c r="W46" s="46"/>
    </row>
  </sheetData>
  <autoFilter ref="B4:W40" xr:uid="{F0C28BEA-F622-45E1-BA03-608A2CA7F742}"/>
  <mergeCells count="2">
    <mergeCell ref="B3:Z3"/>
    <mergeCell ref="B40:R40"/>
  </mergeCells>
  <dataValidations count="2">
    <dataValidation type="list" allowBlank="1" showErrorMessage="1" sqref="E25:E27 E12 E20:E23 E5:E8" xr:uid="{EB2D215B-E7BE-492B-AD92-8A8CD3047476}">
      <formula1>0</formula1>
      <formula2>0</formula2>
    </dataValidation>
    <dataValidation type="list" allowBlank="1" showInputMessage="1" showErrorMessage="1" promptTitle="Condition of Structure" prompt="Condition of Structure" sqref="F43:F46 F5:F39" xr:uid="{D86785A3-A89A-46B7-AA22-70956CD05057}">
      <formula1>"Poor, Average, Ordinary, Good, Very Good, Excellent"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0EAED2-D083-49B4-B880-9A4481EC945C}">
  <sheetPr>
    <tabColor rgb="FF7030A0"/>
  </sheetPr>
  <dimension ref="B3:K38"/>
  <sheetViews>
    <sheetView topLeftCell="A16" workbookViewId="0">
      <selection activeCell="L9" sqref="L9"/>
    </sheetView>
  </sheetViews>
  <sheetFormatPr defaultRowHeight="15" x14ac:dyDescent="0.25"/>
  <cols>
    <col min="3" max="3" width="21.28515625" customWidth="1"/>
    <col min="4" max="4" width="15.28515625" customWidth="1"/>
    <col min="8" max="8" width="26.5703125" customWidth="1"/>
    <col min="9" max="9" width="18.42578125" customWidth="1"/>
  </cols>
  <sheetData>
    <row r="3" spans="2:11" ht="15.75" x14ac:dyDescent="0.25">
      <c r="B3" s="133" t="s">
        <v>0</v>
      </c>
      <c r="C3" s="133"/>
      <c r="D3" s="133"/>
      <c r="E3" s="133"/>
      <c r="F3" s="133"/>
      <c r="G3" s="133"/>
      <c r="H3" s="133"/>
      <c r="I3" s="133"/>
      <c r="J3" s="133"/>
      <c r="K3" s="133"/>
    </row>
    <row r="4" spans="2:11" ht="57" x14ac:dyDescent="0.25">
      <c r="B4" s="1" t="s">
        <v>1</v>
      </c>
      <c r="C4" s="1" t="s">
        <v>2</v>
      </c>
      <c r="D4" s="1" t="s">
        <v>3</v>
      </c>
      <c r="E4" s="1" t="s">
        <v>104</v>
      </c>
      <c r="F4" s="1" t="s">
        <v>144</v>
      </c>
      <c r="G4" s="1" t="s">
        <v>5</v>
      </c>
      <c r="H4" s="1" t="s">
        <v>14</v>
      </c>
      <c r="I4" s="1" t="s">
        <v>6</v>
      </c>
      <c r="J4" s="2" t="s">
        <v>7</v>
      </c>
      <c r="K4" s="1" t="s">
        <v>8</v>
      </c>
    </row>
    <row r="5" spans="2:11" ht="76.5" x14ac:dyDescent="0.25">
      <c r="B5" s="5">
        <v>1</v>
      </c>
      <c r="C5" s="92" t="s">
        <v>68</v>
      </c>
      <c r="D5" s="75" t="s">
        <v>103</v>
      </c>
      <c r="E5" s="76">
        <v>6.1</v>
      </c>
      <c r="F5" s="90">
        <f>E5*3.28084</f>
        <v>20.013123999999998</v>
      </c>
      <c r="G5" s="3">
        <v>2007</v>
      </c>
      <c r="H5" s="77" t="s">
        <v>105</v>
      </c>
      <c r="I5" s="3" t="s">
        <v>47</v>
      </c>
      <c r="J5" s="90">
        <v>216</v>
      </c>
      <c r="K5" s="88">
        <f>J5*10.7639</f>
        <v>2325.0023999999999</v>
      </c>
    </row>
    <row r="6" spans="2:11" ht="38.25" x14ac:dyDescent="0.25">
      <c r="B6" s="5">
        <v>2</v>
      </c>
      <c r="C6" s="79" t="s">
        <v>121</v>
      </c>
      <c r="D6" s="80" t="s">
        <v>103</v>
      </c>
      <c r="E6" s="81">
        <v>3.05</v>
      </c>
      <c r="F6" s="90">
        <f t="shared" ref="F6:F23" si="0">E6*3.28084</f>
        <v>10.006561999999999</v>
      </c>
      <c r="G6" s="3">
        <v>2007</v>
      </c>
      <c r="H6" s="82" t="s">
        <v>106</v>
      </c>
      <c r="I6" s="3" t="s">
        <v>47</v>
      </c>
      <c r="J6" s="91">
        <v>16</v>
      </c>
      <c r="K6" s="88">
        <f t="shared" ref="K6:K23" si="1">J6*10.7639</f>
        <v>172.22239999999999</v>
      </c>
    </row>
    <row r="7" spans="2:11" ht="76.5" x14ac:dyDescent="0.25">
      <c r="B7" s="5">
        <v>3</v>
      </c>
      <c r="C7" s="79" t="s">
        <v>122</v>
      </c>
      <c r="D7" s="80" t="s">
        <v>103</v>
      </c>
      <c r="E7" s="81">
        <v>3</v>
      </c>
      <c r="F7" s="90">
        <f t="shared" si="0"/>
        <v>9.8425200000000004</v>
      </c>
      <c r="G7" s="3">
        <v>2007</v>
      </c>
      <c r="H7" s="82" t="s">
        <v>107</v>
      </c>
      <c r="I7" s="3" t="s">
        <v>47</v>
      </c>
      <c r="J7" s="91">
        <v>16</v>
      </c>
      <c r="K7" s="88">
        <f t="shared" si="1"/>
        <v>172.22239999999999</v>
      </c>
    </row>
    <row r="8" spans="2:11" ht="38.25" x14ac:dyDescent="0.25">
      <c r="B8" s="5">
        <v>4</v>
      </c>
      <c r="C8" s="79" t="s">
        <v>123</v>
      </c>
      <c r="D8" s="80" t="s">
        <v>103</v>
      </c>
      <c r="E8" s="81">
        <v>3.05</v>
      </c>
      <c r="F8" s="90">
        <f t="shared" si="0"/>
        <v>10.006561999999999</v>
      </c>
      <c r="G8" s="3">
        <v>2007</v>
      </c>
      <c r="H8" s="82" t="s">
        <v>108</v>
      </c>
      <c r="I8" s="3" t="s">
        <v>47</v>
      </c>
      <c r="J8" s="91">
        <v>210</v>
      </c>
      <c r="K8" s="88">
        <f t="shared" si="1"/>
        <v>2260.4189999999999</v>
      </c>
    </row>
    <row r="9" spans="2:11" ht="76.5" x14ac:dyDescent="0.25">
      <c r="B9" s="5">
        <v>5</v>
      </c>
      <c r="C9" s="79" t="s">
        <v>124</v>
      </c>
      <c r="D9" s="80" t="s">
        <v>103</v>
      </c>
      <c r="E9" s="81">
        <v>3.05</v>
      </c>
      <c r="F9" s="90">
        <f t="shared" si="0"/>
        <v>10.006561999999999</v>
      </c>
      <c r="G9" s="3">
        <v>2007</v>
      </c>
      <c r="H9" s="82" t="s">
        <v>109</v>
      </c>
      <c r="I9" s="3" t="s">
        <v>47</v>
      </c>
      <c r="J9" s="91">
        <v>9</v>
      </c>
      <c r="K9" s="88">
        <f t="shared" si="1"/>
        <v>96.875100000000003</v>
      </c>
    </row>
    <row r="10" spans="2:11" ht="76.5" x14ac:dyDescent="0.25">
      <c r="B10" s="5">
        <v>6</v>
      </c>
      <c r="C10" s="79" t="s">
        <v>125</v>
      </c>
      <c r="D10" s="80" t="s">
        <v>103</v>
      </c>
      <c r="E10" s="81">
        <v>12</v>
      </c>
      <c r="F10" s="90">
        <f t="shared" si="0"/>
        <v>39.370080000000002</v>
      </c>
      <c r="G10" s="3">
        <v>2007</v>
      </c>
      <c r="H10" s="82" t="s">
        <v>139</v>
      </c>
      <c r="I10" s="3" t="s">
        <v>47</v>
      </c>
      <c r="J10" s="91">
        <v>1700</v>
      </c>
      <c r="K10" s="88">
        <f t="shared" si="1"/>
        <v>18298.63</v>
      </c>
    </row>
    <row r="11" spans="2:11" ht="25.5" x14ac:dyDescent="0.25">
      <c r="B11" s="5">
        <v>7</v>
      </c>
      <c r="C11" s="79" t="s">
        <v>126</v>
      </c>
      <c r="D11" s="80" t="s">
        <v>103</v>
      </c>
      <c r="E11" s="81">
        <v>18</v>
      </c>
      <c r="F11" s="90">
        <f t="shared" si="0"/>
        <v>59.055120000000002</v>
      </c>
      <c r="G11" s="3">
        <v>2007</v>
      </c>
      <c r="H11" s="82" t="s">
        <v>140</v>
      </c>
      <c r="I11" s="3" t="s">
        <v>47</v>
      </c>
      <c r="J11" s="91">
        <v>1766</v>
      </c>
      <c r="K11" s="88">
        <f t="shared" si="1"/>
        <v>19009.047399999999</v>
      </c>
    </row>
    <row r="12" spans="2:11" ht="89.25" x14ac:dyDescent="0.25">
      <c r="B12" s="5">
        <v>8</v>
      </c>
      <c r="C12" s="79" t="s">
        <v>127</v>
      </c>
      <c r="D12" s="80" t="s">
        <v>103</v>
      </c>
      <c r="E12" s="81">
        <v>12</v>
      </c>
      <c r="F12" s="90">
        <f t="shared" si="0"/>
        <v>39.370080000000002</v>
      </c>
      <c r="G12" s="3">
        <v>2007</v>
      </c>
      <c r="H12" s="82" t="s">
        <v>141</v>
      </c>
      <c r="I12" s="3" t="s">
        <v>47</v>
      </c>
      <c r="J12" s="91">
        <v>198</v>
      </c>
      <c r="K12" s="88">
        <f t="shared" si="1"/>
        <v>2131.2521999999999</v>
      </c>
    </row>
    <row r="13" spans="2:11" ht="25.5" x14ac:dyDescent="0.25">
      <c r="B13" s="5">
        <v>9</v>
      </c>
      <c r="C13" s="79" t="s">
        <v>128</v>
      </c>
      <c r="D13" s="80" t="s">
        <v>103</v>
      </c>
      <c r="E13" s="81">
        <v>32</v>
      </c>
      <c r="F13" s="90">
        <f t="shared" si="0"/>
        <v>104.98688</v>
      </c>
      <c r="G13" s="3">
        <v>2007</v>
      </c>
      <c r="H13" s="82" t="s">
        <v>140</v>
      </c>
      <c r="I13" s="3" t="s">
        <v>47</v>
      </c>
      <c r="J13" s="91">
        <v>714</v>
      </c>
      <c r="K13" s="88">
        <f t="shared" si="1"/>
        <v>7685.4245999999994</v>
      </c>
    </row>
    <row r="14" spans="2:11" ht="76.5" x14ac:dyDescent="0.25">
      <c r="B14" s="5">
        <v>10</v>
      </c>
      <c r="C14" s="79" t="s">
        <v>129</v>
      </c>
      <c r="D14" s="80" t="s">
        <v>103</v>
      </c>
      <c r="E14" s="81">
        <v>5</v>
      </c>
      <c r="F14" s="90">
        <f t="shared" si="0"/>
        <v>16.404199999999999</v>
      </c>
      <c r="G14" s="3">
        <v>2007</v>
      </c>
      <c r="H14" s="82" t="s">
        <v>142</v>
      </c>
      <c r="I14" s="3" t="s">
        <v>47</v>
      </c>
      <c r="J14" s="91">
        <v>18</v>
      </c>
      <c r="K14" s="88">
        <f t="shared" si="1"/>
        <v>193.75020000000001</v>
      </c>
    </row>
    <row r="15" spans="2:11" ht="63.75" x14ac:dyDescent="0.25">
      <c r="B15" s="5">
        <v>11</v>
      </c>
      <c r="C15" s="79" t="s">
        <v>130</v>
      </c>
      <c r="D15" s="80" t="s">
        <v>103</v>
      </c>
      <c r="E15" s="81">
        <v>3.05</v>
      </c>
      <c r="F15" s="90">
        <f t="shared" si="0"/>
        <v>10.006561999999999</v>
      </c>
      <c r="G15" s="3">
        <v>2007</v>
      </c>
      <c r="H15" s="82" t="s">
        <v>143</v>
      </c>
      <c r="I15" s="3" t="s">
        <v>47</v>
      </c>
      <c r="J15" s="91">
        <v>192</v>
      </c>
      <c r="K15" s="88">
        <f t="shared" si="1"/>
        <v>2066.6687999999999</v>
      </c>
    </row>
    <row r="16" spans="2:11" ht="25.5" x14ac:dyDescent="0.25">
      <c r="B16" s="5">
        <v>12</v>
      </c>
      <c r="C16" s="79" t="s">
        <v>131</v>
      </c>
      <c r="D16" s="80" t="s">
        <v>103</v>
      </c>
      <c r="E16" s="81">
        <v>6</v>
      </c>
      <c r="F16" s="90">
        <f t="shared" si="0"/>
        <v>19.685040000000001</v>
      </c>
      <c r="G16" s="3">
        <v>2007</v>
      </c>
      <c r="H16" s="82" t="s">
        <v>140</v>
      </c>
      <c r="I16" s="3" t="s">
        <v>47</v>
      </c>
      <c r="J16" s="91">
        <v>120</v>
      </c>
      <c r="K16" s="88">
        <f t="shared" si="1"/>
        <v>1291.6679999999999</v>
      </c>
    </row>
    <row r="17" spans="2:11" ht="25.5" x14ac:dyDescent="0.25">
      <c r="B17" s="5">
        <v>13</v>
      </c>
      <c r="C17" s="79" t="s">
        <v>132</v>
      </c>
      <c r="D17" s="80" t="s">
        <v>103</v>
      </c>
      <c r="E17" s="81">
        <v>20</v>
      </c>
      <c r="F17" s="90">
        <f t="shared" si="0"/>
        <v>65.616799999999998</v>
      </c>
      <c r="G17" s="3">
        <v>2007</v>
      </c>
      <c r="H17" s="82" t="s">
        <v>140</v>
      </c>
      <c r="I17" s="3" t="s">
        <v>47</v>
      </c>
      <c r="J17" s="91">
        <v>220</v>
      </c>
      <c r="K17" s="88">
        <f t="shared" si="1"/>
        <v>2368.058</v>
      </c>
    </row>
    <row r="18" spans="2:11" ht="76.5" x14ac:dyDescent="0.25">
      <c r="B18" s="5">
        <v>14</v>
      </c>
      <c r="C18" s="79" t="s">
        <v>133</v>
      </c>
      <c r="D18" s="80" t="s">
        <v>103</v>
      </c>
      <c r="E18" s="81">
        <v>6.1</v>
      </c>
      <c r="F18" s="90">
        <f t="shared" si="0"/>
        <v>20.013123999999998</v>
      </c>
      <c r="G18" s="3">
        <v>2007</v>
      </c>
      <c r="H18" s="82" t="s">
        <v>142</v>
      </c>
      <c r="I18" s="3" t="s">
        <v>47</v>
      </c>
      <c r="J18" s="91">
        <v>130</v>
      </c>
      <c r="K18" s="88">
        <f t="shared" si="1"/>
        <v>1399.307</v>
      </c>
    </row>
    <row r="19" spans="2:11" ht="25.5" x14ac:dyDescent="0.25">
      <c r="B19" s="5">
        <v>15</v>
      </c>
      <c r="C19" s="79" t="s">
        <v>134</v>
      </c>
      <c r="D19" s="80" t="s">
        <v>103</v>
      </c>
      <c r="E19" s="81">
        <v>16</v>
      </c>
      <c r="F19" s="90">
        <f t="shared" si="0"/>
        <v>52.49344</v>
      </c>
      <c r="G19" s="3">
        <v>2007</v>
      </c>
      <c r="H19" s="82" t="s">
        <v>140</v>
      </c>
      <c r="I19" s="3" t="s">
        <v>47</v>
      </c>
      <c r="J19" s="91">
        <v>442</v>
      </c>
      <c r="K19" s="88">
        <f t="shared" si="1"/>
        <v>4757.6437999999998</v>
      </c>
    </row>
    <row r="20" spans="2:11" ht="63.75" x14ac:dyDescent="0.25">
      <c r="B20" s="5">
        <v>16</v>
      </c>
      <c r="C20" s="79" t="s">
        <v>135</v>
      </c>
      <c r="D20" s="80" t="s">
        <v>103</v>
      </c>
      <c r="E20" s="81">
        <v>5</v>
      </c>
      <c r="F20" s="90">
        <f t="shared" si="0"/>
        <v>16.404199999999999</v>
      </c>
      <c r="G20" s="3">
        <v>2007</v>
      </c>
      <c r="H20" s="82" t="s">
        <v>143</v>
      </c>
      <c r="I20" s="3" t="s">
        <v>47</v>
      </c>
      <c r="J20" s="91">
        <v>65</v>
      </c>
      <c r="K20" s="88">
        <f t="shared" si="1"/>
        <v>699.65350000000001</v>
      </c>
    </row>
    <row r="21" spans="2:11" ht="76.5" x14ac:dyDescent="0.25">
      <c r="B21" s="5">
        <v>17</v>
      </c>
      <c r="C21" s="79" t="s">
        <v>136</v>
      </c>
      <c r="D21" s="80" t="s">
        <v>103</v>
      </c>
      <c r="E21" s="81">
        <v>4.5</v>
      </c>
      <c r="F21" s="90">
        <f t="shared" si="0"/>
        <v>14.763780000000001</v>
      </c>
      <c r="G21" s="3">
        <v>2007</v>
      </c>
      <c r="H21" s="82" t="s">
        <v>142</v>
      </c>
      <c r="I21" s="3" t="s">
        <v>47</v>
      </c>
      <c r="J21" s="91">
        <v>36</v>
      </c>
      <c r="K21" s="88">
        <f t="shared" si="1"/>
        <v>387.50040000000001</v>
      </c>
    </row>
    <row r="22" spans="2:11" ht="76.5" x14ac:dyDescent="0.25">
      <c r="B22" s="5">
        <v>18</v>
      </c>
      <c r="C22" s="79" t="s">
        <v>137</v>
      </c>
      <c r="D22" s="80" t="s">
        <v>103</v>
      </c>
      <c r="E22" s="81">
        <v>5</v>
      </c>
      <c r="F22" s="90">
        <f t="shared" si="0"/>
        <v>16.404199999999999</v>
      </c>
      <c r="G22" s="3">
        <v>2007</v>
      </c>
      <c r="H22" s="82" t="s">
        <v>142</v>
      </c>
      <c r="I22" s="3" t="s">
        <v>47</v>
      </c>
      <c r="J22" s="91">
        <v>50</v>
      </c>
      <c r="K22" s="88">
        <f t="shared" si="1"/>
        <v>538.19499999999994</v>
      </c>
    </row>
    <row r="23" spans="2:11" ht="76.5" x14ac:dyDescent="0.25">
      <c r="B23" s="5">
        <v>19</v>
      </c>
      <c r="C23" s="79" t="s">
        <v>138</v>
      </c>
      <c r="D23" s="80" t="s">
        <v>103</v>
      </c>
      <c r="E23" s="81">
        <v>4.5</v>
      </c>
      <c r="F23" s="90">
        <f t="shared" si="0"/>
        <v>14.763780000000001</v>
      </c>
      <c r="G23" s="3">
        <v>2007</v>
      </c>
      <c r="H23" s="82" t="s">
        <v>142</v>
      </c>
      <c r="I23" s="3" t="s">
        <v>47</v>
      </c>
      <c r="J23" s="91">
        <v>120</v>
      </c>
      <c r="K23" s="88">
        <f t="shared" si="1"/>
        <v>1291.6679999999999</v>
      </c>
    </row>
    <row r="24" spans="2:11" x14ac:dyDescent="0.25">
      <c r="B24" s="134" t="s">
        <v>58</v>
      </c>
      <c r="C24" s="134"/>
      <c r="D24" s="134"/>
      <c r="E24" s="134"/>
      <c r="F24" s="134"/>
      <c r="G24" s="134"/>
      <c r="H24" s="134"/>
      <c r="I24" s="134"/>
      <c r="J24" s="89">
        <f>SUM(J5:J23)</f>
        <v>6238</v>
      </c>
      <c r="K24" s="89">
        <f>SUM(K5:K23)</f>
        <v>67145.208200000008</v>
      </c>
    </row>
    <row r="25" spans="2:11" x14ac:dyDescent="0.25">
      <c r="B25" s="24"/>
      <c r="C25" s="25"/>
      <c r="D25" s="19"/>
      <c r="E25" s="19"/>
      <c r="F25" s="19"/>
      <c r="G25" s="19"/>
      <c r="H25" s="25"/>
      <c r="I25" s="19"/>
      <c r="J25" s="73"/>
      <c r="K25" s="73"/>
    </row>
    <row r="26" spans="2:11" x14ac:dyDescent="0.25">
      <c r="B26" s="24"/>
      <c r="C26" s="25"/>
      <c r="D26" s="19"/>
      <c r="E26" s="19"/>
      <c r="F26" s="19"/>
      <c r="G26" s="19"/>
      <c r="H26" s="25"/>
      <c r="I26" s="19"/>
      <c r="J26" s="73"/>
      <c r="K26" s="73"/>
    </row>
    <row r="27" spans="2:11" x14ac:dyDescent="0.25">
      <c r="B27" s="24"/>
      <c r="C27" s="25"/>
      <c r="D27" s="19"/>
      <c r="E27" s="19"/>
      <c r="F27" s="19"/>
      <c r="G27" s="19"/>
      <c r="H27" s="25"/>
      <c r="I27" s="19"/>
      <c r="J27" s="73"/>
      <c r="K27" s="73"/>
    </row>
    <row r="28" spans="2:11" x14ac:dyDescent="0.25">
      <c r="B28" s="24"/>
      <c r="C28" s="25"/>
      <c r="D28" s="19"/>
      <c r="E28" s="19"/>
      <c r="F28" s="19"/>
      <c r="G28" s="19"/>
      <c r="H28" s="25"/>
      <c r="I28" s="19"/>
      <c r="J28" s="73"/>
      <c r="K28" s="73"/>
    </row>
    <row r="29" spans="2:11" x14ac:dyDescent="0.25">
      <c r="B29" s="24"/>
      <c r="C29" s="25"/>
      <c r="D29" s="19"/>
      <c r="E29" s="19"/>
      <c r="F29" s="19"/>
      <c r="G29" s="19"/>
      <c r="H29" s="25"/>
      <c r="I29" s="19"/>
      <c r="J29" s="73"/>
      <c r="K29" s="73"/>
    </row>
    <row r="30" spans="2:11" x14ac:dyDescent="0.25">
      <c r="B30" s="24"/>
      <c r="C30" s="25"/>
      <c r="D30" s="19"/>
      <c r="E30" s="19"/>
      <c r="F30" s="19"/>
      <c r="G30" s="19"/>
      <c r="H30" s="25"/>
      <c r="I30" s="19"/>
      <c r="J30" s="73"/>
      <c r="K30" s="73"/>
    </row>
    <row r="31" spans="2:11" x14ac:dyDescent="0.25">
      <c r="B31" s="24"/>
      <c r="C31" s="25"/>
      <c r="D31" s="19"/>
      <c r="E31" s="19"/>
      <c r="F31" s="19"/>
      <c r="G31" s="19"/>
      <c r="H31" s="25"/>
      <c r="I31" s="19"/>
      <c r="J31" s="73"/>
      <c r="K31" s="73"/>
    </row>
    <row r="32" spans="2:11" x14ac:dyDescent="0.25">
      <c r="B32" s="24"/>
      <c r="C32" s="25"/>
      <c r="D32" s="19"/>
      <c r="E32" s="19"/>
      <c r="F32" s="19"/>
      <c r="G32" s="19"/>
      <c r="H32" s="25"/>
      <c r="I32" s="19"/>
      <c r="J32" s="73"/>
      <c r="K32" s="73"/>
    </row>
    <row r="33" spans="2:11" x14ac:dyDescent="0.25">
      <c r="B33" s="24"/>
      <c r="C33" s="25"/>
      <c r="D33" s="19"/>
      <c r="E33" s="19"/>
      <c r="F33" s="19"/>
      <c r="G33" s="19"/>
      <c r="H33" s="25"/>
      <c r="I33" s="19"/>
      <c r="J33" s="73"/>
      <c r="K33" s="73"/>
    </row>
    <row r="34" spans="2:11" x14ac:dyDescent="0.25">
      <c r="B34" s="24"/>
      <c r="C34" s="25"/>
      <c r="D34" s="19"/>
      <c r="E34" s="19"/>
      <c r="F34" s="19"/>
      <c r="G34" s="19"/>
      <c r="H34" s="25"/>
      <c r="I34" s="19"/>
      <c r="J34" s="73"/>
      <c r="K34" s="73"/>
    </row>
    <row r="35" spans="2:11" x14ac:dyDescent="0.25">
      <c r="B35" s="24"/>
      <c r="C35" s="25"/>
      <c r="D35" s="19"/>
      <c r="E35" s="19"/>
      <c r="F35" s="19"/>
      <c r="G35" s="19"/>
      <c r="H35" s="25"/>
      <c r="I35" s="19"/>
      <c r="J35" s="73"/>
      <c r="K35" s="73"/>
    </row>
    <row r="36" spans="2:11" x14ac:dyDescent="0.25">
      <c r="B36" s="24"/>
      <c r="C36" s="25"/>
      <c r="D36" s="19"/>
      <c r="E36" s="19"/>
      <c r="F36" s="19"/>
      <c r="G36" s="19"/>
      <c r="H36" s="25"/>
      <c r="I36" s="19"/>
      <c r="J36" s="73"/>
      <c r="K36" s="73"/>
    </row>
    <row r="37" spans="2:11" x14ac:dyDescent="0.25">
      <c r="B37" s="24"/>
      <c r="C37" s="25"/>
      <c r="D37" s="19"/>
      <c r="E37" s="19"/>
      <c r="F37" s="19"/>
      <c r="G37" s="19"/>
      <c r="H37" s="25"/>
      <c r="I37" s="19"/>
      <c r="J37" s="73"/>
      <c r="K37" s="73"/>
    </row>
    <row r="38" spans="2:11" x14ac:dyDescent="0.25">
      <c r="B38" s="24"/>
      <c r="C38" s="25"/>
      <c r="D38" s="19"/>
      <c r="E38" s="19"/>
      <c r="F38" s="19"/>
      <c r="G38" s="19"/>
      <c r="H38" s="25"/>
      <c r="I38" s="19"/>
      <c r="J38" s="73"/>
      <c r="K38" s="73"/>
    </row>
  </sheetData>
  <mergeCells count="2">
    <mergeCell ref="B3:K3"/>
    <mergeCell ref="B24:I2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DC2211-4EC4-478E-A6E3-CC9B41918B82}">
  <sheetPr>
    <tabColor theme="4" tint="-0.249977111117893"/>
  </sheetPr>
  <dimension ref="B3:Z61"/>
  <sheetViews>
    <sheetView topLeftCell="J16" workbookViewId="0">
      <selection activeCell="AC5" sqref="AC5"/>
    </sheetView>
  </sheetViews>
  <sheetFormatPr defaultRowHeight="15" x14ac:dyDescent="0.25"/>
  <cols>
    <col min="2" max="2" width="6.7109375" customWidth="1"/>
    <col min="3" max="3" width="12.42578125" customWidth="1"/>
    <col min="4" max="4" width="27.85546875" style="6" bestFit="1" customWidth="1"/>
    <col min="5" max="5" width="39.85546875" customWidth="1"/>
    <col min="6" max="6" width="13.140625" customWidth="1"/>
    <col min="7" max="7" width="11.7109375" style="6" customWidth="1"/>
    <col min="8" max="8" width="10.5703125" customWidth="1"/>
    <col min="9" max="10" width="16.28515625" customWidth="1"/>
    <col min="11" max="11" width="12.7109375" customWidth="1"/>
    <col min="12" max="12" width="11.42578125" customWidth="1"/>
    <col min="13" max="13" width="10.7109375" customWidth="1"/>
    <col min="14" max="14" width="12" customWidth="1"/>
    <col min="15" max="15" width="9.140625" customWidth="1"/>
    <col min="16" max="16" width="13.140625" customWidth="1"/>
    <col min="17" max="17" width="11.85546875" customWidth="1"/>
    <col min="18" max="18" width="12.5703125" customWidth="1"/>
    <col min="19" max="19" width="13.85546875" customWidth="1"/>
    <col min="20" max="20" width="17.7109375" bestFit="1" customWidth="1"/>
    <col min="21" max="21" width="14.42578125" customWidth="1"/>
    <col min="22" max="22" width="14.28515625" hidden="1" customWidth="1"/>
    <col min="23" max="23" width="14.140625" customWidth="1"/>
    <col min="24" max="26" width="0" hidden="1" customWidth="1"/>
  </cols>
  <sheetData>
    <row r="3" spans="2:26" x14ac:dyDescent="0.25">
      <c r="B3" s="135" t="s">
        <v>162</v>
      </c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35"/>
      <c r="P3" s="135"/>
      <c r="Q3" s="135"/>
      <c r="R3" s="135"/>
      <c r="S3" s="135"/>
      <c r="T3" s="135"/>
      <c r="U3" s="135"/>
      <c r="V3" s="135"/>
      <c r="W3" s="135"/>
      <c r="X3" s="135"/>
      <c r="Y3" s="135"/>
      <c r="Z3" s="135"/>
    </row>
    <row r="4" spans="2:26" ht="75" x14ac:dyDescent="0.25">
      <c r="B4" s="7" t="s">
        <v>15</v>
      </c>
      <c r="C4" s="7" t="s">
        <v>16</v>
      </c>
      <c r="D4" s="8" t="s">
        <v>17</v>
      </c>
      <c r="E4" s="7" t="s">
        <v>18</v>
      </c>
      <c r="F4" s="7" t="s">
        <v>19</v>
      </c>
      <c r="G4" s="7" t="s">
        <v>20</v>
      </c>
      <c r="H4" s="7" t="s">
        <v>21</v>
      </c>
      <c r="I4" s="7" t="s">
        <v>41</v>
      </c>
      <c r="J4" s="7" t="s">
        <v>22</v>
      </c>
      <c r="K4" s="7" t="s">
        <v>23</v>
      </c>
      <c r="L4" s="7" t="s">
        <v>24</v>
      </c>
      <c r="M4" s="7" t="s">
        <v>25</v>
      </c>
      <c r="N4" s="7" t="s">
        <v>26</v>
      </c>
      <c r="O4" s="7" t="s">
        <v>27</v>
      </c>
      <c r="P4" s="7" t="s">
        <v>28</v>
      </c>
      <c r="Q4" s="7" t="s">
        <v>29</v>
      </c>
      <c r="R4" s="7" t="s">
        <v>30</v>
      </c>
      <c r="S4" s="7" t="s">
        <v>31</v>
      </c>
      <c r="T4" s="7" t="s">
        <v>32</v>
      </c>
      <c r="U4" s="7" t="s">
        <v>33</v>
      </c>
      <c r="V4" s="7" t="s">
        <v>34</v>
      </c>
      <c r="W4" s="7" t="s">
        <v>35</v>
      </c>
      <c r="X4" s="9" t="s">
        <v>36</v>
      </c>
      <c r="Y4" s="10" t="s">
        <v>37</v>
      </c>
      <c r="Z4" s="10" t="s">
        <v>38</v>
      </c>
    </row>
    <row r="5" spans="2:26" ht="51" x14ac:dyDescent="0.25">
      <c r="B5" s="5">
        <v>1</v>
      </c>
      <c r="C5" s="3" t="s">
        <v>10</v>
      </c>
      <c r="D5" s="105" t="s">
        <v>68</v>
      </c>
      <c r="E5" s="77" t="s">
        <v>105</v>
      </c>
      <c r="F5" s="11" t="s">
        <v>39</v>
      </c>
      <c r="G5" s="90">
        <v>216</v>
      </c>
      <c r="H5" s="62">
        <f>G5*10.7639</f>
        <v>2325.0023999999999</v>
      </c>
      <c r="I5" s="3">
        <v>4</v>
      </c>
      <c r="J5" s="23">
        <f>I5*3.28084</f>
        <v>13.12336</v>
      </c>
      <c r="K5" s="3">
        <v>2007</v>
      </c>
      <c r="L5" s="11">
        <v>2022</v>
      </c>
      <c r="M5" s="11">
        <f t="shared" ref="M5:M23" si="0">L5-K5</f>
        <v>15</v>
      </c>
      <c r="N5" s="11">
        <v>60</v>
      </c>
      <c r="O5" s="11">
        <v>0.05</v>
      </c>
      <c r="P5" s="13">
        <f>(1-O5)/N5</f>
        <v>1.5833333333333331E-2</v>
      </c>
      <c r="Q5" s="14">
        <v>1300</v>
      </c>
      <c r="R5" s="14">
        <f>Q5*10.7639</f>
        <v>13993.07</v>
      </c>
      <c r="S5" s="15">
        <f>R5*G5</f>
        <v>3022503.12</v>
      </c>
      <c r="T5" s="15">
        <f>S5*P5*M5</f>
        <v>717844.49099999992</v>
      </c>
      <c r="U5" s="15">
        <f>MAX(S5-T5,0)</f>
        <v>2304658.6290000002</v>
      </c>
      <c r="V5" s="11">
        <v>0</v>
      </c>
      <c r="W5" s="15">
        <f>IF(U5&gt;O5*S5,U5*(1+V5),S5*O5)</f>
        <v>2304658.6290000002</v>
      </c>
      <c r="X5" s="16">
        <v>800</v>
      </c>
      <c r="Y5" s="17">
        <v>0.99</v>
      </c>
      <c r="Z5" s="18">
        <f>(X5*Y5*G5)</f>
        <v>171072</v>
      </c>
    </row>
    <row r="6" spans="2:26" ht="25.5" x14ac:dyDescent="0.25">
      <c r="B6" s="5">
        <v>2</v>
      </c>
      <c r="C6" s="3" t="s">
        <v>10</v>
      </c>
      <c r="D6" s="101" t="s">
        <v>121</v>
      </c>
      <c r="E6" s="82" t="s">
        <v>106</v>
      </c>
      <c r="F6" s="11" t="s">
        <v>39</v>
      </c>
      <c r="G6" s="91">
        <v>16</v>
      </c>
      <c r="H6" s="62">
        <f t="shared" ref="H6:H23" si="1">G6*10.7639</f>
        <v>172.22239999999999</v>
      </c>
      <c r="I6" s="3">
        <v>4</v>
      </c>
      <c r="J6" s="23">
        <f t="shared" ref="J6:J23" si="2">I6*3.28084</f>
        <v>13.12336</v>
      </c>
      <c r="K6" s="3">
        <v>2007</v>
      </c>
      <c r="L6" s="11">
        <v>2022</v>
      </c>
      <c r="M6" s="11">
        <f t="shared" si="0"/>
        <v>15</v>
      </c>
      <c r="N6" s="11">
        <v>60</v>
      </c>
      <c r="O6" s="11">
        <v>0.05</v>
      </c>
      <c r="P6" s="13">
        <f>(1-O6)/N6</f>
        <v>1.5833333333333331E-2</v>
      </c>
      <c r="Q6" s="14">
        <v>1000</v>
      </c>
      <c r="R6" s="14">
        <f>Q6*10.7639</f>
        <v>10763.9</v>
      </c>
      <c r="S6" s="15">
        <f>R6*G6</f>
        <v>172222.4</v>
      </c>
      <c r="T6" s="15">
        <f>S6*P6*M6</f>
        <v>40902.819999999992</v>
      </c>
      <c r="U6" s="15">
        <f>MAX(S6-T6,0)</f>
        <v>131319.58000000002</v>
      </c>
      <c r="V6" s="11">
        <v>0</v>
      </c>
      <c r="W6" s="15">
        <f>IF(U6&gt;O6*S6,U6*(1+V6),S6*O6)</f>
        <v>131319.58000000002</v>
      </c>
      <c r="X6" s="16">
        <v>800</v>
      </c>
      <c r="Y6" s="17">
        <v>0.99</v>
      </c>
      <c r="Z6" s="18">
        <f>X6*H6</f>
        <v>137777.91999999998</v>
      </c>
    </row>
    <row r="7" spans="2:26" ht="51" x14ac:dyDescent="0.25">
      <c r="B7" s="5">
        <v>3</v>
      </c>
      <c r="C7" s="3" t="s">
        <v>10</v>
      </c>
      <c r="D7" s="101" t="s">
        <v>122</v>
      </c>
      <c r="E7" s="82" t="s">
        <v>107</v>
      </c>
      <c r="F7" s="11" t="s">
        <v>39</v>
      </c>
      <c r="G7" s="91">
        <v>16</v>
      </c>
      <c r="H7" s="62">
        <f t="shared" si="1"/>
        <v>172.22239999999999</v>
      </c>
      <c r="I7" s="3">
        <v>4</v>
      </c>
      <c r="J7" s="23">
        <f t="shared" si="2"/>
        <v>13.12336</v>
      </c>
      <c r="K7" s="3">
        <v>2007</v>
      </c>
      <c r="L7" s="11">
        <v>2022</v>
      </c>
      <c r="M7" s="11">
        <f t="shared" si="0"/>
        <v>15</v>
      </c>
      <c r="N7" s="11">
        <v>60</v>
      </c>
      <c r="O7" s="11">
        <v>0.05</v>
      </c>
      <c r="P7" s="13">
        <f>(1-O7)/N7</f>
        <v>1.5833333333333331E-2</v>
      </c>
      <c r="Q7" s="14">
        <v>1100</v>
      </c>
      <c r="R7" s="14">
        <f>Q7*10.7639</f>
        <v>11840.289999999999</v>
      </c>
      <c r="S7" s="15">
        <f>R7*G7</f>
        <v>189444.63999999998</v>
      </c>
      <c r="T7" s="15">
        <f>S7*P7*M7</f>
        <v>44993.101999999984</v>
      </c>
      <c r="U7" s="15">
        <f>MAX(S7-T7,0)</f>
        <v>144451.538</v>
      </c>
      <c r="V7" s="11">
        <v>0</v>
      </c>
      <c r="W7" s="15">
        <f>IF(U7&gt;O7*S7,U7*(1+V7),S7*O7)</f>
        <v>144451.538</v>
      </c>
      <c r="X7" s="16">
        <v>800</v>
      </c>
      <c r="Y7" s="17"/>
      <c r="Z7" s="18">
        <f t="shared" ref="Z7:Z9" si="3">X7*H7</f>
        <v>137777.91999999998</v>
      </c>
    </row>
    <row r="8" spans="2:26" ht="25.5" x14ac:dyDescent="0.25">
      <c r="B8" s="5">
        <v>4</v>
      </c>
      <c r="C8" s="3" t="s">
        <v>10</v>
      </c>
      <c r="D8" s="101" t="s">
        <v>123</v>
      </c>
      <c r="E8" s="82" t="s">
        <v>108</v>
      </c>
      <c r="F8" s="11" t="s">
        <v>39</v>
      </c>
      <c r="G8" s="91">
        <v>210</v>
      </c>
      <c r="H8" s="62">
        <f t="shared" si="1"/>
        <v>2260.4189999999999</v>
      </c>
      <c r="I8" s="3">
        <v>3.5</v>
      </c>
      <c r="J8" s="23">
        <f t="shared" si="2"/>
        <v>11.482939999999999</v>
      </c>
      <c r="K8" s="3">
        <v>2007</v>
      </c>
      <c r="L8" s="11">
        <v>2022</v>
      </c>
      <c r="M8" s="11">
        <f t="shared" si="0"/>
        <v>15</v>
      </c>
      <c r="N8" s="11">
        <v>60</v>
      </c>
      <c r="O8" s="11">
        <v>0.05</v>
      </c>
      <c r="P8" s="13">
        <f>(1-O8)/N8</f>
        <v>1.5833333333333331E-2</v>
      </c>
      <c r="Q8" s="14">
        <v>1000</v>
      </c>
      <c r="R8" s="14">
        <f>Q8*10.7639</f>
        <v>10763.9</v>
      </c>
      <c r="S8" s="15">
        <f>R8*G8</f>
        <v>2260419</v>
      </c>
      <c r="T8" s="15">
        <f>S8*P8*M8</f>
        <v>536849.51249999984</v>
      </c>
      <c r="U8" s="15">
        <f>MAX(S8-T8,0)</f>
        <v>1723569.4875000003</v>
      </c>
      <c r="V8" s="11">
        <v>0</v>
      </c>
      <c r="W8" s="15">
        <f>IF(U8&gt;O8*S8,U8*(1+V8),S8*O8)</f>
        <v>1723569.4875000003</v>
      </c>
      <c r="X8" s="16">
        <v>800</v>
      </c>
      <c r="Y8" s="17"/>
      <c r="Z8" s="18">
        <f t="shared" si="3"/>
        <v>1808335.2</v>
      </c>
    </row>
    <row r="9" spans="2:26" ht="51" x14ac:dyDescent="0.25">
      <c r="B9" s="5">
        <v>5</v>
      </c>
      <c r="C9" s="3" t="s">
        <v>10</v>
      </c>
      <c r="D9" s="101" t="s">
        <v>124</v>
      </c>
      <c r="E9" s="82" t="s">
        <v>109</v>
      </c>
      <c r="F9" s="11" t="s">
        <v>39</v>
      </c>
      <c r="G9" s="91">
        <v>9</v>
      </c>
      <c r="H9" s="62">
        <f t="shared" si="1"/>
        <v>96.875100000000003</v>
      </c>
      <c r="I9" s="3">
        <v>3.5</v>
      </c>
      <c r="J9" s="23">
        <f t="shared" si="2"/>
        <v>11.482939999999999</v>
      </c>
      <c r="K9" s="3">
        <v>2007</v>
      </c>
      <c r="L9" s="11">
        <v>2022</v>
      </c>
      <c r="M9" s="11">
        <f t="shared" si="0"/>
        <v>15</v>
      </c>
      <c r="N9" s="11">
        <v>60</v>
      </c>
      <c r="O9" s="11">
        <v>0.05</v>
      </c>
      <c r="P9" s="13">
        <f t="shared" ref="P9:P11" si="4">(1-O9)/N9</f>
        <v>1.5833333333333331E-2</v>
      </c>
      <c r="Q9" s="14">
        <v>1000</v>
      </c>
      <c r="R9" s="14">
        <f t="shared" ref="R9:R23" si="5">Q9*10.7639</f>
        <v>10763.9</v>
      </c>
      <c r="S9" s="15">
        <f>R9*G9</f>
        <v>96875.099999999991</v>
      </c>
      <c r="T9" s="15">
        <f t="shared" ref="T9:T23" si="6">S9*P9*M9</f>
        <v>23007.836249999997</v>
      </c>
      <c r="U9" s="15">
        <f t="shared" ref="U9:U23" si="7">MAX(S9-T9,0)</f>
        <v>73867.263749999998</v>
      </c>
      <c r="V9" s="11">
        <v>0</v>
      </c>
      <c r="W9" s="15">
        <f t="shared" ref="W9:W23" si="8">IF(U9&gt;O9*S9,U9*(1+V9),S9*O9)</f>
        <v>73867.263749999998</v>
      </c>
      <c r="X9" s="16">
        <v>800</v>
      </c>
      <c r="Y9" s="17"/>
      <c r="Z9" s="18">
        <f t="shared" si="3"/>
        <v>77500.08</v>
      </c>
    </row>
    <row r="10" spans="2:26" ht="51" x14ac:dyDescent="0.25">
      <c r="B10" s="5">
        <v>6</v>
      </c>
      <c r="C10" s="3" t="s">
        <v>9</v>
      </c>
      <c r="D10" s="101" t="s">
        <v>125</v>
      </c>
      <c r="E10" s="82" t="s">
        <v>139</v>
      </c>
      <c r="F10" s="11" t="s">
        <v>39</v>
      </c>
      <c r="G10" s="91">
        <v>1700</v>
      </c>
      <c r="H10" s="62">
        <f t="shared" si="1"/>
        <v>18298.63</v>
      </c>
      <c r="I10" s="3">
        <v>7</v>
      </c>
      <c r="J10" s="23">
        <f t="shared" si="2"/>
        <v>22.965879999999999</v>
      </c>
      <c r="K10" s="3">
        <v>2007</v>
      </c>
      <c r="L10" s="11">
        <v>2022</v>
      </c>
      <c r="M10" s="11">
        <f>L10-K10</f>
        <v>15</v>
      </c>
      <c r="N10" s="11">
        <v>60</v>
      </c>
      <c r="O10" s="11">
        <v>0.05</v>
      </c>
      <c r="P10" s="13">
        <f t="shared" si="4"/>
        <v>1.5833333333333331E-2</v>
      </c>
      <c r="Q10" s="14">
        <v>1200</v>
      </c>
      <c r="R10" s="14">
        <f t="shared" si="5"/>
        <v>12916.68</v>
      </c>
      <c r="S10" s="15">
        <f t="shared" ref="S10:S23" si="9">R10*G10</f>
        <v>21958356</v>
      </c>
      <c r="T10" s="15">
        <f t="shared" si="6"/>
        <v>5215109.55</v>
      </c>
      <c r="U10" s="15">
        <f t="shared" si="7"/>
        <v>16743246.449999999</v>
      </c>
      <c r="V10" s="11">
        <v>0</v>
      </c>
      <c r="W10" s="15">
        <f t="shared" si="8"/>
        <v>16743246.449999999</v>
      </c>
    </row>
    <row r="11" spans="2:26" ht="25.5" x14ac:dyDescent="0.25">
      <c r="B11" s="5">
        <v>7</v>
      </c>
      <c r="C11" s="3" t="s">
        <v>9</v>
      </c>
      <c r="D11" s="101" t="s">
        <v>126</v>
      </c>
      <c r="E11" s="82" t="s">
        <v>140</v>
      </c>
      <c r="F11" s="11" t="s">
        <v>39</v>
      </c>
      <c r="G11" s="91">
        <v>1766</v>
      </c>
      <c r="H11" s="62">
        <f t="shared" si="1"/>
        <v>19009.047399999999</v>
      </c>
      <c r="I11" s="3">
        <v>7</v>
      </c>
      <c r="J11" s="23">
        <f t="shared" si="2"/>
        <v>22.965879999999999</v>
      </c>
      <c r="K11" s="3">
        <v>2007</v>
      </c>
      <c r="L11" s="11">
        <v>2022</v>
      </c>
      <c r="M11" s="11">
        <f t="shared" si="0"/>
        <v>15</v>
      </c>
      <c r="N11" s="11">
        <v>60</v>
      </c>
      <c r="O11" s="11">
        <v>0.05</v>
      </c>
      <c r="P11" s="13">
        <f t="shared" si="4"/>
        <v>1.5833333333333331E-2</v>
      </c>
      <c r="Q11" s="14">
        <v>1400</v>
      </c>
      <c r="R11" s="14">
        <f t="shared" si="5"/>
        <v>15069.46</v>
      </c>
      <c r="S11" s="15">
        <f t="shared" si="9"/>
        <v>26612666.359999999</v>
      </c>
      <c r="T11" s="15">
        <f t="shared" si="6"/>
        <v>6320508.2604999989</v>
      </c>
      <c r="U11" s="15">
        <f t="shared" si="7"/>
        <v>20292158.0995</v>
      </c>
      <c r="V11" s="11">
        <v>0</v>
      </c>
      <c r="W11" s="15">
        <f t="shared" si="8"/>
        <v>20292158.0995</v>
      </c>
    </row>
    <row r="12" spans="2:26" ht="51" x14ac:dyDescent="0.25">
      <c r="B12" s="5">
        <v>8</v>
      </c>
      <c r="C12" s="3" t="s">
        <v>10</v>
      </c>
      <c r="D12" s="101" t="s">
        <v>127</v>
      </c>
      <c r="E12" s="82" t="s">
        <v>141</v>
      </c>
      <c r="F12" s="11" t="s">
        <v>39</v>
      </c>
      <c r="G12" s="91">
        <v>198</v>
      </c>
      <c r="H12" s="62">
        <f t="shared" si="1"/>
        <v>2131.2521999999999</v>
      </c>
      <c r="I12" s="3">
        <v>3.25</v>
      </c>
      <c r="J12" s="23">
        <f t="shared" si="2"/>
        <v>10.66273</v>
      </c>
      <c r="K12" s="3">
        <v>2007</v>
      </c>
      <c r="L12" s="11">
        <v>2022</v>
      </c>
      <c r="M12" s="11">
        <f t="shared" si="0"/>
        <v>15</v>
      </c>
      <c r="N12" s="11">
        <v>60</v>
      </c>
      <c r="O12" s="11">
        <v>0.05</v>
      </c>
      <c r="P12" s="13">
        <f>(1-O12)/N12</f>
        <v>1.5833333333333331E-2</v>
      </c>
      <c r="Q12" s="14">
        <v>1100</v>
      </c>
      <c r="R12" s="14">
        <f t="shared" si="5"/>
        <v>11840.289999999999</v>
      </c>
      <c r="S12" s="15">
        <f t="shared" si="9"/>
        <v>2344377.42</v>
      </c>
      <c r="T12" s="15">
        <f t="shared" si="6"/>
        <v>556789.63724999991</v>
      </c>
      <c r="U12" s="15">
        <f t="shared" si="7"/>
        <v>1787587.78275</v>
      </c>
      <c r="V12" s="11">
        <v>0</v>
      </c>
      <c r="W12" s="15">
        <f t="shared" si="8"/>
        <v>1787587.78275</v>
      </c>
    </row>
    <row r="13" spans="2:26" ht="25.5" x14ac:dyDescent="0.25">
      <c r="B13" s="5">
        <v>9</v>
      </c>
      <c r="C13" s="3" t="s">
        <v>10</v>
      </c>
      <c r="D13" s="101" t="s">
        <v>128</v>
      </c>
      <c r="E13" s="82" t="s">
        <v>140</v>
      </c>
      <c r="F13" s="11" t="s">
        <v>39</v>
      </c>
      <c r="G13" s="91">
        <v>714</v>
      </c>
      <c r="H13" s="62">
        <f t="shared" si="1"/>
        <v>7685.4245999999994</v>
      </c>
      <c r="I13" s="3">
        <v>3.25</v>
      </c>
      <c r="J13" s="23">
        <f t="shared" si="2"/>
        <v>10.66273</v>
      </c>
      <c r="K13" s="3">
        <v>2007</v>
      </c>
      <c r="L13" s="11">
        <v>2022</v>
      </c>
      <c r="M13" s="11">
        <f t="shared" si="0"/>
        <v>15</v>
      </c>
      <c r="N13" s="11">
        <v>60</v>
      </c>
      <c r="O13" s="11">
        <v>0.05</v>
      </c>
      <c r="P13" s="13">
        <f t="shared" ref="P13:P23" si="10">(1-O13)/N13</f>
        <v>1.5833333333333331E-2</v>
      </c>
      <c r="Q13" s="14">
        <v>1200</v>
      </c>
      <c r="R13" s="14">
        <f t="shared" si="5"/>
        <v>12916.68</v>
      </c>
      <c r="S13" s="15">
        <f t="shared" si="9"/>
        <v>9222509.5199999996</v>
      </c>
      <c r="T13" s="15">
        <f t="shared" si="6"/>
        <v>2190346.0109999995</v>
      </c>
      <c r="U13" s="15">
        <f t="shared" si="7"/>
        <v>7032163.5089999996</v>
      </c>
      <c r="V13" s="11">
        <v>0</v>
      </c>
      <c r="W13" s="15">
        <f t="shared" si="8"/>
        <v>7032163.5089999996</v>
      </c>
    </row>
    <row r="14" spans="2:26" ht="51" x14ac:dyDescent="0.25">
      <c r="B14" s="5">
        <v>10</v>
      </c>
      <c r="C14" s="3" t="s">
        <v>10</v>
      </c>
      <c r="D14" s="101" t="s">
        <v>129</v>
      </c>
      <c r="E14" s="82" t="s">
        <v>142</v>
      </c>
      <c r="F14" s="11" t="s">
        <v>39</v>
      </c>
      <c r="G14" s="91">
        <v>18</v>
      </c>
      <c r="H14" s="62">
        <f t="shared" si="1"/>
        <v>193.75020000000001</v>
      </c>
      <c r="I14" s="3">
        <v>3.25</v>
      </c>
      <c r="J14" s="23">
        <f t="shared" si="2"/>
        <v>10.66273</v>
      </c>
      <c r="K14" s="3">
        <v>2007</v>
      </c>
      <c r="L14" s="11">
        <v>2022</v>
      </c>
      <c r="M14" s="11">
        <f t="shared" si="0"/>
        <v>15</v>
      </c>
      <c r="N14" s="11">
        <v>60</v>
      </c>
      <c r="O14" s="11">
        <v>0.05</v>
      </c>
      <c r="P14" s="13">
        <f t="shared" si="10"/>
        <v>1.5833333333333331E-2</v>
      </c>
      <c r="Q14" s="14">
        <v>1200</v>
      </c>
      <c r="R14" s="14">
        <f t="shared" si="5"/>
        <v>12916.68</v>
      </c>
      <c r="S14" s="15">
        <f t="shared" si="9"/>
        <v>232500.24</v>
      </c>
      <c r="T14" s="15">
        <f t="shared" si="6"/>
        <v>55218.806999999993</v>
      </c>
      <c r="U14" s="15">
        <f t="shared" si="7"/>
        <v>177281.43299999999</v>
      </c>
      <c r="V14" s="11">
        <v>0</v>
      </c>
      <c r="W14" s="15">
        <f t="shared" si="8"/>
        <v>177281.43299999999</v>
      </c>
    </row>
    <row r="15" spans="2:26" ht="38.25" x14ac:dyDescent="0.25">
      <c r="B15" s="5">
        <v>11</v>
      </c>
      <c r="C15" s="3" t="s">
        <v>10</v>
      </c>
      <c r="D15" s="101" t="s">
        <v>130</v>
      </c>
      <c r="E15" s="82" t="s">
        <v>143</v>
      </c>
      <c r="F15" s="11" t="s">
        <v>39</v>
      </c>
      <c r="G15" s="91">
        <v>192</v>
      </c>
      <c r="H15" s="62">
        <f t="shared" si="1"/>
        <v>2066.6687999999999</v>
      </c>
      <c r="I15" s="3">
        <v>3.25</v>
      </c>
      <c r="J15" s="23">
        <f t="shared" si="2"/>
        <v>10.66273</v>
      </c>
      <c r="K15" s="3">
        <v>2007</v>
      </c>
      <c r="L15" s="11">
        <v>2022</v>
      </c>
      <c r="M15" s="11">
        <f t="shared" si="0"/>
        <v>15</v>
      </c>
      <c r="N15" s="11">
        <v>60</v>
      </c>
      <c r="O15" s="11">
        <v>0.05</v>
      </c>
      <c r="P15" s="13">
        <f t="shared" si="10"/>
        <v>1.5833333333333331E-2</v>
      </c>
      <c r="Q15" s="14">
        <v>1000</v>
      </c>
      <c r="R15" s="14">
        <f t="shared" si="5"/>
        <v>10763.9</v>
      </c>
      <c r="S15" s="15">
        <f t="shared" si="9"/>
        <v>2066668.7999999998</v>
      </c>
      <c r="T15" s="15">
        <f t="shared" si="6"/>
        <v>490833.83999999991</v>
      </c>
      <c r="U15" s="15">
        <f t="shared" si="7"/>
        <v>1575834.96</v>
      </c>
      <c r="V15" s="11">
        <v>0</v>
      </c>
      <c r="W15" s="15">
        <f t="shared" si="8"/>
        <v>1575834.96</v>
      </c>
    </row>
    <row r="16" spans="2:26" ht="25.5" x14ac:dyDescent="0.25">
      <c r="B16" s="5">
        <v>12</v>
      </c>
      <c r="C16" s="3" t="s">
        <v>12</v>
      </c>
      <c r="D16" s="101" t="s">
        <v>131</v>
      </c>
      <c r="E16" s="82" t="s">
        <v>140</v>
      </c>
      <c r="F16" s="11" t="s">
        <v>39</v>
      </c>
      <c r="G16" s="91">
        <v>120</v>
      </c>
      <c r="H16" s="62">
        <f t="shared" si="1"/>
        <v>1291.6679999999999</v>
      </c>
      <c r="I16" s="3">
        <f>3.25*4</f>
        <v>13</v>
      </c>
      <c r="J16" s="23">
        <f t="shared" si="2"/>
        <v>42.650919999999999</v>
      </c>
      <c r="K16" s="3">
        <v>2007</v>
      </c>
      <c r="L16" s="11">
        <v>2022</v>
      </c>
      <c r="M16" s="11">
        <f t="shared" si="0"/>
        <v>15</v>
      </c>
      <c r="N16" s="11">
        <v>60</v>
      </c>
      <c r="O16" s="11">
        <v>0.05</v>
      </c>
      <c r="P16" s="13">
        <f t="shared" si="10"/>
        <v>1.5833333333333331E-2</v>
      </c>
      <c r="Q16" s="14">
        <v>1200</v>
      </c>
      <c r="R16" s="14">
        <f t="shared" si="5"/>
        <v>12916.68</v>
      </c>
      <c r="S16" s="15">
        <f t="shared" si="9"/>
        <v>1550001.6</v>
      </c>
      <c r="T16" s="15">
        <f t="shared" si="6"/>
        <v>368125.38</v>
      </c>
      <c r="U16" s="15">
        <f t="shared" si="7"/>
        <v>1181876.2200000002</v>
      </c>
      <c r="V16" s="11">
        <v>0</v>
      </c>
      <c r="W16" s="15">
        <f t="shared" si="8"/>
        <v>1181876.2200000002</v>
      </c>
    </row>
    <row r="17" spans="2:23" ht="25.5" x14ac:dyDescent="0.25">
      <c r="B17" s="5">
        <v>13</v>
      </c>
      <c r="C17" s="3" t="s">
        <v>11</v>
      </c>
      <c r="D17" s="101" t="s">
        <v>132</v>
      </c>
      <c r="E17" s="82" t="s">
        <v>140</v>
      </c>
      <c r="F17" s="11" t="s">
        <v>39</v>
      </c>
      <c r="G17" s="91">
        <v>220</v>
      </c>
      <c r="H17" s="62">
        <f t="shared" si="1"/>
        <v>2368.058</v>
      </c>
      <c r="I17" s="3">
        <f>3.25*3</f>
        <v>9.75</v>
      </c>
      <c r="J17" s="23">
        <f t="shared" si="2"/>
        <v>31.988189999999999</v>
      </c>
      <c r="K17" s="3">
        <v>2007</v>
      </c>
      <c r="L17" s="11">
        <v>2022</v>
      </c>
      <c r="M17" s="11">
        <f t="shared" si="0"/>
        <v>15</v>
      </c>
      <c r="N17" s="11">
        <v>60</v>
      </c>
      <c r="O17" s="11">
        <v>0.05</v>
      </c>
      <c r="P17" s="13">
        <f t="shared" si="10"/>
        <v>1.5833333333333331E-2</v>
      </c>
      <c r="Q17" s="14">
        <v>1400</v>
      </c>
      <c r="R17" s="14">
        <f t="shared" si="5"/>
        <v>15069.46</v>
      </c>
      <c r="S17" s="15">
        <f t="shared" si="9"/>
        <v>3315281.1999999997</v>
      </c>
      <c r="T17" s="15">
        <f t="shared" si="6"/>
        <v>787379.2849999998</v>
      </c>
      <c r="U17" s="15">
        <f t="shared" si="7"/>
        <v>2527901.915</v>
      </c>
      <c r="V17" s="11">
        <v>0</v>
      </c>
      <c r="W17" s="15">
        <f t="shared" si="8"/>
        <v>2527901.915</v>
      </c>
    </row>
    <row r="18" spans="2:23" ht="51" x14ac:dyDescent="0.25">
      <c r="B18" s="5">
        <v>14</v>
      </c>
      <c r="C18" s="3" t="s">
        <v>10</v>
      </c>
      <c r="D18" s="101" t="s">
        <v>133</v>
      </c>
      <c r="E18" s="82" t="s">
        <v>142</v>
      </c>
      <c r="F18" s="11" t="s">
        <v>39</v>
      </c>
      <c r="G18" s="91">
        <v>130</v>
      </c>
      <c r="H18" s="62">
        <f t="shared" si="1"/>
        <v>1399.307</v>
      </c>
      <c r="I18" s="3">
        <v>3.25</v>
      </c>
      <c r="J18" s="23">
        <f t="shared" si="2"/>
        <v>10.66273</v>
      </c>
      <c r="K18" s="3">
        <v>2007</v>
      </c>
      <c r="L18" s="11">
        <v>2022</v>
      </c>
      <c r="M18" s="11">
        <f t="shared" si="0"/>
        <v>15</v>
      </c>
      <c r="N18" s="11">
        <v>60</v>
      </c>
      <c r="O18" s="11">
        <v>0.05</v>
      </c>
      <c r="P18" s="13">
        <f t="shared" si="10"/>
        <v>1.5833333333333331E-2</v>
      </c>
      <c r="Q18" s="14">
        <v>1100</v>
      </c>
      <c r="R18" s="14">
        <f t="shared" si="5"/>
        <v>11840.289999999999</v>
      </c>
      <c r="S18" s="15">
        <f t="shared" si="9"/>
        <v>1539237.7</v>
      </c>
      <c r="T18" s="15">
        <f t="shared" si="6"/>
        <v>365568.95374999993</v>
      </c>
      <c r="U18" s="15">
        <f t="shared" si="7"/>
        <v>1173668.7462500001</v>
      </c>
      <c r="V18" s="11">
        <v>0</v>
      </c>
      <c r="W18" s="15">
        <f t="shared" si="8"/>
        <v>1173668.7462500001</v>
      </c>
    </row>
    <row r="19" spans="2:23" ht="25.5" x14ac:dyDescent="0.25">
      <c r="B19" s="5">
        <v>15</v>
      </c>
      <c r="C19" s="3" t="s">
        <v>10</v>
      </c>
      <c r="D19" s="101" t="s">
        <v>134</v>
      </c>
      <c r="E19" s="82" t="s">
        <v>140</v>
      </c>
      <c r="F19" s="11" t="s">
        <v>39</v>
      </c>
      <c r="G19" s="91">
        <v>442</v>
      </c>
      <c r="H19" s="62">
        <f t="shared" si="1"/>
        <v>4757.6437999999998</v>
      </c>
      <c r="I19" s="3">
        <v>3.25</v>
      </c>
      <c r="J19" s="23">
        <f t="shared" si="2"/>
        <v>10.66273</v>
      </c>
      <c r="K19" s="3">
        <v>2007</v>
      </c>
      <c r="L19" s="11">
        <v>2022</v>
      </c>
      <c r="M19" s="11">
        <f t="shared" si="0"/>
        <v>15</v>
      </c>
      <c r="N19" s="11">
        <v>60</v>
      </c>
      <c r="O19" s="11">
        <v>0.05</v>
      </c>
      <c r="P19" s="13">
        <f t="shared" si="10"/>
        <v>1.5833333333333331E-2</v>
      </c>
      <c r="Q19" s="14">
        <v>1200</v>
      </c>
      <c r="R19" s="14">
        <f t="shared" si="5"/>
        <v>12916.68</v>
      </c>
      <c r="S19" s="15">
        <f t="shared" si="9"/>
        <v>5709172.5600000005</v>
      </c>
      <c r="T19" s="15">
        <f t="shared" si="6"/>
        <v>1355928.483</v>
      </c>
      <c r="U19" s="15">
        <f t="shared" si="7"/>
        <v>4353244.0770000005</v>
      </c>
      <c r="V19" s="11">
        <v>0</v>
      </c>
      <c r="W19" s="15">
        <f t="shared" si="8"/>
        <v>4353244.0770000005</v>
      </c>
    </row>
    <row r="20" spans="2:23" ht="38.25" x14ac:dyDescent="0.25">
      <c r="B20" s="5">
        <v>16</v>
      </c>
      <c r="C20" s="3" t="s">
        <v>10</v>
      </c>
      <c r="D20" s="101" t="s">
        <v>135</v>
      </c>
      <c r="E20" s="82" t="s">
        <v>143</v>
      </c>
      <c r="F20" s="11" t="s">
        <v>39</v>
      </c>
      <c r="G20" s="91">
        <v>65</v>
      </c>
      <c r="H20" s="62">
        <f t="shared" si="1"/>
        <v>699.65350000000001</v>
      </c>
      <c r="I20" s="3">
        <v>3.25</v>
      </c>
      <c r="J20" s="23">
        <f t="shared" si="2"/>
        <v>10.66273</v>
      </c>
      <c r="K20" s="3">
        <v>2007</v>
      </c>
      <c r="L20" s="11">
        <v>2022</v>
      </c>
      <c r="M20" s="11">
        <f t="shared" si="0"/>
        <v>15</v>
      </c>
      <c r="N20" s="11">
        <v>60</v>
      </c>
      <c r="O20" s="11">
        <v>0.05</v>
      </c>
      <c r="P20" s="13">
        <f t="shared" si="10"/>
        <v>1.5833333333333331E-2</v>
      </c>
      <c r="Q20" s="14">
        <v>1200</v>
      </c>
      <c r="R20" s="14">
        <f t="shared" si="5"/>
        <v>12916.68</v>
      </c>
      <c r="S20" s="15">
        <f t="shared" si="9"/>
        <v>839584.20000000007</v>
      </c>
      <c r="T20" s="15">
        <f t="shared" si="6"/>
        <v>199401.2475</v>
      </c>
      <c r="U20" s="15">
        <f t="shared" si="7"/>
        <v>640182.95250000013</v>
      </c>
      <c r="V20" s="11">
        <v>0</v>
      </c>
      <c r="W20" s="15">
        <f t="shared" si="8"/>
        <v>640182.95250000013</v>
      </c>
    </row>
    <row r="21" spans="2:23" ht="51" x14ac:dyDescent="0.25">
      <c r="B21" s="5">
        <v>17</v>
      </c>
      <c r="C21" s="3" t="s">
        <v>10</v>
      </c>
      <c r="D21" s="101" t="s">
        <v>136</v>
      </c>
      <c r="E21" s="82" t="s">
        <v>142</v>
      </c>
      <c r="F21" s="11" t="s">
        <v>39</v>
      </c>
      <c r="G21" s="91">
        <v>36</v>
      </c>
      <c r="H21" s="62">
        <f t="shared" si="1"/>
        <v>387.50040000000001</v>
      </c>
      <c r="I21" s="3">
        <v>3.25</v>
      </c>
      <c r="J21" s="23">
        <f t="shared" si="2"/>
        <v>10.66273</v>
      </c>
      <c r="K21" s="3">
        <v>2007</v>
      </c>
      <c r="L21" s="11">
        <v>2022</v>
      </c>
      <c r="M21" s="11">
        <f t="shared" si="0"/>
        <v>15</v>
      </c>
      <c r="N21" s="11">
        <v>60</v>
      </c>
      <c r="O21" s="11">
        <v>0.05</v>
      </c>
      <c r="P21" s="13">
        <f t="shared" si="10"/>
        <v>1.5833333333333331E-2</v>
      </c>
      <c r="Q21" s="14">
        <v>1200</v>
      </c>
      <c r="R21" s="14">
        <f t="shared" si="5"/>
        <v>12916.68</v>
      </c>
      <c r="S21" s="15">
        <f t="shared" si="9"/>
        <v>465000.48</v>
      </c>
      <c r="T21" s="15">
        <f t="shared" si="6"/>
        <v>110437.61399999999</v>
      </c>
      <c r="U21" s="15">
        <f t="shared" si="7"/>
        <v>354562.86599999998</v>
      </c>
      <c r="V21" s="11">
        <v>0</v>
      </c>
      <c r="W21" s="15">
        <f t="shared" si="8"/>
        <v>354562.86599999998</v>
      </c>
    </row>
    <row r="22" spans="2:23" ht="51" x14ac:dyDescent="0.25">
      <c r="B22" s="5">
        <v>18</v>
      </c>
      <c r="C22" s="3" t="s">
        <v>10</v>
      </c>
      <c r="D22" s="101" t="s">
        <v>137</v>
      </c>
      <c r="E22" s="82" t="s">
        <v>142</v>
      </c>
      <c r="F22" s="11" t="s">
        <v>39</v>
      </c>
      <c r="G22" s="91">
        <v>50</v>
      </c>
      <c r="H22" s="62">
        <f t="shared" si="1"/>
        <v>538.19499999999994</v>
      </c>
      <c r="I22" s="3">
        <v>3.25</v>
      </c>
      <c r="J22" s="23">
        <f t="shared" si="2"/>
        <v>10.66273</v>
      </c>
      <c r="K22" s="3">
        <v>2007</v>
      </c>
      <c r="L22" s="11">
        <v>2022</v>
      </c>
      <c r="M22" s="11">
        <f t="shared" si="0"/>
        <v>15</v>
      </c>
      <c r="N22" s="11">
        <v>60</v>
      </c>
      <c r="O22" s="11">
        <v>0.05</v>
      </c>
      <c r="P22" s="13">
        <f t="shared" si="10"/>
        <v>1.5833333333333331E-2</v>
      </c>
      <c r="Q22" s="14">
        <v>1100</v>
      </c>
      <c r="R22" s="14">
        <f t="shared" si="5"/>
        <v>11840.289999999999</v>
      </c>
      <c r="S22" s="15">
        <f t="shared" si="9"/>
        <v>592014.5</v>
      </c>
      <c r="T22" s="15">
        <f t="shared" si="6"/>
        <v>140603.44374999998</v>
      </c>
      <c r="U22" s="15">
        <f t="shared" si="7"/>
        <v>451411.05625000002</v>
      </c>
      <c r="V22" s="11">
        <v>0</v>
      </c>
      <c r="W22" s="15">
        <f t="shared" si="8"/>
        <v>451411.05625000002</v>
      </c>
    </row>
    <row r="23" spans="2:23" ht="51" x14ac:dyDescent="0.25">
      <c r="B23" s="5">
        <v>19</v>
      </c>
      <c r="C23" s="3" t="s">
        <v>9</v>
      </c>
      <c r="D23" s="101" t="s">
        <v>138</v>
      </c>
      <c r="E23" s="82" t="s">
        <v>142</v>
      </c>
      <c r="F23" s="11" t="s">
        <v>39</v>
      </c>
      <c r="G23" s="91">
        <v>120</v>
      </c>
      <c r="H23" s="62">
        <f t="shared" si="1"/>
        <v>1291.6679999999999</v>
      </c>
      <c r="I23" s="3">
        <f>3.25*2</f>
        <v>6.5</v>
      </c>
      <c r="J23" s="23">
        <f t="shared" si="2"/>
        <v>21.32546</v>
      </c>
      <c r="K23" s="3">
        <v>2007</v>
      </c>
      <c r="L23" s="11">
        <v>2022</v>
      </c>
      <c r="M23" s="11">
        <f t="shared" si="0"/>
        <v>15</v>
      </c>
      <c r="N23" s="11">
        <v>60</v>
      </c>
      <c r="O23" s="11">
        <v>0.05</v>
      </c>
      <c r="P23" s="13">
        <f t="shared" si="10"/>
        <v>1.5833333333333331E-2</v>
      </c>
      <c r="Q23" s="14">
        <v>1100</v>
      </c>
      <c r="R23" s="14">
        <f t="shared" si="5"/>
        <v>11840.289999999999</v>
      </c>
      <c r="S23" s="15">
        <f t="shared" si="9"/>
        <v>1420834.7999999998</v>
      </c>
      <c r="T23" s="15">
        <f t="shared" si="6"/>
        <v>337448.26499999996</v>
      </c>
      <c r="U23" s="15">
        <f t="shared" si="7"/>
        <v>1083386.5349999999</v>
      </c>
      <c r="V23" s="11">
        <v>0</v>
      </c>
      <c r="W23" s="15">
        <f t="shared" si="8"/>
        <v>1083386.5349999999</v>
      </c>
    </row>
    <row r="24" spans="2:23" x14ac:dyDescent="0.25">
      <c r="B24" s="136" t="s">
        <v>58</v>
      </c>
      <c r="C24" s="136"/>
      <c r="D24" s="136"/>
      <c r="E24" s="136"/>
      <c r="F24" s="136"/>
      <c r="G24" s="136"/>
      <c r="H24" s="136"/>
      <c r="I24" s="136"/>
      <c r="J24" s="136"/>
      <c r="K24" s="136"/>
      <c r="L24" s="136"/>
      <c r="M24" s="136"/>
      <c r="N24" s="136"/>
      <c r="O24" s="136"/>
      <c r="P24" s="136"/>
      <c r="Q24" s="136"/>
      <c r="R24" s="136"/>
      <c r="S24" s="32">
        <f>SUM(S5:S23)</f>
        <v>83609669.640000015</v>
      </c>
      <c r="T24" s="32">
        <f>SUM(T5:T23)</f>
        <v>19857296.539499998</v>
      </c>
      <c r="U24" s="59">
        <f>SUM(U5:U23)</f>
        <v>63752373.100499988</v>
      </c>
      <c r="W24" s="63">
        <f>SUM(W5:W23)</f>
        <v>63752373.100499988</v>
      </c>
    </row>
    <row r="25" spans="2:23" x14ac:dyDescent="0.25">
      <c r="B25" s="24"/>
      <c r="C25" s="19"/>
      <c r="D25" s="25"/>
      <c r="E25" s="25"/>
      <c r="F25" s="26"/>
      <c r="G25" s="20"/>
      <c r="H25" s="27"/>
      <c r="I25" s="19"/>
      <c r="J25" s="21"/>
      <c r="K25" s="19"/>
      <c r="L25" s="26"/>
      <c r="M25" s="26"/>
      <c r="N25" s="26"/>
      <c r="O25" s="26"/>
      <c r="P25" s="28"/>
    </row>
    <row r="26" spans="2:23" x14ac:dyDescent="0.25">
      <c r="B26" s="24"/>
      <c r="C26" s="19"/>
      <c r="D26" s="25"/>
      <c r="E26" s="25"/>
      <c r="F26" s="26"/>
      <c r="G26" s="20"/>
      <c r="H26" s="27"/>
      <c r="I26" s="19"/>
      <c r="J26" s="21"/>
      <c r="K26" s="19"/>
      <c r="L26" s="26"/>
      <c r="M26" s="26"/>
      <c r="N26" s="26"/>
      <c r="O26" s="26"/>
      <c r="P26" s="28"/>
    </row>
    <row r="27" spans="2:23" s="39" customFormat="1" ht="45" x14ac:dyDescent="0.25">
      <c r="B27" s="33">
        <v>34</v>
      </c>
      <c r="C27" s="34" t="s">
        <v>10</v>
      </c>
      <c r="D27" s="35" t="s">
        <v>13</v>
      </c>
      <c r="E27" s="35" t="s">
        <v>49</v>
      </c>
      <c r="F27" s="36" t="s">
        <v>39</v>
      </c>
      <c r="G27" s="47" t="s">
        <v>50</v>
      </c>
      <c r="H27" s="40"/>
      <c r="I27" s="41">
        <v>4719</v>
      </c>
      <c r="J27" s="42"/>
      <c r="K27" s="41"/>
      <c r="L27" s="43"/>
      <c r="M27" s="43"/>
      <c r="N27" s="43"/>
      <c r="O27" s="43"/>
      <c r="P27" s="44"/>
    </row>
    <row r="28" spans="2:23" x14ac:dyDescent="0.25">
      <c r="B28" s="24"/>
      <c r="C28" s="19"/>
      <c r="D28" s="25"/>
      <c r="E28" s="25"/>
      <c r="F28" s="26"/>
      <c r="G28" s="20"/>
      <c r="H28" s="27"/>
      <c r="I28" s="19"/>
      <c r="J28" s="21"/>
      <c r="K28" s="19"/>
      <c r="L28" s="26"/>
      <c r="M28" s="26"/>
      <c r="N28" s="26"/>
      <c r="O28" s="26"/>
      <c r="P28" s="28"/>
    </row>
    <row r="29" spans="2:23" x14ac:dyDescent="0.25">
      <c r="B29" s="24"/>
      <c r="C29" s="19"/>
      <c r="D29" s="25"/>
      <c r="E29" s="25"/>
      <c r="F29" s="26"/>
      <c r="G29" s="20"/>
      <c r="H29" s="27"/>
      <c r="I29" s="19"/>
      <c r="J29" s="21"/>
      <c r="K29" s="19"/>
      <c r="L29" s="26"/>
      <c r="M29" s="26"/>
      <c r="N29" s="26"/>
      <c r="O29" s="26"/>
      <c r="P29" s="28"/>
    </row>
    <row r="30" spans="2:23" x14ac:dyDescent="0.25">
      <c r="B30" s="24"/>
      <c r="C30" s="19"/>
      <c r="D30" s="25"/>
      <c r="E30" s="25"/>
      <c r="F30" s="26"/>
      <c r="G30" s="20"/>
      <c r="H30" s="27"/>
      <c r="I30" s="19"/>
      <c r="J30" s="21"/>
      <c r="K30" s="19"/>
      <c r="L30" s="26"/>
      <c r="M30" s="26"/>
      <c r="N30" s="26"/>
      <c r="O30" s="26"/>
      <c r="P30" s="28"/>
    </row>
    <row r="31" spans="2:23" x14ac:dyDescent="0.25">
      <c r="B31" s="24"/>
      <c r="C31" s="19"/>
      <c r="D31" s="25"/>
      <c r="E31" s="25"/>
      <c r="F31" s="26"/>
      <c r="G31" s="20"/>
      <c r="H31" s="27"/>
      <c r="I31" s="19"/>
      <c r="J31" s="21"/>
      <c r="K31" s="19"/>
      <c r="L31" s="26"/>
      <c r="M31" s="26"/>
      <c r="N31" s="26"/>
      <c r="O31" s="26"/>
      <c r="P31" s="28"/>
    </row>
    <row r="32" spans="2:23" x14ac:dyDescent="0.25">
      <c r="B32" s="24"/>
      <c r="C32" s="19"/>
      <c r="D32" s="25"/>
      <c r="E32" s="25"/>
      <c r="F32" s="26"/>
      <c r="G32" s="20"/>
      <c r="H32" s="27"/>
      <c r="I32" s="19"/>
      <c r="J32" s="21"/>
      <c r="K32" s="19"/>
      <c r="L32" s="26"/>
      <c r="M32" s="26"/>
      <c r="N32" s="26"/>
      <c r="O32" s="26"/>
      <c r="P32" s="28"/>
    </row>
    <row r="33" spans="2:16" x14ac:dyDescent="0.25">
      <c r="B33" s="24"/>
      <c r="C33" s="19"/>
      <c r="D33" s="25"/>
      <c r="E33" s="25"/>
      <c r="F33" s="26"/>
      <c r="G33" s="20"/>
      <c r="H33" s="27"/>
      <c r="I33" s="19"/>
      <c r="J33" s="21"/>
      <c r="K33" s="19"/>
      <c r="L33" s="26"/>
      <c r="M33" s="26"/>
      <c r="N33" s="26"/>
      <c r="O33" s="26"/>
      <c r="P33" s="28"/>
    </row>
    <row r="34" spans="2:16" x14ac:dyDescent="0.25">
      <c r="B34" s="24"/>
      <c r="C34" s="19"/>
      <c r="D34" s="25"/>
      <c r="E34" s="25"/>
      <c r="F34" s="26"/>
      <c r="G34" s="20"/>
      <c r="H34" s="27"/>
      <c r="I34" s="19"/>
      <c r="J34" s="21"/>
      <c r="K34" s="19"/>
      <c r="L34" s="26"/>
      <c r="M34" s="26"/>
      <c r="N34" s="26"/>
      <c r="O34" s="26"/>
      <c r="P34" s="28"/>
    </row>
    <row r="35" spans="2:16" x14ac:dyDescent="0.25">
      <c r="B35" s="24"/>
      <c r="C35" s="19"/>
      <c r="D35" s="25"/>
      <c r="E35" s="25"/>
      <c r="F35" s="26"/>
      <c r="G35" s="20"/>
      <c r="H35" s="27"/>
      <c r="I35" s="19"/>
      <c r="J35" s="21"/>
      <c r="K35" s="19"/>
      <c r="L35" s="26"/>
      <c r="M35" s="26"/>
      <c r="N35" s="26"/>
      <c r="O35" s="26"/>
      <c r="P35" s="28"/>
    </row>
    <row r="36" spans="2:16" x14ac:dyDescent="0.25">
      <c r="B36" s="24"/>
      <c r="C36" s="19"/>
      <c r="D36" s="25"/>
      <c r="E36" s="25"/>
      <c r="F36" s="26"/>
      <c r="G36" s="20"/>
      <c r="H36" s="27"/>
      <c r="I36" s="19"/>
      <c r="J36" s="21"/>
      <c r="K36" s="19"/>
      <c r="L36" s="26"/>
      <c r="M36" s="26"/>
      <c r="N36" s="26"/>
      <c r="O36" s="26"/>
      <c r="P36" s="28"/>
    </row>
    <row r="37" spans="2:16" x14ac:dyDescent="0.25">
      <c r="B37" s="24"/>
      <c r="C37" s="19"/>
      <c r="D37" s="25"/>
      <c r="E37" s="25"/>
      <c r="F37" s="26"/>
      <c r="G37" s="20"/>
      <c r="H37" s="27"/>
      <c r="I37" s="19"/>
      <c r="J37" s="21"/>
      <c r="K37" s="19"/>
      <c r="L37" s="26"/>
      <c r="M37" s="26"/>
      <c r="N37" s="26"/>
      <c r="O37" s="26"/>
      <c r="P37" s="28"/>
    </row>
    <row r="38" spans="2:16" x14ac:dyDescent="0.25">
      <c r="B38" s="24"/>
      <c r="C38" s="19"/>
      <c r="D38" s="25"/>
      <c r="E38" s="25"/>
      <c r="F38" s="26"/>
      <c r="G38" s="20"/>
      <c r="H38" s="27"/>
      <c r="I38" s="19"/>
      <c r="J38" s="21"/>
      <c r="K38" s="19"/>
      <c r="L38" s="26"/>
      <c r="M38" s="26"/>
      <c r="N38" s="26"/>
      <c r="O38" s="26"/>
      <c r="P38" s="28"/>
    </row>
    <row r="39" spans="2:16" x14ac:dyDescent="0.25">
      <c r="B39" s="24"/>
      <c r="C39" s="19"/>
      <c r="D39" s="25"/>
      <c r="E39" s="25"/>
      <c r="F39" s="26"/>
      <c r="G39" s="20"/>
      <c r="H39" s="27"/>
      <c r="I39" s="29"/>
      <c r="J39" s="21"/>
      <c r="K39" s="19"/>
      <c r="L39" s="26"/>
      <c r="M39" s="26"/>
      <c r="N39" s="26"/>
      <c r="O39" s="26"/>
      <c r="P39" s="28"/>
    </row>
    <row r="40" spans="2:16" x14ac:dyDescent="0.25">
      <c r="E40" s="30"/>
    </row>
    <row r="41" spans="2:16" x14ac:dyDescent="0.25">
      <c r="E41" s="30"/>
    </row>
    <row r="42" spans="2:16" x14ac:dyDescent="0.25">
      <c r="E42" s="30"/>
    </row>
    <row r="43" spans="2:16" x14ac:dyDescent="0.25">
      <c r="E43" s="30"/>
    </row>
    <row r="44" spans="2:16" x14ac:dyDescent="0.25">
      <c r="E44" s="30"/>
    </row>
    <row r="45" spans="2:16" x14ac:dyDescent="0.25">
      <c r="E45" s="30"/>
    </row>
    <row r="46" spans="2:16" x14ac:dyDescent="0.25">
      <c r="E46" s="30"/>
    </row>
    <row r="47" spans="2:16" x14ac:dyDescent="0.25">
      <c r="E47" s="30"/>
    </row>
    <row r="48" spans="2:16" x14ac:dyDescent="0.25">
      <c r="E48" s="30"/>
    </row>
    <row r="49" spans="5:5" x14ac:dyDescent="0.25">
      <c r="E49" s="30"/>
    </row>
    <row r="50" spans="5:5" x14ac:dyDescent="0.25">
      <c r="E50" s="30"/>
    </row>
    <row r="51" spans="5:5" x14ac:dyDescent="0.25">
      <c r="E51" s="30"/>
    </row>
    <row r="52" spans="5:5" x14ac:dyDescent="0.25">
      <c r="E52" s="30"/>
    </row>
    <row r="53" spans="5:5" x14ac:dyDescent="0.25">
      <c r="E53" s="30"/>
    </row>
    <row r="54" spans="5:5" x14ac:dyDescent="0.25">
      <c r="E54" s="30"/>
    </row>
    <row r="55" spans="5:5" x14ac:dyDescent="0.25">
      <c r="E55" s="30"/>
    </row>
    <row r="56" spans="5:5" x14ac:dyDescent="0.25">
      <c r="E56" s="30"/>
    </row>
    <row r="57" spans="5:5" x14ac:dyDescent="0.25">
      <c r="E57" s="30"/>
    </row>
    <row r="58" spans="5:5" x14ac:dyDescent="0.25">
      <c r="E58" s="30"/>
    </row>
    <row r="59" spans="5:5" x14ac:dyDescent="0.25">
      <c r="E59" s="30"/>
    </row>
    <row r="60" spans="5:5" x14ac:dyDescent="0.25">
      <c r="E60" s="30"/>
    </row>
    <row r="61" spans="5:5" x14ac:dyDescent="0.25">
      <c r="E61" s="30"/>
    </row>
  </sheetData>
  <autoFilter ref="B4:W23" xr:uid="{26DC2211-4EC4-478E-A6E3-CC9B41918B82}"/>
  <mergeCells count="2">
    <mergeCell ref="B3:Z3"/>
    <mergeCell ref="B24:R24"/>
  </mergeCells>
  <dataValidations count="2">
    <dataValidation type="list" allowBlank="1" showErrorMessage="1" sqref="E12 E5:E8 E20:E23" xr:uid="{25CB396C-D3DF-4B52-923D-334AB079F4DF}">
      <formula1>0</formula1>
      <formula2>0</formula2>
    </dataValidation>
    <dataValidation type="list" allowBlank="1" showInputMessage="1" showErrorMessage="1" promptTitle="Condition of Structure" prompt="Condition of Structure" sqref="F25:F39 F5:F23" xr:uid="{4B815A10-B247-4F32-9F1A-AF0C3FECADC7}">
      <formula1>"Poor, Average, Ordinary, Good, Very Good, Excellent"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FC58CD-7C41-417B-822D-044223DAD8ED}">
  <sheetPr>
    <tabColor theme="5" tint="-0.499984740745262"/>
  </sheetPr>
  <dimension ref="B4:O14"/>
  <sheetViews>
    <sheetView workbookViewId="0">
      <selection activeCell="I21" sqref="I21"/>
    </sheetView>
  </sheetViews>
  <sheetFormatPr defaultRowHeight="15" x14ac:dyDescent="0.25"/>
  <cols>
    <col min="6" max="6" width="26.5703125" bestFit="1" customWidth="1"/>
    <col min="10" max="10" width="10.85546875" bestFit="1" customWidth="1"/>
    <col min="11" max="11" width="14.28515625" bestFit="1" customWidth="1"/>
  </cols>
  <sheetData>
    <row r="4" spans="2:15" ht="15.75" x14ac:dyDescent="0.25">
      <c r="B4" s="137" t="s">
        <v>67</v>
      </c>
      <c r="C4" s="137"/>
      <c r="D4" s="137"/>
      <c r="E4" s="137"/>
      <c r="F4" s="137"/>
      <c r="G4" s="137"/>
      <c r="H4" s="137"/>
      <c r="I4" s="137"/>
      <c r="J4" s="137"/>
      <c r="K4" s="137"/>
    </row>
    <row r="5" spans="2:15" ht="57.75" x14ac:dyDescent="0.25">
      <c r="B5" s="49" t="s">
        <v>1</v>
      </c>
      <c r="C5" s="138" t="s">
        <v>42</v>
      </c>
      <c r="D5" s="139"/>
      <c r="E5" s="49" t="s">
        <v>5</v>
      </c>
      <c r="F5" s="49" t="s">
        <v>43</v>
      </c>
      <c r="G5" s="49" t="s">
        <v>6</v>
      </c>
      <c r="H5" s="49" t="s">
        <v>44</v>
      </c>
      <c r="I5" s="49" t="s">
        <v>51</v>
      </c>
      <c r="J5" s="49" t="s">
        <v>45</v>
      </c>
      <c r="K5" s="49" t="s">
        <v>46</v>
      </c>
    </row>
    <row r="6" spans="2:15" ht="30" x14ac:dyDescent="0.25">
      <c r="B6" s="140">
        <v>2</v>
      </c>
      <c r="C6" s="141" t="s">
        <v>52</v>
      </c>
      <c r="D6" s="50" t="s">
        <v>53</v>
      </c>
      <c r="E6" s="51">
        <v>2005</v>
      </c>
      <c r="F6" s="51" t="s">
        <v>54</v>
      </c>
      <c r="G6" s="51" t="s">
        <v>47</v>
      </c>
      <c r="H6" s="50">
        <v>1258</v>
      </c>
      <c r="I6" s="51" t="s">
        <v>47</v>
      </c>
      <c r="J6" s="56">
        <v>1700</v>
      </c>
      <c r="K6" s="55">
        <f>(H6*J6)</f>
        <v>2138600</v>
      </c>
      <c r="O6" s="54"/>
    </row>
    <row r="7" spans="2:15" ht="30" x14ac:dyDescent="0.25">
      <c r="B7" s="140"/>
      <c r="C7" s="141"/>
      <c r="D7" s="50" t="s">
        <v>55</v>
      </c>
      <c r="E7" s="51">
        <v>1990</v>
      </c>
      <c r="F7" s="51" t="s">
        <v>54</v>
      </c>
      <c r="G7" s="51" t="s">
        <v>47</v>
      </c>
      <c r="H7" s="52">
        <v>1177</v>
      </c>
      <c r="I7" s="51" t="s">
        <v>47</v>
      </c>
      <c r="J7" s="55">
        <v>1500</v>
      </c>
      <c r="K7" s="55">
        <f t="shared" ref="K7:K9" si="0">(H7*J7)</f>
        <v>1765500</v>
      </c>
    </row>
    <row r="8" spans="2:15" ht="30" x14ac:dyDescent="0.25">
      <c r="B8" s="140"/>
      <c r="C8" s="141"/>
      <c r="D8" s="50" t="s">
        <v>56</v>
      </c>
      <c r="E8" s="53"/>
      <c r="F8" s="51" t="s">
        <v>54</v>
      </c>
      <c r="G8" s="51" t="s">
        <v>47</v>
      </c>
      <c r="H8" s="52">
        <v>1950</v>
      </c>
      <c r="I8" s="51" t="s">
        <v>47</v>
      </c>
      <c r="J8" s="55">
        <v>1500</v>
      </c>
      <c r="K8" s="55">
        <f t="shared" si="0"/>
        <v>2925000</v>
      </c>
    </row>
    <row r="9" spans="2:15" ht="30" x14ac:dyDescent="0.25">
      <c r="B9" s="140"/>
      <c r="C9" s="141"/>
      <c r="D9" s="50" t="s">
        <v>57</v>
      </c>
      <c r="E9" s="51">
        <v>2003</v>
      </c>
      <c r="F9" s="51" t="s">
        <v>54</v>
      </c>
      <c r="G9" s="51" t="s">
        <v>47</v>
      </c>
      <c r="H9" s="52">
        <v>793</v>
      </c>
      <c r="I9" s="51" t="s">
        <v>47</v>
      </c>
      <c r="J9" s="55">
        <v>1700</v>
      </c>
      <c r="K9" s="55">
        <f t="shared" si="0"/>
        <v>1348100</v>
      </c>
    </row>
    <row r="10" spans="2:15" x14ac:dyDescent="0.25">
      <c r="B10" s="142" t="s">
        <v>48</v>
      </c>
      <c r="C10" s="143"/>
      <c r="D10" s="143"/>
      <c r="E10" s="143"/>
      <c r="F10" s="143"/>
      <c r="G10" s="143"/>
      <c r="H10" s="143"/>
      <c r="I10" s="143"/>
      <c r="J10" s="22"/>
      <c r="K10" s="32">
        <f>SUM(K6:K9)</f>
        <v>8177200</v>
      </c>
    </row>
    <row r="14" spans="2:15" x14ac:dyDescent="0.25">
      <c r="J14" s="54"/>
    </row>
  </sheetData>
  <mergeCells count="5">
    <mergeCell ref="B4:K4"/>
    <mergeCell ref="C5:D5"/>
    <mergeCell ref="B6:B9"/>
    <mergeCell ref="C6:C9"/>
    <mergeCell ref="B10:I10"/>
  </mergeCells>
  <dataValidations count="1">
    <dataValidation type="list" allowBlank="1" showErrorMessage="1" sqref="G6:G9 I6:I9" xr:uid="{7542A2D2-2D1A-4D9F-939D-C64A73814770}">
      <formula1>"Very Good,Good,Average,Poor,Ordinary with wreckages in the structure"</formula1>
      <formula2>0</formula2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40B899-156C-4A37-AE8C-72C3231741BE}">
  <sheetPr>
    <tabColor theme="9" tint="0.59999389629810485"/>
  </sheetPr>
  <dimension ref="B4:F13"/>
  <sheetViews>
    <sheetView tabSelected="1" workbookViewId="0">
      <selection activeCell="B10" sqref="B10:F10"/>
    </sheetView>
  </sheetViews>
  <sheetFormatPr defaultRowHeight="15" x14ac:dyDescent="0.25"/>
  <cols>
    <col min="3" max="3" width="15.42578125" customWidth="1"/>
    <col min="4" max="4" width="4" customWidth="1"/>
    <col min="5" max="5" width="18.5703125" style="6" bestFit="1" customWidth="1"/>
    <col min="6" max="6" width="16.85546875" bestFit="1" customWidth="1"/>
  </cols>
  <sheetData>
    <row r="4" spans="2:6" ht="39" customHeight="1" x14ac:dyDescent="0.25">
      <c r="B4" s="144" t="s">
        <v>177</v>
      </c>
      <c r="C4" s="144"/>
      <c r="D4" s="144"/>
      <c r="E4" s="144"/>
      <c r="F4" s="144"/>
    </row>
    <row r="5" spans="2:6" ht="30" x14ac:dyDescent="0.25">
      <c r="B5" s="64" t="s">
        <v>15</v>
      </c>
      <c r="C5" s="145" t="s">
        <v>42</v>
      </c>
      <c r="D5" s="146"/>
      <c r="E5" s="64" t="s">
        <v>59</v>
      </c>
      <c r="F5" s="65" t="s">
        <v>60</v>
      </c>
    </row>
    <row r="6" spans="2:6" x14ac:dyDescent="0.25">
      <c r="B6" s="66">
        <v>1</v>
      </c>
      <c r="C6" s="147" t="s">
        <v>61</v>
      </c>
      <c r="D6" s="148"/>
      <c r="E6" s="132">
        <f>Sugar_working!S40</f>
        <v>412870912.30000007</v>
      </c>
      <c r="F6" s="69">
        <f>Sugar_working!W40</f>
        <v>275688478.15774995</v>
      </c>
    </row>
    <row r="7" spans="2:6" x14ac:dyDescent="0.25">
      <c r="B7" s="66">
        <v>2</v>
      </c>
      <c r="C7" s="147" t="s">
        <v>52</v>
      </c>
      <c r="D7" s="148"/>
      <c r="E7" s="132">
        <f>F7</f>
        <v>8177200</v>
      </c>
      <c r="F7" s="69">
        <f>Boundary_Wall!K10</f>
        <v>8177200</v>
      </c>
    </row>
    <row r="8" spans="2:6" x14ac:dyDescent="0.25">
      <c r="B8" s="66">
        <v>3</v>
      </c>
      <c r="C8" s="147" t="s">
        <v>62</v>
      </c>
      <c r="D8" s="148"/>
      <c r="E8" s="132">
        <f>Distillery_Working!S24</f>
        <v>83609669.640000015</v>
      </c>
      <c r="F8" s="69">
        <f>Distillery_Working!W24</f>
        <v>63752373.100499988</v>
      </c>
    </row>
    <row r="9" spans="2:6" x14ac:dyDescent="0.25">
      <c r="B9" s="149" t="s">
        <v>48</v>
      </c>
      <c r="C9" s="149"/>
      <c r="D9" s="149"/>
      <c r="E9" s="68">
        <f>SUM(E6:E8)</f>
        <v>504657781.94000006</v>
      </c>
      <c r="F9" s="70">
        <f>SUM(F6:F8)</f>
        <v>347618051.25824994</v>
      </c>
    </row>
    <row r="10" spans="2:6" x14ac:dyDescent="0.25">
      <c r="B10" s="150" t="s">
        <v>63</v>
      </c>
      <c r="C10" s="151"/>
      <c r="D10" s="151"/>
      <c r="E10" s="151"/>
      <c r="F10" s="152"/>
    </row>
    <row r="11" spans="2:6" ht="30" customHeight="1" x14ac:dyDescent="0.25">
      <c r="B11" s="153" t="s">
        <v>64</v>
      </c>
      <c r="C11" s="154"/>
      <c r="D11" s="154"/>
      <c r="E11" s="154"/>
      <c r="F11" s="155"/>
    </row>
    <row r="12" spans="2:6" ht="31.5" customHeight="1" x14ac:dyDescent="0.25">
      <c r="B12" s="153" t="s">
        <v>65</v>
      </c>
      <c r="C12" s="154"/>
      <c r="D12" s="154"/>
      <c r="E12" s="154"/>
      <c r="F12" s="155"/>
    </row>
    <row r="13" spans="2:6" ht="29.25" customHeight="1" x14ac:dyDescent="0.25">
      <c r="B13" s="153" t="s">
        <v>66</v>
      </c>
      <c r="C13" s="154"/>
      <c r="D13" s="154"/>
      <c r="E13" s="154"/>
      <c r="F13" s="155"/>
    </row>
  </sheetData>
  <mergeCells count="10">
    <mergeCell ref="B9:D9"/>
    <mergeCell ref="B10:F10"/>
    <mergeCell ref="B11:F11"/>
    <mergeCell ref="B12:F12"/>
    <mergeCell ref="B13:F13"/>
    <mergeCell ref="B4:F4"/>
    <mergeCell ref="C5:D5"/>
    <mergeCell ref="C6:D6"/>
    <mergeCell ref="C8:D8"/>
    <mergeCell ref="C7:D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C1E185-B1E4-4EDA-A1F9-30A6F2AF0C9F}">
  <sheetPr>
    <tabColor theme="5" tint="0.59999389629810485"/>
  </sheetPr>
  <dimension ref="B4:M15"/>
  <sheetViews>
    <sheetView workbookViewId="0">
      <selection activeCell="K10" sqref="K10"/>
    </sheetView>
  </sheetViews>
  <sheetFormatPr defaultRowHeight="15" x14ac:dyDescent="0.25"/>
  <cols>
    <col min="3" max="3" width="33.5703125" bestFit="1" customWidth="1"/>
    <col min="6" max="6" width="16.28515625" customWidth="1"/>
    <col min="7" max="8" width="19.5703125" customWidth="1"/>
    <col min="9" max="9" width="16.85546875" bestFit="1" customWidth="1"/>
    <col min="10" max="10" width="13.28515625" bestFit="1" customWidth="1"/>
    <col min="11" max="11" width="14.28515625" bestFit="1" customWidth="1"/>
    <col min="13" max="13" width="14.28515625" bestFit="1" customWidth="1"/>
  </cols>
  <sheetData>
    <row r="4" spans="2:13" x14ac:dyDescent="0.25">
      <c r="B4" s="156" t="s">
        <v>163</v>
      </c>
      <c r="C4" s="156"/>
      <c r="D4" s="156"/>
      <c r="E4" s="156"/>
      <c r="F4" s="156"/>
      <c r="G4" s="156"/>
      <c r="H4" s="131"/>
    </row>
    <row r="5" spans="2:13" x14ac:dyDescent="0.25">
      <c r="B5" s="149" t="s">
        <v>146</v>
      </c>
      <c r="C5" s="149" t="s">
        <v>147</v>
      </c>
      <c r="D5" s="142" t="s">
        <v>148</v>
      </c>
      <c r="E5" s="142"/>
      <c r="F5" s="157" t="s">
        <v>149</v>
      </c>
      <c r="G5" s="158" t="s">
        <v>150</v>
      </c>
      <c r="H5" s="125"/>
      <c r="I5" s="113">
        <f>G7/D7</f>
        <v>3500000</v>
      </c>
    </row>
    <row r="6" spans="2:13" x14ac:dyDescent="0.25">
      <c r="B6" s="149"/>
      <c r="C6" s="149"/>
      <c r="D6" s="31" t="s">
        <v>151</v>
      </c>
      <c r="E6" s="31" t="s">
        <v>152</v>
      </c>
      <c r="F6" s="157"/>
      <c r="G6" s="159"/>
      <c r="H6" s="125"/>
    </row>
    <row r="7" spans="2:13" x14ac:dyDescent="0.25">
      <c r="B7" s="66">
        <v>1</v>
      </c>
      <c r="C7" s="67" t="s">
        <v>153</v>
      </c>
      <c r="D7" s="71">
        <v>159.5</v>
      </c>
      <c r="E7" s="71">
        <v>64.55</v>
      </c>
      <c r="F7" s="110">
        <f>M10</f>
        <v>3500000</v>
      </c>
      <c r="G7" s="111">
        <f>F7*D7</f>
        <v>558250000</v>
      </c>
      <c r="H7" s="126"/>
      <c r="I7" s="124">
        <f>F7/4.84</f>
        <v>723140.49586776865</v>
      </c>
    </row>
    <row r="8" spans="2:13" x14ac:dyDescent="0.25">
      <c r="B8" s="66"/>
      <c r="C8" s="67" t="s">
        <v>174</v>
      </c>
      <c r="D8" s="160"/>
      <c r="E8" s="161"/>
      <c r="F8" s="162"/>
      <c r="G8" s="111">
        <f>G7*0.8</f>
        <v>446600000</v>
      </c>
      <c r="H8" s="126"/>
      <c r="I8" s="113">
        <f>G8/D7</f>
        <v>2800000</v>
      </c>
      <c r="J8" s="113">
        <f>I8/4.84</f>
        <v>578512.3966942149</v>
      </c>
    </row>
    <row r="9" spans="2:13" ht="30" x14ac:dyDescent="0.25">
      <c r="B9" s="66">
        <v>2</v>
      </c>
      <c r="C9" s="112" t="s">
        <v>154</v>
      </c>
      <c r="D9" s="164">
        <v>0.05</v>
      </c>
      <c r="E9" s="165"/>
      <c r="F9" s="166"/>
      <c r="G9" s="115">
        <f>G8*D9</f>
        <v>22330000</v>
      </c>
      <c r="H9" s="127"/>
      <c r="I9" s="113">
        <f>G8/D7</f>
        <v>2800000</v>
      </c>
      <c r="K9" s="113">
        <f>G7/D7</f>
        <v>3500000</v>
      </c>
      <c r="M9" s="31" t="s">
        <v>160</v>
      </c>
    </row>
    <row r="10" spans="2:13" ht="75" x14ac:dyDescent="0.25">
      <c r="B10" s="66">
        <v>3</v>
      </c>
      <c r="C10" s="112" t="s">
        <v>175</v>
      </c>
      <c r="D10" s="164">
        <v>0.05</v>
      </c>
      <c r="E10" s="165"/>
      <c r="F10" s="166"/>
      <c r="G10" s="115">
        <f>G8*D10</f>
        <v>22330000</v>
      </c>
      <c r="H10" s="127"/>
      <c r="I10" s="113">
        <f>G8*5%</f>
        <v>22330000</v>
      </c>
      <c r="M10" s="114">
        <v>3500000</v>
      </c>
    </row>
    <row r="11" spans="2:13" ht="45" x14ac:dyDescent="0.25">
      <c r="B11" s="66">
        <v>4</v>
      </c>
      <c r="C11" s="112" t="s">
        <v>155</v>
      </c>
      <c r="D11" s="167" t="s">
        <v>156</v>
      </c>
      <c r="E11" s="168"/>
      <c r="F11" s="169"/>
      <c r="G11" s="115">
        <f>250000*D7</f>
        <v>39875000</v>
      </c>
      <c r="H11" s="127"/>
      <c r="K11" s="113">
        <f>G12/D7</f>
        <v>3330000</v>
      </c>
    </row>
    <row r="12" spans="2:13" x14ac:dyDescent="0.25">
      <c r="B12" s="170" t="s">
        <v>157</v>
      </c>
      <c r="C12" s="171"/>
      <c r="D12" s="171"/>
      <c r="E12" s="171"/>
      <c r="F12" s="171"/>
      <c r="G12" s="115">
        <f>SUM(G8+G9+G10+G11)</f>
        <v>531135000</v>
      </c>
      <c r="H12" s="127"/>
      <c r="I12" s="123">
        <f>G11+I10+G9+G8</f>
        <v>531135000</v>
      </c>
    </row>
    <row r="13" spans="2:13" x14ac:dyDescent="0.25">
      <c r="B13" s="172" t="s">
        <v>158</v>
      </c>
      <c r="C13" s="172"/>
      <c r="D13" s="172"/>
      <c r="E13" s="172"/>
      <c r="F13" s="172"/>
      <c r="G13" s="172"/>
      <c r="H13" s="128"/>
      <c r="I13" s="122">
        <f>G12/D7</f>
        <v>3330000</v>
      </c>
      <c r="J13" s="113">
        <f>I13/4.84</f>
        <v>688016.5289256199</v>
      </c>
    </row>
    <row r="14" spans="2:13" x14ac:dyDescent="0.25">
      <c r="B14" s="173" t="s">
        <v>159</v>
      </c>
      <c r="C14" s="174"/>
      <c r="D14" s="174"/>
      <c r="E14" s="174"/>
      <c r="F14" s="174"/>
      <c r="G14" s="175"/>
      <c r="H14" s="129"/>
    </row>
    <row r="15" spans="2:13" ht="35.25" customHeight="1" x14ac:dyDescent="0.25">
      <c r="B15" s="163" t="s">
        <v>176</v>
      </c>
      <c r="C15" s="163"/>
      <c r="D15" s="163"/>
      <c r="E15" s="163"/>
      <c r="F15" s="163"/>
      <c r="G15" s="163"/>
      <c r="H15" s="130"/>
      <c r="K15" s="122">
        <f>G12/D7</f>
        <v>3330000</v>
      </c>
    </row>
  </sheetData>
  <mergeCells count="14">
    <mergeCell ref="D8:F8"/>
    <mergeCell ref="B15:G15"/>
    <mergeCell ref="D9:F9"/>
    <mergeCell ref="D10:F10"/>
    <mergeCell ref="D11:F11"/>
    <mergeCell ref="B12:F12"/>
    <mergeCell ref="B13:G13"/>
    <mergeCell ref="B14:G14"/>
    <mergeCell ref="B4:G4"/>
    <mergeCell ref="B5:B6"/>
    <mergeCell ref="C5:C6"/>
    <mergeCell ref="D5:E5"/>
    <mergeCell ref="F5:F6"/>
    <mergeCell ref="G5:G6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6C8DDB-4EEF-4CD7-94C7-E96C368E414F}">
  <dimension ref="C4:J8"/>
  <sheetViews>
    <sheetView workbookViewId="0">
      <selection activeCell="G16" sqref="G16"/>
    </sheetView>
  </sheetViews>
  <sheetFormatPr defaultRowHeight="15" x14ac:dyDescent="0.25"/>
  <cols>
    <col min="4" max="4" width="23.42578125" customWidth="1"/>
    <col min="5" max="5" width="15.140625" customWidth="1"/>
    <col min="6" max="6" width="12.7109375" customWidth="1"/>
    <col min="7" max="7" width="17.28515625" customWidth="1"/>
    <col min="8" max="8" width="21.7109375" customWidth="1"/>
    <col min="9" max="9" width="16.7109375" customWidth="1"/>
    <col min="10" max="10" width="19.5703125" bestFit="1" customWidth="1"/>
  </cols>
  <sheetData>
    <row r="4" spans="3:10" ht="29.25" customHeight="1" x14ac:dyDescent="0.25">
      <c r="C4" s="116" t="s">
        <v>15</v>
      </c>
      <c r="D4" s="116" t="s">
        <v>164</v>
      </c>
      <c r="E4" s="119" t="s">
        <v>173</v>
      </c>
      <c r="F4" s="119" t="s">
        <v>172</v>
      </c>
      <c r="G4" s="119" t="s">
        <v>171</v>
      </c>
      <c r="H4" s="119" t="s">
        <v>169</v>
      </c>
      <c r="I4" s="119" t="s">
        <v>170</v>
      </c>
      <c r="J4" s="119" t="s">
        <v>165</v>
      </c>
    </row>
    <row r="5" spans="3:10" x14ac:dyDescent="0.25">
      <c r="C5" s="118">
        <v>1</v>
      </c>
      <c r="D5" s="118" t="s">
        <v>166</v>
      </c>
      <c r="E5" s="118">
        <v>59.582999999999998</v>
      </c>
      <c r="F5" s="118">
        <f>E5*10000</f>
        <v>595830</v>
      </c>
      <c r="G5" s="120">
        <v>7900000</v>
      </c>
      <c r="H5" s="120">
        <v>5200</v>
      </c>
      <c r="I5" s="120">
        <f>G5*E5</f>
        <v>470705700</v>
      </c>
      <c r="J5" s="120">
        <f>H5*F5</f>
        <v>3098316000</v>
      </c>
    </row>
    <row r="6" spans="3:10" x14ac:dyDescent="0.25">
      <c r="C6" s="118">
        <v>2</v>
      </c>
      <c r="D6" s="118" t="s">
        <v>167</v>
      </c>
      <c r="E6" s="118">
        <v>4.9550000000000001</v>
      </c>
      <c r="F6" s="118">
        <f t="shared" ref="F6:F7" si="0">E6*10000</f>
        <v>49550</v>
      </c>
      <c r="G6" s="120">
        <v>5700000</v>
      </c>
      <c r="H6" s="120">
        <v>4700</v>
      </c>
      <c r="I6" s="120">
        <f t="shared" ref="I6:I7" si="1">G6*E6</f>
        <v>28243500</v>
      </c>
      <c r="J6" s="120">
        <f t="shared" ref="J6:J7" si="2">H6*F6</f>
        <v>232885000</v>
      </c>
    </row>
    <row r="7" spans="3:10" x14ac:dyDescent="0.25">
      <c r="C7" s="118">
        <v>3</v>
      </c>
      <c r="D7" s="118" t="s">
        <v>168</v>
      </c>
      <c r="E7" s="118">
        <v>1.0999999999999999E-2</v>
      </c>
      <c r="F7" s="118">
        <f t="shared" si="0"/>
        <v>110</v>
      </c>
      <c r="G7" s="120">
        <v>5700000</v>
      </c>
      <c r="H7" s="120">
        <v>4700</v>
      </c>
      <c r="I7" s="120">
        <f t="shared" si="1"/>
        <v>62700</v>
      </c>
      <c r="J7" s="120">
        <f t="shared" si="2"/>
        <v>517000</v>
      </c>
    </row>
    <row r="8" spans="3:10" x14ac:dyDescent="0.25">
      <c r="C8" s="142" t="s">
        <v>58</v>
      </c>
      <c r="D8" s="142"/>
      <c r="E8" s="117">
        <f>SUM(E5:E7)</f>
        <v>64.548999999999992</v>
      </c>
      <c r="F8" s="117">
        <f>SUM(F5:F7)</f>
        <v>645490</v>
      </c>
      <c r="G8" s="143"/>
      <c r="H8" s="143"/>
      <c r="I8" s="121">
        <f>SUM(I5:I7)</f>
        <v>499011900</v>
      </c>
      <c r="J8" s="121">
        <f>SUM(J5:J7)</f>
        <v>3331718000</v>
      </c>
    </row>
  </sheetData>
  <mergeCells count="2">
    <mergeCell ref="G8:H8"/>
    <mergeCell ref="C8:D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Sugar</vt:lpstr>
      <vt:lpstr>Sugar_working</vt:lpstr>
      <vt:lpstr>Distillery</vt:lpstr>
      <vt:lpstr>Distillery_Working</vt:lpstr>
      <vt:lpstr>Boundary_Wall</vt:lpstr>
      <vt:lpstr>Summary</vt:lpstr>
      <vt:lpstr>Land_Valuation</vt:lpstr>
      <vt:lpstr>Circle_rate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Arup Banerjee</dc:creator>
  <cp:lastModifiedBy>Aditya</cp:lastModifiedBy>
  <dcterms:created xsi:type="dcterms:W3CDTF">2022-06-15T05:27:47Z</dcterms:created>
  <dcterms:modified xsi:type="dcterms:W3CDTF">2022-07-20T07:50:33Z</dcterms:modified>
</cp:coreProperties>
</file>