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up Banerjee\BHSL DOCS\BHSL_FV\Kundarkhi_VIS(2022-2023)_PL-073-061-111 Kundarkhi\Report_&amp;_Working\Building_working\"/>
    </mc:Choice>
  </mc:AlternateContent>
  <xr:revisionPtr revIDLastSave="0" documentId="13_ncr:1_{E4C3F90F-8E99-4CA0-83C5-ABC991DB4CD2}" xr6:coauthVersionLast="47" xr6:coauthVersionMax="47" xr10:uidLastSave="{00000000-0000-0000-0000-000000000000}"/>
  <bookViews>
    <workbookView xWindow="-120" yWindow="-120" windowWidth="21840" windowHeight="13140" xr2:uid="{FDB94DCD-38FD-43B4-A18F-3BA412BFFB5D}"/>
  </bookViews>
  <sheets>
    <sheet name="Sugar_unit_working" sheetId="4" r:id="rId1"/>
    <sheet name="Ecotech_Working" sheetId="5" r:id="rId2"/>
    <sheet name="Road_&amp;_other_structures" sheetId="7" r:id="rId3"/>
    <sheet name="Summary" sheetId="9" r:id="rId4"/>
    <sheet name="Government_rate" sheetId="10" r:id="rId5"/>
    <sheet name="Land_valuation" sheetId="11" r:id="rId6"/>
    <sheet name="Plant_capacity" sheetId="12" r:id="rId7"/>
  </sheets>
  <definedNames>
    <definedName name="_xlnm._FilterDatabase" localSheetId="1" hidden="1">Ecotech_Working!$B$4:$W$39</definedName>
    <definedName name="_xlnm._FilterDatabase" localSheetId="0" hidden="1">Sugar_unit_working!$B$4:$W$49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9" l="1"/>
  <c r="E9" i="9"/>
  <c r="F9" i="9"/>
  <c r="E8" i="9"/>
  <c r="E7" i="9"/>
  <c r="E6" i="9"/>
  <c r="S26" i="5"/>
  <c r="S64" i="4"/>
  <c r="I6" i="11"/>
  <c r="I10" i="11"/>
  <c r="M5" i="11"/>
  <c r="L10" i="11"/>
  <c r="F6" i="11"/>
  <c r="J6" i="11" s="1"/>
  <c r="G10" i="11"/>
  <c r="G6" i="11"/>
  <c r="G7" i="11" s="1"/>
  <c r="I7" i="11" s="1"/>
  <c r="F13" i="10"/>
  <c r="E13" i="10"/>
  <c r="D13" i="10"/>
  <c r="J12" i="10"/>
  <c r="G12" i="10"/>
  <c r="H12" i="10" s="1"/>
  <c r="F12" i="10"/>
  <c r="J11" i="10"/>
  <c r="H11" i="10"/>
  <c r="G11" i="10"/>
  <c r="F11" i="10"/>
  <c r="J10" i="10"/>
  <c r="G10" i="10"/>
  <c r="H10" i="10" s="1"/>
  <c r="F10" i="10"/>
  <c r="J9" i="10"/>
  <c r="G9" i="10"/>
  <c r="H9" i="10" s="1"/>
  <c r="F9" i="10"/>
  <c r="J8" i="10"/>
  <c r="G8" i="10"/>
  <c r="H8" i="10" s="1"/>
  <c r="F8" i="10"/>
  <c r="J7" i="10"/>
  <c r="G7" i="10"/>
  <c r="H7" i="10" s="1"/>
  <c r="F7" i="10"/>
  <c r="J6" i="10"/>
  <c r="J13" i="10" s="1"/>
  <c r="G6" i="10"/>
  <c r="H6" i="10" s="1"/>
  <c r="H13" i="10" s="1"/>
  <c r="F6" i="10"/>
  <c r="J7" i="11" l="1"/>
  <c r="K7" i="11" s="1"/>
  <c r="G9" i="11"/>
  <c r="G8" i="11"/>
  <c r="G11" i="11" s="1"/>
  <c r="L13" i="11" s="1"/>
  <c r="J9" i="11"/>
  <c r="F8" i="9"/>
  <c r="I6" i="5"/>
  <c r="I7" i="5"/>
  <c r="I8" i="5"/>
  <c r="I10" i="5"/>
  <c r="I12" i="5"/>
  <c r="I14" i="5"/>
  <c r="I16" i="5"/>
  <c r="I18" i="5"/>
  <c r="I19" i="5"/>
  <c r="I22" i="5"/>
  <c r="I23" i="5"/>
  <c r="I24" i="5"/>
  <c r="I25" i="5"/>
  <c r="I5" i="5"/>
  <c r="J21" i="5"/>
  <c r="I21" i="5" s="1"/>
  <c r="J20" i="5"/>
  <c r="I20" i="5" s="1"/>
  <c r="J19" i="5"/>
  <c r="J17" i="5"/>
  <c r="I17" i="5" s="1"/>
  <c r="J16" i="5"/>
  <c r="J15" i="5"/>
  <c r="I15" i="5" s="1"/>
  <c r="J14" i="5"/>
  <c r="J13" i="5"/>
  <c r="I13" i="5" s="1"/>
  <c r="J12" i="5"/>
  <c r="J11" i="5"/>
  <c r="I11" i="5" s="1"/>
  <c r="J10" i="5"/>
  <c r="J9" i="5"/>
  <c r="I9" i="5" s="1"/>
  <c r="U50" i="4"/>
  <c r="W50" i="4" s="1"/>
  <c r="U51" i="4"/>
  <c r="W51" i="4" s="1"/>
  <c r="U58" i="4"/>
  <c r="W58" i="4" s="1"/>
  <c r="U59" i="4"/>
  <c r="W59" i="4" s="1"/>
  <c r="P50" i="4"/>
  <c r="P51" i="4"/>
  <c r="P52" i="4"/>
  <c r="P53" i="4"/>
  <c r="P54" i="4"/>
  <c r="P55" i="4"/>
  <c r="P56" i="4"/>
  <c r="T56" i="4" s="1"/>
  <c r="U56" i="4" s="1"/>
  <c r="W56" i="4" s="1"/>
  <c r="P57" i="4"/>
  <c r="P58" i="4"/>
  <c r="P59" i="4"/>
  <c r="P60" i="4"/>
  <c r="P61" i="4"/>
  <c r="P62" i="4"/>
  <c r="P63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T50" i="4"/>
  <c r="T51" i="4"/>
  <c r="T54" i="4"/>
  <c r="U54" i="4" s="1"/>
  <c r="W54" i="4" s="1"/>
  <c r="T55" i="4"/>
  <c r="U55" i="4" s="1"/>
  <c r="W55" i="4" s="1"/>
  <c r="T58" i="4"/>
  <c r="T59" i="4"/>
  <c r="T60" i="4"/>
  <c r="U60" i="4" s="1"/>
  <c r="W60" i="4" s="1"/>
  <c r="R63" i="4"/>
  <c r="S63" i="4" s="1"/>
  <c r="R62" i="4"/>
  <c r="S62" i="4" s="1"/>
  <c r="T62" i="4" s="1"/>
  <c r="U62" i="4" s="1"/>
  <c r="W62" i="4" s="1"/>
  <c r="R61" i="4"/>
  <c r="S61" i="4" s="1"/>
  <c r="R60" i="4"/>
  <c r="S60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S52" i="4" s="1"/>
  <c r="R51" i="4"/>
  <c r="S51" i="4" s="1"/>
  <c r="R50" i="4"/>
  <c r="S50" i="4" s="1"/>
  <c r="G26" i="7"/>
  <c r="F26" i="7"/>
  <c r="I20" i="7"/>
  <c r="I21" i="7"/>
  <c r="I22" i="7"/>
  <c r="I23" i="7"/>
  <c r="I24" i="7"/>
  <c r="J11" i="11" l="1"/>
  <c r="T63" i="4"/>
  <c r="U63" i="4" s="1"/>
  <c r="W63" i="4" s="1"/>
  <c r="T61" i="4"/>
  <c r="U61" i="4" s="1"/>
  <c r="W61" i="4" s="1"/>
  <c r="T57" i="4"/>
  <c r="U57" i="4" s="1"/>
  <c r="W57" i="4" s="1"/>
  <c r="T53" i="4"/>
  <c r="U53" i="4" s="1"/>
  <c r="W53" i="4" s="1"/>
  <c r="T52" i="4"/>
  <c r="U52" i="4" s="1"/>
  <c r="W52" i="4" s="1"/>
  <c r="G20" i="7"/>
  <c r="G21" i="7"/>
  <c r="G22" i="7"/>
  <c r="G23" i="7"/>
  <c r="G24" i="7"/>
  <c r="Q8" i="7" l="1"/>
  <c r="S8" i="7" s="1"/>
  <c r="Q7" i="7"/>
  <c r="S7" i="7" s="1"/>
  <c r="I31" i="5"/>
  <c r="I30" i="5"/>
  <c r="D30" i="5"/>
  <c r="H29" i="5"/>
  <c r="I29" i="5" s="1"/>
  <c r="H68" i="4"/>
  <c r="I68" i="4" s="1"/>
  <c r="H67" i="4"/>
  <c r="I67" i="4" s="1"/>
  <c r="H66" i="4"/>
  <c r="I66" i="4" s="1"/>
  <c r="Q6" i="7" l="1"/>
  <c r="G25" i="5" l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J63" i="4"/>
  <c r="J62" i="4"/>
  <c r="J61" i="4"/>
  <c r="I61" i="4" s="1"/>
  <c r="J60" i="4"/>
  <c r="I60" i="4" s="1"/>
  <c r="J59" i="4"/>
  <c r="J58" i="4"/>
  <c r="J57" i="4"/>
  <c r="I57" i="4" s="1"/>
  <c r="J56" i="4"/>
  <c r="J55" i="4"/>
  <c r="J54" i="4"/>
  <c r="I54" i="4" s="1"/>
  <c r="J53" i="4"/>
  <c r="J52" i="4"/>
  <c r="J51" i="4"/>
  <c r="J50" i="4"/>
  <c r="J49" i="4"/>
  <c r="J48" i="4"/>
  <c r="J47" i="4"/>
  <c r="J46" i="4"/>
  <c r="I53" i="4"/>
  <c r="I55" i="4"/>
  <c r="I56" i="4"/>
  <c r="I58" i="4"/>
  <c r="I59" i="4"/>
  <c r="I62" i="4"/>
  <c r="I63" i="4"/>
  <c r="I52" i="4"/>
  <c r="I50" i="4"/>
  <c r="I51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4" i="4" l="1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I5" i="4" s="1"/>
  <c r="H57" i="4"/>
  <c r="H58" i="4"/>
  <c r="H59" i="4"/>
  <c r="H60" i="4"/>
  <c r="H61" i="4"/>
  <c r="H62" i="4"/>
  <c r="H63" i="4"/>
  <c r="H50" i="4"/>
  <c r="H51" i="4"/>
  <c r="H52" i="4"/>
  <c r="H53" i="4"/>
  <c r="H54" i="4"/>
  <c r="H55" i="4"/>
  <c r="H56" i="4"/>
  <c r="H46" i="4"/>
  <c r="H47" i="4"/>
  <c r="H48" i="4"/>
  <c r="H49" i="4"/>
  <c r="G17" i="7" l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R44" i="4"/>
  <c r="S44" i="4" s="1"/>
  <c r="R45" i="4"/>
  <c r="S45" i="4" s="1"/>
  <c r="R46" i="4"/>
  <c r="S46" i="4" s="1"/>
  <c r="R47" i="4"/>
  <c r="R48" i="4"/>
  <c r="S48" i="4" s="1"/>
  <c r="R49" i="4"/>
  <c r="S43" i="4"/>
  <c r="S47" i="4"/>
  <c r="S49" i="4"/>
  <c r="R32" i="4"/>
  <c r="S32" i="4" s="1"/>
  <c r="R31" i="4"/>
  <c r="S31" i="4" s="1"/>
  <c r="R30" i="4"/>
  <c r="S30" i="4" s="1"/>
  <c r="R29" i="4"/>
  <c r="S29" i="4" s="1"/>
  <c r="R28" i="4"/>
  <c r="S28" i="4" s="1"/>
  <c r="I17" i="7" l="1"/>
  <c r="I25" i="7"/>
  <c r="G18" i="7"/>
  <c r="S6" i="7"/>
  <c r="S9" i="7" s="1"/>
  <c r="G25" i="7" l="1"/>
  <c r="G19" i="7"/>
  <c r="I18" i="7"/>
  <c r="I19" i="7"/>
  <c r="I26" i="7" l="1"/>
  <c r="R25" i="5"/>
  <c r="S25" i="5" s="1"/>
  <c r="P25" i="5"/>
  <c r="M25" i="5"/>
  <c r="H25" i="5"/>
  <c r="R24" i="5"/>
  <c r="S24" i="5" s="1"/>
  <c r="P24" i="5"/>
  <c r="M24" i="5"/>
  <c r="H24" i="5"/>
  <c r="R23" i="5"/>
  <c r="S23" i="5" s="1"/>
  <c r="P23" i="5"/>
  <c r="M23" i="5"/>
  <c r="H23" i="5"/>
  <c r="R22" i="5"/>
  <c r="S22" i="5" s="1"/>
  <c r="P22" i="5"/>
  <c r="M22" i="5"/>
  <c r="H22" i="5"/>
  <c r="R21" i="5"/>
  <c r="S21" i="5" s="1"/>
  <c r="P21" i="5"/>
  <c r="M21" i="5"/>
  <c r="H21" i="5"/>
  <c r="R20" i="5"/>
  <c r="S20" i="5" s="1"/>
  <c r="P20" i="5"/>
  <c r="M20" i="5"/>
  <c r="H20" i="5"/>
  <c r="R19" i="5"/>
  <c r="S19" i="5" s="1"/>
  <c r="P19" i="5"/>
  <c r="M19" i="5"/>
  <c r="H19" i="5"/>
  <c r="R18" i="5"/>
  <c r="S18" i="5" s="1"/>
  <c r="P18" i="5"/>
  <c r="M18" i="5"/>
  <c r="H18" i="5"/>
  <c r="R17" i="5"/>
  <c r="S17" i="5" s="1"/>
  <c r="P17" i="5"/>
  <c r="M17" i="5"/>
  <c r="H17" i="5"/>
  <c r="R16" i="5"/>
  <c r="S16" i="5" s="1"/>
  <c r="P16" i="5"/>
  <c r="M16" i="5"/>
  <c r="H16" i="5"/>
  <c r="R15" i="5"/>
  <c r="S15" i="5" s="1"/>
  <c r="P15" i="5"/>
  <c r="M15" i="5"/>
  <c r="H15" i="5"/>
  <c r="R14" i="5"/>
  <c r="S14" i="5" s="1"/>
  <c r="P14" i="5"/>
  <c r="M14" i="5"/>
  <c r="H14" i="5"/>
  <c r="R13" i="5"/>
  <c r="S13" i="5" s="1"/>
  <c r="P13" i="5"/>
  <c r="M13" i="5"/>
  <c r="H13" i="5"/>
  <c r="R12" i="5"/>
  <c r="S12" i="5" s="1"/>
  <c r="P12" i="5"/>
  <c r="M12" i="5"/>
  <c r="H12" i="5"/>
  <c r="R11" i="5"/>
  <c r="S11" i="5" s="1"/>
  <c r="P11" i="5"/>
  <c r="M11" i="5"/>
  <c r="H11" i="5"/>
  <c r="R10" i="5"/>
  <c r="S10" i="5" s="1"/>
  <c r="P10" i="5"/>
  <c r="M10" i="5"/>
  <c r="H10" i="5"/>
  <c r="R9" i="5"/>
  <c r="S9" i="5" s="1"/>
  <c r="P9" i="5"/>
  <c r="M9" i="5"/>
  <c r="H9" i="5"/>
  <c r="Z9" i="5" s="1"/>
  <c r="R8" i="5"/>
  <c r="S8" i="5" s="1"/>
  <c r="P8" i="5"/>
  <c r="M8" i="5"/>
  <c r="H8" i="5"/>
  <c r="Z8" i="5" s="1"/>
  <c r="R7" i="5"/>
  <c r="S7" i="5" s="1"/>
  <c r="P7" i="5"/>
  <c r="M7" i="5"/>
  <c r="H7" i="5"/>
  <c r="Z7" i="5" s="1"/>
  <c r="R6" i="5"/>
  <c r="S6" i="5" s="1"/>
  <c r="P6" i="5"/>
  <c r="M6" i="5"/>
  <c r="H6" i="5"/>
  <c r="Z6" i="5" s="1"/>
  <c r="Z5" i="5"/>
  <c r="R5" i="5"/>
  <c r="S5" i="5" s="1"/>
  <c r="P5" i="5"/>
  <c r="M5" i="5"/>
  <c r="H5" i="5"/>
  <c r="P28" i="4"/>
  <c r="P29" i="4"/>
  <c r="P30" i="4"/>
  <c r="P31" i="4"/>
  <c r="T31" i="4" s="1"/>
  <c r="U31" i="4" s="1"/>
  <c r="W31" i="4" s="1"/>
  <c r="P32" i="4"/>
  <c r="P33" i="4"/>
  <c r="P34" i="4"/>
  <c r="P35" i="4"/>
  <c r="T35" i="4" s="1"/>
  <c r="U35" i="4" s="1"/>
  <c r="W35" i="4" s="1"/>
  <c r="P36" i="4"/>
  <c r="P37" i="4"/>
  <c r="P38" i="4"/>
  <c r="P39" i="4"/>
  <c r="T39" i="4" s="1"/>
  <c r="U39" i="4" s="1"/>
  <c r="W39" i="4" s="1"/>
  <c r="P40" i="4"/>
  <c r="P41" i="4"/>
  <c r="P42" i="4"/>
  <c r="P43" i="4"/>
  <c r="T43" i="4" s="1"/>
  <c r="U43" i="4" s="1"/>
  <c r="W43" i="4" s="1"/>
  <c r="P44" i="4"/>
  <c r="P45" i="4"/>
  <c r="P46" i="4"/>
  <c r="P47" i="4"/>
  <c r="T47" i="4" s="1"/>
  <c r="U47" i="4" s="1"/>
  <c r="W47" i="4" s="1"/>
  <c r="P48" i="4"/>
  <c r="P49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H6" i="4"/>
  <c r="Z6" i="4" s="1"/>
  <c r="H7" i="4"/>
  <c r="Z7" i="4" s="1"/>
  <c r="H8" i="4"/>
  <c r="Z8" i="4" s="1"/>
  <c r="H9" i="4"/>
  <c r="Z9" i="4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5" i="4"/>
  <c r="R27" i="4"/>
  <c r="S27" i="4" s="1"/>
  <c r="P27" i="4"/>
  <c r="M27" i="4"/>
  <c r="R26" i="4"/>
  <c r="S26" i="4" s="1"/>
  <c r="P26" i="4"/>
  <c r="M26" i="4"/>
  <c r="R25" i="4"/>
  <c r="S25" i="4" s="1"/>
  <c r="P25" i="4"/>
  <c r="M25" i="4"/>
  <c r="R24" i="4"/>
  <c r="S24" i="4" s="1"/>
  <c r="P24" i="4"/>
  <c r="M24" i="4"/>
  <c r="R23" i="4"/>
  <c r="S23" i="4" s="1"/>
  <c r="P23" i="4"/>
  <c r="M23" i="4"/>
  <c r="R22" i="4"/>
  <c r="S22" i="4" s="1"/>
  <c r="P22" i="4"/>
  <c r="M22" i="4"/>
  <c r="R21" i="4"/>
  <c r="S21" i="4" s="1"/>
  <c r="P21" i="4"/>
  <c r="M21" i="4"/>
  <c r="R20" i="4"/>
  <c r="S20" i="4" s="1"/>
  <c r="P20" i="4"/>
  <c r="M20" i="4"/>
  <c r="R19" i="4"/>
  <c r="S19" i="4" s="1"/>
  <c r="P19" i="4"/>
  <c r="M19" i="4"/>
  <c r="R18" i="4"/>
  <c r="S18" i="4" s="1"/>
  <c r="P18" i="4"/>
  <c r="M18" i="4"/>
  <c r="R17" i="4"/>
  <c r="S17" i="4" s="1"/>
  <c r="P17" i="4"/>
  <c r="M17" i="4"/>
  <c r="R16" i="4"/>
  <c r="S16" i="4" s="1"/>
  <c r="P16" i="4"/>
  <c r="M16" i="4"/>
  <c r="R15" i="4"/>
  <c r="S15" i="4" s="1"/>
  <c r="P15" i="4"/>
  <c r="M15" i="4"/>
  <c r="R14" i="4"/>
  <c r="S14" i="4" s="1"/>
  <c r="P14" i="4"/>
  <c r="M14" i="4"/>
  <c r="R13" i="4"/>
  <c r="S13" i="4" s="1"/>
  <c r="P13" i="4"/>
  <c r="M13" i="4"/>
  <c r="R12" i="4"/>
  <c r="S12" i="4" s="1"/>
  <c r="P12" i="4"/>
  <c r="M12" i="4"/>
  <c r="R11" i="4"/>
  <c r="S11" i="4" s="1"/>
  <c r="P11" i="4"/>
  <c r="M11" i="4"/>
  <c r="R10" i="4"/>
  <c r="S10" i="4" s="1"/>
  <c r="P10" i="4"/>
  <c r="M10" i="4"/>
  <c r="R9" i="4"/>
  <c r="S9" i="4" s="1"/>
  <c r="P9" i="4"/>
  <c r="M9" i="4"/>
  <c r="R8" i="4"/>
  <c r="S8" i="4" s="1"/>
  <c r="P8" i="4"/>
  <c r="M8" i="4"/>
  <c r="R7" i="4"/>
  <c r="S7" i="4" s="1"/>
  <c r="P7" i="4"/>
  <c r="M7" i="4"/>
  <c r="R6" i="4"/>
  <c r="S6" i="4" s="1"/>
  <c r="P6" i="4"/>
  <c r="M6" i="4"/>
  <c r="Z5" i="4"/>
  <c r="R5" i="4"/>
  <c r="S5" i="4" s="1"/>
  <c r="P5" i="4"/>
  <c r="M5" i="4"/>
  <c r="T46" i="4" l="1"/>
  <c r="U46" i="4" s="1"/>
  <c r="W46" i="4" s="1"/>
  <c r="T42" i="4"/>
  <c r="U42" i="4" s="1"/>
  <c r="W42" i="4" s="1"/>
  <c r="T38" i="4"/>
  <c r="U38" i="4" s="1"/>
  <c r="W38" i="4" s="1"/>
  <c r="T34" i="4"/>
  <c r="U34" i="4" s="1"/>
  <c r="W34" i="4" s="1"/>
  <c r="T49" i="4"/>
  <c r="U49" i="4" s="1"/>
  <c r="W49" i="4" s="1"/>
  <c r="T45" i="4"/>
  <c r="U45" i="4" s="1"/>
  <c r="W45" i="4" s="1"/>
  <c r="T41" i="4"/>
  <c r="U41" i="4" s="1"/>
  <c r="W41" i="4" s="1"/>
  <c r="T37" i="4"/>
  <c r="U37" i="4" s="1"/>
  <c r="W37" i="4" s="1"/>
  <c r="T33" i="4"/>
  <c r="U33" i="4" s="1"/>
  <c r="W33" i="4" s="1"/>
  <c r="T48" i="4"/>
  <c r="U48" i="4" s="1"/>
  <c r="W48" i="4" s="1"/>
  <c r="T44" i="4"/>
  <c r="U44" i="4" s="1"/>
  <c r="W44" i="4" s="1"/>
  <c r="T40" i="4"/>
  <c r="U40" i="4" s="1"/>
  <c r="W40" i="4" s="1"/>
  <c r="T36" i="4"/>
  <c r="U36" i="4" s="1"/>
  <c r="W36" i="4" s="1"/>
  <c r="T32" i="4"/>
  <c r="U32" i="4" s="1"/>
  <c r="W32" i="4" s="1"/>
  <c r="T28" i="4"/>
  <c r="U28" i="4" s="1"/>
  <c r="W28" i="4" s="1"/>
  <c r="T30" i="4"/>
  <c r="U30" i="4" s="1"/>
  <c r="W30" i="4" s="1"/>
  <c r="T29" i="4"/>
  <c r="U29" i="4" s="1"/>
  <c r="W29" i="4" s="1"/>
  <c r="T9" i="4"/>
  <c r="U9" i="4" s="1"/>
  <c r="W9" i="4" s="1"/>
  <c r="T11" i="5"/>
  <c r="U11" i="5" s="1"/>
  <c r="W11" i="5" s="1"/>
  <c r="T19" i="5"/>
  <c r="U19" i="5" s="1"/>
  <c r="W19" i="5" s="1"/>
  <c r="T15" i="5"/>
  <c r="U15" i="5" s="1"/>
  <c r="W15" i="5" s="1"/>
  <c r="T22" i="5"/>
  <c r="U22" i="5" s="1"/>
  <c r="W22" i="5" s="1"/>
  <c r="T23" i="5"/>
  <c r="U23" i="5" s="1"/>
  <c r="W23" i="5" s="1"/>
  <c r="T17" i="5"/>
  <c r="U17" i="5" s="1"/>
  <c r="W17" i="5" s="1"/>
  <c r="T18" i="5"/>
  <c r="U18" i="5" s="1"/>
  <c r="W18" i="5" s="1"/>
  <c r="T25" i="5"/>
  <c r="U25" i="5" s="1"/>
  <c r="W25" i="5" s="1"/>
  <c r="T13" i="5"/>
  <c r="U13" i="5" s="1"/>
  <c r="W13" i="5" s="1"/>
  <c r="T21" i="5"/>
  <c r="U21" i="5" s="1"/>
  <c r="W21" i="5" s="1"/>
  <c r="T6" i="5"/>
  <c r="U6" i="5" s="1"/>
  <c r="W6" i="5" s="1"/>
  <c r="T8" i="5"/>
  <c r="U8" i="5" s="1"/>
  <c r="W8" i="5" s="1"/>
  <c r="T10" i="5"/>
  <c r="U10" i="5" s="1"/>
  <c r="W10" i="5" s="1"/>
  <c r="T14" i="5"/>
  <c r="U14" i="5" s="1"/>
  <c r="W14" i="5" s="1"/>
  <c r="T5" i="5"/>
  <c r="T7" i="5"/>
  <c r="U7" i="5" s="1"/>
  <c r="W7" i="5" s="1"/>
  <c r="T9" i="5"/>
  <c r="U9" i="5" s="1"/>
  <c r="W9" i="5" s="1"/>
  <c r="T12" i="5"/>
  <c r="U12" i="5" s="1"/>
  <c r="W12" i="5" s="1"/>
  <c r="T16" i="5"/>
  <c r="U16" i="5" s="1"/>
  <c r="W16" i="5" s="1"/>
  <c r="T20" i="5"/>
  <c r="U20" i="5" s="1"/>
  <c r="W20" i="5" s="1"/>
  <c r="T24" i="5"/>
  <c r="U24" i="5" s="1"/>
  <c r="W24" i="5" s="1"/>
  <c r="T13" i="4"/>
  <c r="U13" i="4" s="1"/>
  <c r="W13" i="4" s="1"/>
  <c r="T21" i="4"/>
  <c r="U21" i="4" s="1"/>
  <c r="W21" i="4" s="1"/>
  <c r="T25" i="4"/>
  <c r="U25" i="4" s="1"/>
  <c r="W25" i="4" s="1"/>
  <c r="T16" i="4"/>
  <c r="U16" i="4" s="1"/>
  <c r="W16" i="4" s="1"/>
  <c r="T20" i="4"/>
  <c r="U20" i="4" s="1"/>
  <c r="W20" i="4" s="1"/>
  <c r="T15" i="4"/>
  <c r="U15" i="4" s="1"/>
  <c r="W15" i="4" s="1"/>
  <c r="T19" i="4"/>
  <c r="U19" i="4" s="1"/>
  <c r="W19" i="4" s="1"/>
  <c r="T18" i="4"/>
  <c r="U18" i="4" s="1"/>
  <c r="W18" i="4" s="1"/>
  <c r="T22" i="4"/>
  <c r="U22" i="4" s="1"/>
  <c r="W22" i="4" s="1"/>
  <c r="T26" i="4"/>
  <c r="U26" i="4" s="1"/>
  <c r="W26" i="4" s="1"/>
  <c r="T5" i="4"/>
  <c r="T6" i="4"/>
  <c r="U6" i="4" s="1"/>
  <c r="W6" i="4" s="1"/>
  <c r="T7" i="4"/>
  <c r="U7" i="4" s="1"/>
  <c r="W7" i="4" s="1"/>
  <c r="T8" i="4"/>
  <c r="U8" i="4" s="1"/>
  <c r="W8" i="4" s="1"/>
  <c r="T10" i="4"/>
  <c r="U10" i="4" s="1"/>
  <c r="W10" i="4" s="1"/>
  <c r="T11" i="4"/>
  <c r="U11" i="4" s="1"/>
  <c r="W11" i="4" s="1"/>
  <c r="T12" i="4"/>
  <c r="U12" i="4" s="1"/>
  <c r="W12" i="4" s="1"/>
  <c r="T14" i="4"/>
  <c r="U14" i="4" s="1"/>
  <c r="W14" i="4" s="1"/>
  <c r="T17" i="4"/>
  <c r="U17" i="4" s="1"/>
  <c r="W17" i="4" s="1"/>
  <c r="T23" i="4"/>
  <c r="U23" i="4" s="1"/>
  <c r="W23" i="4" s="1"/>
  <c r="T24" i="4"/>
  <c r="U24" i="4" s="1"/>
  <c r="W24" i="4" s="1"/>
  <c r="T27" i="4"/>
  <c r="U27" i="4" s="1"/>
  <c r="W27" i="4" s="1"/>
  <c r="U5" i="4" l="1"/>
  <c r="U5" i="5"/>
  <c r="W5" i="4" l="1"/>
  <c r="W64" i="4" s="1"/>
  <c r="F6" i="9" s="1"/>
  <c r="W5" i="5"/>
  <c r="W26" i="5" s="1"/>
  <c r="F7" i="9" s="1"/>
  <c r="F11" i="9" l="1"/>
  <c r="AA5" i="4"/>
  <c r="I18" i="4" l="1"/>
  <c r="I13" i="4"/>
  <c r="I15" i="4"/>
  <c r="I39" i="4"/>
  <c r="I12" i="4"/>
  <c r="I9" i="4"/>
  <c r="I10" i="4"/>
  <c r="I23" i="4"/>
  <c r="I31" i="4"/>
  <c r="I47" i="4"/>
  <c r="I41" i="4"/>
  <c r="I20" i="4"/>
  <c r="I28" i="4"/>
  <c r="I36" i="4"/>
  <c r="I44" i="4"/>
  <c r="I29" i="4"/>
  <c r="I49" i="4"/>
  <c r="I34" i="4"/>
  <c r="I33" i="4"/>
  <c r="I26" i="4"/>
  <c r="I7" i="4"/>
  <c r="I6" i="4"/>
  <c r="I14" i="4"/>
  <c r="I22" i="4"/>
  <c r="I30" i="4"/>
  <c r="I38" i="4"/>
  <c r="I46" i="4"/>
  <c r="I25" i="4"/>
  <c r="I45" i="4"/>
  <c r="I11" i="4"/>
  <c r="I19" i="4"/>
  <c r="I27" i="4"/>
  <c r="I35" i="4"/>
  <c r="I43" i="4"/>
  <c r="I21" i="4"/>
  <c r="I8" i="4"/>
  <c r="I16" i="4"/>
  <c r="I24" i="4"/>
  <c r="I32" i="4"/>
  <c r="I40" i="4"/>
  <c r="I48" i="4"/>
  <c r="I17" i="4"/>
  <c r="I37" i="4"/>
  <c r="I42" i="4"/>
</calcChain>
</file>

<file path=xl/sharedStrings.xml><?xml version="1.0" encoding="utf-8"?>
<sst xmlns="http://schemas.openxmlformats.org/spreadsheetml/2006/main" count="509" uniqueCount="229">
  <si>
    <t>S.No.</t>
  </si>
  <si>
    <t>G+1</t>
  </si>
  <si>
    <t>G+2</t>
  </si>
  <si>
    <t>G+3</t>
  </si>
  <si>
    <t>Sr. No.</t>
  </si>
  <si>
    <t>Floor</t>
  </si>
  <si>
    <t xml:space="preserve">Block Name 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</si>
  <si>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</si>
  <si>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</si>
  <si>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</si>
  <si>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</si>
  <si>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t>Height (in ft.)</t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</si>
  <si>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</si>
  <si>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</si>
  <si>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</si>
  <si>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</si>
  <si>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</si>
  <si>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</si>
  <si>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</si>
  <si>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</si>
  <si>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</si>
  <si>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</si>
  <si>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</si>
  <si>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</si>
  <si>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</si>
  <si>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</si>
  <si>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t>Age Factor</t>
  </si>
  <si>
    <t>Total Govt. Guideline value</t>
  </si>
  <si>
    <t>Good</t>
  </si>
  <si>
    <t>Height (in mtr.)</t>
  </si>
  <si>
    <t>Description</t>
  </si>
  <si>
    <r>
      <t xml:space="preserve">Area 
</t>
    </r>
    <r>
      <rPr>
        <i/>
        <sz val="11"/>
        <color indexed="8"/>
        <rFont val="Calibri"/>
        <family val="2"/>
      </rPr>
      <t>(in running mtr.)</t>
    </r>
  </si>
  <si>
    <t>Rates adopted</t>
  </si>
  <si>
    <t>Depreciated Replacement Cost</t>
  </si>
  <si>
    <t xml:space="preserve">Govt. Guidelines Rates 
(in sq. mtr.)
</t>
  </si>
  <si>
    <t xml:space="preserve"> Govt. Guideline Value</t>
  </si>
  <si>
    <t>Total</t>
  </si>
  <si>
    <t>Bagasse Yard</t>
  </si>
  <si>
    <t>Switch Yard</t>
  </si>
  <si>
    <r>
      <t xml:space="preserve">Area 
</t>
    </r>
    <r>
      <rPr>
        <i/>
        <sz val="11"/>
        <color indexed="8"/>
        <rFont val="Calibri"/>
        <family val="2"/>
      </rPr>
      <t>(sq.mtr.)</t>
    </r>
  </si>
  <si>
    <r>
      <t xml:space="preserve">Area
</t>
    </r>
    <r>
      <rPr>
        <i/>
        <sz val="11"/>
        <color indexed="8"/>
        <rFont val="Calibri"/>
        <family val="2"/>
      </rPr>
      <t xml:space="preserve"> ( sq.fts.)</t>
    </r>
  </si>
  <si>
    <t>Brick Work</t>
  </si>
  <si>
    <t>Boundary Wall</t>
  </si>
  <si>
    <t>TOTAL</t>
  </si>
  <si>
    <t>Scrap Yard</t>
  </si>
  <si>
    <t>Depreciated Fair Market Value</t>
  </si>
  <si>
    <t>Sugar Unit</t>
  </si>
  <si>
    <t>Other  Structures</t>
  </si>
  <si>
    <t>Roads</t>
  </si>
  <si>
    <t>Remarks:</t>
  </si>
  <si>
    <t>1.The covered area statement of the subject project has been taken on the basis of information/ data provided by the company.</t>
  </si>
  <si>
    <t>2. The condition of the structure is average and maintained by the company.</t>
  </si>
  <si>
    <t>3. The Valuation of the building/ civil structures has been done on the basis of 'Depreciated Replacement cost approach'</t>
  </si>
  <si>
    <t xml:space="preserve"> VALUATION  OF OTHER STRUCTURES</t>
  </si>
  <si>
    <t xml:space="preserve"> VALUATION  OF OTHER STRUCTURES (ROADS)</t>
  </si>
  <si>
    <t>Mill House Building</t>
  </si>
  <si>
    <t>MILL House Panel Room GF</t>
  </si>
  <si>
    <t>MILL House Panel Room FF</t>
  </si>
  <si>
    <t>Boiler</t>
  </si>
  <si>
    <t>Boiler House Panel Room GF</t>
  </si>
  <si>
    <t>Boiler House Panel Room FF</t>
  </si>
  <si>
    <t>Power House</t>
  </si>
  <si>
    <t>Power House Control RoomGF</t>
  </si>
  <si>
    <t>Power House Control Room FF</t>
  </si>
  <si>
    <t>Boiling House</t>
  </si>
  <si>
    <t>Boiling House Control room</t>
  </si>
  <si>
    <t>Sugar House/Drier house</t>
  </si>
  <si>
    <t>Gunny Bag Godown</t>
  </si>
  <si>
    <t>Clarification House</t>
  </si>
  <si>
    <t>Sugar Godown -1</t>
  </si>
  <si>
    <t>Sugar Godown -2</t>
  </si>
  <si>
    <t>Sugar Godown -3</t>
  </si>
  <si>
    <t>Cooling Tower Co – Gen</t>
  </si>
  <si>
    <t>Cooling Tower Process</t>
  </si>
  <si>
    <t>DM Plant</t>
  </si>
  <si>
    <t>LAB Building FF</t>
  </si>
  <si>
    <t>Instrument Office 2nd Floor</t>
  </si>
  <si>
    <t>Cable Trench under Ground</t>
  </si>
  <si>
    <t>DG House</t>
  </si>
  <si>
    <t>Sulphur &amp; Lime Store</t>
  </si>
  <si>
    <t>General Store GF</t>
  </si>
  <si>
    <t>General Store FF</t>
  </si>
  <si>
    <t>Token Room (Cane Yard) Trolly</t>
  </si>
  <si>
    <t>Weigh Bridge Cabin – 60 ton GF</t>
  </si>
  <si>
    <t>Weigh Bridge Cabin – 60 ton FF</t>
  </si>
  <si>
    <t>Admin Building FF</t>
  </si>
  <si>
    <t>Admin Building GF</t>
  </si>
  <si>
    <t>Cane Office</t>
  </si>
  <si>
    <t>Canteen</t>
  </si>
  <si>
    <t>Dispensary</t>
  </si>
  <si>
    <t>Time Office</t>
  </si>
  <si>
    <t>Security Office</t>
  </si>
  <si>
    <t>Horticulture Cabin</t>
  </si>
  <si>
    <t>Salse Office</t>
  </si>
  <si>
    <t xml:space="preserve">Mane Gate Cabin </t>
  </si>
  <si>
    <t>OFFICE / Lab &amp; Control Room BUILDING</t>
  </si>
  <si>
    <t>Pump Room</t>
  </si>
  <si>
    <t>Oil &amp; Grease Remover Tank</t>
  </si>
  <si>
    <t>Lime Mixing Tank</t>
  </si>
  <si>
    <t>Equalisation Tank</t>
  </si>
  <si>
    <t>Primary Clarifier</t>
  </si>
  <si>
    <t>Airation Tank</t>
  </si>
  <si>
    <t>Secondary Clearifier</t>
  </si>
  <si>
    <t>Sludge Bed</t>
  </si>
  <si>
    <t>UNDER GROUND RESERVOIR</t>
  </si>
  <si>
    <t>HOT &amp;COLD WATER CHANNEL</t>
  </si>
  <si>
    <t>Township 3BR ( Colony )</t>
  </si>
  <si>
    <t>Township 2BR( Colony ) x 4</t>
  </si>
  <si>
    <t>Officer Dormitory</t>
  </si>
  <si>
    <t>Staff Dormitory x 2</t>
  </si>
  <si>
    <t>LABOUR HUTMENT 08 ROOMS</t>
  </si>
  <si>
    <t>LABOUR HUTMENT 30 ROOMS</t>
  </si>
  <si>
    <t>SECURITY BARRACK</t>
  </si>
  <si>
    <t>Ground floor</t>
  </si>
  <si>
    <t>RCC+Brick wall+Steel Structure+AC Sht.</t>
  </si>
  <si>
    <t>RCC+Brick wall+RCC Slab</t>
  </si>
  <si>
    <t>RCC+Brick wall+RCC  Slab</t>
  </si>
  <si>
    <t>RCC+Steel Structure+GC Sht.</t>
  </si>
  <si>
    <t>RCC+Brick wall+Steel Structure+Slab</t>
  </si>
  <si>
    <t>RCC+Brick wall+RCC Lintel</t>
  </si>
  <si>
    <t>RCC Foundation &amp; floor RCC Slab</t>
  </si>
  <si>
    <t>RCC+Brick wall+RCC Structure+GC Sht.</t>
  </si>
  <si>
    <t>RCC Structure</t>
  </si>
  <si>
    <t>RCC Foundation &amp; floor no roof</t>
  </si>
  <si>
    <t>RCC+Brick wall+RCC Structure+AC Sht.</t>
  </si>
  <si>
    <t>RCC+Brick wall+RCC Structure+rcc slab</t>
  </si>
  <si>
    <t>Brick wall+AC Sht.</t>
  </si>
  <si>
    <t>RCC STRUCTURE WITH RCC SLAB</t>
  </si>
  <si>
    <t xml:space="preserve">RCC STRUCTURE </t>
  </si>
  <si>
    <t>Time Keeping Office</t>
  </si>
  <si>
    <t>Visitor room</t>
  </si>
  <si>
    <t>Canteen Block</t>
  </si>
  <si>
    <t>Weigh bridges Cabin</t>
  </si>
  <si>
    <t>Finish board shed no.1</t>
  </si>
  <si>
    <t>Finish board shed no.2</t>
  </si>
  <si>
    <t>MDF Production Line - 1</t>
  </si>
  <si>
    <t>MDF Production Line - 2</t>
  </si>
  <si>
    <t>Floor Line</t>
  </si>
  <si>
    <t>Lamination line</t>
  </si>
  <si>
    <t>Storage &amp; Sanding Line</t>
  </si>
  <si>
    <t>Paper Storage</t>
  </si>
  <si>
    <t>Cold Storage</t>
  </si>
  <si>
    <t>Raw Material Store</t>
  </si>
  <si>
    <t>Resin Plant</t>
  </si>
  <si>
    <t>HAG &amp; TFH Feeding yard</t>
  </si>
  <si>
    <t>H.T. &amp; Refiner Romm</t>
  </si>
  <si>
    <t>Hot Gas Generator</t>
  </si>
  <si>
    <t>D.G. Room</t>
  </si>
  <si>
    <t>15 - TPH Boiler</t>
  </si>
  <si>
    <t>ETP</t>
  </si>
  <si>
    <t>Roads ( In Running Mtr)</t>
  </si>
  <si>
    <t>Boundry Wall (In Running Mtr)</t>
  </si>
  <si>
    <t>Drains (In Running Mtr)</t>
  </si>
  <si>
    <t>RCC Slab on RCC Frame Structure, Brick Wall</t>
  </si>
  <si>
    <t>GI Sheet on M.S. structure, Brick wall</t>
  </si>
  <si>
    <t xml:space="preserve">RCC </t>
  </si>
  <si>
    <t>RCC &amp; Brick</t>
  </si>
  <si>
    <t>WBM &amp; partly RCC</t>
  </si>
  <si>
    <t>Very Good</t>
  </si>
  <si>
    <t>Running Meter</t>
  </si>
  <si>
    <t>Running Feet</t>
  </si>
  <si>
    <t>Road Length (running meter)</t>
  </si>
  <si>
    <t>Boundary wall</t>
  </si>
  <si>
    <t>Drains</t>
  </si>
  <si>
    <t>Cane Carrier RCC Flooring</t>
  </si>
  <si>
    <t>Open Store Yard</t>
  </si>
  <si>
    <t>Trolley Yard</t>
  </si>
  <si>
    <t>Truck Yard</t>
  </si>
  <si>
    <t>Around Cane Carrier</t>
  </si>
  <si>
    <t>Ecotech Area</t>
  </si>
  <si>
    <t>Yards</t>
  </si>
  <si>
    <t xml:space="preserve"> MARKET VALUE OF STRUCTURES OF M/S. BAJAJ HINDUSTHAN SUGAR LIMITED.| PROPERTY OF INDUSTRIAL PROPERTY | SITUATED AT: VILLAGE- KUNDARKHI, DISTRICT- GONDA, U.P</t>
  </si>
  <si>
    <t xml:space="preserve">  MARKET VALUE OF STRUCTURES OF M/S. BAJAJ HINDUSTHAN SUGAR LIMITED.| PROPERTY OF INDUSTRIAL PROPERTY | SITUATED AT: VILLAGE- KUNDARKHI, DISTRICT- GONDA, U.P</t>
  </si>
  <si>
    <t>VALUATION THROUGH GOVERNMENT CIRCLE RATE</t>
  </si>
  <si>
    <t xml:space="preserve">Sr. No. </t>
  </si>
  <si>
    <t>Village</t>
  </si>
  <si>
    <t>Total No. of Deeds</t>
  </si>
  <si>
    <r>
      <t xml:space="preserve">Land Area 
</t>
    </r>
    <r>
      <rPr>
        <b/>
        <i/>
        <sz val="10"/>
        <rFont val="Calibri"/>
        <family val="2"/>
        <scheme val="minor"/>
      </rPr>
      <t>(In Hectare)</t>
    </r>
  </si>
  <si>
    <r>
      <t xml:space="preserve">Land Area 
</t>
    </r>
    <r>
      <rPr>
        <b/>
        <i/>
        <sz val="10"/>
        <rFont val="Calibri"/>
        <family val="2"/>
        <scheme val="minor"/>
      </rPr>
      <t>(in per sq.mtr.)</t>
    </r>
  </si>
  <si>
    <r>
      <t xml:space="preserve">Agricultural Land Area 
</t>
    </r>
    <r>
      <rPr>
        <b/>
        <i/>
        <sz val="10"/>
        <rFont val="Calibri"/>
        <family val="2"/>
        <scheme val="minor"/>
      </rPr>
      <t>(in per Hectare)</t>
    </r>
  </si>
  <si>
    <t xml:space="preserve">Total Agricultural Value 
</t>
  </si>
  <si>
    <r>
      <t xml:space="preserve">Non- Agricultural Land Area 
</t>
    </r>
    <r>
      <rPr>
        <b/>
        <i/>
        <sz val="10"/>
        <rFont val="Calibri"/>
        <family val="2"/>
        <scheme val="minor"/>
      </rPr>
      <t>(in per sq.mtr.)</t>
    </r>
  </si>
  <si>
    <t xml:space="preserve">Total Non- Agricultural Value 
</t>
  </si>
  <si>
    <t>Virwa Babhani</t>
  </si>
  <si>
    <t>Chhachhapara Kanungo</t>
  </si>
  <si>
    <t>Govindpara</t>
  </si>
  <si>
    <t>Kastuwa</t>
  </si>
  <si>
    <t>Kazi Dewar</t>
  </si>
  <si>
    <t>Kundarkhi</t>
  </si>
  <si>
    <t>Shambhoo Nagar Nawabganj</t>
  </si>
  <si>
    <t>1. The above mentioned land area information has been taken on the basis of data/ oprovided by the company.</t>
  </si>
  <si>
    <t>VALUATION OF LAND | M/S. BAJAJ HINDUSTHAN SUGAR LIMITED | KUNDARKHI, DISTRICT- GONDA, UTTAR PRADESH</t>
  </si>
  <si>
    <t>S.r. No.</t>
  </si>
  <si>
    <t>Particulars</t>
  </si>
  <si>
    <t>Orignal Land area</t>
  </si>
  <si>
    <r>
      <t xml:space="preserve">Land rate 
</t>
    </r>
    <r>
      <rPr>
        <i/>
        <sz val="10"/>
        <rFont val="Calibri"/>
        <family val="2"/>
        <scheme val="minor"/>
      </rPr>
      <t>(INR/Acre)</t>
    </r>
  </si>
  <si>
    <r>
      <t xml:space="preserve">Fair Market Value 
</t>
    </r>
    <r>
      <rPr>
        <i/>
        <sz val="10"/>
        <rFont val="Calibri"/>
        <family val="2"/>
        <scheme val="minor"/>
      </rPr>
      <t>(INR)</t>
    </r>
  </si>
  <si>
    <t>Acres</t>
  </si>
  <si>
    <t>Hectares</t>
  </si>
  <si>
    <t>Subject Land</t>
  </si>
  <si>
    <t>Add 5% premium for non agriculture land</t>
  </si>
  <si>
    <t>Add: Land Development, Site Levelling charges e.t.c (assumed 90% of the land developed)</t>
  </si>
  <si>
    <t>At Rs. 2.5 Lakh  per acre</t>
  </si>
  <si>
    <t>Grand Total</t>
  </si>
  <si>
    <t>Notes :</t>
  </si>
  <si>
    <t>1. Land area details has been provided to us by the company, which is relied upon in good faith.</t>
  </si>
  <si>
    <t>Land rate</t>
  </si>
  <si>
    <t>Per Acre</t>
  </si>
  <si>
    <t>PLANT CAPACITY | BAJAJ HINDUSTHAN SUGAR LIMITED | RUDHAULI, BASTI, UTTAR PRADESH</t>
  </si>
  <si>
    <t>Plant Facilities</t>
  </si>
  <si>
    <t>Capacity</t>
  </si>
  <si>
    <t>15000 TCD</t>
  </si>
  <si>
    <t>Distillery Unit</t>
  </si>
  <si>
    <t>-</t>
  </si>
  <si>
    <t>Cogen Plant</t>
  </si>
  <si>
    <t>59 MW</t>
  </si>
  <si>
    <t>Mill House</t>
  </si>
  <si>
    <t>Drier House</t>
  </si>
  <si>
    <t>Godowns</t>
  </si>
  <si>
    <t>Administrative Building</t>
  </si>
  <si>
    <t>Residential Building</t>
  </si>
  <si>
    <t>Boiler Control Room</t>
  </si>
  <si>
    <t>Hospital</t>
  </si>
  <si>
    <t>1. The capacity of the subject project has been taken on the basis of information/ data provided by the company.</t>
  </si>
  <si>
    <t>22.5% discount for large parcel of land</t>
  </si>
  <si>
    <t>Add 5% for cost &amp; effort considerations to cover administrative cost, effort towards land acquisition &amp; consolidation e.t.c.</t>
  </si>
  <si>
    <t>2. As per our calculations, the market rate for the subject property is comes out to be Rs. 33 Lakh per acres, which seems to be reasonable in our view.</t>
  </si>
  <si>
    <t>BUILDING/ CIVIL STRUCTURE | BAJAJ HINDUSTHAN SUGAR LIMITED | KUNDARKHI, GONDA</t>
  </si>
  <si>
    <t>GCRC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</si>
</sst>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  <numFmt numFmtId="167" formatCode="_ &quot;₹&quot;\ * #,##0_ ;_ &quot;₹&quot;\ * \-#,##0_ ;_ &quot;₹&quot;\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 Light"/>
      <family val="2"/>
      <scheme val="maj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4" tint="0.59999389629810485"/>
        <bgColor indexed="24"/>
      </patternFill>
    </fill>
    <fill>
      <patternFill patternType="solid">
        <fgColor indexed="44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</cellStyleXfs>
  <cellXfs count="20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0" fillId="0" borderId="1" xfId="0" applyBorder="1"/>
    <xf numFmtId="1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5" fontId="11" fillId="0" borderId="0" xfId="0" applyNumberFormat="1" applyFont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6" borderId="8" xfId="5" applyFont="1" applyFill="1" applyBorder="1" applyAlignment="1">
      <alignment horizontal="center" vertical="center" wrapText="1"/>
    </xf>
    <xf numFmtId="0" fontId="14" fillId="7" borderId="8" xfId="5" applyFont="1" applyFill="1" applyBorder="1" applyAlignment="1">
      <alignment horizontal="center" vertical="center" wrapText="1"/>
    </xf>
    <xf numFmtId="0" fontId="14" fillId="7" borderId="1" xfId="5" applyFont="1" applyFill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0" fillId="0" borderId="1" xfId="4" applyNumberFormat="1" applyFont="1" applyBorder="1"/>
    <xf numFmtId="1" fontId="10" fillId="0" borderId="3" xfId="5" applyNumberFormat="1" applyFont="1" applyBorder="1" applyAlignment="1">
      <alignment horizontal="center" vertical="center"/>
    </xf>
    <xf numFmtId="1" fontId="16" fillId="0" borderId="3" xfId="5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167" fontId="1" fillId="0" borderId="1" xfId="4" applyNumberFormat="1" applyFont="1" applyFill="1" applyBorder="1" applyAlignment="1">
      <alignment horizontal="center" vertical="center"/>
    </xf>
    <xf numFmtId="0" fontId="14" fillId="6" borderId="1" xfId="5" applyFont="1" applyFill="1" applyBorder="1" applyAlignment="1">
      <alignment horizontal="center" vertical="center" wrapText="1"/>
    </xf>
    <xf numFmtId="167" fontId="6" fillId="0" borderId="1" xfId="0" applyNumberFormat="1" applyFont="1" applyBorder="1"/>
    <xf numFmtId="165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3" applyFont="1"/>
    <xf numFmtId="165" fontId="0" fillId="0" borderId="0" xfId="0" applyNumberFormat="1"/>
    <xf numFmtId="165" fontId="11" fillId="0" borderId="2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/>
    <xf numFmtId="0" fontId="0" fillId="0" borderId="1" xfId="0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/>
    <xf numFmtId="0" fontId="20" fillId="8" borderId="14" xfId="0" applyFont="1" applyFill="1" applyBorder="1"/>
    <xf numFmtId="1" fontId="11" fillId="0" borderId="0" xfId="0" applyNumberFormat="1" applyFont="1" applyBorder="1" applyAlignment="1">
      <alignment horizontal="center" vertical="center" wrapText="1"/>
    </xf>
    <xf numFmtId="44" fontId="11" fillId="0" borderId="0" xfId="4" applyFont="1" applyFill="1" applyBorder="1" applyAlignment="1">
      <alignment horizontal="center" vertical="center" wrapText="1"/>
    </xf>
    <xf numFmtId="166" fontId="6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/>
    <xf numFmtId="0" fontId="20" fillId="0" borderId="0" xfId="0" applyFont="1" applyFill="1" applyBorder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top" wrapText="1"/>
    </xf>
    <xf numFmtId="0" fontId="20" fillId="8" borderId="14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2" fontId="20" fillId="0" borderId="1" xfId="0" applyNumberFormat="1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top"/>
    </xf>
    <xf numFmtId="1" fontId="20" fillId="8" borderId="15" xfId="0" applyNumberFormat="1" applyFont="1" applyFill="1" applyBorder="1" applyAlignment="1">
      <alignment vertical="center"/>
    </xf>
    <xf numFmtId="1" fontId="20" fillId="8" borderId="1" xfId="0" applyNumberFormat="1" applyFont="1" applyFill="1" applyBorder="1"/>
    <xf numFmtId="0" fontId="20" fillId="8" borderId="1" xfId="0" applyFont="1" applyFill="1" applyBorder="1" applyAlignment="1">
      <alignment horizontal="center" vertical="top"/>
    </xf>
    <xf numFmtId="1" fontId="20" fillId="8" borderId="16" xfId="0" applyNumberFormat="1" applyFont="1" applyFill="1" applyBorder="1" applyAlignment="1">
      <alignment vertical="center"/>
    </xf>
    <xf numFmtId="1" fontId="20" fillId="8" borderId="1" xfId="0" applyNumberFormat="1" applyFont="1" applyFill="1" applyBorder="1" applyAlignment="1">
      <alignment horizontal="center" vertical="top"/>
    </xf>
    <xf numFmtId="0" fontId="20" fillId="8" borderId="14" xfId="0" applyFont="1" applyFill="1" applyBorder="1" applyAlignment="1">
      <alignment horizontal="center" vertical="top"/>
    </xf>
    <xf numFmtId="1" fontId="20" fillId="8" borderId="17" xfId="0" applyNumberFormat="1" applyFont="1" applyFill="1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18" fillId="3" borderId="13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166" fontId="6" fillId="9" borderId="1" xfId="0" applyNumberFormat="1" applyFont="1" applyFill="1" applyBorder="1"/>
    <xf numFmtId="0" fontId="0" fillId="0" borderId="0" xfId="0" applyAlignment="1"/>
    <xf numFmtId="166" fontId="18" fillId="9" borderId="1" xfId="0" applyNumberFormat="1" applyFont="1" applyFill="1" applyBorder="1" applyAlignment="1">
      <alignment horizontal="center" vertical="center" wrapText="1"/>
    </xf>
    <xf numFmtId="167" fontId="6" fillId="9" borderId="1" xfId="0" applyNumberFormat="1" applyFont="1" applyFill="1" applyBorder="1"/>
    <xf numFmtId="166" fontId="7" fillId="9" borderId="2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44" fontId="0" fillId="0" borderId="1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4" fontId="6" fillId="0" borderId="1" xfId="4" applyFont="1" applyBorder="1" applyAlignment="1">
      <alignment horizontal="center" vertical="center"/>
    </xf>
    <xf numFmtId="0" fontId="7" fillId="9" borderId="1" xfId="0" applyFont="1" applyFill="1" applyBorder="1"/>
    <xf numFmtId="0" fontId="0" fillId="0" borderId="1" xfId="0" applyBorder="1" applyAlignment="1">
      <alignment vertical="center" wrapText="1"/>
    </xf>
    <xf numFmtId="0" fontId="6" fillId="9" borderId="1" xfId="0" applyFont="1" applyFill="1" applyBorder="1"/>
    <xf numFmtId="44" fontId="0" fillId="0" borderId="0" xfId="4" applyFont="1"/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2" xfId="4" applyFont="1" applyBorder="1" applyAlignment="1">
      <alignment horizontal="center" vertical="center"/>
    </xf>
    <xf numFmtId="44" fontId="0" fillId="0" borderId="0" xfId="0" applyNumberFormat="1"/>
    <xf numFmtId="167" fontId="6" fillId="0" borderId="0" xfId="0" applyNumberFormat="1" applyFont="1"/>
    <xf numFmtId="9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44" fontId="0" fillId="0" borderId="0" xfId="4" applyFont="1" applyBorder="1" applyAlignment="1">
      <alignment horizontal="center" vertical="center"/>
    </xf>
    <xf numFmtId="44" fontId="6" fillId="0" borderId="0" xfId="4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166" fontId="6" fillId="3" borderId="1" xfId="0" applyNumberFormat="1" applyFont="1" applyFill="1" applyBorder="1" applyAlignment="1"/>
    <xf numFmtId="0" fontId="23" fillId="3" borderId="1" xfId="0" applyFont="1" applyFill="1" applyBorder="1" applyAlignment="1">
      <alignment vertical="center"/>
    </xf>
    <xf numFmtId="166" fontId="23" fillId="3" borderId="1" xfId="0" applyNumberFormat="1" applyFont="1" applyFill="1" applyBorder="1" applyAlignment="1">
      <alignment vertical="center"/>
    </xf>
    <xf numFmtId="166" fontId="0" fillId="0" borderId="2" xfId="0" applyNumberFormat="1" applyBorder="1" applyAlignment="1">
      <alignment horizontal="left" vertical="center"/>
    </xf>
    <xf numFmtId="166" fontId="6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5" borderId="7" xfId="5" applyFont="1" applyFill="1" applyBorder="1" applyAlignment="1">
      <alignment horizontal="center" vertical="center"/>
    </xf>
    <xf numFmtId="0" fontId="13" fillId="5" borderId="0" xfId="5" applyFont="1" applyFill="1" applyAlignment="1">
      <alignment horizontal="center" vertical="center"/>
    </xf>
    <xf numFmtId="0" fontId="14" fillId="6" borderId="9" xfId="5" applyFont="1" applyFill="1" applyBorder="1" applyAlignment="1">
      <alignment horizontal="center" vertical="center" wrapText="1"/>
    </xf>
    <xf numFmtId="0" fontId="14" fillId="6" borderId="10" xfId="5" applyFont="1" applyFill="1" applyBorder="1" applyAlignment="1">
      <alignment horizontal="center" vertical="center" wrapText="1"/>
    </xf>
    <xf numFmtId="0" fontId="14" fillId="6" borderId="5" xfId="5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7" fillId="0" borderId="9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4" fillId="6" borderId="1" xfId="5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13" fillId="5" borderId="1" xfId="5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26" fillId="0" borderId="1" xfId="0" applyFont="1" applyBorder="1" applyAlignment="1">
      <alignment horizontal="left" vertical="top" wrapText="1"/>
    </xf>
    <xf numFmtId="9" fontId="0" fillId="0" borderId="6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5" fillId="11" borderId="0" xfId="0" applyFont="1" applyFill="1" applyAlignment="1">
      <alignment horizont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</cellXfs>
  <cellStyles count="6">
    <cellStyle name="Comma" xfId="3" builtinId="3"/>
    <cellStyle name="Comma 2" xfId="1" xr:uid="{7674AEB9-59AA-4BF4-9AA8-7D43C3D9D7C4}"/>
    <cellStyle name="Currency" xfId="4" builtinId="4"/>
    <cellStyle name="Excel Built-in Normal" xfId="5" xr:uid="{2D6623C1-4912-4C97-B164-9E083E5291D7}"/>
    <cellStyle name="Normal" xfId="0" builtinId="0"/>
    <cellStyle name="Normal 3" xfId="2" xr:uid="{69214E0D-2F28-4E0F-8587-B4BBA26A9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8BEA-F622-45E1-BA03-608A2CA7F742}">
  <dimension ref="B3:AA68"/>
  <sheetViews>
    <sheetView tabSelected="1" topLeftCell="D1" workbookViewId="0">
      <selection activeCell="AA12" sqref="AA12"/>
    </sheetView>
  </sheetViews>
  <sheetFormatPr defaultRowHeight="15" x14ac:dyDescent="0.25"/>
  <cols>
    <col min="2" max="2" width="26.42578125" bestFit="1" customWidth="1"/>
    <col min="3" max="3" width="12.42578125" customWidth="1"/>
    <col min="4" max="4" width="36" style="3" bestFit="1" customWidth="1"/>
    <col min="5" max="5" width="38.42578125" style="3" customWidth="1"/>
    <col min="6" max="6" width="13.140625" hidden="1" customWidth="1"/>
    <col min="7" max="7" width="14.85546875" style="3" hidden="1" customWidth="1"/>
    <col min="8" max="8" width="10.5703125" hidden="1" customWidth="1"/>
    <col min="9" max="9" width="16.28515625" hidden="1" customWidth="1"/>
    <col min="10" max="10" width="16.28515625" customWidth="1"/>
    <col min="11" max="11" width="12.7109375" hidden="1" customWidth="1"/>
    <col min="12" max="12" width="11.42578125" hidden="1" customWidth="1"/>
    <col min="13" max="13" width="10.7109375" hidden="1" customWidth="1"/>
    <col min="14" max="14" width="12" hidden="1" customWidth="1"/>
    <col min="15" max="15" width="9.140625" hidden="1" customWidth="1"/>
    <col min="16" max="16" width="13.140625" hidden="1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hidden="1" customWidth="1"/>
    <col min="23" max="23" width="14.140625" customWidth="1"/>
    <col min="24" max="26" width="0" hidden="1" customWidth="1"/>
  </cols>
  <sheetData>
    <row r="3" spans="2:27" x14ac:dyDescent="0.25">
      <c r="B3" s="145" t="s">
        <v>171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2:27" ht="75" x14ac:dyDescent="0.25"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29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6" t="s">
        <v>25</v>
      </c>
      <c r="Y4" s="7" t="s">
        <v>26</v>
      </c>
      <c r="Z4" s="7" t="s">
        <v>27</v>
      </c>
    </row>
    <row r="5" spans="2:27" x14ac:dyDescent="0.25">
      <c r="B5" s="1">
        <v>1</v>
      </c>
      <c r="C5" s="67" t="s">
        <v>1</v>
      </c>
      <c r="D5" s="70" t="s">
        <v>55</v>
      </c>
      <c r="E5" s="70" t="s">
        <v>114</v>
      </c>
      <c r="F5" s="8" t="s">
        <v>28</v>
      </c>
      <c r="G5" s="71">
        <v>4536</v>
      </c>
      <c r="H5" s="59">
        <f>G5*10.7639</f>
        <v>48825.0504</v>
      </c>
      <c r="I5" s="20">
        <f>J5*0.3048</f>
        <v>27.5</v>
      </c>
      <c r="J5" s="72">
        <f>27.5/(0.3048)</f>
        <v>90.223097112860884</v>
      </c>
      <c r="K5" s="1">
        <v>2007</v>
      </c>
      <c r="L5" s="8">
        <v>2022</v>
      </c>
      <c r="M5" s="8">
        <f t="shared" ref="M5:M63" si="0">L5-K5</f>
        <v>15</v>
      </c>
      <c r="N5" s="8">
        <v>40</v>
      </c>
      <c r="O5" s="8">
        <v>0.05</v>
      </c>
      <c r="P5" s="10">
        <f>(1-O5)/N5</f>
        <v>2.375E-2</v>
      </c>
      <c r="Q5" s="11">
        <v>1900</v>
      </c>
      <c r="R5" s="58">
        <f>Q5*10.7639</f>
        <v>20451.41</v>
      </c>
      <c r="S5" s="12">
        <f>R5*G5</f>
        <v>92767595.760000005</v>
      </c>
      <c r="T5" s="12">
        <f>S5*P5*M5</f>
        <v>33048455.989500001</v>
      </c>
      <c r="U5" s="12">
        <f>MAX(S5-T5,0)</f>
        <v>59719139.770500004</v>
      </c>
      <c r="V5" s="8">
        <v>0</v>
      </c>
      <c r="W5" s="12">
        <f>IF(U5&gt;O5*S5,U5*(1+V5),S5*O5)</f>
        <v>59719139.770500004</v>
      </c>
      <c r="X5" s="13">
        <v>800</v>
      </c>
      <c r="Y5" s="14">
        <v>0.99</v>
      </c>
      <c r="Z5" s="15">
        <f>(X5*Y5*G5)</f>
        <v>3592512</v>
      </c>
      <c r="AA5" s="57">
        <f>W5/H5</f>
        <v>1223.125</v>
      </c>
    </row>
    <row r="6" spans="2:27" x14ac:dyDescent="0.25">
      <c r="B6" s="1">
        <v>2</v>
      </c>
      <c r="C6" s="69" t="s">
        <v>113</v>
      </c>
      <c r="D6" s="70" t="s">
        <v>56</v>
      </c>
      <c r="E6" s="70" t="s">
        <v>115</v>
      </c>
      <c r="F6" s="8" t="s">
        <v>28</v>
      </c>
      <c r="G6" s="71">
        <v>648</v>
      </c>
      <c r="H6" s="59">
        <f t="shared" ref="H6:H63" si="1">G6*10.7639</f>
        <v>6975.0072</v>
      </c>
      <c r="I6" s="20">
        <f t="shared" ref="I6:I63" si="2">J6*0.3048</f>
        <v>5</v>
      </c>
      <c r="J6" s="72">
        <f>5/(0.3048)</f>
        <v>16.404199475065617</v>
      </c>
      <c r="K6" s="1">
        <v>2007</v>
      </c>
      <c r="L6" s="8">
        <v>2022</v>
      </c>
      <c r="M6" s="8">
        <f t="shared" si="0"/>
        <v>15</v>
      </c>
      <c r="N6" s="8">
        <v>60</v>
      </c>
      <c r="O6" s="8">
        <v>0.05</v>
      </c>
      <c r="P6" s="10">
        <f>(1-O6)/N6</f>
        <v>1.5833333333333331E-2</v>
      </c>
      <c r="Q6" s="11">
        <v>1200</v>
      </c>
      <c r="R6" s="58">
        <f>Q6*10.7639</f>
        <v>12916.68</v>
      </c>
      <c r="S6" s="12">
        <f>R6*G6</f>
        <v>8370008.6400000006</v>
      </c>
      <c r="T6" s="12">
        <f>S6*P6*M6</f>
        <v>1987877.0519999997</v>
      </c>
      <c r="U6" s="12">
        <f>MAX(S6-T6,0)</f>
        <v>6382131.5880000014</v>
      </c>
      <c r="V6" s="8">
        <v>0</v>
      </c>
      <c r="W6" s="12">
        <f>IF(U6&gt;O6*S6,U6*(1+V6),S6*O6)</f>
        <v>6382131.5880000014</v>
      </c>
      <c r="X6" s="13">
        <v>800</v>
      </c>
      <c r="Y6" s="14">
        <v>0.99</v>
      </c>
      <c r="Z6" s="15">
        <f>X6*H6</f>
        <v>5580005.7599999998</v>
      </c>
    </row>
    <row r="7" spans="2:27" x14ac:dyDescent="0.25">
      <c r="B7" s="1">
        <v>3</v>
      </c>
      <c r="C7" s="67" t="s">
        <v>1</v>
      </c>
      <c r="D7" s="70" t="s">
        <v>57</v>
      </c>
      <c r="E7" s="70" t="s">
        <v>116</v>
      </c>
      <c r="F7" s="8" t="s">
        <v>28</v>
      </c>
      <c r="G7" s="71">
        <v>432</v>
      </c>
      <c r="H7" s="59">
        <f t="shared" si="1"/>
        <v>4650.0047999999997</v>
      </c>
      <c r="I7" s="20">
        <f t="shared" si="2"/>
        <v>5</v>
      </c>
      <c r="J7" s="72">
        <f>5/(0.3048)</f>
        <v>16.404199475065617</v>
      </c>
      <c r="K7" s="1">
        <v>2007</v>
      </c>
      <c r="L7" s="8">
        <v>2022</v>
      </c>
      <c r="M7" s="8">
        <f t="shared" si="0"/>
        <v>15</v>
      </c>
      <c r="N7" s="8">
        <v>60</v>
      </c>
      <c r="O7" s="8">
        <v>0.05</v>
      </c>
      <c r="P7" s="10">
        <f>(1-O7)/N7</f>
        <v>1.5833333333333331E-2</v>
      </c>
      <c r="Q7" s="11">
        <v>1000</v>
      </c>
      <c r="R7" s="58">
        <f>Q7*10.7639</f>
        <v>10763.9</v>
      </c>
      <c r="S7" s="12">
        <f>R7*G7</f>
        <v>4650004.8</v>
      </c>
      <c r="T7" s="12">
        <f>S7*P7*M7</f>
        <v>1104376.1399999999</v>
      </c>
      <c r="U7" s="12">
        <f>MAX(S7-T7,0)</f>
        <v>3545628.66</v>
      </c>
      <c r="V7" s="8">
        <v>0</v>
      </c>
      <c r="W7" s="12">
        <f>IF(U7&gt;O7*S7,U7*(1+V7),S7*O7)</f>
        <v>3545628.66</v>
      </c>
      <c r="X7" s="13">
        <v>800</v>
      </c>
      <c r="Y7" s="14"/>
      <c r="Z7" s="15">
        <f t="shared" ref="Z7:Z9" si="3">X7*H7</f>
        <v>3720003.84</v>
      </c>
    </row>
    <row r="8" spans="2:27" x14ac:dyDescent="0.25">
      <c r="B8" s="1">
        <v>4</v>
      </c>
      <c r="C8" s="67" t="s">
        <v>1</v>
      </c>
      <c r="D8" s="70" t="s">
        <v>58</v>
      </c>
      <c r="E8" s="70" t="s">
        <v>117</v>
      </c>
      <c r="F8" s="8" t="s">
        <v>28</v>
      </c>
      <c r="G8" s="71">
        <v>308.88</v>
      </c>
      <c r="H8" s="59">
        <f t="shared" si="1"/>
        <v>3324.753432</v>
      </c>
      <c r="I8" s="20">
        <f t="shared" si="2"/>
        <v>20.95</v>
      </c>
      <c r="J8" s="72">
        <f>20.95/(0.3048)</f>
        <v>68.733595800524924</v>
      </c>
      <c r="K8" s="1">
        <v>2007</v>
      </c>
      <c r="L8" s="8">
        <v>2022</v>
      </c>
      <c r="M8" s="8">
        <f t="shared" si="0"/>
        <v>15</v>
      </c>
      <c r="N8" s="8">
        <v>40</v>
      </c>
      <c r="O8" s="8">
        <v>0.05</v>
      </c>
      <c r="P8" s="10">
        <f>(1-O8)/N8</f>
        <v>2.375E-2</v>
      </c>
      <c r="Q8" s="11">
        <v>1400</v>
      </c>
      <c r="R8" s="58">
        <f>Q8*10.7639</f>
        <v>15069.46</v>
      </c>
      <c r="S8" s="12">
        <f>R8*G8</f>
        <v>4654654.8048</v>
      </c>
      <c r="T8" s="12">
        <f>S8*P8*M8</f>
        <v>1658220.7742099999</v>
      </c>
      <c r="U8" s="12">
        <f>MAX(S8-T8,0)</f>
        <v>2996434.0305900001</v>
      </c>
      <c r="V8" s="8">
        <v>0</v>
      </c>
      <c r="W8" s="12">
        <f>IF(U8&gt;O8*S8,U8*(1+V8),S8*O8)</f>
        <v>2996434.0305900001</v>
      </c>
      <c r="X8" s="13">
        <v>800</v>
      </c>
      <c r="Y8" s="14"/>
      <c r="Z8" s="15">
        <f t="shared" si="3"/>
        <v>2659802.7456</v>
      </c>
    </row>
    <row r="9" spans="2:27" x14ac:dyDescent="0.25">
      <c r="B9" s="1">
        <v>5</v>
      </c>
      <c r="C9" s="67" t="s">
        <v>113</v>
      </c>
      <c r="D9" s="70" t="s">
        <v>59</v>
      </c>
      <c r="E9" s="70" t="s">
        <v>115</v>
      </c>
      <c r="F9" s="8" t="s">
        <v>28</v>
      </c>
      <c r="G9" s="71">
        <v>100.07599999999999</v>
      </c>
      <c r="H9" s="59">
        <f t="shared" si="1"/>
        <v>1077.2080563999998</v>
      </c>
      <c r="I9" s="20">
        <f t="shared" si="2"/>
        <v>3.9999999999999996</v>
      </c>
      <c r="J9" s="72">
        <f>4/(0.3048)</f>
        <v>13.123359580052492</v>
      </c>
      <c r="K9" s="1">
        <v>2007</v>
      </c>
      <c r="L9" s="8">
        <v>2022</v>
      </c>
      <c r="M9" s="8">
        <f t="shared" si="0"/>
        <v>15</v>
      </c>
      <c r="N9" s="8">
        <v>60</v>
      </c>
      <c r="O9" s="8">
        <v>0.05</v>
      </c>
      <c r="P9" s="10">
        <f t="shared" ref="P9:P11" si="4">(1-O9)/N9</f>
        <v>1.5833333333333331E-2</v>
      </c>
      <c r="Q9" s="11">
        <v>1100</v>
      </c>
      <c r="R9" s="58">
        <f t="shared" ref="R9:R63" si="5">Q9*10.7639</f>
        <v>11840.289999999999</v>
      </c>
      <c r="S9" s="12">
        <f>R9*G9</f>
        <v>1184928.8620399998</v>
      </c>
      <c r="T9" s="12">
        <f t="shared" ref="T9:T63" si="6">S9*P9*M9</f>
        <v>281420.60473449994</v>
      </c>
      <c r="U9" s="12">
        <f t="shared" ref="U9:U63" si="7">MAX(S9-T9,0)</f>
        <v>903508.25730549986</v>
      </c>
      <c r="V9" s="8">
        <v>0</v>
      </c>
      <c r="W9" s="12">
        <f t="shared" ref="W9:W63" si="8">IF(U9&gt;O9*S9,U9*(1+V9),S9*O9)</f>
        <v>903508.25730549986</v>
      </c>
      <c r="X9" s="13">
        <v>800</v>
      </c>
      <c r="Y9" s="14"/>
      <c r="Z9" s="15">
        <f t="shared" si="3"/>
        <v>861766.44511999981</v>
      </c>
    </row>
    <row r="10" spans="2:27" x14ac:dyDescent="0.25">
      <c r="B10" s="1">
        <v>6</v>
      </c>
      <c r="C10" s="67" t="s">
        <v>1</v>
      </c>
      <c r="D10" s="70" t="s">
        <v>60</v>
      </c>
      <c r="E10" s="70" t="s">
        <v>115</v>
      </c>
      <c r="F10" s="8" t="s">
        <v>28</v>
      </c>
      <c r="G10" s="71">
        <v>100.07599999999999</v>
      </c>
      <c r="H10" s="59">
        <f t="shared" si="1"/>
        <v>1077.2080563999998</v>
      </c>
      <c r="I10" s="20">
        <f t="shared" si="2"/>
        <v>3.9999999999999996</v>
      </c>
      <c r="J10" s="72">
        <f>4/(0.3048)</f>
        <v>13.123359580052492</v>
      </c>
      <c r="K10" s="1">
        <v>2007</v>
      </c>
      <c r="L10" s="8">
        <v>2022</v>
      </c>
      <c r="M10" s="8">
        <f>L10-K10</f>
        <v>15</v>
      </c>
      <c r="N10" s="8">
        <v>60</v>
      </c>
      <c r="O10" s="8">
        <v>0.05</v>
      </c>
      <c r="P10" s="10">
        <f t="shared" si="4"/>
        <v>1.5833333333333331E-2</v>
      </c>
      <c r="Q10" s="11">
        <v>1100</v>
      </c>
      <c r="R10" s="58">
        <f t="shared" si="5"/>
        <v>11840.289999999999</v>
      </c>
      <c r="S10" s="12">
        <f t="shared" ref="S10:S63" si="9">R10*G10</f>
        <v>1184928.8620399998</v>
      </c>
      <c r="T10" s="12">
        <f t="shared" si="6"/>
        <v>281420.60473449994</v>
      </c>
      <c r="U10" s="12">
        <f t="shared" si="7"/>
        <v>903508.25730549986</v>
      </c>
      <c r="V10" s="8">
        <v>0</v>
      </c>
      <c r="W10" s="12">
        <f t="shared" si="8"/>
        <v>903508.25730549986</v>
      </c>
    </row>
    <row r="11" spans="2:27" x14ac:dyDescent="0.25">
      <c r="B11" s="1">
        <v>7</v>
      </c>
      <c r="C11" s="67" t="s">
        <v>1</v>
      </c>
      <c r="D11" s="70" t="s">
        <v>61</v>
      </c>
      <c r="E11" s="70" t="s">
        <v>114</v>
      </c>
      <c r="F11" s="8" t="s">
        <v>28</v>
      </c>
      <c r="G11" s="71">
        <v>2016</v>
      </c>
      <c r="H11" s="59">
        <f t="shared" si="1"/>
        <v>21700.022399999998</v>
      </c>
      <c r="I11" s="20">
        <f t="shared" si="2"/>
        <v>26.000000000000004</v>
      </c>
      <c r="J11" s="72">
        <f>26/(0.3048)</f>
        <v>85.30183727034121</v>
      </c>
      <c r="K11" s="1">
        <v>2007</v>
      </c>
      <c r="L11" s="8">
        <v>2022</v>
      </c>
      <c r="M11" s="8">
        <f t="shared" si="0"/>
        <v>15</v>
      </c>
      <c r="N11" s="8">
        <v>40</v>
      </c>
      <c r="O11" s="8">
        <v>0.05</v>
      </c>
      <c r="P11" s="10">
        <f t="shared" si="4"/>
        <v>2.375E-2</v>
      </c>
      <c r="Q11" s="11">
        <v>1900</v>
      </c>
      <c r="R11" s="58">
        <f t="shared" si="5"/>
        <v>20451.41</v>
      </c>
      <c r="S11" s="12">
        <f t="shared" si="9"/>
        <v>41230042.560000002</v>
      </c>
      <c r="T11" s="12">
        <f t="shared" si="6"/>
        <v>14688202.662</v>
      </c>
      <c r="U11" s="12">
        <f t="shared" si="7"/>
        <v>26541839.898000002</v>
      </c>
      <c r="V11" s="8">
        <v>0</v>
      </c>
      <c r="W11" s="12">
        <f t="shared" si="8"/>
        <v>26541839.898000002</v>
      </c>
    </row>
    <row r="12" spans="2:27" x14ac:dyDescent="0.25">
      <c r="B12" s="1">
        <v>8</v>
      </c>
      <c r="C12" s="67" t="s">
        <v>113</v>
      </c>
      <c r="D12" s="70" t="s">
        <v>62</v>
      </c>
      <c r="E12" s="70" t="s">
        <v>118</v>
      </c>
      <c r="F12" s="8" t="s">
        <v>28</v>
      </c>
      <c r="G12" s="71">
        <v>864</v>
      </c>
      <c r="H12" s="59">
        <f t="shared" si="1"/>
        <v>9300.0095999999994</v>
      </c>
      <c r="I12" s="20">
        <f t="shared" si="2"/>
        <v>6.9999999999999991</v>
      </c>
      <c r="J12" s="72">
        <f>7/(0.3048)</f>
        <v>22.965879265091861</v>
      </c>
      <c r="K12" s="1">
        <v>2007</v>
      </c>
      <c r="L12" s="8">
        <v>2022</v>
      </c>
      <c r="M12" s="8">
        <f t="shared" si="0"/>
        <v>15</v>
      </c>
      <c r="N12" s="8">
        <v>40</v>
      </c>
      <c r="O12" s="8">
        <v>0.05</v>
      </c>
      <c r="P12" s="10">
        <f>(1-O12)/N12</f>
        <v>2.375E-2</v>
      </c>
      <c r="Q12" s="11">
        <v>1300</v>
      </c>
      <c r="R12" s="58">
        <f t="shared" si="5"/>
        <v>13993.07</v>
      </c>
      <c r="S12" s="12">
        <f t="shared" si="9"/>
        <v>12090012.48</v>
      </c>
      <c r="T12" s="12">
        <f t="shared" si="6"/>
        <v>4307066.9459999995</v>
      </c>
      <c r="U12" s="12">
        <f t="shared" si="7"/>
        <v>7782945.5340000009</v>
      </c>
      <c r="V12" s="8">
        <v>0</v>
      </c>
      <c r="W12" s="12">
        <f t="shared" si="8"/>
        <v>7782945.5340000009</v>
      </c>
    </row>
    <row r="13" spans="2:27" x14ac:dyDescent="0.25">
      <c r="B13" s="1">
        <v>9</v>
      </c>
      <c r="C13" s="67" t="s">
        <v>1</v>
      </c>
      <c r="D13" s="70" t="s">
        <v>63</v>
      </c>
      <c r="E13" s="70" t="s">
        <v>114</v>
      </c>
      <c r="F13" s="8" t="s">
        <v>28</v>
      </c>
      <c r="G13" s="71">
        <v>864</v>
      </c>
      <c r="H13" s="59">
        <f t="shared" si="1"/>
        <v>9300.0095999999994</v>
      </c>
      <c r="I13" s="20">
        <f t="shared" si="2"/>
        <v>5</v>
      </c>
      <c r="J13" s="72">
        <f>5/(0.3048)</f>
        <v>16.404199475065617</v>
      </c>
      <c r="K13" s="1">
        <v>2007</v>
      </c>
      <c r="L13" s="8">
        <v>2022</v>
      </c>
      <c r="M13" s="8">
        <f t="shared" si="0"/>
        <v>15</v>
      </c>
      <c r="N13" s="8">
        <v>40</v>
      </c>
      <c r="O13" s="8">
        <v>0.05</v>
      </c>
      <c r="P13" s="10">
        <f t="shared" ref="P13:P63" si="10">(1-O13)/N13</f>
        <v>2.375E-2</v>
      </c>
      <c r="Q13" s="11">
        <v>1100</v>
      </c>
      <c r="R13" s="58">
        <f t="shared" si="5"/>
        <v>11840.289999999999</v>
      </c>
      <c r="S13" s="12">
        <f t="shared" si="9"/>
        <v>10230010.559999999</v>
      </c>
      <c r="T13" s="12">
        <f t="shared" si="6"/>
        <v>3644441.2619999996</v>
      </c>
      <c r="U13" s="12">
        <f t="shared" si="7"/>
        <v>6585569.2979999986</v>
      </c>
      <c r="V13" s="8">
        <v>0</v>
      </c>
      <c r="W13" s="12">
        <f t="shared" si="8"/>
        <v>6585569.2979999986</v>
      </c>
    </row>
    <row r="14" spans="2:27" x14ac:dyDescent="0.25">
      <c r="B14" s="1">
        <v>10</v>
      </c>
      <c r="C14" s="67" t="s">
        <v>1</v>
      </c>
      <c r="D14" s="70" t="s">
        <v>64</v>
      </c>
      <c r="E14" s="70" t="s">
        <v>114</v>
      </c>
      <c r="F14" s="8" t="s">
        <v>28</v>
      </c>
      <c r="G14" s="71">
        <v>4896</v>
      </c>
      <c r="H14" s="59">
        <f t="shared" si="1"/>
        <v>52700.054400000001</v>
      </c>
      <c r="I14" s="20">
        <f t="shared" si="2"/>
        <v>29.2</v>
      </c>
      <c r="J14" s="72">
        <f>29.2/(0.3048)</f>
        <v>95.800524934383191</v>
      </c>
      <c r="K14" s="1">
        <v>2007</v>
      </c>
      <c r="L14" s="8">
        <v>2022</v>
      </c>
      <c r="M14" s="8">
        <f t="shared" si="0"/>
        <v>15</v>
      </c>
      <c r="N14" s="8">
        <v>40</v>
      </c>
      <c r="O14" s="8">
        <v>0.05</v>
      </c>
      <c r="P14" s="10">
        <f t="shared" si="10"/>
        <v>2.375E-2</v>
      </c>
      <c r="Q14" s="11">
        <v>1900</v>
      </c>
      <c r="R14" s="58">
        <f t="shared" si="5"/>
        <v>20451.41</v>
      </c>
      <c r="S14" s="12">
        <f t="shared" si="9"/>
        <v>100130103.36</v>
      </c>
      <c r="T14" s="12">
        <f t="shared" si="6"/>
        <v>35671349.321999997</v>
      </c>
      <c r="U14" s="12">
        <f t="shared" si="7"/>
        <v>64458754.038000003</v>
      </c>
      <c r="V14" s="8">
        <v>0</v>
      </c>
      <c r="W14" s="12">
        <f t="shared" si="8"/>
        <v>64458754.038000003</v>
      </c>
    </row>
    <row r="15" spans="2:27" x14ac:dyDescent="0.25">
      <c r="B15" s="1">
        <v>11</v>
      </c>
      <c r="C15" s="67" t="s">
        <v>113</v>
      </c>
      <c r="D15" s="70" t="s">
        <v>65</v>
      </c>
      <c r="E15" s="70" t="s">
        <v>119</v>
      </c>
      <c r="F15" s="8" t="s">
        <v>28</v>
      </c>
      <c r="G15" s="71">
        <v>480</v>
      </c>
      <c r="H15" s="59">
        <f t="shared" si="1"/>
        <v>5166.6719999999996</v>
      </c>
      <c r="I15" s="20">
        <f t="shared" si="2"/>
        <v>5</v>
      </c>
      <c r="J15" s="72">
        <f>5/(0.3048)</f>
        <v>16.404199475065617</v>
      </c>
      <c r="K15" s="1">
        <v>2007</v>
      </c>
      <c r="L15" s="8">
        <v>2022</v>
      </c>
      <c r="M15" s="8">
        <f t="shared" si="0"/>
        <v>15</v>
      </c>
      <c r="N15" s="8">
        <v>60</v>
      </c>
      <c r="O15" s="8">
        <v>0.05</v>
      </c>
      <c r="P15" s="10">
        <f t="shared" si="10"/>
        <v>1.5833333333333331E-2</v>
      </c>
      <c r="Q15" s="11">
        <v>1100</v>
      </c>
      <c r="R15" s="58">
        <f t="shared" si="5"/>
        <v>11840.289999999999</v>
      </c>
      <c r="S15" s="12">
        <f t="shared" si="9"/>
        <v>5683339.1999999993</v>
      </c>
      <c r="T15" s="12">
        <f t="shared" si="6"/>
        <v>1349793.0599999998</v>
      </c>
      <c r="U15" s="12">
        <f t="shared" si="7"/>
        <v>4333546.1399999997</v>
      </c>
      <c r="V15" s="8">
        <v>0</v>
      </c>
      <c r="W15" s="12">
        <f t="shared" si="8"/>
        <v>4333546.1399999997</v>
      </c>
    </row>
    <row r="16" spans="2:27" x14ac:dyDescent="0.25">
      <c r="B16" s="1">
        <v>12</v>
      </c>
      <c r="C16" s="69" t="s">
        <v>113</v>
      </c>
      <c r="D16" s="70" t="s">
        <v>66</v>
      </c>
      <c r="E16" s="70" t="s">
        <v>114</v>
      </c>
      <c r="F16" s="8" t="s">
        <v>28</v>
      </c>
      <c r="G16" s="71">
        <v>2240</v>
      </c>
      <c r="H16" s="59">
        <f t="shared" si="1"/>
        <v>24111.135999999999</v>
      </c>
      <c r="I16" s="20">
        <f t="shared" si="2"/>
        <v>25.6</v>
      </c>
      <c r="J16" s="72">
        <f>25.6/(0.3048)</f>
        <v>83.98950131233596</v>
      </c>
      <c r="K16" s="1">
        <v>2007</v>
      </c>
      <c r="L16" s="8">
        <v>2022</v>
      </c>
      <c r="M16" s="8">
        <f t="shared" si="0"/>
        <v>15</v>
      </c>
      <c r="N16" s="8">
        <v>40</v>
      </c>
      <c r="O16" s="8">
        <v>0.05</v>
      </c>
      <c r="P16" s="10">
        <f t="shared" si="10"/>
        <v>2.375E-2</v>
      </c>
      <c r="Q16" s="11">
        <v>1900</v>
      </c>
      <c r="R16" s="58">
        <f t="shared" si="5"/>
        <v>20451.41</v>
      </c>
      <c r="S16" s="12">
        <f t="shared" si="9"/>
        <v>45811158.399999999</v>
      </c>
      <c r="T16" s="12">
        <f t="shared" si="6"/>
        <v>16320225.179999998</v>
      </c>
      <c r="U16" s="12">
        <f t="shared" si="7"/>
        <v>29490933.219999999</v>
      </c>
      <c r="V16" s="8">
        <v>0</v>
      </c>
      <c r="W16" s="12">
        <f t="shared" si="8"/>
        <v>29490933.219999999</v>
      </c>
    </row>
    <row r="17" spans="2:23" x14ac:dyDescent="0.25">
      <c r="B17" s="1">
        <v>13</v>
      </c>
      <c r="C17" s="69" t="s">
        <v>113</v>
      </c>
      <c r="D17" s="70" t="s">
        <v>67</v>
      </c>
      <c r="E17" s="70" t="s">
        <v>114</v>
      </c>
      <c r="F17" s="8" t="s">
        <v>28</v>
      </c>
      <c r="G17" s="71">
        <v>512</v>
      </c>
      <c r="H17" s="59">
        <f t="shared" si="1"/>
        <v>5511.1167999999998</v>
      </c>
      <c r="I17" s="20">
        <f t="shared" si="2"/>
        <v>9.6</v>
      </c>
      <c r="J17" s="72">
        <f>9.6/(0.3048)</f>
        <v>31.496062992125982</v>
      </c>
      <c r="K17" s="1">
        <v>2007</v>
      </c>
      <c r="L17" s="8">
        <v>2022</v>
      </c>
      <c r="M17" s="8">
        <f t="shared" si="0"/>
        <v>15</v>
      </c>
      <c r="N17" s="8">
        <v>40</v>
      </c>
      <c r="O17" s="8">
        <v>0.05</v>
      </c>
      <c r="P17" s="10">
        <f t="shared" si="10"/>
        <v>2.375E-2</v>
      </c>
      <c r="Q17" s="11">
        <v>1300</v>
      </c>
      <c r="R17" s="58">
        <f t="shared" si="5"/>
        <v>13993.07</v>
      </c>
      <c r="S17" s="12">
        <f t="shared" si="9"/>
        <v>7164451.8399999999</v>
      </c>
      <c r="T17" s="12">
        <f t="shared" si="6"/>
        <v>2552335.9680000003</v>
      </c>
      <c r="U17" s="12">
        <f t="shared" si="7"/>
        <v>4612115.8719999995</v>
      </c>
      <c r="V17" s="8">
        <v>0</v>
      </c>
      <c r="W17" s="12">
        <f t="shared" si="8"/>
        <v>4612115.8719999995</v>
      </c>
    </row>
    <row r="18" spans="2:23" x14ac:dyDescent="0.25">
      <c r="B18" s="1">
        <v>14</v>
      </c>
      <c r="C18" s="69" t="s">
        <v>113</v>
      </c>
      <c r="D18" s="70" t="s">
        <v>68</v>
      </c>
      <c r="E18" s="70" t="s">
        <v>120</v>
      </c>
      <c r="F18" s="8" t="s">
        <v>28</v>
      </c>
      <c r="G18" s="71">
        <v>717.5</v>
      </c>
      <c r="H18" s="59">
        <f t="shared" si="1"/>
        <v>7723.09825</v>
      </c>
      <c r="I18" s="20">
        <f t="shared" si="2"/>
        <v>10</v>
      </c>
      <c r="J18" s="72">
        <f>10/(0.3048)</f>
        <v>32.808398950131235</v>
      </c>
      <c r="K18" s="1">
        <v>2007</v>
      </c>
      <c r="L18" s="8">
        <v>2022</v>
      </c>
      <c r="M18" s="8">
        <f t="shared" si="0"/>
        <v>15</v>
      </c>
      <c r="N18" s="8">
        <v>60</v>
      </c>
      <c r="O18" s="8">
        <v>0.05</v>
      </c>
      <c r="P18" s="10">
        <f t="shared" si="10"/>
        <v>1.5833333333333331E-2</v>
      </c>
      <c r="Q18" s="11">
        <v>1000</v>
      </c>
      <c r="R18" s="58">
        <f t="shared" si="5"/>
        <v>10763.9</v>
      </c>
      <c r="S18" s="12">
        <f t="shared" si="9"/>
        <v>7723098.25</v>
      </c>
      <c r="T18" s="12">
        <f t="shared" si="6"/>
        <v>1834235.8343749999</v>
      </c>
      <c r="U18" s="12">
        <f t="shared" si="7"/>
        <v>5888862.4156250004</v>
      </c>
      <c r="V18" s="8">
        <v>0</v>
      </c>
      <c r="W18" s="12">
        <f t="shared" si="8"/>
        <v>5888862.4156250004</v>
      </c>
    </row>
    <row r="19" spans="2:23" x14ac:dyDescent="0.25">
      <c r="B19" s="1">
        <v>15</v>
      </c>
      <c r="C19" s="69" t="s">
        <v>113</v>
      </c>
      <c r="D19" s="70" t="s">
        <v>69</v>
      </c>
      <c r="E19" s="70" t="s">
        <v>121</v>
      </c>
      <c r="F19" s="8" t="s">
        <v>28</v>
      </c>
      <c r="G19" s="71">
        <v>4032</v>
      </c>
      <c r="H19" s="59">
        <f t="shared" si="1"/>
        <v>43400.044799999996</v>
      </c>
      <c r="I19" s="20">
        <f t="shared" si="2"/>
        <v>19</v>
      </c>
      <c r="J19" s="72">
        <f>19/(0.3048)</f>
        <v>62.335958005249338</v>
      </c>
      <c r="K19" s="1">
        <v>2007</v>
      </c>
      <c r="L19" s="8">
        <v>2022</v>
      </c>
      <c r="M19" s="8">
        <f t="shared" si="0"/>
        <v>15</v>
      </c>
      <c r="N19" s="8">
        <v>60</v>
      </c>
      <c r="O19" s="8">
        <v>0.05</v>
      </c>
      <c r="P19" s="10">
        <f t="shared" si="10"/>
        <v>1.5833333333333331E-2</v>
      </c>
      <c r="Q19" s="11">
        <v>1400</v>
      </c>
      <c r="R19" s="58">
        <f t="shared" si="5"/>
        <v>15069.46</v>
      </c>
      <c r="S19" s="12">
        <f t="shared" si="9"/>
        <v>60760062.719999999</v>
      </c>
      <c r="T19" s="12">
        <f t="shared" si="6"/>
        <v>14430514.895999998</v>
      </c>
      <c r="U19" s="12">
        <f t="shared" si="7"/>
        <v>46329547.824000001</v>
      </c>
      <c r="V19" s="8">
        <v>0</v>
      </c>
      <c r="W19" s="12">
        <f t="shared" si="8"/>
        <v>46329547.824000001</v>
      </c>
    </row>
    <row r="20" spans="2:23" x14ac:dyDescent="0.25">
      <c r="B20" s="1">
        <v>16</v>
      </c>
      <c r="C20" s="69" t="s">
        <v>113</v>
      </c>
      <c r="D20" s="70" t="s">
        <v>70</v>
      </c>
      <c r="E20" s="70" t="s">
        <v>121</v>
      </c>
      <c r="F20" s="8" t="s">
        <v>28</v>
      </c>
      <c r="G20" s="71">
        <v>6000</v>
      </c>
      <c r="H20" s="59">
        <f t="shared" si="1"/>
        <v>64583.399999999994</v>
      </c>
      <c r="I20" s="20">
        <f t="shared" si="2"/>
        <v>14.769</v>
      </c>
      <c r="J20" s="72">
        <f>14.769/(0.3048)</f>
        <v>48.454724409448815</v>
      </c>
      <c r="K20" s="1">
        <v>2007</v>
      </c>
      <c r="L20" s="8">
        <v>2022</v>
      </c>
      <c r="M20" s="8">
        <f t="shared" si="0"/>
        <v>15</v>
      </c>
      <c r="N20" s="8">
        <v>60</v>
      </c>
      <c r="O20" s="8">
        <v>0.05</v>
      </c>
      <c r="P20" s="10">
        <f t="shared" si="10"/>
        <v>1.5833333333333331E-2</v>
      </c>
      <c r="Q20" s="11">
        <v>1300</v>
      </c>
      <c r="R20" s="58">
        <f t="shared" si="5"/>
        <v>13993.07</v>
      </c>
      <c r="S20" s="12">
        <f t="shared" si="9"/>
        <v>83958420</v>
      </c>
      <c r="T20" s="12">
        <f t="shared" si="6"/>
        <v>19940124.75</v>
      </c>
      <c r="U20" s="12">
        <f t="shared" si="7"/>
        <v>64018295.25</v>
      </c>
      <c r="V20" s="8">
        <v>0</v>
      </c>
      <c r="W20" s="12">
        <f t="shared" si="8"/>
        <v>64018295.25</v>
      </c>
    </row>
    <row r="21" spans="2:23" x14ac:dyDescent="0.25">
      <c r="B21" s="1">
        <v>17</v>
      </c>
      <c r="C21" s="69" t="s">
        <v>113</v>
      </c>
      <c r="D21" s="70" t="s">
        <v>71</v>
      </c>
      <c r="E21" s="70" t="s">
        <v>121</v>
      </c>
      <c r="F21" s="8" t="s">
        <v>28</v>
      </c>
      <c r="G21" s="71">
        <v>7000</v>
      </c>
      <c r="H21" s="59">
        <f t="shared" si="1"/>
        <v>75347.3</v>
      </c>
      <c r="I21" s="20">
        <f t="shared" si="2"/>
        <v>14.769</v>
      </c>
      <c r="J21" s="72">
        <f>14.769/(0.3048)</f>
        <v>48.454724409448815</v>
      </c>
      <c r="K21" s="1">
        <v>2007</v>
      </c>
      <c r="L21" s="8">
        <v>2022</v>
      </c>
      <c r="M21" s="8">
        <f t="shared" si="0"/>
        <v>15</v>
      </c>
      <c r="N21" s="8">
        <v>60</v>
      </c>
      <c r="O21" s="8">
        <v>0.05</v>
      </c>
      <c r="P21" s="10">
        <f t="shared" si="10"/>
        <v>1.5833333333333331E-2</v>
      </c>
      <c r="Q21" s="11">
        <v>1300</v>
      </c>
      <c r="R21" s="58">
        <f t="shared" si="5"/>
        <v>13993.07</v>
      </c>
      <c r="S21" s="12">
        <f t="shared" si="9"/>
        <v>97951490</v>
      </c>
      <c r="T21" s="12">
        <f t="shared" si="6"/>
        <v>23263478.875</v>
      </c>
      <c r="U21" s="12">
        <f t="shared" si="7"/>
        <v>74688011.125</v>
      </c>
      <c r="V21" s="8">
        <v>0</v>
      </c>
      <c r="W21" s="12">
        <f t="shared" si="8"/>
        <v>74688011.125</v>
      </c>
    </row>
    <row r="22" spans="2:23" x14ac:dyDescent="0.25">
      <c r="B22" s="1">
        <v>18</v>
      </c>
      <c r="C22" s="69" t="s">
        <v>113</v>
      </c>
      <c r="D22" s="70" t="s">
        <v>72</v>
      </c>
      <c r="E22" s="70" t="s">
        <v>122</v>
      </c>
      <c r="F22" s="8" t="s">
        <v>28</v>
      </c>
      <c r="G22" s="71">
        <v>623.28</v>
      </c>
      <c r="H22" s="59">
        <f t="shared" si="1"/>
        <v>6708.9235919999992</v>
      </c>
      <c r="I22" s="20">
        <f t="shared" si="2"/>
        <v>9.5850000000000009</v>
      </c>
      <c r="J22" s="72">
        <f>9.585/(0.3048)</f>
        <v>31.446850393700789</v>
      </c>
      <c r="K22" s="1">
        <v>2007</v>
      </c>
      <c r="L22" s="8">
        <v>2022</v>
      </c>
      <c r="M22" s="8">
        <f t="shared" si="0"/>
        <v>15</v>
      </c>
      <c r="N22" s="8">
        <v>40</v>
      </c>
      <c r="O22" s="8">
        <v>0.05</v>
      </c>
      <c r="P22" s="10">
        <f t="shared" si="10"/>
        <v>2.375E-2</v>
      </c>
      <c r="Q22" s="11">
        <v>1200</v>
      </c>
      <c r="R22" s="58">
        <f t="shared" si="5"/>
        <v>12916.68</v>
      </c>
      <c r="S22" s="12">
        <f t="shared" si="9"/>
        <v>8050708.3103999998</v>
      </c>
      <c r="T22" s="12">
        <f t="shared" si="6"/>
        <v>2868064.8355799997</v>
      </c>
      <c r="U22" s="12">
        <f t="shared" si="7"/>
        <v>5182643.4748200001</v>
      </c>
      <c r="V22" s="8">
        <v>0</v>
      </c>
      <c r="W22" s="12">
        <f t="shared" si="8"/>
        <v>5182643.4748200001</v>
      </c>
    </row>
    <row r="23" spans="2:23" x14ac:dyDescent="0.25">
      <c r="B23" s="1">
        <v>19</v>
      </c>
      <c r="C23" s="69" t="s">
        <v>113</v>
      </c>
      <c r="D23" s="70" t="s">
        <v>72</v>
      </c>
      <c r="E23" s="70" t="s">
        <v>122</v>
      </c>
      <c r="F23" s="8" t="s">
        <v>28</v>
      </c>
      <c r="G23" s="71">
        <v>332.82</v>
      </c>
      <c r="H23" s="59">
        <f t="shared" si="1"/>
        <v>3582.441198</v>
      </c>
      <c r="I23" s="20">
        <f t="shared" si="2"/>
        <v>10.975</v>
      </c>
      <c r="J23" s="72">
        <f>10.975/(0.3048)</f>
        <v>36.007217847769027</v>
      </c>
      <c r="K23" s="1">
        <v>2007</v>
      </c>
      <c r="L23" s="8">
        <v>2022</v>
      </c>
      <c r="M23" s="8">
        <f t="shared" si="0"/>
        <v>15</v>
      </c>
      <c r="N23" s="8">
        <v>40</v>
      </c>
      <c r="O23" s="8">
        <v>0.05</v>
      </c>
      <c r="P23" s="10">
        <f t="shared" si="10"/>
        <v>2.375E-2</v>
      </c>
      <c r="Q23" s="11">
        <v>1200</v>
      </c>
      <c r="R23" s="58">
        <f t="shared" si="5"/>
        <v>12916.68</v>
      </c>
      <c r="S23" s="12">
        <f t="shared" si="9"/>
        <v>4298929.4375999998</v>
      </c>
      <c r="T23" s="12">
        <f t="shared" si="6"/>
        <v>1531493.6121449999</v>
      </c>
      <c r="U23" s="12">
        <f t="shared" si="7"/>
        <v>2767435.8254549997</v>
      </c>
      <c r="V23" s="8">
        <v>0</v>
      </c>
      <c r="W23" s="12">
        <f t="shared" si="8"/>
        <v>2767435.8254549997</v>
      </c>
    </row>
    <row r="24" spans="2:23" x14ac:dyDescent="0.25">
      <c r="B24" s="1">
        <v>20</v>
      </c>
      <c r="C24" s="69" t="s">
        <v>113</v>
      </c>
      <c r="D24" s="70" t="s">
        <v>73</v>
      </c>
      <c r="E24" s="70" t="s">
        <v>122</v>
      </c>
      <c r="F24" s="8" t="s">
        <v>28</v>
      </c>
      <c r="G24" s="71">
        <v>1460.8799999999999</v>
      </c>
      <c r="H24" s="59">
        <f t="shared" si="1"/>
        <v>15724.766231999998</v>
      </c>
      <c r="I24" s="20">
        <f t="shared" si="2"/>
        <v>9.5850000000000009</v>
      </c>
      <c r="J24" s="72">
        <f>9.585/(0.3048)</f>
        <v>31.446850393700789</v>
      </c>
      <c r="K24" s="1">
        <v>2007</v>
      </c>
      <c r="L24" s="8">
        <v>2022</v>
      </c>
      <c r="M24" s="8">
        <f t="shared" si="0"/>
        <v>15</v>
      </c>
      <c r="N24" s="8">
        <v>40</v>
      </c>
      <c r="O24" s="8">
        <v>0.05</v>
      </c>
      <c r="P24" s="10">
        <f t="shared" si="10"/>
        <v>2.375E-2</v>
      </c>
      <c r="Q24" s="11">
        <v>1200</v>
      </c>
      <c r="R24" s="58">
        <f t="shared" si="5"/>
        <v>12916.68</v>
      </c>
      <c r="S24" s="12">
        <f t="shared" si="9"/>
        <v>18869719.478399999</v>
      </c>
      <c r="T24" s="12">
        <f t="shared" si="6"/>
        <v>6722337.5641799998</v>
      </c>
      <c r="U24" s="12">
        <f t="shared" si="7"/>
        <v>12147381.91422</v>
      </c>
      <c r="V24" s="8">
        <v>0</v>
      </c>
      <c r="W24" s="12">
        <f t="shared" si="8"/>
        <v>12147381.91422</v>
      </c>
    </row>
    <row r="25" spans="2:23" x14ac:dyDescent="0.25">
      <c r="B25" s="1">
        <v>21</v>
      </c>
      <c r="C25" s="69" t="s">
        <v>113</v>
      </c>
      <c r="D25" s="70" t="s">
        <v>74</v>
      </c>
      <c r="E25" s="70" t="s">
        <v>123</v>
      </c>
      <c r="F25" s="8" t="s">
        <v>28</v>
      </c>
      <c r="G25" s="71">
        <v>140.49900000000002</v>
      </c>
      <c r="H25" s="59">
        <f t="shared" si="1"/>
        <v>1512.3171861000003</v>
      </c>
      <c r="I25" s="20">
        <f t="shared" si="2"/>
        <v>0</v>
      </c>
      <c r="J25" s="66"/>
      <c r="K25" s="1">
        <v>2007</v>
      </c>
      <c r="L25" s="8">
        <v>2022</v>
      </c>
      <c r="M25" s="8">
        <f t="shared" si="0"/>
        <v>15</v>
      </c>
      <c r="N25" s="8">
        <v>60</v>
      </c>
      <c r="O25" s="8">
        <v>0.05</v>
      </c>
      <c r="P25" s="10">
        <f t="shared" si="10"/>
        <v>1.5833333333333331E-2</v>
      </c>
      <c r="Q25" s="11">
        <v>1000</v>
      </c>
      <c r="R25" s="58">
        <f t="shared" si="5"/>
        <v>10763.9</v>
      </c>
      <c r="S25" s="12">
        <f t="shared" si="9"/>
        <v>1512317.1861000003</v>
      </c>
      <c r="T25" s="12">
        <f t="shared" si="6"/>
        <v>359175.33169875003</v>
      </c>
      <c r="U25" s="12">
        <f t="shared" si="7"/>
        <v>1153141.8544012504</v>
      </c>
      <c r="V25" s="8">
        <v>0</v>
      </c>
      <c r="W25" s="12">
        <f t="shared" si="8"/>
        <v>1153141.8544012504</v>
      </c>
    </row>
    <row r="26" spans="2:23" x14ac:dyDescent="0.25">
      <c r="B26" s="1">
        <v>22</v>
      </c>
      <c r="C26" s="69" t="s">
        <v>2</v>
      </c>
      <c r="D26" s="70" t="s">
        <v>75</v>
      </c>
      <c r="E26" s="70" t="s">
        <v>119</v>
      </c>
      <c r="F26" s="8" t="s">
        <v>28</v>
      </c>
      <c r="G26" s="71">
        <v>480</v>
      </c>
      <c r="H26" s="59">
        <f t="shared" si="1"/>
        <v>5166.6719999999996</v>
      </c>
      <c r="I26" s="20">
        <f t="shared" si="2"/>
        <v>5</v>
      </c>
      <c r="J26" s="71">
        <f>5/(0.3048)</f>
        <v>16.404199475065617</v>
      </c>
      <c r="K26" s="1">
        <v>2007</v>
      </c>
      <c r="L26" s="8">
        <v>2022</v>
      </c>
      <c r="M26" s="8">
        <f t="shared" si="0"/>
        <v>15</v>
      </c>
      <c r="N26" s="8">
        <v>60</v>
      </c>
      <c r="O26" s="8">
        <v>0.05</v>
      </c>
      <c r="P26" s="10">
        <f t="shared" si="10"/>
        <v>1.5833333333333331E-2</v>
      </c>
      <c r="Q26" s="11">
        <v>1200</v>
      </c>
      <c r="R26" s="58">
        <f t="shared" si="5"/>
        <v>12916.68</v>
      </c>
      <c r="S26" s="12">
        <f t="shared" si="9"/>
        <v>6200006.4000000004</v>
      </c>
      <c r="T26" s="12">
        <f t="shared" si="6"/>
        <v>1472501.52</v>
      </c>
      <c r="U26" s="12">
        <f t="shared" si="7"/>
        <v>4727504.8800000008</v>
      </c>
      <c r="V26" s="8">
        <v>0</v>
      </c>
      <c r="W26" s="12">
        <f t="shared" si="8"/>
        <v>4727504.8800000008</v>
      </c>
    </row>
    <row r="27" spans="2:23" x14ac:dyDescent="0.25">
      <c r="B27" s="1">
        <v>23</v>
      </c>
      <c r="C27" s="69" t="s">
        <v>2</v>
      </c>
      <c r="D27" s="70" t="s">
        <v>76</v>
      </c>
      <c r="E27" s="70" t="s">
        <v>119</v>
      </c>
      <c r="F27" s="8" t="s">
        <v>28</v>
      </c>
      <c r="G27" s="71">
        <v>384</v>
      </c>
      <c r="H27" s="59">
        <f t="shared" si="1"/>
        <v>4133.3375999999998</v>
      </c>
      <c r="I27" s="20">
        <f t="shared" si="2"/>
        <v>5</v>
      </c>
      <c r="J27" s="71">
        <f>5/(0.3048)</f>
        <v>16.404199475065617</v>
      </c>
      <c r="K27" s="1">
        <v>2007</v>
      </c>
      <c r="L27" s="8">
        <v>2022</v>
      </c>
      <c r="M27" s="8">
        <f t="shared" si="0"/>
        <v>15</v>
      </c>
      <c r="N27" s="8">
        <v>60</v>
      </c>
      <c r="O27" s="8">
        <v>0.05</v>
      </c>
      <c r="P27" s="10">
        <f t="shared" si="10"/>
        <v>1.5833333333333331E-2</v>
      </c>
      <c r="Q27" s="11">
        <v>1200</v>
      </c>
      <c r="R27" s="58">
        <f t="shared" si="5"/>
        <v>12916.68</v>
      </c>
      <c r="S27" s="12">
        <f t="shared" si="9"/>
        <v>4960005.12</v>
      </c>
      <c r="T27" s="12">
        <f t="shared" si="6"/>
        <v>1178001.216</v>
      </c>
      <c r="U27" s="12">
        <f t="shared" si="7"/>
        <v>3782003.9040000001</v>
      </c>
      <c r="V27" s="8">
        <v>0</v>
      </c>
      <c r="W27" s="12">
        <f t="shared" si="8"/>
        <v>3782003.9040000001</v>
      </c>
    </row>
    <row r="28" spans="2:23" s="48" customFormat="1" x14ac:dyDescent="0.25">
      <c r="B28" s="205">
        <v>24</v>
      </c>
      <c r="C28" s="69" t="s">
        <v>113</v>
      </c>
      <c r="D28" s="70" t="s">
        <v>77</v>
      </c>
      <c r="E28" s="70" t="s">
        <v>122</v>
      </c>
      <c r="F28" s="206" t="s">
        <v>28</v>
      </c>
      <c r="G28" s="71">
        <v>1800</v>
      </c>
      <c r="H28" s="207">
        <f t="shared" si="1"/>
        <v>19375.02</v>
      </c>
      <c r="I28" s="66">
        <f t="shared" si="2"/>
        <v>1.25</v>
      </c>
      <c r="J28" s="71">
        <f>1.25/(0.3048)</f>
        <v>4.1010498687664043</v>
      </c>
      <c r="K28" s="205">
        <v>2007</v>
      </c>
      <c r="L28" s="206">
        <v>2022</v>
      </c>
      <c r="M28" s="206">
        <f t="shared" si="0"/>
        <v>15</v>
      </c>
      <c r="N28" s="206">
        <v>60</v>
      </c>
      <c r="O28" s="206">
        <v>0.05</v>
      </c>
      <c r="P28" s="208">
        <f t="shared" si="10"/>
        <v>1.5833333333333331E-2</v>
      </c>
      <c r="Q28" s="46">
        <v>700</v>
      </c>
      <c r="R28" s="46">
        <f t="shared" si="5"/>
        <v>7534.73</v>
      </c>
      <c r="S28" s="47">
        <f t="shared" si="9"/>
        <v>13562514</v>
      </c>
      <c r="T28" s="47">
        <f t="shared" si="6"/>
        <v>3221097.0749999993</v>
      </c>
      <c r="U28" s="47">
        <f t="shared" si="7"/>
        <v>10341416.925000001</v>
      </c>
      <c r="V28" s="8">
        <v>0</v>
      </c>
      <c r="W28" s="47">
        <f t="shared" si="8"/>
        <v>10341416.925000001</v>
      </c>
    </row>
    <row r="29" spans="2:23" x14ac:dyDescent="0.25">
      <c r="B29" s="1">
        <v>25</v>
      </c>
      <c r="C29" s="69" t="s">
        <v>113</v>
      </c>
      <c r="D29" s="70" t="s">
        <v>78</v>
      </c>
      <c r="E29" s="70" t="s">
        <v>114</v>
      </c>
      <c r="F29" s="8" t="s">
        <v>28</v>
      </c>
      <c r="G29" s="71">
        <v>630</v>
      </c>
      <c r="H29" s="59">
        <f t="shared" si="1"/>
        <v>6781.2569999999996</v>
      </c>
      <c r="I29" s="20">
        <f t="shared" si="2"/>
        <v>10.130000000000001</v>
      </c>
      <c r="J29" s="71">
        <f>10.13/(0.3048)</f>
        <v>33.234908136482943</v>
      </c>
      <c r="K29" s="1">
        <v>2007</v>
      </c>
      <c r="L29" s="8">
        <v>2022</v>
      </c>
      <c r="M29" s="8">
        <f t="shared" si="0"/>
        <v>15</v>
      </c>
      <c r="N29" s="8">
        <v>40</v>
      </c>
      <c r="O29" s="8">
        <v>0.05</v>
      </c>
      <c r="P29" s="10">
        <f t="shared" si="10"/>
        <v>2.375E-2</v>
      </c>
      <c r="Q29" s="46">
        <v>1300</v>
      </c>
      <c r="R29" s="46">
        <f t="shared" si="5"/>
        <v>13993.07</v>
      </c>
      <c r="S29" s="47">
        <f t="shared" si="9"/>
        <v>8815634.0999999996</v>
      </c>
      <c r="T29" s="47">
        <f t="shared" si="6"/>
        <v>3140569.6481250003</v>
      </c>
      <c r="U29" s="47">
        <f t="shared" si="7"/>
        <v>5675064.4518749993</v>
      </c>
      <c r="V29" s="8">
        <v>0</v>
      </c>
      <c r="W29" s="12">
        <f t="shared" si="8"/>
        <v>5675064.4518749993</v>
      </c>
    </row>
    <row r="30" spans="2:23" x14ac:dyDescent="0.25">
      <c r="B30" s="1">
        <v>26</v>
      </c>
      <c r="C30" s="69" t="s">
        <v>113</v>
      </c>
      <c r="D30" s="70" t="s">
        <v>79</v>
      </c>
      <c r="E30" s="70" t="s">
        <v>124</v>
      </c>
      <c r="F30" s="8" t="s">
        <v>28</v>
      </c>
      <c r="G30" s="71">
        <v>432</v>
      </c>
      <c r="H30" s="59">
        <f t="shared" si="1"/>
        <v>4650.0047999999997</v>
      </c>
      <c r="I30" s="20">
        <f t="shared" si="2"/>
        <v>6.9</v>
      </c>
      <c r="J30" s="71">
        <f>6.9/(0.3048)</f>
        <v>22.637795275590552</v>
      </c>
      <c r="K30" s="1">
        <v>2007</v>
      </c>
      <c r="L30" s="8">
        <v>2022</v>
      </c>
      <c r="M30" s="8">
        <f t="shared" si="0"/>
        <v>15</v>
      </c>
      <c r="N30" s="8">
        <v>60</v>
      </c>
      <c r="O30" s="8">
        <v>0.05</v>
      </c>
      <c r="P30" s="10">
        <f t="shared" si="10"/>
        <v>1.5833333333333331E-2</v>
      </c>
      <c r="Q30" s="46">
        <v>1200</v>
      </c>
      <c r="R30" s="46">
        <f t="shared" si="5"/>
        <v>12916.68</v>
      </c>
      <c r="S30" s="47">
        <f t="shared" si="9"/>
        <v>5580005.7599999998</v>
      </c>
      <c r="T30" s="47">
        <f t="shared" si="6"/>
        <v>1325251.3679999998</v>
      </c>
      <c r="U30" s="47">
        <f t="shared" si="7"/>
        <v>4254754.392</v>
      </c>
      <c r="V30" s="8">
        <v>0</v>
      </c>
      <c r="W30" s="12">
        <f t="shared" si="8"/>
        <v>4254754.392</v>
      </c>
    </row>
    <row r="31" spans="2:23" x14ac:dyDescent="0.25">
      <c r="B31" s="1">
        <v>27</v>
      </c>
      <c r="C31" s="69" t="s">
        <v>113</v>
      </c>
      <c r="D31" s="70" t="s">
        <v>80</v>
      </c>
      <c r="E31" s="70" t="s">
        <v>125</v>
      </c>
      <c r="F31" s="8" t="s">
        <v>28</v>
      </c>
      <c r="G31" s="71">
        <v>972</v>
      </c>
      <c r="H31" s="59">
        <f t="shared" si="1"/>
        <v>10462.5108</v>
      </c>
      <c r="I31" s="20">
        <f t="shared" si="2"/>
        <v>4.5</v>
      </c>
      <c r="J31" s="71">
        <f>4.5/(0.3048)</f>
        <v>14.763779527559054</v>
      </c>
      <c r="K31" s="1">
        <v>2007</v>
      </c>
      <c r="L31" s="8">
        <v>2022</v>
      </c>
      <c r="M31" s="8">
        <f t="shared" si="0"/>
        <v>15</v>
      </c>
      <c r="N31" s="8">
        <v>60</v>
      </c>
      <c r="O31" s="8">
        <v>0.05</v>
      </c>
      <c r="P31" s="10">
        <f t="shared" si="10"/>
        <v>1.5833333333333331E-2</v>
      </c>
      <c r="Q31" s="46">
        <v>1200</v>
      </c>
      <c r="R31" s="46">
        <f t="shared" si="5"/>
        <v>12916.68</v>
      </c>
      <c r="S31" s="47">
        <f t="shared" si="9"/>
        <v>12555012.960000001</v>
      </c>
      <c r="T31" s="47">
        <f t="shared" si="6"/>
        <v>2981815.5779999997</v>
      </c>
      <c r="U31" s="47">
        <f t="shared" si="7"/>
        <v>9573197.3820000011</v>
      </c>
      <c r="V31" s="8">
        <v>0</v>
      </c>
      <c r="W31" s="12">
        <f t="shared" si="8"/>
        <v>9573197.3820000011</v>
      </c>
    </row>
    <row r="32" spans="2:23" x14ac:dyDescent="0.25">
      <c r="B32" s="1">
        <v>28</v>
      </c>
      <c r="C32" s="69" t="s">
        <v>1</v>
      </c>
      <c r="D32" s="70" t="s">
        <v>81</v>
      </c>
      <c r="E32" s="70" t="s">
        <v>124</v>
      </c>
      <c r="F32" s="8" t="s">
        <v>28</v>
      </c>
      <c r="G32" s="71">
        <v>972</v>
      </c>
      <c r="H32" s="59">
        <f t="shared" si="1"/>
        <v>10462.5108</v>
      </c>
      <c r="I32" s="20">
        <f t="shared" si="2"/>
        <v>4.5</v>
      </c>
      <c r="J32" s="71">
        <f>4.5/(0.3048)</f>
        <v>14.763779527559054</v>
      </c>
      <c r="K32" s="1">
        <v>2007</v>
      </c>
      <c r="L32" s="8">
        <v>2022</v>
      </c>
      <c r="M32" s="8">
        <f t="shared" si="0"/>
        <v>15</v>
      </c>
      <c r="N32" s="8">
        <v>60</v>
      </c>
      <c r="O32" s="8">
        <v>0.05</v>
      </c>
      <c r="P32" s="10">
        <f t="shared" si="10"/>
        <v>1.5833333333333331E-2</v>
      </c>
      <c r="Q32" s="46">
        <v>1200</v>
      </c>
      <c r="R32" s="46">
        <f t="shared" si="5"/>
        <v>12916.68</v>
      </c>
      <c r="S32" s="47">
        <f t="shared" si="9"/>
        <v>12555012.960000001</v>
      </c>
      <c r="T32" s="47">
        <f t="shared" si="6"/>
        <v>2981815.5779999997</v>
      </c>
      <c r="U32" s="47">
        <f t="shared" si="7"/>
        <v>9573197.3820000011</v>
      </c>
      <c r="V32" s="8">
        <v>0</v>
      </c>
      <c r="W32" s="12">
        <f t="shared" si="8"/>
        <v>9573197.3820000011</v>
      </c>
    </row>
    <row r="33" spans="2:23" x14ac:dyDescent="0.25">
      <c r="B33" s="1">
        <v>29</v>
      </c>
      <c r="C33" s="69" t="s">
        <v>113</v>
      </c>
      <c r="D33" s="70" t="s">
        <v>82</v>
      </c>
      <c r="E33" s="70" t="s">
        <v>122</v>
      </c>
      <c r="F33" s="8" t="s">
        <v>28</v>
      </c>
      <c r="G33" s="71">
        <v>16</v>
      </c>
      <c r="H33" s="9">
        <f t="shared" si="1"/>
        <v>172.22239999999999</v>
      </c>
      <c r="I33" s="20">
        <f t="shared" si="2"/>
        <v>3.9999999999999996</v>
      </c>
      <c r="J33" s="71">
        <f>4/(0.3048)</f>
        <v>13.123359580052492</v>
      </c>
      <c r="K33" s="1">
        <v>2007</v>
      </c>
      <c r="L33" s="8">
        <v>2022</v>
      </c>
      <c r="M33" s="8">
        <f t="shared" si="0"/>
        <v>15</v>
      </c>
      <c r="N33" s="8">
        <v>60</v>
      </c>
      <c r="O33" s="8">
        <v>0.05</v>
      </c>
      <c r="P33" s="10">
        <f t="shared" si="10"/>
        <v>1.5833333333333331E-2</v>
      </c>
      <c r="Q33" s="46">
        <v>1100</v>
      </c>
      <c r="R33" s="46">
        <f t="shared" si="5"/>
        <v>11840.289999999999</v>
      </c>
      <c r="S33" s="47">
        <f t="shared" si="9"/>
        <v>189444.63999999998</v>
      </c>
      <c r="T33" s="47">
        <f t="shared" si="6"/>
        <v>44993.101999999984</v>
      </c>
      <c r="U33" s="47">
        <f t="shared" si="7"/>
        <v>144451.538</v>
      </c>
      <c r="V33" s="8">
        <v>0</v>
      </c>
      <c r="W33" s="12">
        <f t="shared" si="8"/>
        <v>144451.538</v>
      </c>
    </row>
    <row r="34" spans="2:23" x14ac:dyDescent="0.25">
      <c r="B34" s="1">
        <v>30</v>
      </c>
      <c r="C34" s="69" t="s">
        <v>113</v>
      </c>
      <c r="D34" s="70" t="s">
        <v>83</v>
      </c>
      <c r="E34" s="70" t="s">
        <v>122</v>
      </c>
      <c r="F34" s="8" t="s">
        <v>28</v>
      </c>
      <c r="G34" s="71">
        <v>16</v>
      </c>
      <c r="H34" s="9">
        <f t="shared" si="1"/>
        <v>172.22239999999999</v>
      </c>
      <c r="I34" s="20">
        <f t="shared" si="2"/>
        <v>3.9999999999999996</v>
      </c>
      <c r="J34" s="71">
        <f>4/(0.3048)</f>
        <v>13.123359580052492</v>
      </c>
      <c r="K34" s="1">
        <v>2007</v>
      </c>
      <c r="L34" s="8">
        <v>2022</v>
      </c>
      <c r="M34" s="8">
        <f t="shared" si="0"/>
        <v>15</v>
      </c>
      <c r="N34" s="8">
        <v>60</v>
      </c>
      <c r="O34" s="8">
        <v>0.05</v>
      </c>
      <c r="P34" s="10">
        <f t="shared" si="10"/>
        <v>1.5833333333333331E-2</v>
      </c>
      <c r="Q34" s="46">
        <v>1100</v>
      </c>
      <c r="R34" s="46">
        <f t="shared" si="5"/>
        <v>11840.289999999999</v>
      </c>
      <c r="S34" s="47">
        <f t="shared" si="9"/>
        <v>189444.63999999998</v>
      </c>
      <c r="T34" s="47">
        <f t="shared" si="6"/>
        <v>44993.101999999984</v>
      </c>
      <c r="U34" s="47">
        <f t="shared" si="7"/>
        <v>144451.538</v>
      </c>
      <c r="V34" s="8">
        <v>0</v>
      </c>
      <c r="W34" s="12">
        <f t="shared" si="8"/>
        <v>144451.538</v>
      </c>
    </row>
    <row r="35" spans="2:23" x14ac:dyDescent="0.25">
      <c r="B35" s="1">
        <v>31</v>
      </c>
      <c r="C35" s="69" t="s">
        <v>113</v>
      </c>
      <c r="D35" s="70" t="s">
        <v>84</v>
      </c>
      <c r="E35" s="70" t="s">
        <v>122</v>
      </c>
      <c r="F35" s="8" t="s">
        <v>28</v>
      </c>
      <c r="G35" s="71">
        <v>16</v>
      </c>
      <c r="H35" s="9">
        <f t="shared" si="1"/>
        <v>172.22239999999999</v>
      </c>
      <c r="I35" s="20">
        <f t="shared" si="2"/>
        <v>3.0000000000000004</v>
      </c>
      <c r="J35" s="71">
        <f>3/(0.3048)</f>
        <v>9.8425196850393704</v>
      </c>
      <c r="K35" s="1">
        <v>2007</v>
      </c>
      <c r="L35" s="8">
        <v>2022</v>
      </c>
      <c r="M35" s="8">
        <f t="shared" si="0"/>
        <v>15</v>
      </c>
      <c r="N35" s="8">
        <v>60</v>
      </c>
      <c r="O35" s="8">
        <v>0.05</v>
      </c>
      <c r="P35" s="10">
        <f t="shared" si="10"/>
        <v>1.5833333333333331E-2</v>
      </c>
      <c r="Q35" s="46">
        <v>1000</v>
      </c>
      <c r="R35" s="46">
        <f t="shared" si="5"/>
        <v>10763.9</v>
      </c>
      <c r="S35" s="47">
        <f t="shared" si="9"/>
        <v>172222.4</v>
      </c>
      <c r="T35" s="47">
        <f t="shared" si="6"/>
        <v>40902.819999999992</v>
      </c>
      <c r="U35" s="47">
        <f t="shared" si="7"/>
        <v>131319.58000000002</v>
      </c>
      <c r="V35" s="8">
        <v>0</v>
      </c>
      <c r="W35" s="12">
        <f t="shared" si="8"/>
        <v>131319.58000000002</v>
      </c>
    </row>
    <row r="36" spans="2:23" x14ac:dyDescent="0.25">
      <c r="B36" s="1">
        <v>32</v>
      </c>
      <c r="C36" s="69" t="s">
        <v>1</v>
      </c>
      <c r="D36" s="70" t="s">
        <v>85</v>
      </c>
      <c r="E36" s="70" t="s">
        <v>119</v>
      </c>
      <c r="F36" s="8" t="s">
        <v>28</v>
      </c>
      <c r="G36" s="71">
        <v>434.75</v>
      </c>
      <c r="H36" s="9">
        <f t="shared" si="1"/>
        <v>4679.6055249999999</v>
      </c>
      <c r="I36" s="20">
        <f t="shared" si="2"/>
        <v>3.9999999999999996</v>
      </c>
      <c r="J36" s="71">
        <f>4/(0.3048)</f>
        <v>13.123359580052492</v>
      </c>
      <c r="K36" s="1">
        <v>2007</v>
      </c>
      <c r="L36" s="8">
        <v>2022</v>
      </c>
      <c r="M36" s="8">
        <f t="shared" si="0"/>
        <v>15</v>
      </c>
      <c r="N36" s="8">
        <v>60</v>
      </c>
      <c r="O36" s="8">
        <v>0.05</v>
      </c>
      <c r="P36" s="10">
        <f t="shared" si="10"/>
        <v>1.5833333333333331E-2</v>
      </c>
      <c r="Q36" s="46">
        <v>1500</v>
      </c>
      <c r="R36" s="46">
        <f t="shared" si="5"/>
        <v>16145.849999999999</v>
      </c>
      <c r="S36" s="47">
        <f t="shared" si="9"/>
        <v>7019408.2874999996</v>
      </c>
      <c r="T36" s="47">
        <f t="shared" si="6"/>
        <v>1667109.4682812497</v>
      </c>
      <c r="U36" s="47">
        <f t="shared" si="7"/>
        <v>5352298.8192187501</v>
      </c>
      <c r="V36" s="8">
        <v>0</v>
      </c>
      <c r="W36" s="12">
        <f t="shared" si="8"/>
        <v>5352298.8192187501</v>
      </c>
    </row>
    <row r="37" spans="2:23" x14ac:dyDescent="0.25">
      <c r="B37" s="1">
        <v>33</v>
      </c>
      <c r="C37" s="69" t="s">
        <v>113</v>
      </c>
      <c r="D37" s="70" t="s">
        <v>86</v>
      </c>
      <c r="E37" s="70" t="s">
        <v>119</v>
      </c>
      <c r="F37" s="8" t="s">
        <v>28</v>
      </c>
      <c r="G37" s="71">
        <v>434.75</v>
      </c>
      <c r="H37" s="9">
        <f t="shared" si="1"/>
        <v>4679.6055249999999</v>
      </c>
      <c r="I37" s="20">
        <f t="shared" si="2"/>
        <v>3.9999999999999996</v>
      </c>
      <c r="J37" s="71">
        <f>4/(0.3048)</f>
        <v>13.123359580052492</v>
      </c>
      <c r="K37" s="1">
        <v>2007</v>
      </c>
      <c r="L37" s="8">
        <v>2022</v>
      </c>
      <c r="M37" s="8">
        <f t="shared" si="0"/>
        <v>15</v>
      </c>
      <c r="N37" s="8">
        <v>60</v>
      </c>
      <c r="O37" s="8">
        <v>0.05</v>
      </c>
      <c r="P37" s="10">
        <f t="shared" si="10"/>
        <v>1.5833333333333331E-2</v>
      </c>
      <c r="Q37" s="46">
        <v>1500</v>
      </c>
      <c r="R37" s="46">
        <f t="shared" si="5"/>
        <v>16145.849999999999</v>
      </c>
      <c r="S37" s="47">
        <f t="shared" si="9"/>
        <v>7019408.2874999996</v>
      </c>
      <c r="T37" s="47">
        <f t="shared" si="6"/>
        <v>1667109.4682812497</v>
      </c>
      <c r="U37" s="47">
        <f t="shared" si="7"/>
        <v>5352298.8192187501</v>
      </c>
      <c r="V37" s="8">
        <v>0</v>
      </c>
      <c r="W37" s="12">
        <f t="shared" si="8"/>
        <v>5352298.8192187501</v>
      </c>
    </row>
    <row r="38" spans="2:23" x14ac:dyDescent="0.25">
      <c r="B38" s="1">
        <v>34</v>
      </c>
      <c r="C38" s="69" t="s">
        <v>113</v>
      </c>
      <c r="D38" s="70" t="s">
        <v>87</v>
      </c>
      <c r="E38" s="70" t="s">
        <v>124</v>
      </c>
      <c r="F38" s="8" t="s">
        <v>28</v>
      </c>
      <c r="G38" s="71">
        <v>564.78093000000001</v>
      </c>
      <c r="H38" s="9">
        <f t="shared" si="1"/>
        <v>6079.2454524269997</v>
      </c>
      <c r="I38" s="20">
        <f t="shared" si="2"/>
        <v>5.2519999999999998</v>
      </c>
      <c r="J38" s="71">
        <f>5.252/(0.3048)</f>
        <v>17.230971128608921</v>
      </c>
      <c r="K38" s="1">
        <v>2007</v>
      </c>
      <c r="L38" s="8">
        <v>2022</v>
      </c>
      <c r="M38" s="8">
        <f t="shared" si="0"/>
        <v>15</v>
      </c>
      <c r="N38" s="8">
        <v>60</v>
      </c>
      <c r="O38" s="8">
        <v>0.05</v>
      </c>
      <c r="P38" s="10">
        <f t="shared" si="10"/>
        <v>1.5833333333333331E-2</v>
      </c>
      <c r="Q38" s="46">
        <v>1200</v>
      </c>
      <c r="R38" s="46">
        <f t="shared" si="5"/>
        <v>12916.68</v>
      </c>
      <c r="S38" s="47">
        <f t="shared" si="9"/>
        <v>7295094.5429124003</v>
      </c>
      <c r="T38" s="47">
        <f t="shared" si="6"/>
        <v>1732584.9539416949</v>
      </c>
      <c r="U38" s="47">
        <f t="shared" si="7"/>
        <v>5562509.5889707059</v>
      </c>
      <c r="V38" s="8">
        <v>0</v>
      </c>
      <c r="W38" s="12">
        <f t="shared" si="8"/>
        <v>5562509.5889707059</v>
      </c>
    </row>
    <row r="39" spans="2:23" x14ac:dyDescent="0.25">
      <c r="B39" s="1">
        <v>35</v>
      </c>
      <c r="C39" s="69" t="s">
        <v>113</v>
      </c>
      <c r="D39" s="70" t="s">
        <v>88</v>
      </c>
      <c r="E39" s="70" t="s">
        <v>126</v>
      </c>
      <c r="F39" s="8" t="s">
        <v>28</v>
      </c>
      <c r="G39" s="71">
        <v>96</v>
      </c>
      <c r="H39" s="9">
        <f t="shared" si="1"/>
        <v>1033.3344</v>
      </c>
      <c r="I39" s="20">
        <f t="shared" si="2"/>
        <v>3.2</v>
      </c>
      <c r="J39" s="71">
        <f>3.2/(0.3048)</f>
        <v>10.498687664041995</v>
      </c>
      <c r="K39" s="1">
        <v>2007</v>
      </c>
      <c r="L39" s="8">
        <v>2022</v>
      </c>
      <c r="M39" s="8">
        <f t="shared" si="0"/>
        <v>15</v>
      </c>
      <c r="N39" s="8">
        <v>60</v>
      </c>
      <c r="O39" s="8">
        <v>0.05</v>
      </c>
      <c r="P39" s="10">
        <f t="shared" si="10"/>
        <v>1.5833333333333331E-2</v>
      </c>
      <c r="Q39" s="46">
        <v>1100</v>
      </c>
      <c r="R39" s="46">
        <f t="shared" si="5"/>
        <v>11840.289999999999</v>
      </c>
      <c r="S39" s="47">
        <f t="shared" si="9"/>
        <v>1136667.8399999999</v>
      </c>
      <c r="T39" s="47">
        <f t="shared" si="6"/>
        <v>269958.61199999996</v>
      </c>
      <c r="U39" s="47">
        <f t="shared" si="7"/>
        <v>866709.22799999989</v>
      </c>
      <c r="V39" s="8">
        <v>0</v>
      </c>
      <c r="W39" s="12">
        <f t="shared" si="8"/>
        <v>866709.22799999989</v>
      </c>
    </row>
    <row r="40" spans="2:23" x14ac:dyDescent="0.25">
      <c r="B40" s="1">
        <v>36</v>
      </c>
      <c r="C40" s="69" t="s">
        <v>113</v>
      </c>
      <c r="D40" s="70" t="s">
        <v>89</v>
      </c>
      <c r="E40" s="70" t="s">
        <v>126</v>
      </c>
      <c r="F40" s="8" t="s">
        <v>28</v>
      </c>
      <c r="G40" s="71">
        <v>72</v>
      </c>
      <c r="H40" s="59">
        <f t="shared" si="1"/>
        <v>775.00080000000003</v>
      </c>
      <c r="I40" s="20">
        <f t="shared" si="2"/>
        <v>3.2</v>
      </c>
      <c r="J40" s="71">
        <f>3.2/(0.3048)</f>
        <v>10.498687664041995</v>
      </c>
      <c r="K40" s="1">
        <v>2007</v>
      </c>
      <c r="L40" s="8">
        <v>2022</v>
      </c>
      <c r="M40" s="8">
        <f t="shared" si="0"/>
        <v>15</v>
      </c>
      <c r="N40" s="8">
        <v>60</v>
      </c>
      <c r="O40" s="8">
        <v>0.05</v>
      </c>
      <c r="P40" s="10">
        <f t="shared" si="10"/>
        <v>1.5833333333333331E-2</v>
      </c>
      <c r="Q40" s="46">
        <v>1100</v>
      </c>
      <c r="R40" s="46">
        <f t="shared" si="5"/>
        <v>11840.289999999999</v>
      </c>
      <c r="S40" s="47">
        <f t="shared" si="9"/>
        <v>852500.87999999989</v>
      </c>
      <c r="T40" s="47">
        <f t="shared" si="6"/>
        <v>202468.95899999994</v>
      </c>
      <c r="U40" s="47">
        <f t="shared" si="7"/>
        <v>650031.92099999997</v>
      </c>
      <c r="V40" s="8">
        <v>0</v>
      </c>
      <c r="W40" s="12">
        <f t="shared" si="8"/>
        <v>650031.92099999997</v>
      </c>
    </row>
    <row r="41" spans="2:23" x14ac:dyDescent="0.25">
      <c r="B41" s="1">
        <v>37</v>
      </c>
      <c r="C41" s="69" t="s">
        <v>113</v>
      </c>
      <c r="D41" s="70" t="s">
        <v>90</v>
      </c>
      <c r="E41" s="70" t="s">
        <v>125</v>
      </c>
      <c r="F41" s="8" t="s">
        <v>28</v>
      </c>
      <c r="G41" s="71">
        <v>46.483469999999997</v>
      </c>
      <c r="H41" s="59">
        <f t="shared" si="1"/>
        <v>500.34342273299995</v>
      </c>
      <c r="I41" s="20">
        <f t="shared" si="2"/>
        <v>3.9999999999999996</v>
      </c>
      <c r="J41" s="71">
        <f>4/(0.3048)</f>
        <v>13.123359580052492</v>
      </c>
      <c r="K41" s="1">
        <v>2007</v>
      </c>
      <c r="L41" s="8">
        <v>2022</v>
      </c>
      <c r="M41" s="8">
        <f t="shared" si="0"/>
        <v>15</v>
      </c>
      <c r="N41" s="8">
        <v>60</v>
      </c>
      <c r="O41" s="8">
        <v>0.05</v>
      </c>
      <c r="P41" s="10">
        <f t="shared" si="10"/>
        <v>1.5833333333333331E-2</v>
      </c>
      <c r="Q41" s="46">
        <v>1100</v>
      </c>
      <c r="R41" s="46">
        <f t="shared" si="5"/>
        <v>11840.289999999999</v>
      </c>
      <c r="S41" s="47">
        <f t="shared" si="9"/>
        <v>550377.76500629995</v>
      </c>
      <c r="T41" s="47">
        <f t="shared" si="6"/>
        <v>130714.71918899623</v>
      </c>
      <c r="U41" s="47">
        <f t="shared" si="7"/>
        <v>419663.0458173037</v>
      </c>
      <c r="V41" s="8">
        <v>0</v>
      </c>
      <c r="W41" s="12">
        <f t="shared" si="8"/>
        <v>419663.0458173037</v>
      </c>
    </row>
    <row r="42" spans="2:23" x14ac:dyDescent="0.25">
      <c r="B42" s="1">
        <v>38</v>
      </c>
      <c r="C42" s="69" t="s">
        <v>113</v>
      </c>
      <c r="D42" s="70" t="s">
        <v>91</v>
      </c>
      <c r="E42" s="70" t="s">
        <v>125</v>
      </c>
      <c r="F42" s="8" t="s">
        <v>28</v>
      </c>
      <c r="G42" s="71">
        <v>46.483469999999997</v>
      </c>
      <c r="H42" s="59">
        <f t="shared" si="1"/>
        <v>500.34342273299995</v>
      </c>
      <c r="I42" s="20">
        <f t="shared" si="2"/>
        <v>3.9999999999999996</v>
      </c>
      <c r="J42" s="71">
        <f>4/(0.3048)</f>
        <v>13.123359580052492</v>
      </c>
      <c r="K42" s="1">
        <v>2007</v>
      </c>
      <c r="L42" s="8">
        <v>2022</v>
      </c>
      <c r="M42" s="8">
        <f t="shared" si="0"/>
        <v>15</v>
      </c>
      <c r="N42" s="8">
        <v>60</v>
      </c>
      <c r="O42" s="8">
        <v>0.05</v>
      </c>
      <c r="P42" s="10">
        <f t="shared" si="10"/>
        <v>1.5833333333333331E-2</v>
      </c>
      <c r="Q42" s="46">
        <v>1100</v>
      </c>
      <c r="R42" s="46">
        <f t="shared" si="5"/>
        <v>11840.289999999999</v>
      </c>
      <c r="S42" s="47">
        <f t="shared" si="9"/>
        <v>550377.76500629995</v>
      </c>
      <c r="T42" s="47">
        <f t="shared" si="6"/>
        <v>130714.71918899623</v>
      </c>
      <c r="U42" s="47">
        <f t="shared" si="7"/>
        <v>419663.0458173037</v>
      </c>
      <c r="V42" s="8">
        <v>0</v>
      </c>
      <c r="W42" s="12">
        <f t="shared" si="8"/>
        <v>419663.0458173037</v>
      </c>
    </row>
    <row r="43" spans="2:23" x14ac:dyDescent="0.25">
      <c r="B43" s="1">
        <v>39</v>
      </c>
      <c r="C43" s="69" t="s">
        <v>113</v>
      </c>
      <c r="D43" s="70" t="s">
        <v>92</v>
      </c>
      <c r="E43" s="70" t="s">
        <v>125</v>
      </c>
      <c r="F43" s="8" t="s">
        <v>28</v>
      </c>
      <c r="G43" s="71">
        <v>16</v>
      </c>
      <c r="H43" s="59">
        <f t="shared" si="1"/>
        <v>172.22239999999999</v>
      </c>
      <c r="I43" s="20">
        <f t="shared" si="2"/>
        <v>3.9999999999999996</v>
      </c>
      <c r="J43" s="71">
        <f>4/(0.3048)</f>
        <v>13.123359580052492</v>
      </c>
      <c r="K43" s="1">
        <v>2007</v>
      </c>
      <c r="L43" s="8">
        <v>2022</v>
      </c>
      <c r="M43" s="8">
        <f t="shared" si="0"/>
        <v>15</v>
      </c>
      <c r="N43" s="8">
        <v>60</v>
      </c>
      <c r="O43" s="8">
        <v>0.05</v>
      </c>
      <c r="P43" s="10">
        <f t="shared" si="10"/>
        <v>1.5833333333333331E-2</v>
      </c>
      <c r="Q43" s="46">
        <v>1000</v>
      </c>
      <c r="R43" s="46">
        <f t="shared" si="5"/>
        <v>10763.9</v>
      </c>
      <c r="S43" s="47">
        <f t="shared" si="9"/>
        <v>172222.4</v>
      </c>
      <c r="T43" s="47">
        <f t="shared" si="6"/>
        <v>40902.819999999992</v>
      </c>
      <c r="U43" s="47">
        <f t="shared" si="7"/>
        <v>131319.58000000002</v>
      </c>
      <c r="V43" s="8">
        <v>0</v>
      </c>
      <c r="W43" s="12">
        <f t="shared" si="8"/>
        <v>131319.58000000002</v>
      </c>
    </row>
    <row r="44" spans="2:23" x14ac:dyDescent="0.25">
      <c r="B44" s="1">
        <v>40</v>
      </c>
      <c r="C44" s="69" t="s">
        <v>113</v>
      </c>
      <c r="D44" s="70" t="s">
        <v>93</v>
      </c>
      <c r="E44" s="70" t="s">
        <v>125</v>
      </c>
      <c r="F44" s="8" t="s">
        <v>28</v>
      </c>
      <c r="G44" s="71">
        <v>120</v>
      </c>
      <c r="H44" s="59">
        <f t="shared" si="1"/>
        <v>1291.6679999999999</v>
      </c>
      <c r="I44" s="20">
        <f t="shared" si="2"/>
        <v>3.9999999999999996</v>
      </c>
      <c r="J44" s="71">
        <f>4/(0.3048)</f>
        <v>13.123359580052492</v>
      </c>
      <c r="K44" s="1">
        <v>2007</v>
      </c>
      <c r="L44" s="8">
        <v>2022</v>
      </c>
      <c r="M44" s="8">
        <f t="shared" si="0"/>
        <v>15</v>
      </c>
      <c r="N44" s="8">
        <v>60</v>
      </c>
      <c r="O44" s="8">
        <v>0.05</v>
      </c>
      <c r="P44" s="10">
        <f t="shared" si="10"/>
        <v>1.5833333333333331E-2</v>
      </c>
      <c r="Q44" s="46">
        <v>1100</v>
      </c>
      <c r="R44" s="46">
        <f t="shared" si="5"/>
        <v>11840.289999999999</v>
      </c>
      <c r="S44" s="47">
        <f t="shared" si="9"/>
        <v>1420834.7999999998</v>
      </c>
      <c r="T44" s="47">
        <f t="shared" si="6"/>
        <v>337448.26499999996</v>
      </c>
      <c r="U44" s="47">
        <f t="shared" si="7"/>
        <v>1083386.5349999999</v>
      </c>
      <c r="V44" s="8">
        <v>0</v>
      </c>
      <c r="W44" s="12">
        <f t="shared" si="8"/>
        <v>1083386.5349999999</v>
      </c>
    </row>
    <row r="45" spans="2:23" x14ac:dyDescent="0.25">
      <c r="B45" s="1">
        <v>41</v>
      </c>
      <c r="C45" s="69" t="s">
        <v>113</v>
      </c>
      <c r="D45" s="70" t="s">
        <v>94</v>
      </c>
      <c r="E45" s="70" t="s">
        <v>126</v>
      </c>
      <c r="F45" s="8" t="s">
        <v>28</v>
      </c>
      <c r="G45" s="71">
        <v>60</v>
      </c>
      <c r="H45" s="59">
        <f t="shared" si="1"/>
        <v>645.83399999999995</v>
      </c>
      <c r="I45" s="20">
        <f t="shared" si="2"/>
        <v>3.0000000000000004</v>
      </c>
      <c r="J45" s="71">
        <f>3/(0.3048)</f>
        <v>9.8425196850393704</v>
      </c>
      <c r="K45" s="1">
        <v>2007</v>
      </c>
      <c r="L45" s="8">
        <v>2022</v>
      </c>
      <c r="M45" s="8">
        <f t="shared" si="0"/>
        <v>15</v>
      </c>
      <c r="N45" s="8">
        <v>60</v>
      </c>
      <c r="O45" s="8">
        <v>0.05</v>
      </c>
      <c r="P45" s="10">
        <f t="shared" si="10"/>
        <v>1.5833333333333331E-2</v>
      </c>
      <c r="Q45" s="46">
        <v>1000</v>
      </c>
      <c r="R45" s="46">
        <f t="shared" si="5"/>
        <v>10763.9</v>
      </c>
      <c r="S45" s="47">
        <f t="shared" si="9"/>
        <v>645834</v>
      </c>
      <c r="T45" s="47">
        <f t="shared" si="6"/>
        <v>153385.57499999998</v>
      </c>
      <c r="U45" s="47">
        <f t="shared" si="7"/>
        <v>492448.42500000005</v>
      </c>
      <c r="V45" s="8">
        <v>0</v>
      </c>
      <c r="W45" s="12">
        <f t="shared" si="8"/>
        <v>492448.42500000005</v>
      </c>
    </row>
    <row r="46" spans="2:23" x14ac:dyDescent="0.25">
      <c r="B46" s="1">
        <v>42</v>
      </c>
      <c r="C46" s="69" t="s">
        <v>1</v>
      </c>
      <c r="D46" s="70" t="s">
        <v>95</v>
      </c>
      <c r="E46" s="70" t="s">
        <v>127</v>
      </c>
      <c r="F46" s="8" t="s">
        <v>28</v>
      </c>
      <c r="G46" s="20">
        <v>75</v>
      </c>
      <c r="H46" s="59">
        <f t="shared" si="1"/>
        <v>807.29250000000002</v>
      </c>
      <c r="I46" s="20">
        <f t="shared" si="2"/>
        <v>3.2</v>
      </c>
      <c r="J46" s="71">
        <f>3.2/(0.3048)</f>
        <v>10.498687664041995</v>
      </c>
      <c r="K46" s="1">
        <v>2007</v>
      </c>
      <c r="L46" s="8">
        <v>2022</v>
      </c>
      <c r="M46" s="8">
        <f t="shared" si="0"/>
        <v>15</v>
      </c>
      <c r="N46" s="8">
        <v>60</v>
      </c>
      <c r="O46" s="8">
        <v>0.05</v>
      </c>
      <c r="P46" s="10">
        <f t="shared" si="10"/>
        <v>1.5833333333333331E-2</v>
      </c>
      <c r="Q46" s="46">
        <v>1000</v>
      </c>
      <c r="R46" s="46">
        <f t="shared" si="5"/>
        <v>10763.9</v>
      </c>
      <c r="S46" s="47">
        <f t="shared" si="9"/>
        <v>807292.5</v>
      </c>
      <c r="T46" s="47">
        <f t="shared" si="6"/>
        <v>191731.96874999997</v>
      </c>
      <c r="U46" s="47">
        <f t="shared" si="7"/>
        <v>615560.53125</v>
      </c>
      <c r="V46" s="8">
        <v>0</v>
      </c>
      <c r="W46" s="12">
        <f t="shared" si="8"/>
        <v>615560.53125</v>
      </c>
    </row>
    <row r="47" spans="2:23" x14ac:dyDescent="0.25">
      <c r="B47" s="1">
        <v>43</v>
      </c>
      <c r="C47" s="69" t="s">
        <v>113</v>
      </c>
      <c r="D47" s="70" t="s">
        <v>96</v>
      </c>
      <c r="E47" s="70" t="s">
        <v>127</v>
      </c>
      <c r="F47" s="8" t="s">
        <v>28</v>
      </c>
      <c r="G47" s="20">
        <v>18</v>
      </c>
      <c r="H47" s="59">
        <f t="shared" si="1"/>
        <v>193.75020000000001</v>
      </c>
      <c r="I47" s="20">
        <f t="shared" si="2"/>
        <v>3.2</v>
      </c>
      <c r="J47" s="71">
        <f>3.2/(0.3048)</f>
        <v>10.498687664041995</v>
      </c>
      <c r="K47" s="1">
        <v>2007</v>
      </c>
      <c r="L47" s="8">
        <v>2022</v>
      </c>
      <c r="M47" s="8">
        <f t="shared" si="0"/>
        <v>15</v>
      </c>
      <c r="N47" s="8">
        <v>60</v>
      </c>
      <c r="O47" s="8">
        <v>0.05</v>
      </c>
      <c r="P47" s="10">
        <f t="shared" si="10"/>
        <v>1.5833333333333331E-2</v>
      </c>
      <c r="Q47" s="46">
        <v>1000</v>
      </c>
      <c r="R47" s="46">
        <f t="shared" si="5"/>
        <v>10763.9</v>
      </c>
      <c r="S47" s="47">
        <f t="shared" si="9"/>
        <v>193750.19999999998</v>
      </c>
      <c r="T47" s="47">
        <f t="shared" si="6"/>
        <v>46015.672499999993</v>
      </c>
      <c r="U47" s="47">
        <f t="shared" si="7"/>
        <v>147734.5275</v>
      </c>
      <c r="V47" s="8">
        <v>0</v>
      </c>
      <c r="W47" s="12">
        <f t="shared" si="8"/>
        <v>147734.5275</v>
      </c>
    </row>
    <row r="48" spans="2:23" x14ac:dyDescent="0.25">
      <c r="B48" s="1">
        <v>44</v>
      </c>
      <c r="C48" s="69" t="s">
        <v>113</v>
      </c>
      <c r="D48" s="70" t="s">
        <v>97</v>
      </c>
      <c r="E48" s="70" t="s">
        <v>128</v>
      </c>
      <c r="F48" s="8" t="s">
        <v>28</v>
      </c>
      <c r="G48" s="20">
        <v>4</v>
      </c>
      <c r="H48" s="59">
        <f t="shared" si="1"/>
        <v>43.055599999999998</v>
      </c>
      <c r="I48" s="20">
        <f t="shared" si="2"/>
        <v>3.0000000000000004</v>
      </c>
      <c r="J48" s="71">
        <f>3/(0.3048)</f>
        <v>9.8425196850393704</v>
      </c>
      <c r="K48" s="1">
        <v>2007</v>
      </c>
      <c r="L48" s="8">
        <v>2022</v>
      </c>
      <c r="M48" s="8">
        <f t="shared" si="0"/>
        <v>15</v>
      </c>
      <c r="N48" s="8">
        <v>60</v>
      </c>
      <c r="O48" s="8">
        <v>0.05</v>
      </c>
      <c r="P48" s="10">
        <f t="shared" si="10"/>
        <v>1.5833333333333331E-2</v>
      </c>
      <c r="Q48" s="46">
        <v>1000</v>
      </c>
      <c r="R48" s="46">
        <f t="shared" si="5"/>
        <v>10763.9</v>
      </c>
      <c r="S48" s="47">
        <f t="shared" si="9"/>
        <v>43055.6</v>
      </c>
      <c r="T48" s="47">
        <f t="shared" si="6"/>
        <v>10225.704999999998</v>
      </c>
      <c r="U48" s="47">
        <f t="shared" si="7"/>
        <v>32829.895000000004</v>
      </c>
      <c r="V48" s="8">
        <v>0</v>
      </c>
      <c r="W48" s="12">
        <f t="shared" si="8"/>
        <v>32829.895000000004</v>
      </c>
    </row>
    <row r="49" spans="2:23" x14ac:dyDescent="0.25">
      <c r="B49" s="1">
        <v>45</v>
      </c>
      <c r="C49" s="69" t="s">
        <v>113</v>
      </c>
      <c r="D49" s="70" t="s">
        <v>98</v>
      </c>
      <c r="E49" s="70" t="s">
        <v>128</v>
      </c>
      <c r="F49" s="8" t="s">
        <v>28</v>
      </c>
      <c r="G49" s="20">
        <v>3.75</v>
      </c>
      <c r="H49" s="59">
        <f t="shared" si="1"/>
        <v>40.364624999999997</v>
      </c>
      <c r="I49" s="20">
        <f t="shared" si="2"/>
        <v>1.9999999999999998</v>
      </c>
      <c r="J49" s="71">
        <f>2/(0.3048)</f>
        <v>6.561679790026246</v>
      </c>
      <c r="K49" s="1">
        <v>2007</v>
      </c>
      <c r="L49" s="8">
        <v>2022</v>
      </c>
      <c r="M49" s="8">
        <f t="shared" si="0"/>
        <v>15</v>
      </c>
      <c r="N49" s="8">
        <v>60</v>
      </c>
      <c r="O49" s="8">
        <v>0.05</v>
      </c>
      <c r="P49" s="10">
        <f t="shared" si="10"/>
        <v>1.5833333333333331E-2</v>
      </c>
      <c r="Q49" s="46">
        <v>1000</v>
      </c>
      <c r="R49" s="46">
        <f t="shared" si="5"/>
        <v>10763.9</v>
      </c>
      <c r="S49" s="47">
        <f t="shared" si="9"/>
        <v>40364.625</v>
      </c>
      <c r="T49" s="47">
        <f t="shared" si="6"/>
        <v>9586.5984374999989</v>
      </c>
      <c r="U49" s="47">
        <f t="shared" si="7"/>
        <v>30778.026562500003</v>
      </c>
      <c r="V49" s="8">
        <v>0</v>
      </c>
      <c r="W49" s="12">
        <f t="shared" si="8"/>
        <v>30778.026562500003</v>
      </c>
    </row>
    <row r="50" spans="2:23" x14ac:dyDescent="0.25">
      <c r="B50" s="1">
        <v>46</v>
      </c>
      <c r="C50" s="69" t="s">
        <v>113</v>
      </c>
      <c r="D50" s="70" t="s">
        <v>99</v>
      </c>
      <c r="E50" s="70" t="s">
        <v>128</v>
      </c>
      <c r="F50" s="8" t="s">
        <v>28</v>
      </c>
      <c r="G50" s="38">
        <v>60</v>
      </c>
      <c r="H50" s="59">
        <f t="shared" si="1"/>
        <v>645.83399999999995</v>
      </c>
      <c r="I50" s="20">
        <f t="shared" si="2"/>
        <v>3.0000000000000004</v>
      </c>
      <c r="J50" s="71">
        <f>3/(0.3048)</f>
        <v>9.8425196850393704</v>
      </c>
      <c r="K50" s="1">
        <v>2007</v>
      </c>
      <c r="L50" s="8">
        <v>2022</v>
      </c>
      <c r="M50" s="8">
        <f t="shared" si="0"/>
        <v>15</v>
      </c>
      <c r="N50" s="8">
        <v>60</v>
      </c>
      <c r="O50" s="8">
        <v>0.05</v>
      </c>
      <c r="P50" s="10">
        <f t="shared" si="10"/>
        <v>1.5833333333333331E-2</v>
      </c>
      <c r="Q50" s="46">
        <v>1000</v>
      </c>
      <c r="R50" s="46">
        <f t="shared" si="5"/>
        <v>10763.9</v>
      </c>
      <c r="S50" s="47">
        <f t="shared" si="9"/>
        <v>645834</v>
      </c>
      <c r="T50" s="47">
        <f t="shared" si="6"/>
        <v>153385.57499999998</v>
      </c>
      <c r="U50" s="47">
        <f t="shared" si="7"/>
        <v>492448.42500000005</v>
      </c>
      <c r="V50" s="8">
        <v>0</v>
      </c>
      <c r="W50" s="12">
        <f t="shared" si="8"/>
        <v>492448.42500000005</v>
      </c>
    </row>
    <row r="51" spans="2:23" x14ac:dyDescent="0.25">
      <c r="B51" s="1">
        <v>47</v>
      </c>
      <c r="C51" s="69" t="s">
        <v>113</v>
      </c>
      <c r="D51" s="70" t="s">
        <v>100</v>
      </c>
      <c r="E51" s="70" t="s">
        <v>128</v>
      </c>
      <c r="F51" s="8" t="s">
        <v>28</v>
      </c>
      <c r="G51" s="38">
        <v>100</v>
      </c>
      <c r="H51" s="59">
        <f t="shared" si="1"/>
        <v>1076.3899999999999</v>
      </c>
      <c r="I51" s="20">
        <f t="shared" si="2"/>
        <v>1.9999999999999998</v>
      </c>
      <c r="J51" s="71">
        <f>2/(0.3048)</f>
        <v>6.561679790026246</v>
      </c>
      <c r="K51" s="1">
        <v>2007</v>
      </c>
      <c r="L51" s="8">
        <v>2022</v>
      </c>
      <c r="M51" s="8">
        <f t="shared" si="0"/>
        <v>15</v>
      </c>
      <c r="N51" s="8">
        <v>60</v>
      </c>
      <c r="O51" s="8">
        <v>0.05</v>
      </c>
      <c r="P51" s="10">
        <f t="shared" si="10"/>
        <v>1.5833333333333331E-2</v>
      </c>
      <c r="Q51" s="46">
        <v>1000</v>
      </c>
      <c r="R51" s="46">
        <f t="shared" si="5"/>
        <v>10763.9</v>
      </c>
      <c r="S51" s="47">
        <f t="shared" si="9"/>
        <v>1076390</v>
      </c>
      <c r="T51" s="47">
        <f t="shared" si="6"/>
        <v>255642.62499999994</v>
      </c>
      <c r="U51" s="47">
        <f t="shared" si="7"/>
        <v>820747.375</v>
      </c>
      <c r="V51" s="8">
        <v>0</v>
      </c>
      <c r="W51" s="12">
        <f t="shared" si="8"/>
        <v>820747.375</v>
      </c>
    </row>
    <row r="52" spans="2:23" s="48" customFormat="1" x14ac:dyDescent="0.25">
      <c r="B52" s="1">
        <v>48</v>
      </c>
      <c r="C52" s="69" t="s">
        <v>113</v>
      </c>
      <c r="D52" s="70" t="s">
        <v>101</v>
      </c>
      <c r="E52" s="70" t="s">
        <v>128</v>
      </c>
      <c r="F52" s="8" t="s">
        <v>28</v>
      </c>
      <c r="G52" s="54">
        <v>200</v>
      </c>
      <c r="H52" s="59">
        <f t="shared" si="1"/>
        <v>2152.7799999999997</v>
      </c>
      <c r="I52" s="20">
        <f t="shared" si="2"/>
        <v>3.9999999999999996</v>
      </c>
      <c r="J52" s="71">
        <f>4/(0.3048)</f>
        <v>13.123359580052492</v>
      </c>
      <c r="K52" s="1">
        <v>2007</v>
      </c>
      <c r="L52" s="8">
        <v>2022</v>
      </c>
      <c r="M52" s="8">
        <f t="shared" si="0"/>
        <v>15</v>
      </c>
      <c r="N52" s="8">
        <v>60</v>
      </c>
      <c r="O52" s="8">
        <v>0.05</v>
      </c>
      <c r="P52" s="10">
        <f t="shared" si="10"/>
        <v>1.5833333333333331E-2</v>
      </c>
      <c r="Q52" s="46">
        <v>1000</v>
      </c>
      <c r="R52" s="46">
        <f t="shared" si="5"/>
        <v>10763.9</v>
      </c>
      <c r="S52" s="47">
        <f t="shared" si="9"/>
        <v>2152780</v>
      </c>
      <c r="T52" s="47">
        <f t="shared" si="6"/>
        <v>511285.24999999988</v>
      </c>
      <c r="U52" s="47">
        <f t="shared" si="7"/>
        <v>1641494.75</v>
      </c>
      <c r="V52" s="8">
        <v>0</v>
      </c>
      <c r="W52" s="12">
        <f t="shared" si="8"/>
        <v>1641494.75</v>
      </c>
    </row>
    <row r="53" spans="2:23" s="48" customFormat="1" x14ac:dyDescent="0.25">
      <c r="B53" s="1">
        <v>49</v>
      </c>
      <c r="C53" s="69" t="s">
        <v>113</v>
      </c>
      <c r="D53" s="70" t="s">
        <v>102</v>
      </c>
      <c r="E53" s="70" t="s">
        <v>128</v>
      </c>
      <c r="F53" s="8" t="s">
        <v>28</v>
      </c>
      <c r="G53" s="66">
        <v>100</v>
      </c>
      <c r="H53" s="59">
        <f t="shared" si="1"/>
        <v>1076.3899999999999</v>
      </c>
      <c r="I53" s="20">
        <f t="shared" si="2"/>
        <v>1.9999999999999998</v>
      </c>
      <c r="J53" s="71">
        <f>2/(0.3048)</f>
        <v>6.561679790026246</v>
      </c>
      <c r="K53" s="1">
        <v>2007</v>
      </c>
      <c r="L53" s="8">
        <v>2022</v>
      </c>
      <c r="M53" s="8">
        <f t="shared" si="0"/>
        <v>15</v>
      </c>
      <c r="N53" s="8">
        <v>60</v>
      </c>
      <c r="O53" s="8">
        <v>0.05</v>
      </c>
      <c r="P53" s="10">
        <f t="shared" si="10"/>
        <v>1.5833333333333331E-2</v>
      </c>
      <c r="Q53" s="46">
        <v>1000</v>
      </c>
      <c r="R53" s="46">
        <f t="shared" si="5"/>
        <v>10763.9</v>
      </c>
      <c r="S53" s="47">
        <f t="shared" si="9"/>
        <v>1076390</v>
      </c>
      <c r="T53" s="47">
        <f t="shared" si="6"/>
        <v>255642.62499999994</v>
      </c>
      <c r="U53" s="47">
        <f t="shared" si="7"/>
        <v>820747.375</v>
      </c>
      <c r="V53" s="8">
        <v>0</v>
      </c>
      <c r="W53" s="12">
        <f t="shared" si="8"/>
        <v>820747.375</v>
      </c>
    </row>
    <row r="54" spans="2:23" s="48" customFormat="1" x14ac:dyDescent="0.25">
      <c r="B54" s="1">
        <v>50</v>
      </c>
      <c r="C54" s="69" t="s">
        <v>113</v>
      </c>
      <c r="D54" s="70" t="s">
        <v>103</v>
      </c>
      <c r="E54" s="70" t="s">
        <v>128</v>
      </c>
      <c r="F54" s="8" t="s">
        <v>28</v>
      </c>
      <c r="G54" s="66">
        <v>100</v>
      </c>
      <c r="H54" s="59">
        <f t="shared" si="1"/>
        <v>1076.3899999999999</v>
      </c>
      <c r="I54" s="20">
        <f t="shared" si="2"/>
        <v>3.0000000000000004</v>
      </c>
      <c r="J54" s="71">
        <f>3/(0.3048)</f>
        <v>9.8425196850393704</v>
      </c>
      <c r="K54" s="1">
        <v>2007</v>
      </c>
      <c r="L54" s="8">
        <v>2022</v>
      </c>
      <c r="M54" s="8">
        <f t="shared" si="0"/>
        <v>15</v>
      </c>
      <c r="N54" s="8">
        <v>60</v>
      </c>
      <c r="O54" s="8">
        <v>0.05</v>
      </c>
      <c r="P54" s="10">
        <f t="shared" si="10"/>
        <v>1.5833333333333331E-2</v>
      </c>
      <c r="Q54" s="46">
        <v>1000</v>
      </c>
      <c r="R54" s="46">
        <f t="shared" si="5"/>
        <v>10763.9</v>
      </c>
      <c r="S54" s="47">
        <f t="shared" si="9"/>
        <v>1076390</v>
      </c>
      <c r="T54" s="47">
        <f t="shared" si="6"/>
        <v>255642.62499999994</v>
      </c>
      <c r="U54" s="47">
        <f t="shared" si="7"/>
        <v>820747.375</v>
      </c>
      <c r="V54" s="8">
        <v>0</v>
      </c>
      <c r="W54" s="12">
        <f t="shared" si="8"/>
        <v>820747.375</v>
      </c>
    </row>
    <row r="55" spans="2:23" s="48" customFormat="1" x14ac:dyDescent="0.25">
      <c r="B55" s="1">
        <v>51</v>
      </c>
      <c r="C55" s="69" t="s">
        <v>113</v>
      </c>
      <c r="D55" s="70" t="s">
        <v>104</v>
      </c>
      <c r="E55" s="70" t="s">
        <v>127</v>
      </c>
      <c r="F55" s="8" t="s">
        <v>28</v>
      </c>
      <c r="G55" s="66">
        <v>800</v>
      </c>
      <c r="H55" s="59">
        <f t="shared" si="1"/>
        <v>8611.119999999999</v>
      </c>
      <c r="I55" s="20">
        <f t="shared" si="2"/>
        <v>3.9999999999999996</v>
      </c>
      <c r="J55" s="71">
        <f>4/(0.3048)</f>
        <v>13.123359580052492</v>
      </c>
      <c r="K55" s="1">
        <v>2007</v>
      </c>
      <c r="L55" s="8">
        <v>2022</v>
      </c>
      <c r="M55" s="8">
        <f t="shared" si="0"/>
        <v>15</v>
      </c>
      <c r="N55" s="8">
        <v>60</v>
      </c>
      <c r="O55" s="8">
        <v>0.05</v>
      </c>
      <c r="P55" s="10">
        <f t="shared" si="10"/>
        <v>1.5833333333333331E-2</v>
      </c>
      <c r="Q55" s="46">
        <v>1000</v>
      </c>
      <c r="R55" s="46">
        <f t="shared" si="5"/>
        <v>10763.9</v>
      </c>
      <c r="S55" s="47">
        <f t="shared" si="9"/>
        <v>8611120</v>
      </c>
      <c r="T55" s="47">
        <f t="shared" si="6"/>
        <v>2045140.9999999995</v>
      </c>
      <c r="U55" s="47">
        <f t="shared" si="7"/>
        <v>6565979</v>
      </c>
      <c r="V55" s="8">
        <v>0</v>
      </c>
      <c r="W55" s="12">
        <f t="shared" si="8"/>
        <v>6565979</v>
      </c>
    </row>
    <row r="56" spans="2:23" x14ac:dyDescent="0.25">
      <c r="B56" s="1">
        <v>52</v>
      </c>
      <c r="C56" s="69" t="s">
        <v>113</v>
      </c>
      <c r="D56" s="70" t="s">
        <v>105</v>
      </c>
      <c r="E56" s="70" t="s">
        <v>128</v>
      </c>
      <c r="F56" s="8" t="s">
        <v>28</v>
      </c>
      <c r="G56" s="38">
        <v>2040</v>
      </c>
      <c r="H56" s="59">
        <f t="shared" si="1"/>
        <v>21958.356</v>
      </c>
      <c r="I56" s="20">
        <f t="shared" si="2"/>
        <v>3.0000000000000004</v>
      </c>
      <c r="J56" s="71">
        <f>3/(0.3048)</f>
        <v>9.8425196850393704</v>
      </c>
      <c r="K56" s="1">
        <v>2007</v>
      </c>
      <c r="L56" s="8">
        <v>2022</v>
      </c>
      <c r="M56" s="8">
        <f t="shared" si="0"/>
        <v>15</v>
      </c>
      <c r="N56" s="8">
        <v>60</v>
      </c>
      <c r="O56" s="8">
        <v>0.05</v>
      </c>
      <c r="P56" s="10">
        <f t="shared" si="10"/>
        <v>1.5833333333333331E-2</v>
      </c>
      <c r="Q56" s="46">
        <v>1000</v>
      </c>
      <c r="R56" s="46">
        <f t="shared" si="5"/>
        <v>10763.9</v>
      </c>
      <c r="S56" s="47">
        <f t="shared" si="9"/>
        <v>21958356</v>
      </c>
      <c r="T56" s="47">
        <f t="shared" si="6"/>
        <v>5215109.55</v>
      </c>
      <c r="U56" s="47">
        <f t="shared" si="7"/>
        <v>16743246.449999999</v>
      </c>
      <c r="V56" s="8">
        <v>0</v>
      </c>
      <c r="W56" s="12">
        <f t="shared" si="8"/>
        <v>16743246.449999999</v>
      </c>
    </row>
    <row r="57" spans="2:23" x14ac:dyDescent="0.25">
      <c r="B57" s="1">
        <v>53</v>
      </c>
      <c r="C57" s="69" t="s">
        <v>3</v>
      </c>
      <c r="D57" s="70" t="s">
        <v>106</v>
      </c>
      <c r="E57" s="70" t="s">
        <v>115</v>
      </c>
      <c r="F57" s="8" t="s">
        <v>28</v>
      </c>
      <c r="G57" s="38">
        <v>278.8571</v>
      </c>
      <c r="H57" s="59">
        <f t="shared" si="1"/>
        <v>3001.5899386900001</v>
      </c>
      <c r="I57" s="20">
        <f t="shared" si="2"/>
        <v>13.92</v>
      </c>
      <c r="J57" s="71">
        <f>13.92/(0.3048)</f>
        <v>45.669291338582674</v>
      </c>
      <c r="K57" s="1">
        <v>2007</v>
      </c>
      <c r="L57" s="8">
        <v>2022</v>
      </c>
      <c r="M57" s="8">
        <f t="shared" si="0"/>
        <v>15</v>
      </c>
      <c r="N57" s="8">
        <v>60</v>
      </c>
      <c r="O57" s="8">
        <v>0.05</v>
      </c>
      <c r="P57" s="10">
        <f t="shared" si="10"/>
        <v>1.5833333333333331E-2</v>
      </c>
      <c r="Q57" s="46">
        <v>1300</v>
      </c>
      <c r="R57" s="46">
        <f t="shared" si="5"/>
        <v>13993.07</v>
      </c>
      <c r="S57" s="47">
        <f t="shared" si="9"/>
        <v>3902066.9202970001</v>
      </c>
      <c r="T57" s="47">
        <f t="shared" si="6"/>
        <v>926740.89357053745</v>
      </c>
      <c r="U57" s="47">
        <f t="shared" si="7"/>
        <v>2975326.0267264629</v>
      </c>
      <c r="V57" s="8">
        <v>0</v>
      </c>
      <c r="W57" s="12">
        <f t="shared" si="8"/>
        <v>2975326.0267264629</v>
      </c>
    </row>
    <row r="58" spans="2:23" x14ac:dyDescent="0.25">
      <c r="B58" s="1">
        <v>54</v>
      </c>
      <c r="C58" s="69" t="s">
        <v>3</v>
      </c>
      <c r="D58" s="70" t="s">
        <v>107</v>
      </c>
      <c r="E58" s="70" t="s">
        <v>115</v>
      </c>
      <c r="F58" s="8" t="s">
        <v>28</v>
      </c>
      <c r="G58" s="38">
        <v>513.37199999999996</v>
      </c>
      <c r="H58" s="59">
        <f t="shared" si="1"/>
        <v>5525.8848707999996</v>
      </c>
      <c r="I58" s="20">
        <f t="shared" si="2"/>
        <v>14.12</v>
      </c>
      <c r="J58" s="71">
        <f>14.12/(0.3048)</f>
        <v>46.325459317585299</v>
      </c>
      <c r="K58" s="1">
        <v>2007</v>
      </c>
      <c r="L58" s="8">
        <v>2022</v>
      </c>
      <c r="M58" s="8">
        <f t="shared" si="0"/>
        <v>15</v>
      </c>
      <c r="N58" s="8">
        <v>60</v>
      </c>
      <c r="O58" s="8">
        <v>0.05</v>
      </c>
      <c r="P58" s="10">
        <f t="shared" si="10"/>
        <v>1.5833333333333331E-2</v>
      </c>
      <c r="Q58" s="46">
        <v>1300</v>
      </c>
      <c r="R58" s="46">
        <f t="shared" si="5"/>
        <v>13993.07</v>
      </c>
      <c r="S58" s="47">
        <f t="shared" si="9"/>
        <v>7183650.3320399988</v>
      </c>
      <c r="T58" s="47">
        <f t="shared" si="6"/>
        <v>1706116.9538594997</v>
      </c>
      <c r="U58" s="47">
        <f t="shared" si="7"/>
        <v>5477533.3781804992</v>
      </c>
      <c r="V58" s="8">
        <v>0</v>
      </c>
      <c r="W58" s="12">
        <f t="shared" si="8"/>
        <v>5477533.3781804992</v>
      </c>
    </row>
    <row r="59" spans="2:23" x14ac:dyDescent="0.25">
      <c r="B59" s="1">
        <v>55</v>
      </c>
      <c r="C59" s="69" t="s">
        <v>3</v>
      </c>
      <c r="D59" s="70" t="s">
        <v>108</v>
      </c>
      <c r="E59" s="70" t="s">
        <v>115</v>
      </c>
      <c r="F59" s="8" t="s">
        <v>28</v>
      </c>
      <c r="G59" s="38">
        <v>1101.5527999999999</v>
      </c>
      <c r="H59" s="59">
        <f t="shared" si="1"/>
        <v>11857.004183919998</v>
      </c>
      <c r="I59" s="20">
        <f t="shared" si="2"/>
        <v>21.199999999999996</v>
      </c>
      <c r="J59" s="71">
        <f>21.2/(0.3048)</f>
        <v>69.553805774278203</v>
      </c>
      <c r="K59" s="1">
        <v>2007</v>
      </c>
      <c r="L59" s="8">
        <v>2022</v>
      </c>
      <c r="M59" s="8">
        <f t="shared" si="0"/>
        <v>15</v>
      </c>
      <c r="N59" s="8">
        <v>60</v>
      </c>
      <c r="O59" s="8">
        <v>0.05</v>
      </c>
      <c r="P59" s="10">
        <f t="shared" si="10"/>
        <v>1.5833333333333331E-2</v>
      </c>
      <c r="Q59" s="46">
        <v>1300</v>
      </c>
      <c r="R59" s="46">
        <f t="shared" si="5"/>
        <v>13993.07</v>
      </c>
      <c r="S59" s="47">
        <f t="shared" si="9"/>
        <v>15414105.439095998</v>
      </c>
      <c r="T59" s="47">
        <f t="shared" si="6"/>
        <v>3660850.0417852988</v>
      </c>
      <c r="U59" s="47">
        <f t="shared" si="7"/>
        <v>11753255.3973107</v>
      </c>
      <c r="V59" s="8">
        <v>0</v>
      </c>
      <c r="W59" s="12">
        <f t="shared" si="8"/>
        <v>11753255.3973107</v>
      </c>
    </row>
    <row r="60" spans="2:23" x14ac:dyDescent="0.25">
      <c r="B60" s="1">
        <v>56</v>
      </c>
      <c r="C60" s="69" t="s">
        <v>2</v>
      </c>
      <c r="D60" s="70" t="s">
        <v>109</v>
      </c>
      <c r="E60" s="70" t="s">
        <v>115</v>
      </c>
      <c r="F60" s="8" t="s">
        <v>28</v>
      </c>
      <c r="G60" s="38">
        <v>265.24799999999999</v>
      </c>
      <c r="H60" s="59">
        <f t="shared" si="1"/>
        <v>2855.1029471999996</v>
      </c>
      <c r="I60" s="20">
        <f t="shared" si="2"/>
        <v>11.465</v>
      </c>
      <c r="J60" s="71">
        <f>11.465/(0.3048)</f>
        <v>37.614829396325455</v>
      </c>
      <c r="K60" s="1">
        <v>2007</v>
      </c>
      <c r="L60" s="8">
        <v>2022</v>
      </c>
      <c r="M60" s="8">
        <f t="shared" si="0"/>
        <v>15</v>
      </c>
      <c r="N60" s="8">
        <v>60</v>
      </c>
      <c r="O60" s="8">
        <v>0.05</v>
      </c>
      <c r="P60" s="10">
        <f t="shared" si="10"/>
        <v>1.5833333333333331E-2</v>
      </c>
      <c r="Q60" s="46">
        <v>1300</v>
      </c>
      <c r="R60" s="46">
        <f t="shared" si="5"/>
        <v>13993.07</v>
      </c>
      <c r="S60" s="47">
        <f t="shared" si="9"/>
        <v>3711633.8313599997</v>
      </c>
      <c r="T60" s="47">
        <f t="shared" si="6"/>
        <v>881513.03494799987</v>
      </c>
      <c r="U60" s="47">
        <f t="shared" si="7"/>
        <v>2830120.796412</v>
      </c>
      <c r="V60" s="8">
        <v>0</v>
      </c>
      <c r="W60" s="12">
        <f t="shared" si="8"/>
        <v>2830120.796412</v>
      </c>
    </row>
    <row r="61" spans="2:23" x14ac:dyDescent="0.25">
      <c r="B61" s="1">
        <v>57</v>
      </c>
      <c r="C61" s="69" t="s">
        <v>113</v>
      </c>
      <c r="D61" s="70" t="s">
        <v>110</v>
      </c>
      <c r="E61" s="70" t="s">
        <v>126</v>
      </c>
      <c r="F61" s="8" t="s">
        <v>28</v>
      </c>
      <c r="G61" s="38">
        <v>240</v>
      </c>
      <c r="H61" s="59">
        <f t="shared" si="1"/>
        <v>2583.3359999999998</v>
      </c>
      <c r="I61" s="20">
        <f t="shared" si="2"/>
        <v>3.0000000000000004</v>
      </c>
      <c r="J61" s="71">
        <f>3/(0.3048)</f>
        <v>9.8425196850393704</v>
      </c>
      <c r="K61" s="1">
        <v>2007</v>
      </c>
      <c r="L61" s="8">
        <v>2022</v>
      </c>
      <c r="M61" s="8">
        <f t="shared" si="0"/>
        <v>15</v>
      </c>
      <c r="N61" s="8">
        <v>60</v>
      </c>
      <c r="O61" s="8">
        <v>0.05</v>
      </c>
      <c r="P61" s="10">
        <f t="shared" si="10"/>
        <v>1.5833333333333331E-2</v>
      </c>
      <c r="Q61" s="46">
        <v>1200</v>
      </c>
      <c r="R61" s="46">
        <f t="shared" si="5"/>
        <v>12916.68</v>
      </c>
      <c r="S61" s="47">
        <f t="shared" si="9"/>
        <v>3100003.2</v>
      </c>
      <c r="T61" s="47">
        <f t="shared" si="6"/>
        <v>736250.76</v>
      </c>
      <c r="U61" s="47">
        <f t="shared" si="7"/>
        <v>2363752.4400000004</v>
      </c>
      <c r="V61" s="8">
        <v>0</v>
      </c>
      <c r="W61" s="12">
        <f t="shared" si="8"/>
        <v>2363752.4400000004</v>
      </c>
    </row>
    <row r="62" spans="2:23" x14ac:dyDescent="0.25">
      <c r="B62" s="1">
        <v>58</v>
      </c>
      <c r="C62" s="69" t="s">
        <v>113</v>
      </c>
      <c r="D62" s="70" t="s">
        <v>111</v>
      </c>
      <c r="E62" s="70" t="s">
        <v>126</v>
      </c>
      <c r="F62" s="8" t="s">
        <v>28</v>
      </c>
      <c r="G62" s="38">
        <v>810</v>
      </c>
      <c r="H62" s="59">
        <f t="shared" si="1"/>
        <v>8718.759</v>
      </c>
      <c r="I62" s="20">
        <f t="shared" si="2"/>
        <v>3.0000000000000004</v>
      </c>
      <c r="J62" s="71">
        <f>3/(0.3048)</f>
        <v>9.8425196850393704</v>
      </c>
      <c r="K62" s="1">
        <v>2007</v>
      </c>
      <c r="L62" s="8">
        <v>2022</v>
      </c>
      <c r="M62" s="8">
        <f t="shared" si="0"/>
        <v>15</v>
      </c>
      <c r="N62" s="8">
        <v>60</v>
      </c>
      <c r="O62" s="8">
        <v>0.05</v>
      </c>
      <c r="P62" s="10">
        <f t="shared" si="10"/>
        <v>1.5833333333333331E-2</v>
      </c>
      <c r="Q62" s="46">
        <v>1200</v>
      </c>
      <c r="R62" s="46">
        <f t="shared" si="5"/>
        <v>12916.68</v>
      </c>
      <c r="S62" s="47">
        <f t="shared" si="9"/>
        <v>10462510.800000001</v>
      </c>
      <c r="T62" s="47">
        <f t="shared" si="6"/>
        <v>2484846.3149999999</v>
      </c>
      <c r="U62" s="47">
        <f t="shared" si="7"/>
        <v>7977664.4850000013</v>
      </c>
      <c r="V62" s="8">
        <v>0</v>
      </c>
      <c r="W62" s="12">
        <f t="shared" si="8"/>
        <v>7977664.4850000013</v>
      </c>
    </row>
    <row r="63" spans="2:23" x14ac:dyDescent="0.25">
      <c r="B63" s="1">
        <v>59</v>
      </c>
      <c r="C63" s="69" t="s">
        <v>113</v>
      </c>
      <c r="D63" s="70" t="s">
        <v>112</v>
      </c>
      <c r="E63" s="70" t="s">
        <v>126</v>
      </c>
      <c r="F63" s="19"/>
      <c r="G63" s="38">
        <v>225</v>
      </c>
      <c r="H63" s="59">
        <f t="shared" si="1"/>
        <v>2421.8775000000001</v>
      </c>
      <c r="I63" s="20">
        <f t="shared" si="2"/>
        <v>3.0000000000000004</v>
      </c>
      <c r="J63" s="71">
        <f>3/(0.3048)</f>
        <v>9.8425196850393704</v>
      </c>
      <c r="K63" s="1">
        <v>2007</v>
      </c>
      <c r="L63" s="8">
        <v>2022</v>
      </c>
      <c r="M63" s="8">
        <f t="shared" si="0"/>
        <v>15</v>
      </c>
      <c r="N63" s="8">
        <v>60</v>
      </c>
      <c r="O63" s="8">
        <v>0.05</v>
      </c>
      <c r="P63" s="10">
        <f t="shared" si="10"/>
        <v>1.5833333333333331E-2</v>
      </c>
      <c r="Q63" s="46">
        <v>1200</v>
      </c>
      <c r="R63" s="46">
        <f t="shared" si="5"/>
        <v>12916.68</v>
      </c>
      <c r="S63" s="47">
        <f t="shared" si="9"/>
        <v>2906253</v>
      </c>
      <c r="T63" s="47">
        <f t="shared" si="6"/>
        <v>690235.08749999991</v>
      </c>
      <c r="U63" s="47">
        <f t="shared" si="7"/>
        <v>2216017.9125000001</v>
      </c>
      <c r="V63" s="8">
        <v>0</v>
      </c>
      <c r="W63" s="12">
        <f t="shared" si="8"/>
        <v>2216017.9125000001</v>
      </c>
    </row>
    <row r="64" spans="2:23" x14ac:dyDescent="0.25">
      <c r="B64" s="139" t="s">
        <v>43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40">
        <f>SUM(S5:S63)</f>
        <v>794079961.50709796</v>
      </c>
      <c r="T64" s="139"/>
      <c r="U64" s="139"/>
      <c r="V64" s="139"/>
      <c r="W64" s="106">
        <f>SUM(W5:W63)</f>
        <v>563435049.39458239</v>
      </c>
    </row>
    <row r="65" spans="2:9" ht="25.5" x14ac:dyDescent="0.25">
      <c r="H65" s="104" t="s">
        <v>159</v>
      </c>
      <c r="I65" s="105" t="s">
        <v>160</v>
      </c>
    </row>
    <row r="66" spans="2:9" x14ac:dyDescent="0.25">
      <c r="B66" s="73" t="s">
        <v>150</v>
      </c>
      <c r="C66" s="91" t="s">
        <v>113</v>
      </c>
      <c r="D66" s="92"/>
      <c r="E66" s="93">
        <v>2007</v>
      </c>
      <c r="F66" s="73" t="s">
        <v>155</v>
      </c>
      <c r="G66" s="94"/>
      <c r="H66" s="95">
        <f>810+600+16195</f>
        <v>17605</v>
      </c>
      <c r="I66" s="96">
        <f>H66/(0.3048)</f>
        <v>57759.186351706034</v>
      </c>
    </row>
    <row r="67" spans="2:9" x14ac:dyDescent="0.25">
      <c r="B67" s="73" t="s">
        <v>151</v>
      </c>
      <c r="C67" s="91" t="s">
        <v>113</v>
      </c>
      <c r="D67" s="92"/>
      <c r="E67" s="93">
        <v>2007</v>
      </c>
      <c r="F67" s="73" t="s">
        <v>156</v>
      </c>
      <c r="G67" s="94"/>
      <c r="H67" s="95">
        <f>645+3535+14+75</f>
        <v>4269</v>
      </c>
      <c r="I67" s="96">
        <f>H67/(0.3048)</f>
        <v>14005.905511811023</v>
      </c>
    </row>
    <row r="68" spans="2:9" ht="15.75" thickBot="1" x14ac:dyDescent="0.3">
      <c r="B68" s="74" t="s">
        <v>152</v>
      </c>
      <c r="C68" s="91" t="s">
        <v>113</v>
      </c>
      <c r="D68" s="92"/>
      <c r="E68" s="93">
        <v>2007</v>
      </c>
      <c r="F68" s="74" t="s">
        <v>156</v>
      </c>
      <c r="G68" s="94"/>
      <c r="H68" s="95">
        <f>4560+768</f>
        <v>5328</v>
      </c>
      <c r="I68" s="96">
        <f>H68/(0.3048)</f>
        <v>17480.314960629919</v>
      </c>
    </row>
  </sheetData>
  <autoFilter ref="B4:W49" xr:uid="{F0C28BEA-F622-45E1-BA03-608A2CA7F742}"/>
  <mergeCells count="1">
    <mergeCell ref="B3:Z3"/>
  </mergeCells>
  <dataValidations count="4">
    <dataValidation type="list" allowBlank="1" showInputMessage="1" showErrorMessage="1" promptTitle="Condition of Structure" prompt="Condition of Structure" sqref="F5:F62" xr:uid="{D86785A3-A89A-46B7-AA22-70956CD05057}">
      <formula1>"Poor, Average, Ordinary, Good, Very Good, Excellent"</formula1>
    </dataValidation>
    <dataValidation type="list" allowBlank="1" showInputMessage="1" showErrorMessage="1" sqref="C15" xr:uid="{E10DB599-BBD7-49FD-90F8-D041BA2CACE9}">
      <formula1>$N$7:$N$10</formula1>
    </dataValidation>
    <dataValidation type="list" allowBlank="1" showInputMessage="1" showErrorMessage="1" sqref="C5:C14 C16:C63 C66:C68" xr:uid="{F74B6C91-0033-45B3-A22C-BCA2E54CF8BF}">
      <formula1>$N$7:$N$9</formula1>
    </dataValidation>
    <dataValidation type="list" allowBlank="1" showInputMessage="1" showErrorMessage="1" sqref="G66:G68" xr:uid="{796D0778-0613-4E93-836E-3301209F1A6D}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2211-4EC4-478E-A6E3-CC9B41918B82}">
  <dimension ref="A3:Z77"/>
  <sheetViews>
    <sheetView topLeftCell="J1" zoomScaleNormal="100" workbookViewId="0">
      <selection activeCell="V1" sqref="V1:V1048576"/>
    </sheetView>
  </sheetViews>
  <sheetFormatPr defaultRowHeight="15" x14ac:dyDescent="0.25"/>
  <cols>
    <col min="2" max="2" width="26.42578125" bestFit="1" customWidth="1"/>
    <col min="3" max="3" width="12.42578125" customWidth="1"/>
    <col min="4" max="4" width="20.7109375" customWidth="1"/>
    <col min="5" max="5" width="40.85546875" bestFit="1" customWidth="1"/>
    <col min="6" max="6" width="13.140625" customWidth="1"/>
    <col min="7" max="7" width="11.7109375" style="3" customWidth="1"/>
    <col min="8" max="8" width="13.7109375" customWidth="1"/>
    <col min="9" max="10" width="16.28515625" customWidth="1"/>
    <col min="11" max="11" width="12.7109375" customWidth="1"/>
    <col min="12" max="12" width="11.42578125" customWidth="1"/>
    <col min="13" max="13" width="10.7109375" customWidth="1"/>
    <col min="14" max="14" width="12" customWidth="1"/>
    <col min="15" max="15" width="9.140625" customWidth="1"/>
    <col min="16" max="16" width="13.140625" customWidth="1"/>
    <col min="17" max="17" width="11.85546875" customWidth="1"/>
    <col min="18" max="18" width="12.5703125" customWidth="1"/>
    <col min="19" max="19" width="18.85546875" customWidth="1"/>
    <col min="20" max="20" width="17.7109375" bestFit="1" customWidth="1"/>
    <col min="21" max="21" width="14.42578125" customWidth="1"/>
    <col min="22" max="22" width="14.28515625" hidden="1" customWidth="1"/>
    <col min="23" max="23" width="14.140625" customWidth="1"/>
    <col min="24" max="26" width="0" hidden="1" customWidth="1"/>
  </cols>
  <sheetData>
    <row r="3" spans="2:26" x14ac:dyDescent="0.25">
      <c r="B3" s="145" t="s">
        <v>172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2:26" ht="75" x14ac:dyDescent="0.25"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29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7" t="s">
        <v>25</v>
      </c>
      <c r="Y4" s="7" t="s">
        <v>26</v>
      </c>
      <c r="Z4" s="7" t="s">
        <v>27</v>
      </c>
    </row>
    <row r="5" spans="2:26" x14ac:dyDescent="0.25">
      <c r="B5" s="2">
        <v>1</v>
      </c>
      <c r="C5" s="86" t="s">
        <v>113</v>
      </c>
      <c r="D5" s="68" t="s">
        <v>129</v>
      </c>
      <c r="E5" s="68" t="s">
        <v>153</v>
      </c>
      <c r="F5" s="8" t="s">
        <v>28</v>
      </c>
      <c r="G5" s="70">
        <f>5.16*3</f>
        <v>15.48</v>
      </c>
      <c r="H5" s="59">
        <f>G5*10.7639</f>
        <v>166.62517199999999</v>
      </c>
      <c r="I5" s="71">
        <f>J5*0.3048</f>
        <v>3.048</v>
      </c>
      <c r="J5" s="71">
        <v>10</v>
      </c>
      <c r="K5" s="1">
        <v>2007</v>
      </c>
      <c r="L5" s="8">
        <v>2022</v>
      </c>
      <c r="M5" s="8">
        <f t="shared" ref="M5:M25" si="0">L5-K5</f>
        <v>15</v>
      </c>
      <c r="N5" s="8">
        <v>60</v>
      </c>
      <c r="O5" s="8">
        <v>0.05</v>
      </c>
      <c r="P5" s="10">
        <f>(1-O5)/N5</f>
        <v>1.5833333333333331E-2</v>
      </c>
      <c r="Q5" s="11">
        <v>1200</v>
      </c>
      <c r="R5" s="11">
        <f>Q5*10.7639</f>
        <v>12916.68</v>
      </c>
      <c r="S5" s="12">
        <f>R5*G5</f>
        <v>199950.2064</v>
      </c>
      <c r="T5" s="12">
        <f>S5*P5*M5</f>
        <v>47488.174019999991</v>
      </c>
      <c r="U5" s="12">
        <f>MAX(S5-T5,0)</f>
        <v>152462.03237999999</v>
      </c>
      <c r="V5" s="8">
        <v>0</v>
      </c>
      <c r="W5" s="12">
        <f>IF(U5&gt;O5*S5,U5*(1+V5),S5*O5)</f>
        <v>152462.03237999999</v>
      </c>
      <c r="X5" s="111">
        <v>800</v>
      </c>
      <c r="Y5" s="14">
        <v>0.99</v>
      </c>
      <c r="Z5" s="15">
        <f>(X5*Y5*G5)</f>
        <v>12260.16</v>
      </c>
    </row>
    <row r="6" spans="2:26" x14ac:dyDescent="0.25">
      <c r="B6" s="2">
        <v>2</v>
      </c>
      <c r="C6" s="86" t="s">
        <v>113</v>
      </c>
      <c r="D6" s="68" t="s">
        <v>130</v>
      </c>
      <c r="E6" s="68" t="s">
        <v>153</v>
      </c>
      <c r="F6" s="8" t="s">
        <v>28</v>
      </c>
      <c r="G6" s="90">
        <f>25.08*15.17</f>
        <v>380.46359999999999</v>
      </c>
      <c r="H6" s="59">
        <f t="shared" ref="H6:H25" si="1">G6*10.7639</f>
        <v>4095.2721440399996</v>
      </c>
      <c r="I6" s="71">
        <f t="shared" ref="I6:I25" si="2">J6*0.3048</f>
        <v>3.048</v>
      </c>
      <c r="J6" s="71">
        <v>10</v>
      </c>
      <c r="K6" s="1">
        <v>2007</v>
      </c>
      <c r="L6" s="8">
        <v>2022</v>
      </c>
      <c r="M6" s="8">
        <f t="shared" si="0"/>
        <v>15</v>
      </c>
      <c r="N6" s="8">
        <v>60</v>
      </c>
      <c r="O6" s="8">
        <v>0.05</v>
      </c>
      <c r="P6" s="10">
        <f>(1-O6)/N6</f>
        <v>1.5833333333333331E-2</v>
      </c>
      <c r="Q6" s="11">
        <v>1200</v>
      </c>
      <c r="R6" s="11">
        <f>Q6*10.7639</f>
        <v>12916.68</v>
      </c>
      <c r="S6" s="12">
        <f>R6*G6</f>
        <v>4914326.5728479996</v>
      </c>
      <c r="T6" s="12">
        <f>S6*P6*M6</f>
        <v>1167152.5610513999</v>
      </c>
      <c r="U6" s="12">
        <f>MAX(S6-T6,0)</f>
        <v>3747174.0117965997</v>
      </c>
      <c r="V6" s="8">
        <v>0</v>
      </c>
      <c r="W6" s="12">
        <f>IF(U6&gt;O6*S6,U6*(1+V6),S6*O6)</f>
        <v>3747174.0117965997</v>
      </c>
      <c r="X6" s="111">
        <v>800</v>
      </c>
      <c r="Y6" s="14">
        <v>0.99</v>
      </c>
      <c r="Z6" s="15">
        <f>X6*H6</f>
        <v>3276217.7152319998</v>
      </c>
    </row>
    <row r="7" spans="2:26" x14ac:dyDescent="0.25">
      <c r="B7" s="2">
        <v>3</v>
      </c>
      <c r="C7" s="86" t="s">
        <v>113</v>
      </c>
      <c r="D7" s="68" t="s">
        <v>131</v>
      </c>
      <c r="E7" s="68" t="s">
        <v>153</v>
      </c>
      <c r="F7" s="8" t="s">
        <v>28</v>
      </c>
      <c r="G7" s="90">
        <f>23.56*22.57</f>
        <v>531.74919999999997</v>
      </c>
      <c r="H7" s="59">
        <f t="shared" si="1"/>
        <v>5723.6952138799998</v>
      </c>
      <c r="I7" s="71">
        <f t="shared" si="2"/>
        <v>3.048</v>
      </c>
      <c r="J7" s="71">
        <v>10</v>
      </c>
      <c r="K7" s="1">
        <v>2007</v>
      </c>
      <c r="L7" s="8">
        <v>2022</v>
      </c>
      <c r="M7" s="8">
        <f t="shared" si="0"/>
        <v>15</v>
      </c>
      <c r="N7" s="8">
        <v>60</v>
      </c>
      <c r="O7" s="8">
        <v>0.05</v>
      </c>
      <c r="P7" s="10">
        <f>(1-O7)/N7</f>
        <v>1.5833333333333331E-2</v>
      </c>
      <c r="Q7" s="11">
        <v>1200</v>
      </c>
      <c r="R7" s="11">
        <f>Q7*10.7639</f>
        <v>12916.68</v>
      </c>
      <c r="S7" s="12">
        <f>R7*G7</f>
        <v>6868434.2566559995</v>
      </c>
      <c r="T7" s="12">
        <f>S7*P7*M7</f>
        <v>1631253.1359557996</v>
      </c>
      <c r="U7" s="12">
        <f>MAX(S7-T7,0)</f>
        <v>5237181.1207002001</v>
      </c>
      <c r="V7" s="8">
        <v>0</v>
      </c>
      <c r="W7" s="12">
        <f>IF(U7&gt;O7*S7,U7*(1+V7),S7*O7)</f>
        <v>5237181.1207002001</v>
      </c>
      <c r="X7" s="111">
        <v>800</v>
      </c>
      <c r="Y7" s="14"/>
      <c r="Z7" s="15">
        <f t="shared" ref="Z7:Z9" si="3">X7*H7</f>
        <v>4578956.1711039999</v>
      </c>
    </row>
    <row r="8" spans="2:26" x14ac:dyDescent="0.25">
      <c r="B8" s="2">
        <v>4</v>
      </c>
      <c r="C8" s="86" t="s">
        <v>113</v>
      </c>
      <c r="D8" s="68" t="s">
        <v>132</v>
      </c>
      <c r="E8" s="68" t="s">
        <v>153</v>
      </c>
      <c r="F8" s="8" t="s">
        <v>28</v>
      </c>
      <c r="G8" s="90">
        <f>4*4</f>
        <v>16</v>
      </c>
      <c r="H8" s="59">
        <f t="shared" si="1"/>
        <v>172.22239999999999</v>
      </c>
      <c r="I8" s="71">
        <f t="shared" si="2"/>
        <v>3.048</v>
      </c>
      <c r="J8" s="71">
        <v>10</v>
      </c>
      <c r="K8" s="1">
        <v>2007</v>
      </c>
      <c r="L8" s="8">
        <v>2022</v>
      </c>
      <c r="M8" s="8">
        <f t="shared" si="0"/>
        <v>15</v>
      </c>
      <c r="N8" s="8">
        <v>60</v>
      </c>
      <c r="O8" s="8">
        <v>0.05</v>
      </c>
      <c r="P8" s="10">
        <f>(1-O8)/N8</f>
        <v>1.5833333333333331E-2</v>
      </c>
      <c r="Q8" s="11">
        <v>1200</v>
      </c>
      <c r="R8" s="11">
        <f>Q8*10.7639</f>
        <v>12916.68</v>
      </c>
      <c r="S8" s="12">
        <f>R8*G8</f>
        <v>206666.88</v>
      </c>
      <c r="T8" s="12">
        <f>S8*P8*M8</f>
        <v>49083.383999999998</v>
      </c>
      <c r="U8" s="12">
        <f>MAX(S8-T8,0)</f>
        <v>157583.49600000001</v>
      </c>
      <c r="V8" s="8">
        <v>0</v>
      </c>
      <c r="W8" s="12">
        <f>IF(U8&gt;O8*S8,U8*(1+V8),S8*O8)</f>
        <v>157583.49600000001</v>
      </c>
      <c r="X8" s="111">
        <v>800</v>
      </c>
      <c r="Y8" s="14"/>
      <c r="Z8" s="15">
        <f t="shared" si="3"/>
        <v>137777.91999999998</v>
      </c>
    </row>
    <row r="9" spans="2:26" x14ac:dyDescent="0.25">
      <c r="B9" s="2">
        <v>5</v>
      </c>
      <c r="C9" s="86" t="s">
        <v>113</v>
      </c>
      <c r="D9" s="89" t="s">
        <v>133</v>
      </c>
      <c r="E9" s="68" t="s">
        <v>154</v>
      </c>
      <c r="F9" s="8" t="s">
        <v>28</v>
      </c>
      <c r="G9" s="70">
        <f>48*30</f>
        <v>1440</v>
      </c>
      <c r="H9" s="59">
        <f t="shared" si="1"/>
        <v>15500.016</v>
      </c>
      <c r="I9" s="71">
        <f t="shared" si="2"/>
        <v>7.4999999999999991</v>
      </c>
      <c r="J9" s="71">
        <f t="shared" ref="J9:J17" si="4">7.5/(0.3048)</f>
        <v>24.606299212598422</v>
      </c>
      <c r="K9" s="1">
        <v>2007</v>
      </c>
      <c r="L9" s="8">
        <v>2022</v>
      </c>
      <c r="M9" s="8">
        <f t="shared" si="0"/>
        <v>15</v>
      </c>
      <c r="N9" s="8">
        <v>40</v>
      </c>
      <c r="O9" s="8">
        <v>0.05</v>
      </c>
      <c r="P9" s="10">
        <f t="shared" ref="P9:P11" si="5">(1-O9)/N9</f>
        <v>2.375E-2</v>
      </c>
      <c r="Q9" s="11">
        <v>800</v>
      </c>
      <c r="R9" s="11">
        <f t="shared" ref="R9:R25" si="6">Q9*10.7639</f>
        <v>8611.119999999999</v>
      </c>
      <c r="S9" s="12">
        <f>R9*G9</f>
        <v>12400012.799999999</v>
      </c>
      <c r="T9" s="12">
        <f t="shared" ref="T9:T25" si="7">S9*P9*M9</f>
        <v>4417504.5600000005</v>
      </c>
      <c r="U9" s="12">
        <f t="shared" ref="U9:U25" si="8">MAX(S9-T9,0)</f>
        <v>7982508.2399999984</v>
      </c>
      <c r="V9" s="8">
        <v>0</v>
      </c>
      <c r="W9" s="12">
        <f t="shared" ref="W9:W25" si="9">IF(U9&gt;O9*S9,U9*(1+V9),S9*O9)</f>
        <v>7982508.2399999984</v>
      </c>
      <c r="X9" s="111">
        <v>800</v>
      </c>
      <c r="Y9" s="14"/>
      <c r="Z9" s="15">
        <f t="shared" si="3"/>
        <v>12400012.799999999</v>
      </c>
    </row>
    <row r="10" spans="2:26" x14ac:dyDescent="0.25">
      <c r="B10" s="2">
        <v>6</v>
      </c>
      <c r="C10" s="86" t="s">
        <v>113</v>
      </c>
      <c r="D10" s="89" t="s">
        <v>134</v>
      </c>
      <c r="E10" s="68" t="s">
        <v>154</v>
      </c>
      <c r="F10" s="8" t="s">
        <v>28</v>
      </c>
      <c r="G10" s="70">
        <f>48*30</f>
        <v>1440</v>
      </c>
      <c r="H10" s="59">
        <f t="shared" si="1"/>
        <v>15500.016</v>
      </c>
      <c r="I10" s="71">
        <f t="shared" si="2"/>
        <v>7.4999999999999991</v>
      </c>
      <c r="J10" s="71">
        <f t="shared" si="4"/>
        <v>24.606299212598422</v>
      </c>
      <c r="K10" s="1">
        <v>2007</v>
      </c>
      <c r="L10" s="8">
        <v>2022</v>
      </c>
      <c r="M10" s="8">
        <f>L10-K10</f>
        <v>15</v>
      </c>
      <c r="N10" s="8">
        <v>40</v>
      </c>
      <c r="O10" s="8">
        <v>0.05</v>
      </c>
      <c r="P10" s="10">
        <f t="shared" si="5"/>
        <v>2.375E-2</v>
      </c>
      <c r="Q10" s="11">
        <v>800</v>
      </c>
      <c r="R10" s="11">
        <f t="shared" si="6"/>
        <v>8611.119999999999</v>
      </c>
      <c r="S10" s="12">
        <f t="shared" ref="S10:S25" si="10">R10*G10</f>
        <v>12400012.799999999</v>
      </c>
      <c r="T10" s="12">
        <f t="shared" si="7"/>
        <v>4417504.5600000005</v>
      </c>
      <c r="U10" s="12">
        <f t="shared" si="8"/>
        <v>7982508.2399999984</v>
      </c>
      <c r="V10" s="8">
        <v>0</v>
      </c>
      <c r="W10" s="12">
        <f t="shared" si="9"/>
        <v>7982508.2399999984</v>
      </c>
      <c r="X10" s="19"/>
      <c r="Y10" s="19"/>
      <c r="Z10" s="19"/>
    </row>
    <row r="11" spans="2:26" ht="26.25" x14ac:dyDescent="0.25">
      <c r="B11" s="2">
        <v>7</v>
      </c>
      <c r="C11" s="86" t="s">
        <v>113</v>
      </c>
      <c r="D11" s="89" t="s">
        <v>135</v>
      </c>
      <c r="E11" s="68" t="s">
        <v>154</v>
      </c>
      <c r="F11" s="8" t="s">
        <v>28</v>
      </c>
      <c r="G11" s="70">
        <f>30*30</f>
        <v>900</v>
      </c>
      <c r="H11" s="59">
        <f t="shared" si="1"/>
        <v>9687.51</v>
      </c>
      <c r="I11" s="71">
        <f t="shared" si="2"/>
        <v>7.4999999999999991</v>
      </c>
      <c r="J11" s="71">
        <f t="shared" si="4"/>
        <v>24.606299212598422</v>
      </c>
      <c r="K11" s="1">
        <v>2007</v>
      </c>
      <c r="L11" s="8">
        <v>2022</v>
      </c>
      <c r="M11" s="8">
        <f t="shared" si="0"/>
        <v>15</v>
      </c>
      <c r="N11" s="8">
        <v>40</v>
      </c>
      <c r="O11" s="8">
        <v>0.05</v>
      </c>
      <c r="P11" s="10">
        <f t="shared" si="5"/>
        <v>2.375E-2</v>
      </c>
      <c r="Q11" s="11">
        <v>800</v>
      </c>
      <c r="R11" s="11">
        <f t="shared" si="6"/>
        <v>8611.119999999999</v>
      </c>
      <c r="S11" s="12">
        <f t="shared" si="10"/>
        <v>7750007.9999999991</v>
      </c>
      <c r="T11" s="12">
        <f t="shared" si="7"/>
        <v>2760940.3499999996</v>
      </c>
      <c r="U11" s="12">
        <f t="shared" si="8"/>
        <v>4989067.6499999994</v>
      </c>
      <c r="V11" s="8">
        <v>0</v>
      </c>
      <c r="W11" s="12">
        <f t="shared" si="9"/>
        <v>4989067.6499999994</v>
      </c>
      <c r="X11" s="19"/>
      <c r="Y11" s="19"/>
      <c r="Z11" s="19"/>
    </row>
    <row r="12" spans="2:26" ht="26.25" x14ac:dyDescent="0.25">
      <c r="B12" s="2">
        <v>8</v>
      </c>
      <c r="C12" s="86" t="s">
        <v>113</v>
      </c>
      <c r="D12" s="89" t="s">
        <v>136</v>
      </c>
      <c r="E12" s="68" t="s">
        <v>154</v>
      </c>
      <c r="F12" s="8" t="s">
        <v>28</v>
      </c>
      <c r="G12" s="70">
        <f>120*30</f>
        <v>3600</v>
      </c>
      <c r="H12" s="59">
        <f t="shared" si="1"/>
        <v>38750.04</v>
      </c>
      <c r="I12" s="71">
        <f t="shared" si="2"/>
        <v>7.4999999999999991</v>
      </c>
      <c r="J12" s="71">
        <f t="shared" si="4"/>
        <v>24.606299212598422</v>
      </c>
      <c r="K12" s="1">
        <v>2007</v>
      </c>
      <c r="L12" s="8">
        <v>2022</v>
      </c>
      <c r="M12" s="8">
        <f t="shared" si="0"/>
        <v>15</v>
      </c>
      <c r="N12" s="8">
        <v>40</v>
      </c>
      <c r="O12" s="8">
        <v>0.05</v>
      </c>
      <c r="P12" s="10">
        <f>(1-O12)/N12</f>
        <v>2.375E-2</v>
      </c>
      <c r="Q12" s="11">
        <v>800</v>
      </c>
      <c r="R12" s="11">
        <f t="shared" si="6"/>
        <v>8611.119999999999</v>
      </c>
      <c r="S12" s="12">
        <f t="shared" si="10"/>
        <v>31000031.999999996</v>
      </c>
      <c r="T12" s="12">
        <f t="shared" si="7"/>
        <v>11043761.399999999</v>
      </c>
      <c r="U12" s="12">
        <f t="shared" si="8"/>
        <v>19956270.599999998</v>
      </c>
      <c r="V12" s="8">
        <v>0</v>
      </c>
      <c r="W12" s="12">
        <f t="shared" si="9"/>
        <v>19956270.599999998</v>
      </c>
      <c r="X12" s="19"/>
      <c r="Y12" s="19"/>
      <c r="Z12" s="19"/>
    </row>
    <row r="13" spans="2:26" x14ac:dyDescent="0.25">
      <c r="B13" s="2">
        <v>9</v>
      </c>
      <c r="C13" s="86" t="s">
        <v>113</v>
      </c>
      <c r="D13" s="89" t="s">
        <v>137</v>
      </c>
      <c r="E13" s="68" t="s">
        <v>154</v>
      </c>
      <c r="F13" s="8" t="s">
        <v>28</v>
      </c>
      <c r="G13" s="70">
        <f>40*24</f>
        <v>960</v>
      </c>
      <c r="H13" s="59">
        <f t="shared" si="1"/>
        <v>10333.343999999999</v>
      </c>
      <c r="I13" s="71">
        <f t="shared" si="2"/>
        <v>7.4999999999999991</v>
      </c>
      <c r="J13" s="71">
        <f t="shared" si="4"/>
        <v>24.606299212598422</v>
      </c>
      <c r="K13" s="1">
        <v>2007</v>
      </c>
      <c r="L13" s="8">
        <v>2022</v>
      </c>
      <c r="M13" s="8">
        <f t="shared" si="0"/>
        <v>15</v>
      </c>
      <c r="N13" s="8">
        <v>40</v>
      </c>
      <c r="O13" s="8">
        <v>0.05</v>
      </c>
      <c r="P13" s="10">
        <f t="shared" ref="P13:P25" si="11">(1-O13)/N13</f>
        <v>2.375E-2</v>
      </c>
      <c r="Q13" s="11">
        <v>800</v>
      </c>
      <c r="R13" s="11">
        <f t="shared" si="6"/>
        <v>8611.119999999999</v>
      </c>
      <c r="S13" s="12">
        <f t="shared" si="10"/>
        <v>8266675.1999999993</v>
      </c>
      <c r="T13" s="12">
        <f t="shared" si="7"/>
        <v>2945003.04</v>
      </c>
      <c r="U13" s="12">
        <f t="shared" si="8"/>
        <v>5321672.1599999992</v>
      </c>
      <c r="V13" s="8">
        <v>0</v>
      </c>
      <c r="W13" s="12">
        <f t="shared" si="9"/>
        <v>5321672.1599999992</v>
      </c>
      <c r="X13" s="19"/>
      <c r="Y13" s="19"/>
      <c r="Z13" s="19"/>
    </row>
    <row r="14" spans="2:26" x14ac:dyDescent="0.25">
      <c r="B14" s="2">
        <v>10</v>
      </c>
      <c r="C14" s="86" t="s">
        <v>113</v>
      </c>
      <c r="D14" s="89" t="s">
        <v>138</v>
      </c>
      <c r="E14" s="68" t="s">
        <v>154</v>
      </c>
      <c r="F14" s="8" t="s">
        <v>28</v>
      </c>
      <c r="G14" s="70">
        <f>48*24</f>
        <v>1152</v>
      </c>
      <c r="H14" s="59">
        <f t="shared" si="1"/>
        <v>12400.0128</v>
      </c>
      <c r="I14" s="71">
        <f t="shared" si="2"/>
        <v>7.4999999999999991</v>
      </c>
      <c r="J14" s="71">
        <f t="shared" si="4"/>
        <v>24.606299212598422</v>
      </c>
      <c r="K14" s="1">
        <v>2007</v>
      </c>
      <c r="L14" s="8">
        <v>2022</v>
      </c>
      <c r="M14" s="8">
        <f t="shared" si="0"/>
        <v>15</v>
      </c>
      <c r="N14" s="8">
        <v>40</v>
      </c>
      <c r="O14" s="8">
        <v>0.05</v>
      </c>
      <c r="P14" s="10">
        <f t="shared" si="11"/>
        <v>2.375E-2</v>
      </c>
      <c r="Q14" s="11">
        <v>800</v>
      </c>
      <c r="R14" s="11">
        <f t="shared" si="6"/>
        <v>8611.119999999999</v>
      </c>
      <c r="S14" s="12">
        <f t="shared" si="10"/>
        <v>9920010.2399999984</v>
      </c>
      <c r="T14" s="12">
        <f t="shared" si="7"/>
        <v>3534003.6479999996</v>
      </c>
      <c r="U14" s="12">
        <f t="shared" si="8"/>
        <v>6386006.5919999983</v>
      </c>
      <c r="V14" s="8">
        <v>0</v>
      </c>
      <c r="W14" s="12">
        <f t="shared" si="9"/>
        <v>6386006.5919999983</v>
      </c>
      <c r="X14" s="19"/>
      <c r="Y14" s="19"/>
      <c r="Z14" s="19"/>
    </row>
    <row r="15" spans="2:26" ht="26.25" x14ac:dyDescent="0.25">
      <c r="B15" s="2">
        <v>11</v>
      </c>
      <c r="C15" s="86" t="s">
        <v>113</v>
      </c>
      <c r="D15" s="89" t="s">
        <v>139</v>
      </c>
      <c r="E15" s="68" t="s">
        <v>154</v>
      </c>
      <c r="F15" s="8" t="s">
        <v>28</v>
      </c>
      <c r="G15" s="70">
        <f>70*24</f>
        <v>1680</v>
      </c>
      <c r="H15" s="59">
        <f t="shared" si="1"/>
        <v>18083.351999999999</v>
      </c>
      <c r="I15" s="71">
        <f t="shared" si="2"/>
        <v>7.4999999999999991</v>
      </c>
      <c r="J15" s="71">
        <f t="shared" si="4"/>
        <v>24.606299212598422</v>
      </c>
      <c r="K15" s="1">
        <v>2007</v>
      </c>
      <c r="L15" s="8">
        <v>2022</v>
      </c>
      <c r="M15" s="8">
        <f t="shared" si="0"/>
        <v>15</v>
      </c>
      <c r="N15" s="8">
        <v>40</v>
      </c>
      <c r="O15" s="8">
        <v>0.05</v>
      </c>
      <c r="P15" s="10">
        <f t="shared" si="11"/>
        <v>2.375E-2</v>
      </c>
      <c r="Q15" s="11">
        <v>800</v>
      </c>
      <c r="R15" s="11">
        <f t="shared" si="6"/>
        <v>8611.119999999999</v>
      </c>
      <c r="S15" s="12">
        <f t="shared" si="10"/>
        <v>14466681.599999998</v>
      </c>
      <c r="T15" s="12">
        <f t="shared" si="7"/>
        <v>5153755.3199999994</v>
      </c>
      <c r="U15" s="12">
        <f t="shared" si="8"/>
        <v>9312926.2799999975</v>
      </c>
      <c r="V15" s="8">
        <v>0</v>
      </c>
      <c r="W15" s="12">
        <f t="shared" si="9"/>
        <v>9312926.2799999975</v>
      </c>
      <c r="X15" s="19"/>
      <c r="Y15" s="19"/>
      <c r="Z15" s="19"/>
    </row>
    <row r="16" spans="2:26" x14ac:dyDescent="0.25">
      <c r="B16" s="2">
        <v>12</v>
      </c>
      <c r="C16" s="86" t="s">
        <v>113</v>
      </c>
      <c r="D16" s="89" t="s">
        <v>140</v>
      </c>
      <c r="E16" s="68" t="s">
        <v>154</v>
      </c>
      <c r="F16" s="8" t="s">
        <v>28</v>
      </c>
      <c r="G16" s="70">
        <f>64*24</f>
        <v>1536</v>
      </c>
      <c r="H16" s="59">
        <f t="shared" si="1"/>
        <v>16533.350399999999</v>
      </c>
      <c r="I16" s="71">
        <f t="shared" si="2"/>
        <v>7.4999999999999991</v>
      </c>
      <c r="J16" s="71">
        <f t="shared" si="4"/>
        <v>24.606299212598422</v>
      </c>
      <c r="K16" s="1">
        <v>2007</v>
      </c>
      <c r="L16" s="8">
        <v>2022</v>
      </c>
      <c r="M16" s="8">
        <f t="shared" si="0"/>
        <v>15</v>
      </c>
      <c r="N16" s="8">
        <v>40</v>
      </c>
      <c r="O16" s="8">
        <v>0.05</v>
      </c>
      <c r="P16" s="10">
        <f t="shared" si="11"/>
        <v>2.375E-2</v>
      </c>
      <c r="Q16" s="11">
        <v>800</v>
      </c>
      <c r="R16" s="11">
        <f t="shared" si="6"/>
        <v>8611.119999999999</v>
      </c>
      <c r="S16" s="12">
        <f t="shared" si="10"/>
        <v>13226680.319999998</v>
      </c>
      <c r="T16" s="12">
        <f t="shared" si="7"/>
        <v>4712004.8640000001</v>
      </c>
      <c r="U16" s="12">
        <f t="shared" si="8"/>
        <v>8514675.4559999984</v>
      </c>
      <c r="V16" s="8">
        <v>0</v>
      </c>
      <c r="W16" s="12">
        <f t="shared" si="9"/>
        <v>8514675.4559999984</v>
      </c>
      <c r="X16" s="19"/>
      <c r="Y16" s="19"/>
      <c r="Z16" s="19"/>
    </row>
    <row r="17" spans="2:26" x14ac:dyDescent="0.25">
      <c r="B17" s="2">
        <v>13</v>
      </c>
      <c r="C17" s="86" t="s">
        <v>113</v>
      </c>
      <c r="D17" s="89" t="s">
        <v>141</v>
      </c>
      <c r="E17" s="68" t="s">
        <v>154</v>
      </c>
      <c r="F17" s="8" t="s">
        <v>28</v>
      </c>
      <c r="G17" s="70">
        <f>24*24</f>
        <v>576</v>
      </c>
      <c r="H17" s="59">
        <f t="shared" si="1"/>
        <v>6200.0064000000002</v>
      </c>
      <c r="I17" s="71">
        <f t="shared" si="2"/>
        <v>7.4999999999999991</v>
      </c>
      <c r="J17" s="71">
        <f t="shared" si="4"/>
        <v>24.606299212598422</v>
      </c>
      <c r="K17" s="1">
        <v>2007</v>
      </c>
      <c r="L17" s="8">
        <v>2022</v>
      </c>
      <c r="M17" s="8">
        <f t="shared" si="0"/>
        <v>15</v>
      </c>
      <c r="N17" s="8">
        <v>40</v>
      </c>
      <c r="O17" s="8">
        <v>0.05</v>
      </c>
      <c r="P17" s="10">
        <f t="shared" si="11"/>
        <v>2.375E-2</v>
      </c>
      <c r="Q17" s="11">
        <v>800</v>
      </c>
      <c r="R17" s="11">
        <f t="shared" si="6"/>
        <v>8611.119999999999</v>
      </c>
      <c r="S17" s="12">
        <f t="shared" si="10"/>
        <v>4960005.1199999992</v>
      </c>
      <c r="T17" s="12">
        <f t="shared" si="7"/>
        <v>1767001.8239999998</v>
      </c>
      <c r="U17" s="12">
        <f t="shared" si="8"/>
        <v>3193003.2959999992</v>
      </c>
      <c r="V17" s="8">
        <v>0</v>
      </c>
      <c r="W17" s="12">
        <f t="shared" si="9"/>
        <v>3193003.2959999992</v>
      </c>
      <c r="X17" s="19"/>
      <c r="Y17" s="19"/>
      <c r="Z17" s="19"/>
    </row>
    <row r="18" spans="2:26" x14ac:dyDescent="0.25">
      <c r="B18" s="2">
        <v>14</v>
      </c>
      <c r="C18" s="86" t="s">
        <v>113</v>
      </c>
      <c r="D18" s="89" t="s">
        <v>142</v>
      </c>
      <c r="E18" s="68" t="s">
        <v>154</v>
      </c>
      <c r="F18" s="8" t="s">
        <v>28</v>
      </c>
      <c r="G18" s="70">
        <f>20*11</f>
        <v>220</v>
      </c>
      <c r="H18" s="59">
        <f t="shared" si="1"/>
        <v>2368.058</v>
      </c>
      <c r="I18" s="71">
        <f t="shared" si="2"/>
        <v>6.0960000000000001</v>
      </c>
      <c r="J18" s="71">
        <v>20</v>
      </c>
      <c r="K18" s="1">
        <v>2007</v>
      </c>
      <c r="L18" s="8">
        <v>2022</v>
      </c>
      <c r="M18" s="8">
        <f t="shared" si="0"/>
        <v>15</v>
      </c>
      <c r="N18" s="8">
        <v>40</v>
      </c>
      <c r="O18" s="8">
        <v>0.05</v>
      </c>
      <c r="P18" s="10">
        <f t="shared" si="11"/>
        <v>2.375E-2</v>
      </c>
      <c r="Q18" s="11">
        <v>700</v>
      </c>
      <c r="R18" s="11">
        <f t="shared" si="6"/>
        <v>7534.73</v>
      </c>
      <c r="S18" s="12">
        <f t="shared" si="10"/>
        <v>1657640.5999999999</v>
      </c>
      <c r="T18" s="12">
        <f t="shared" si="7"/>
        <v>590534.46375</v>
      </c>
      <c r="U18" s="12">
        <f t="shared" si="8"/>
        <v>1067106.13625</v>
      </c>
      <c r="V18" s="8">
        <v>0</v>
      </c>
      <c r="W18" s="12">
        <f t="shared" si="9"/>
        <v>1067106.13625</v>
      </c>
      <c r="X18" s="19"/>
      <c r="Y18" s="19"/>
      <c r="Z18" s="19"/>
    </row>
    <row r="19" spans="2:26" x14ac:dyDescent="0.25">
      <c r="B19" s="2">
        <v>15</v>
      </c>
      <c r="C19" s="86" t="s">
        <v>113</v>
      </c>
      <c r="D19" s="89" t="s">
        <v>143</v>
      </c>
      <c r="E19" s="68" t="s">
        <v>154</v>
      </c>
      <c r="F19" s="8" t="s">
        <v>28</v>
      </c>
      <c r="G19" s="70">
        <f>24*12</f>
        <v>288</v>
      </c>
      <c r="H19" s="59">
        <f t="shared" si="1"/>
        <v>3100.0032000000001</v>
      </c>
      <c r="I19" s="71">
        <f t="shared" si="2"/>
        <v>10</v>
      </c>
      <c r="J19" s="71">
        <f>10/(0.3048)</f>
        <v>32.808398950131235</v>
      </c>
      <c r="K19" s="1">
        <v>2007</v>
      </c>
      <c r="L19" s="8">
        <v>2022</v>
      </c>
      <c r="M19" s="8">
        <f t="shared" si="0"/>
        <v>15</v>
      </c>
      <c r="N19" s="8">
        <v>40</v>
      </c>
      <c r="O19" s="8">
        <v>0.05</v>
      </c>
      <c r="P19" s="10">
        <f t="shared" si="11"/>
        <v>2.375E-2</v>
      </c>
      <c r="Q19" s="11">
        <v>800</v>
      </c>
      <c r="R19" s="11">
        <f t="shared" si="6"/>
        <v>8611.119999999999</v>
      </c>
      <c r="S19" s="12">
        <f t="shared" si="10"/>
        <v>2480002.5599999996</v>
      </c>
      <c r="T19" s="12">
        <f t="shared" si="7"/>
        <v>883500.91199999989</v>
      </c>
      <c r="U19" s="12">
        <f t="shared" si="8"/>
        <v>1596501.6479999996</v>
      </c>
      <c r="V19" s="8">
        <v>0</v>
      </c>
      <c r="W19" s="12">
        <f t="shared" si="9"/>
        <v>1596501.6479999996</v>
      </c>
      <c r="X19" s="19"/>
      <c r="Y19" s="19"/>
      <c r="Z19" s="19"/>
    </row>
    <row r="20" spans="2:26" ht="26.25" x14ac:dyDescent="0.25">
      <c r="B20" s="2">
        <v>16</v>
      </c>
      <c r="C20" s="86" t="s">
        <v>113</v>
      </c>
      <c r="D20" s="89" t="s">
        <v>144</v>
      </c>
      <c r="E20" s="68" t="s">
        <v>154</v>
      </c>
      <c r="F20" s="8" t="s">
        <v>28</v>
      </c>
      <c r="G20" s="90">
        <f>44.83*11.61</f>
        <v>520.47629999999992</v>
      </c>
      <c r="H20" s="59">
        <f t="shared" si="1"/>
        <v>5602.3548455699993</v>
      </c>
      <c r="I20" s="71">
        <f t="shared" si="2"/>
        <v>13.5</v>
      </c>
      <c r="J20" s="71">
        <f>13.5/(0.3048)</f>
        <v>44.291338582677163</v>
      </c>
      <c r="K20" s="1">
        <v>2007</v>
      </c>
      <c r="L20" s="8">
        <v>2022</v>
      </c>
      <c r="M20" s="8">
        <f t="shared" si="0"/>
        <v>15</v>
      </c>
      <c r="N20" s="8">
        <v>40</v>
      </c>
      <c r="O20" s="8">
        <v>0.05</v>
      </c>
      <c r="P20" s="10">
        <f t="shared" si="11"/>
        <v>2.375E-2</v>
      </c>
      <c r="Q20" s="11">
        <v>800</v>
      </c>
      <c r="R20" s="11">
        <f t="shared" si="6"/>
        <v>8611.119999999999</v>
      </c>
      <c r="S20" s="12">
        <f t="shared" si="10"/>
        <v>4481883.876455999</v>
      </c>
      <c r="T20" s="12">
        <f t="shared" si="7"/>
        <v>1596671.1309874498</v>
      </c>
      <c r="U20" s="12">
        <f t="shared" si="8"/>
        <v>2885212.7454685494</v>
      </c>
      <c r="V20" s="8">
        <v>0</v>
      </c>
      <c r="W20" s="12">
        <f t="shared" si="9"/>
        <v>2885212.7454685494</v>
      </c>
      <c r="X20" s="19"/>
      <c r="Y20" s="19"/>
      <c r="Z20" s="19"/>
    </row>
    <row r="21" spans="2:26" x14ac:dyDescent="0.25">
      <c r="B21" s="2">
        <v>17</v>
      </c>
      <c r="C21" s="86" t="s">
        <v>113</v>
      </c>
      <c r="D21" s="89" t="s">
        <v>145</v>
      </c>
      <c r="E21" s="68" t="s">
        <v>154</v>
      </c>
      <c r="F21" s="8" t="s">
        <v>28</v>
      </c>
      <c r="G21" s="90">
        <f>44.83*11.61</f>
        <v>520.47629999999992</v>
      </c>
      <c r="H21" s="59">
        <f t="shared" si="1"/>
        <v>5602.3548455699993</v>
      </c>
      <c r="I21" s="71">
        <f t="shared" si="2"/>
        <v>13.5</v>
      </c>
      <c r="J21" s="71">
        <f>13.5/(0.3048)</f>
        <v>44.291338582677163</v>
      </c>
      <c r="K21" s="1">
        <v>2007</v>
      </c>
      <c r="L21" s="8">
        <v>2022</v>
      </c>
      <c r="M21" s="8">
        <f t="shared" si="0"/>
        <v>15</v>
      </c>
      <c r="N21" s="8">
        <v>40</v>
      </c>
      <c r="O21" s="8">
        <v>0.05</v>
      </c>
      <c r="P21" s="10">
        <f t="shared" si="11"/>
        <v>2.375E-2</v>
      </c>
      <c r="Q21" s="11">
        <v>800</v>
      </c>
      <c r="R21" s="11">
        <f t="shared" si="6"/>
        <v>8611.119999999999</v>
      </c>
      <c r="S21" s="12">
        <f t="shared" si="10"/>
        <v>4481883.876455999</v>
      </c>
      <c r="T21" s="12">
        <f t="shared" si="7"/>
        <v>1596671.1309874498</v>
      </c>
      <c r="U21" s="12">
        <f t="shared" si="8"/>
        <v>2885212.7454685494</v>
      </c>
      <c r="V21" s="8">
        <v>0</v>
      </c>
      <c r="W21" s="12">
        <f t="shared" si="9"/>
        <v>2885212.7454685494</v>
      </c>
      <c r="X21" s="19"/>
      <c r="Y21" s="19"/>
      <c r="Z21" s="19"/>
    </row>
    <row r="22" spans="2:26" x14ac:dyDescent="0.25">
      <c r="B22" s="2">
        <v>18</v>
      </c>
      <c r="C22" s="86" t="s">
        <v>113</v>
      </c>
      <c r="D22" s="89" t="s">
        <v>146</v>
      </c>
      <c r="E22" s="68" t="s">
        <v>154</v>
      </c>
      <c r="F22" s="8" t="s">
        <v>28</v>
      </c>
      <c r="G22" s="70">
        <f>36.6*31.9</f>
        <v>1167.54</v>
      </c>
      <c r="H22" s="59">
        <f t="shared" si="1"/>
        <v>12567.283805999999</v>
      </c>
      <c r="I22" s="71">
        <f t="shared" si="2"/>
        <v>9.1440000000000001</v>
      </c>
      <c r="J22" s="71">
        <v>30</v>
      </c>
      <c r="K22" s="1">
        <v>2007</v>
      </c>
      <c r="L22" s="8">
        <v>2022</v>
      </c>
      <c r="M22" s="8">
        <f t="shared" si="0"/>
        <v>15</v>
      </c>
      <c r="N22" s="8">
        <v>40</v>
      </c>
      <c r="O22" s="8">
        <v>0.05</v>
      </c>
      <c r="P22" s="10">
        <f t="shared" si="11"/>
        <v>2.375E-2</v>
      </c>
      <c r="Q22" s="11">
        <v>800</v>
      </c>
      <c r="R22" s="11">
        <f t="shared" si="6"/>
        <v>8611.119999999999</v>
      </c>
      <c r="S22" s="12">
        <f t="shared" si="10"/>
        <v>10053827.044799998</v>
      </c>
      <c r="T22" s="12">
        <f t="shared" si="7"/>
        <v>3581675.8847099994</v>
      </c>
      <c r="U22" s="12">
        <f t="shared" si="8"/>
        <v>6472151.1600899994</v>
      </c>
      <c r="V22" s="8">
        <v>0</v>
      </c>
      <c r="W22" s="12">
        <f t="shared" si="9"/>
        <v>6472151.1600899994</v>
      </c>
      <c r="X22" s="19"/>
      <c r="Y22" s="19"/>
      <c r="Z22" s="19"/>
    </row>
    <row r="23" spans="2:26" x14ac:dyDescent="0.25">
      <c r="B23" s="2">
        <v>19</v>
      </c>
      <c r="C23" s="86" t="s">
        <v>113</v>
      </c>
      <c r="D23" s="89" t="s">
        <v>147</v>
      </c>
      <c r="E23" s="68" t="s">
        <v>154</v>
      </c>
      <c r="F23" s="8" t="s">
        <v>28</v>
      </c>
      <c r="G23" s="70">
        <f>25*20</f>
        <v>500</v>
      </c>
      <c r="H23" s="59">
        <f t="shared" si="1"/>
        <v>5381.95</v>
      </c>
      <c r="I23" s="71">
        <f t="shared" si="2"/>
        <v>3.048</v>
      </c>
      <c r="J23" s="71">
        <v>10</v>
      </c>
      <c r="K23" s="1">
        <v>2007</v>
      </c>
      <c r="L23" s="8">
        <v>2022</v>
      </c>
      <c r="M23" s="8">
        <f t="shared" si="0"/>
        <v>15</v>
      </c>
      <c r="N23" s="8">
        <v>40</v>
      </c>
      <c r="O23" s="8">
        <v>0.05</v>
      </c>
      <c r="P23" s="10">
        <f t="shared" si="11"/>
        <v>2.375E-2</v>
      </c>
      <c r="Q23" s="11">
        <v>400</v>
      </c>
      <c r="R23" s="11">
        <f t="shared" si="6"/>
        <v>4305.5599999999995</v>
      </c>
      <c r="S23" s="12">
        <f t="shared" si="10"/>
        <v>2152779.9999999995</v>
      </c>
      <c r="T23" s="12">
        <f t="shared" si="7"/>
        <v>766927.87499999977</v>
      </c>
      <c r="U23" s="12">
        <f t="shared" si="8"/>
        <v>1385852.1249999998</v>
      </c>
      <c r="V23" s="8">
        <v>0</v>
      </c>
      <c r="W23" s="12">
        <f t="shared" si="9"/>
        <v>1385852.1249999998</v>
      </c>
      <c r="X23" s="19"/>
      <c r="Y23" s="19"/>
      <c r="Z23" s="19"/>
    </row>
    <row r="24" spans="2:26" x14ac:dyDescent="0.25">
      <c r="B24" s="2">
        <v>20</v>
      </c>
      <c r="C24" s="86" t="s">
        <v>113</v>
      </c>
      <c r="D24" s="89" t="s">
        <v>148</v>
      </c>
      <c r="E24" s="68" t="s">
        <v>154</v>
      </c>
      <c r="F24" s="8" t="s">
        <v>28</v>
      </c>
      <c r="G24" s="70">
        <f>20*10</f>
        <v>200</v>
      </c>
      <c r="H24" s="59">
        <f t="shared" si="1"/>
        <v>2152.7799999999997</v>
      </c>
      <c r="I24" s="71">
        <f t="shared" si="2"/>
        <v>9.1440000000000001</v>
      </c>
      <c r="J24" s="71">
        <v>30</v>
      </c>
      <c r="K24" s="1">
        <v>2007</v>
      </c>
      <c r="L24" s="8">
        <v>2022</v>
      </c>
      <c r="M24" s="8">
        <f t="shared" si="0"/>
        <v>15</v>
      </c>
      <c r="N24" s="8">
        <v>40</v>
      </c>
      <c r="O24" s="8">
        <v>0.05</v>
      </c>
      <c r="P24" s="10">
        <f t="shared" si="11"/>
        <v>2.375E-2</v>
      </c>
      <c r="Q24" s="11">
        <v>800</v>
      </c>
      <c r="R24" s="11">
        <f t="shared" si="6"/>
        <v>8611.119999999999</v>
      </c>
      <c r="S24" s="12">
        <f t="shared" si="10"/>
        <v>1722223.9999999998</v>
      </c>
      <c r="T24" s="12">
        <f t="shared" si="7"/>
        <v>613542.29999999993</v>
      </c>
      <c r="U24" s="12">
        <f t="shared" si="8"/>
        <v>1108681.6999999997</v>
      </c>
      <c r="V24" s="8">
        <v>0</v>
      </c>
      <c r="W24" s="12">
        <f t="shared" si="9"/>
        <v>1108681.6999999997</v>
      </c>
      <c r="X24" s="19"/>
      <c r="Y24" s="19"/>
      <c r="Z24" s="19"/>
    </row>
    <row r="25" spans="2:26" x14ac:dyDescent="0.25">
      <c r="B25" s="2">
        <v>21</v>
      </c>
      <c r="C25" s="86" t="s">
        <v>113</v>
      </c>
      <c r="D25" s="89" t="s">
        <v>149</v>
      </c>
      <c r="E25" s="68" t="s">
        <v>153</v>
      </c>
      <c r="F25" s="8" t="s">
        <v>28</v>
      </c>
      <c r="G25" s="70">
        <f>30*25</f>
        <v>750</v>
      </c>
      <c r="H25" s="59">
        <f t="shared" si="1"/>
        <v>8072.9249999999993</v>
      </c>
      <c r="I25" s="71">
        <f t="shared" si="2"/>
        <v>3.048</v>
      </c>
      <c r="J25" s="71">
        <v>10</v>
      </c>
      <c r="K25" s="1">
        <v>2007</v>
      </c>
      <c r="L25" s="8">
        <v>2022</v>
      </c>
      <c r="M25" s="8">
        <f t="shared" si="0"/>
        <v>15</v>
      </c>
      <c r="N25" s="8">
        <v>40</v>
      </c>
      <c r="O25" s="8">
        <v>0.05</v>
      </c>
      <c r="P25" s="10">
        <f t="shared" si="11"/>
        <v>2.375E-2</v>
      </c>
      <c r="Q25" s="11">
        <v>1000</v>
      </c>
      <c r="R25" s="11">
        <f t="shared" si="6"/>
        <v>10763.9</v>
      </c>
      <c r="S25" s="12">
        <f t="shared" si="10"/>
        <v>8072925</v>
      </c>
      <c r="T25" s="12">
        <f t="shared" si="7"/>
        <v>2875979.53125</v>
      </c>
      <c r="U25" s="12">
        <f t="shared" si="8"/>
        <v>5196945.46875</v>
      </c>
      <c r="V25" s="8">
        <v>0</v>
      </c>
      <c r="W25" s="12">
        <f t="shared" si="9"/>
        <v>5196945.46875</v>
      </c>
      <c r="X25" s="19"/>
      <c r="Y25" s="19"/>
      <c r="Z25" s="19"/>
    </row>
    <row r="26" spans="2:26" x14ac:dyDescent="0.25">
      <c r="B26" s="141" t="s">
        <v>43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2">
        <f>SUM(S5:S25)</f>
        <v>161682662.95361596</v>
      </c>
      <c r="T26" s="141"/>
      <c r="U26" s="141"/>
      <c r="V26" s="141"/>
      <c r="W26" s="108">
        <f>SUM(W4:W25)</f>
        <v>105530702.90390392</v>
      </c>
      <c r="X26" s="19"/>
      <c r="Y26" s="19"/>
      <c r="Z26" s="19"/>
    </row>
    <row r="27" spans="2:26" s="107" customFormat="1" x14ac:dyDescent="0.25"/>
    <row r="28" spans="2:26" x14ac:dyDescent="0.25">
      <c r="B28" s="21"/>
      <c r="C28" s="87"/>
      <c r="D28" s="80"/>
      <c r="E28" s="22"/>
      <c r="F28" s="23"/>
      <c r="G28" s="18"/>
      <c r="H28" s="104" t="s">
        <v>159</v>
      </c>
      <c r="I28" s="105" t="s">
        <v>160</v>
      </c>
      <c r="J28" s="18"/>
      <c r="K28" s="16"/>
      <c r="L28" s="23"/>
      <c r="M28" s="23"/>
      <c r="N28" s="23"/>
      <c r="O28" s="23"/>
      <c r="P28" s="25"/>
      <c r="Q28" s="27"/>
      <c r="R28" s="27"/>
      <c r="S28" s="28"/>
      <c r="T28" s="28"/>
      <c r="U28" s="28"/>
      <c r="V28" s="23"/>
      <c r="W28" s="28"/>
    </row>
    <row r="29" spans="2:26" ht="15.75" thickBot="1" x14ac:dyDescent="0.3">
      <c r="B29" s="73" t="s">
        <v>150</v>
      </c>
      <c r="C29" s="84" t="s">
        <v>113</v>
      </c>
      <c r="D29" s="97"/>
      <c r="E29" s="97">
        <v>2007</v>
      </c>
      <c r="F29" s="73" t="s">
        <v>157</v>
      </c>
      <c r="G29" s="97" t="s">
        <v>158</v>
      </c>
      <c r="H29" s="73">
        <f>29*26</f>
        <v>754</v>
      </c>
      <c r="I29" s="101">
        <f>H29/(0.3048)</f>
        <v>2473.7532808398951</v>
      </c>
      <c r="J29" s="18"/>
      <c r="K29" s="16"/>
      <c r="L29" s="23"/>
      <c r="M29" s="23"/>
      <c r="N29" s="23"/>
      <c r="O29" s="23"/>
      <c r="P29" s="25"/>
      <c r="Q29" s="27"/>
      <c r="R29" s="27"/>
      <c r="S29" s="28"/>
      <c r="T29" s="28"/>
      <c r="U29" s="28"/>
      <c r="V29" s="23"/>
      <c r="W29" s="28"/>
    </row>
    <row r="30" spans="2:26" ht="15.75" thickBot="1" x14ac:dyDescent="0.3">
      <c r="B30" s="73" t="s">
        <v>151</v>
      </c>
      <c r="C30" s="84" t="s">
        <v>113</v>
      </c>
      <c r="D30" s="99">
        <f>2.6/(0.3048)</f>
        <v>8.530183727034121</v>
      </c>
      <c r="E30" s="97">
        <v>2007</v>
      </c>
      <c r="F30" s="73" t="s">
        <v>156</v>
      </c>
      <c r="G30" s="97" t="s">
        <v>158</v>
      </c>
      <c r="H30" s="73">
        <v>1350</v>
      </c>
      <c r="I30" s="98">
        <f t="shared" ref="I30:I31" si="12">H30/(0.3048)</f>
        <v>4429.1338582677163</v>
      </c>
      <c r="J30" s="18"/>
      <c r="K30" s="16"/>
      <c r="L30" s="23"/>
      <c r="M30" s="23"/>
      <c r="N30" s="23"/>
      <c r="O30" s="23"/>
      <c r="P30" s="25"/>
      <c r="Q30" s="27"/>
      <c r="R30" s="27"/>
      <c r="S30" s="28"/>
      <c r="T30" s="28"/>
      <c r="U30" s="28"/>
      <c r="V30" s="23"/>
      <c r="W30" s="28"/>
    </row>
    <row r="31" spans="2:26" ht="15.75" thickBot="1" x14ac:dyDescent="0.3">
      <c r="B31" s="74" t="s">
        <v>152</v>
      </c>
      <c r="C31" s="85" t="s">
        <v>113</v>
      </c>
      <c r="D31" s="100"/>
      <c r="E31" s="100">
        <v>2007</v>
      </c>
      <c r="F31" s="74" t="s">
        <v>41</v>
      </c>
      <c r="G31" s="100" t="s">
        <v>158</v>
      </c>
      <c r="H31" s="74">
        <v>2200</v>
      </c>
      <c r="I31" s="98">
        <f t="shared" si="12"/>
        <v>7217.847769028871</v>
      </c>
      <c r="J31" s="18"/>
      <c r="K31" s="16"/>
      <c r="L31" s="23"/>
      <c r="M31" s="23"/>
      <c r="N31" s="23"/>
      <c r="O31" s="23"/>
      <c r="P31" s="25"/>
      <c r="Q31" s="76"/>
      <c r="R31" s="27"/>
      <c r="S31" s="28"/>
      <c r="T31" s="28"/>
      <c r="U31" s="28"/>
      <c r="V31" s="23"/>
      <c r="W31" s="28"/>
    </row>
    <row r="32" spans="2:26" x14ac:dyDescent="0.25">
      <c r="B32" s="21"/>
      <c r="C32" s="16"/>
      <c r="D32" s="22"/>
      <c r="E32" s="22"/>
      <c r="F32" s="23"/>
      <c r="G32" s="18"/>
      <c r="H32" s="75"/>
      <c r="I32" s="16"/>
      <c r="J32" s="18"/>
      <c r="K32" s="16"/>
      <c r="L32" s="23"/>
      <c r="M32" s="23"/>
      <c r="N32" s="23"/>
      <c r="O32" s="23"/>
      <c r="P32" s="25"/>
      <c r="Q32" s="53"/>
      <c r="R32" s="27"/>
      <c r="S32" s="28"/>
      <c r="T32" s="28"/>
      <c r="U32" s="28"/>
      <c r="V32" s="23"/>
      <c r="W32" s="28"/>
    </row>
    <row r="33" spans="1:23" x14ac:dyDescent="0.25">
      <c r="B33" s="21"/>
      <c r="C33" s="16"/>
      <c r="D33" s="22"/>
      <c r="E33" s="22"/>
      <c r="F33" s="23"/>
      <c r="G33" s="18"/>
      <c r="H33" s="75"/>
      <c r="I33" s="16"/>
      <c r="J33" s="18"/>
      <c r="K33" s="16"/>
      <c r="L33" s="23"/>
      <c r="M33" s="23"/>
      <c r="N33" s="23"/>
      <c r="O33" s="23"/>
      <c r="P33" s="25"/>
      <c r="Q33" s="76"/>
      <c r="R33" s="27"/>
      <c r="S33" s="28"/>
      <c r="T33" s="28"/>
      <c r="U33" s="28"/>
      <c r="V33" s="23"/>
      <c r="W33" s="28"/>
    </row>
    <row r="34" spans="1:23" x14ac:dyDescent="0.25">
      <c r="B34" s="21"/>
      <c r="C34" s="16"/>
      <c r="D34" s="22"/>
      <c r="E34" s="22"/>
      <c r="F34" s="23"/>
      <c r="G34" s="18"/>
      <c r="H34" s="75"/>
      <c r="I34" s="16"/>
      <c r="J34" s="18"/>
      <c r="K34" s="16"/>
      <c r="L34" s="23"/>
      <c r="M34" s="23"/>
      <c r="N34" s="23"/>
      <c r="O34" s="23"/>
      <c r="P34" s="25"/>
      <c r="Q34" s="53"/>
      <c r="R34" s="27"/>
      <c r="S34" s="28"/>
      <c r="T34" s="28"/>
      <c r="U34" s="28"/>
      <c r="V34" s="23"/>
      <c r="W34" s="28"/>
    </row>
    <row r="35" spans="1:23" x14ac:dyDescent="0.25">
      <c r="B35" s="21"/>
      <c r="C35" s="16"/>
      <c r="D35" s="22"/>
      <c r="E35" s="22"/>
      <c r="F35" s="23"/>
      <c r="G35" s="18"/>
      <c r="H35" s="75"/>
      <c r="I35" s="16"/>
      <c r="J35" s="18"/>
      <c r="K35" s="16"/>
      <c r="L35" s="23"/>
      <c r="M35" s="23"/>
      <c r="N35" s="23"/>
      <c r="O35" s="23"/>
      <c r="P35" s="25"/>
      <c r="Q35" s="53"/>
      <c r="R35" s="27"/>
      <c r="S35" s="28"/>
      <c r="T35" s="28"/>
      <c r="U35" s="28"/>
      <c r="V35" s="23"/>
      <c r="W35" s="28"/>
    </row>
    <row r="36" spans="1:23" x14ac:dyDescent="0.25">
      <c r="B36" s="21"/>
      <c r="C36" s="16"/>
      <c r="D36" s="22"/>
      <c r="E36" s="22"/>
      <c r="F36" s="23"/>
      <c r="G36" s="18"/>
      <c r="H36" s="75"/>
      <c r="I36" s="16"/>
      <c r="J36" s="18"/>
      <c r="K36" s="16"/>
      <c r="L36" s="23"/>
      <c r="M36" s="23"/>
      <c r="N36" s="23"/>
      <c r="O36" s="23"/>
      <c r="P36" s="25"/>
      <c r="Q36" s="53"/>
      <c r="R36" s="27"/>
      <c r="S36" s="28"/>
      <c r="T36" s="28"/>
      <c r="U36" s="28"/>
      <c r="V36" s="23"/>
      <c r="W36" s="28"/>
    </row>
    <row r="37" spans="1:23" x14ac:dyDescent="0.25">
      <c r="B37" s="21"/>
      <c r="C37" s="16"/>
      <c r="D37" s="22"/>
      <c r="E37" s="22"/>
      <c r="F37" s="23"/>
      <c r="G37" s="18"/>
      <c r="H37" s="75"/>
      <c r="I37" s="16"/>
      <c r="J37" s="18"/>
      <c r="K37" s="16"/>
      <c r="L37" s="23"/>
      <c r="M37" s="23"/>
      <c r="N37" s="23"/>
      <c r="O37" s="23"/>
      <c r="P37" s="25"/>
      <c r="Q37" s="53"/>
      <c r="R37" s="27"/>
      <c r="S37" s="28"/>
      <c r="T37" s="28"/>
      <c r="U37" s="28"/>
      <c r="V37" s="23"/>
      <c r="W37" s="28"/>
    </row>
    <row r="38" spans="1:23" x14ac:dyDescent="0.25">
      <c r="B38" s="21"/>
      <c r="C38" s="16"/>
      <c r="D38" s="22"/>
      <c r="E38" s="22"/>
      <c r="F38" s="23"/>
      <c r="G38" s="18"/>
      <c r="H38" s="75"/>
      <c r="I38" s="16"/>
      <c r="J38" s="18"/>
      <c r="K38" s="16"/>
      <c r="L38" s="23"/>
      <c r="M38" s="23"/>
      <c r="N38" s="23"/>
      <c r="O38" s="23"/>
      <c r="P38" s="25"/>
      <c r="Q38" s="76"/>
      <c r="R38" s="27"/>
      <c r="S38" s="28"/>
      <c r="T38" s="28"/>
      <c r="U38" s="28"/>
      <c r="V38" s="23"/>
      <c r="W38" s="28"/>
    </row>
    <row r="39" spans="1:23" x14ac:dyDescent="0.25">
      <c r="B39" s="21"/>
      <c r="C39" s="16"/>
      <c r="D39" s="22"/>
      <c r="E39" s="22"/>
      <c r="F39" s="23"/>
      <c r="G39" s="18"/>
      <c r="H39" s="75"/>
      <c r="I39" s="16"/>
      <c r="J39" s="18"/>
      <c r="K39" s="16"/>
      <c r="L39" s="23"/>
      <c r="M39" s="23"/>
      <c r="N39" s="23"/>
      <c r="O39" s="23"/>
      <c r="P39" s="25"/>
      <c r="Q39" s="76"/>
      <c r="R39" s="27"/>
      <c r="S39" s="28"/>
      <c r="T39" s="28"/>
      <c r="U39" s="28"/>
      <c r="V39" s="23"/>
      <c r="W39" s="28"/>
    </row>
    <row r="40" spans="1:23" x14ac:dyDescent="0.25">
      <c r="B40" s="81"/>
      <c r="C40" s="81"/>
      <c r="D40" s="81"/>
      <c r="E40" s="81"/>
      <c r="F40" s="81"/>
      <c r="G40" s="88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77"/>
      <c r="T40" s="77"/>
      <c r="U40" s="78"/>
      <c r="V40" s="26"/>
      <c r="W40" s="79"/>
    </row>
    <row r="41" spans="1:23" x14ac:dyDescent="0.25">
      <c r="B41" s="21"/>
      <c r="C41" s="16"/>
      <c r="D41" s="22"/>
      <c r="E41" s="22"/>
      <c r="F41" s="23"/>
      <c r="G41" s="17"/>
      <c r="H41" s="24"/>
      <c r="I41" s="16"/>
      <c r="J41" s="18"/>
      <c r="K41" s="16"/>
      <c r="L41" s="23"/>
      <c r="M41" s="23"/>
      <c r="N41" s="23"/>
      <c r="O41" s="23"/>
      <c r="P41" s="25"/>
    </row>
    <row r="42" spans="1:23" x14ac:dyDescent="0.25">
      <c r="B42" s="21"/>
      <c r="C42" s="16"/>
      <c r="D42" s="22"/>
      <c r="E42" s="22"/>
      <c r="F42" s="23"/>
      <c r="G42" s="17"/>
      <c r="H42" s="24"/>
      <c r="I42" s="16"/>
      <c r="J42" s="18"/>
      <c r="K42" s="16"/>
      <c r="L42" s="23"/>
      <c r="M42" s="23"/>
      <c r="N42" s="23"/>
      <c r="O42" s="23"/>
      <c r="P42" s="25"/>
    </row>
    <row r="43" spans="1:23" s="48" customFormat="1" x14ac:dyDescent="0.25">
      <c r="A43" s="55"/>
      <c r="B43" s="82"/>
      <c r="C43" s="49"/>
      <c r="D43" s="29"/>
      <c r="E43" s="29"/>
      <c r="F43" s="51"/>
      <c r="G43" s="83"/>
      <c r="I43" s="49"/>
      <c r="J43" s="50"/>
      <c r="K43" s="49"/>
      <c r="L43" s="51"/>
      <c r="M43" s="51"/>
      <c r="N43" s="51"/>
      <c r="O43" s="51"/>
      <c r="P43" s="52"/>
    </row>
    <row r="44" spans="1:23" x14ac:dyDescent="0.25">
      <c r="B44" s="21"/>
      <c r="C44" s="16"/>
      <c r="D44" s="22"/>
      <c r="E44" s="22"/>
      <c r="F44" s="23"/>
      <c r="G44" s="17"/>
      <c r="H44" s="24"/>
      <c r="I44" s="16"/>
      <c r="J44" s="18"/>
      <c r="K44" s="16"/>
      <c r="L44" s="23"/>
      <c r="M44" s="23"/>
      <c r="N44" s="23"/>
      <c r="O44" s="23"/>
      <c r="P44" s="25"/>
    </row>
    <row r="45" spans="1:23" x14ac:dyDescent="0.25">
      <c r="B45" s="21"/>
      <c r="C45" s="16"/>
      <c r="D45" s="22"/>
      <c r="E45" s="22"/>
      <c r="F45" s="23"/>
      <c r="G45" s="17"/>
      <c r="H45" s="24"/>
      <c r="I45" s="16"/>
      <c r="J45" s="18"/>
      <c r="K45" s="16"/>
      <c r="L45" s="23"/>
      <c r="M45" s="23"/>
      <c r="N45" s="23"/>
      <c r="O45" s="23"/>
      <c r="P45" s="25"/>
    </row>
    <row r="46" spans="1:23" x14ac:dyDescent="0.25">
      <c r="B46" s="21"/>
      <c r="C46" s="16"/>
      <c r="D46" s="22"/>
      <c r="E46" s="22"/>
      <c r="F46" s="23"/>
      <c r="G46" s="17"/>
      <c r="H46" s="24"/>
      <c r="I46" s="16"/>
      <c r="J46" s="18"/>
      <c r="K46" s="16"/>
      <c r="L46" s="23"/>
      <c r="M46" s="23"/>
      <c r="N46" s="23"/>
      <c r="O46" s="23"/>
      <c r="P46" s="25"/>
    </row>
    <row r="47" spans="1:23" x14ac:dyDescent="0.25">
      <c r="B47" s="21"/>
      <c r="C47" s="16"/>
      <c r="D47" s="22"/>
      <c r="E47" s="22"/>
      <c r="F47" s="23"/>
      <c r="G47" s="17"/>
      <c r="H47" s="24"/>
      <c r="I47" s="16"/>
      <c r="J47" s="18"/>
      <c r="K47" s="16"/>
      <c r="L47" s="23"/>
      <c r="M47" s="23"/>
      <c r="N47" s="23"/>
      <c r="O47" s="23"/>
      <c r="P47" s="25"/>
    </row>
    <row r="48" spans="1:23" x14ac:dyDescent="0.25">
      <c r="B48" s="21"/>
      <c r="C48" s="16"/>
      <c r="D48" s="22"/>
      <c r="E48" s="22"/>
      <c r="F48" s="23"/>
      <c r="G48" s="17"/>
      <c r="H48" s="24"/>
      <c r="I48" s="16"/>
      <c r="J48" s="18"/>
      <c r="K48" s="16"/>
      <c r="L48" s="23"/>
      <c r="M48" s="23"/>
      <c r="N48" s="23"/>
      <c r="O48" s="23"/>
      <c r="P48" s="25"/>
    </row>
    <row r="49" spans="2:16" x14ac:dyDescent="0.25">
      <c r="B49" s="21"/>
      <c r="C49" s="16"/>
      <c r="D49" s="22"/>
      <c r="E49" s="22"/>
      <c r="F49" s="23"/>
      <c r="G49" s="17"/>
      <c r="H49" s="24"/>
      <c r="I49" s="16"/>
      <c r="J49" s="18"/>
      <c r="K49" s="16"/>
      <c r="L49" s="23"/>
      <c r="M49" s="23"/>
      <c r="N49" s="23"/>
      <c r="O49" s="23"/>
      <c r="P49" s="25"/>
    </row>
    <row r="50" spans="2:16" x14ac:dyDescent="0.25">
      <c r="B50" s="21"/>
      <c r="C50" s="16"/>
      <c r="D50" s="22"/>
      <c r="E50" s="22"/>
      <c r="F50" s="23"/>
      <c r="G50" s="17"/>
      <c r="H50" s="24"/>
      <c r="I50" s="16"/>
      <c r="J50" s="18"/>
      <c r="K50" s="16"/>
      <c r="L50" s="23"/>
      <c r="M50" s="23"/>
      <c r="N50" s="23"/>
      <c r="O50" s="23"/>
      <c r="P50" s="25"/>
    </row>
    <row r="51" spans="2:16" x14ac:dyDescent="0.25">
      <c r="B51" s="21"/>
      <c r="C51" s="16"/>
      <c r="D51" s="22"/>
      <c r="E51" s="22"/>
      <c r="F51" s="23"/>
      <c r="G51" s="17"/>
      <c r="H51" s="24"/>
      <c r="I51" s="16"/>
      <c r="J51" s="18"/>
      <c r="K51" s="16"/>
      <c r="L51" s="23"/>
      <c r="M51" s="23"/>
      <c r="N51" s="23"/>
      <c r="O51" s="23"/>
      <c r="P51" s="25"/>
    </row>
    <row r="52" spans="2:16" x14ac:dyDescent="0.25">
      <c r="B52" s="21"/>
      <c r="C52" s="16"/>
      <c r="D52" s="22"/>
      <c r="E52" s="22"/>
      <c r="F52" s="23"/>
      <c r="G52" s="17"/>
      <c r="H52" s="24"/>
      <c r="I52" s="16"/>
      <c r="J52" s="18"/>
      <c r="K52" s="16"/>
      <c r="L52" s="23"/>
      <c r="M52" s="23"/>
      <c r="N52" s="23"/>
      <c r="O52" s="23"/>
      <c r="P52" s="25"/>
    </row>
    <row r="53" spans="2:16" x14ac:dyDescent="0.25">
      <c r="B53" s="21"/>
      <c r="C53" s="16"/>
      <c r="D53" s="22"/>
      <c r="E53" s="22"/>
      <c r="F53" s="23"/>
      <c r="G53" s="17"/>
      <c r="H53" s="24"/>
      <c r="I53" s="16"/>
      <c r="J53" s="18"/>
      <c r="K53" s="16"/>
      <c r="L53" s="23"/>
      <c r="M53" s="23"/>
      <c r="N53" s="23"/>
      <c r="O53" s="23"/>
      <c r="P53" s="25"/>
    </row>
    <row r="54" spans="2:16" x14ac:dyDescent="0.25">
      <c r="B54" s="21"/>
      <c r="C54" s="16"/>
      <c r="D54" s="22"/>
      <c r="E54" s="22"/>
      <c r="F54" s="23"/>
      <c r="G54" s="17"/>
      <c r="H54" s="24"/>
      <c r="I54" s="16"/>
      <c r="J54" s="18"/>
      <c r="K54" s="16"/>
      <c r="L54" s="23"/>
      <c r="M54" s="23"/>
      <c r="N54" s="23"/>
      <c r="O54" s="23"/>
      <c r="P54" s="25"/>
    </row>
    <row r="55" spans="2:16" x14ac:dyDescent="0.25">
      <c r="B55" s="21"/>
      <c r="C55" s="16"/>
      <c r="D55" s="22"/>
      <c r="E55" s="22"/>
      <c r="F55" s="23"/>
      <c r="G55" s="17"/>
      <c r="H55" s="24"/>
      <c r="I55" s="26"/>
      <c r="J55" s="18"/>
      <c r="K55" s="16"/>
      <c r="L55" s="23"/>
      <c r="M55" s="23"/>
      <c r="N55" s="23"/>
      <c r="O55" s="23"/>
      <c r="P55" s="25"/>
    </row>
    <row r="56" spans="2:16" x14ac:dyDescent="0.25">
      <c r="E56" s="29"/>
    </row>
    <row r="57" spans="2:16" x14ac:dyDescent="0.25">
      <c r="E57" s="29"/>
    </row>
    <row r="58" spans="2:16" x14ac:dyDescent="0.25">
      <c r="E58" s="29"/>
    </row>
    <row r="59" spans="2:16" x14ac:dyDescent="0.25">
      <c r="E59" s="29"/>
    </row>
    <row r="60" spans="2:16" x14ac:dyDescent="0.25">
      <c r="E60" s="29"/>
    </row>
    <row r="61" spans="2:16" x14ac:dyDescent="0.25">
      <c r="E61" s="29"/>
    </row>
    <row r="62" spans="2:16" x14ac:dyDescent="0.25">
      <c r="E62" s="29"/>
    </row>
    <row r="63" spans="2:16" x14ac:dyDescent="0.25">
      <c r="E63" s="29"/>
    </row>
    <row r="64" spans="2:16" x14ac:dyDescent="0.25">
      <c r="E64" s="29"/>
    </row>
    <row r="65" spans="5:5" x14ac:dyDescent="0.25">
      <c r="E65" s="29"/>
    </row>
    <row r="66" spans="5:5" x14ac:dyDescent="0.25">
      <c r="E66" s="29"/>
    </row>
    <row r="67" spans="5:5" x14ac:dyDescent="0.25">
      <c r="E67" s="29"/>
    </row>
    <row r="68" spans="5:5" x14ac:dyDescent="0.25">
      <c r="E68" s="29"/>
    </row>
    <row r="69" spans="5:5" x14ac:dyDescent="0.25">
      <c r="E69" s="29"/>
    </row>
    <row r="70" spans="5:5" x14ac:dyDescent="0.25">
      <c r="E70" s="29"/>
    </row>
    <row r="71" spans="5:5" x14ac:dyDescent="0.25">
      <c r="E71" s="29"/>
    </row>
    <row r="72" spans="5:5" x14ac:dyDescent="0.25">
      <c r="E72" s="29"/>
    </row>
    <row r="73" spans="5:5" x14ac:dyDescent="0.25">
      <c r="E73" s="29"/>
    </row>
    <row r="74" spans="5:5" x14ac:dyDescent="0.25">
      <c r="E74" s="29"/>
    </row>
    <row r="75" spans="5:5" x14ac:dyDescent="0.25">
      <c r="E75" s="29"/>
    </row>
    <row r="76" spans="5:5" x14ac:dyDescent="0.25">
      <c r="E76" s="29"/>
    </row>
    <row r="77" spans="5:5" x14ac:dyDescent="0.25">
      <c r="E77" s="29"/>
    </row>
  </sheetData>
  <autoFilter ref="B4:W39" xr:uid="{26DC2211-4EC4-478E-A6E3-CC9B41918B82}"/>
  <mergeCells count="1">
    <mergeCell ref="B3:Z3"/>
  </mergeCells>
  <dataValidations count="3">
    <dataValidation type="list" allowBlank="1" showErrorMessage="1" sqref="E28" xr:uid="{25CB396C-D3DF-4B52-923D-334AB079F4DF}">
      <formula1>0</formula1>
      <formula2>0</formula2>
    </dataValidation>
    <dataValidation type="list" allowBlank="1" showInputMessage="1" showErrorMessage="1" promptTitle="Condition of Structure" prompt="Condition of Structure" sqref="F41:F55 F32:F39 F5:F25 F28" xr:uid="{4B815A10-B247-4F32-9F1A-AF0C3FECADC7}">
      <formula1>"Poor, Average, Ordinary, Good, Very Good, Excellent"</formula1>
    </dataValidation>
    <dataValidation type="list" allowBlank="1" showInputMessage="1" showErrorMessage="1" sqref="G29:G31" xr:uid="{595AB8F7-F2D2-4873-9266-9EFED446F503}">
      <formula1>"Very Good, Good, Average, Poor, Ordinary with wreckages in the structure"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E08C-E738-49C0-9E57-6FEB20C1FEF5}">
  <dimension ref="B4:S26"/>
  <sheetViews>
    <sheetView topLeftCell="C4" workbookViewId="0">
      <selection activeCell="S13" sqref="S13"/>
    </sheetView>
  </sheetViews>
  <sheetFormatPr defaultRowHeight="15" x14ac:dyDescent="0.25"/>
  <cols>
    <col min="6" max="6" width="12.28515625" customWidth="1"/>
    <col min="7" max="7" width="11.85546875" customWidth="1"/>
    <col min="8" max="8" width="14.28515625" bestFit="1" customWidth="1"/>
    <col min="9" max="9" width="16.5703125" customWidth="1"/>
    <col min="10" max="11" width="9.140625" customWidth="1"/>
    <col min="15" max="15" width="12.5703125" bestFit="1" customWidth="1"/>
    <col min="17" max="17" width="9.140625" style="3"/>
    <col min="18" max="18" width="10.5703125" bestFit="1" customWidth="1"/>
    <col min="19" max="19" width="13.28515625" bestFit="1" customWidth="1"/>
  </cols>
  <sheetData>
    <row r="4" spans="2:19" ht="15.75" x14ac:dyDescent="0.25">
      <c r="M4" s="146" t="s">
        <v>54</v>
      </c>
      <c r="N4" s="146"/>
      <c r="O4" s="146"/>
      <c r="P4" s="146"/>
      <c r="Q4" s="146"/>
      <c r="R4" s="146"/>
      <c r="S4" s="146"/>
    </row>
    <row r="5" spans="2:19" ht="60" x14ac:dyDescent="0.25">
      <c r="M5" s="44" t="s">
        <v>0</v>
      </c>
      <c r="N5" s="159" t="s">
        <v>30</v>
      </c>
      <c r="O5" s="159"/>
      <c r="P5" s="159"/>
      <c r="Q5" s="44" t="s">
        <v>31</v>
      </c>
      <c r="R5" s="44" t="s">
        <v>32</v>
      </c>
      <c r="S5" s="44" t="s">
        <v>33</v>
      </c>
    </row>
    <row r="6" spans="2:19" x14ac:dyDescent="0.25">
      <c r="M6" s="37">
        <v>1</v>
      </c>
      <c r="N6" s="154" t="s">
        <v>161</v>
      </c>
      <c r="O6" s="154"/>
      <c r="P6" s="154"/>
      <c r="Q6" s="38">
        <f>Sugar_unit_working!H66+Ecotech_Working!H29</f>
        <v>18359</v>
      </c>
      <c r="R6" s="39">
        <v>2500</v>
      </c>
      <c r="S6" s="45">
        <f>R6*Q6</f>
        <v>45897500</v>
      </c>
    </row>
    <row r="7" spans="2:19" ht="15" customHeight="1" x14ac:dyDescent="0.25">
      <c r="M7" s="65">
        <v>2</v>
      </c>
      <c r="N7" s="154" t="s">
        <v>162</v>
      </c>
      <c r="O7" s="154"/>
      <c r="P7" s="154"/>
      <c r="Q7" s="38">
        <f>Sugar_unit_working!H67+Ecotech_Working!H30</f>
        <v>5619</v>
      </c>
      <c r="R7" s="39">
        <v>1800</v>
      </c>
      <c r="S7" s="45">
        <f>R7*Q7</f>
        <v>10114200</v>
      </c>
    </row>
    <row r="8" spans="2:19" x14ac:dyDescent="0.25">
      <c r="M8" s="65">
        <v>3</v>
      </c>
      <c r="N8" s="154" t="s">
        <v>163</v>
      </c>
      <c r="O8" s="154"/>
      <c r="P8" s="154"/>
      <c r="Q8" s="38">
        <f>Sugar_unit_working!H68+Ecotech_Working!H31</f>
        <v>7528</v>
      </c>
      <c r="R8" s="39">
        <v>1600</v>
      </c>
      <c r="S8" s="45">
        <f>R8*Q8</f>
        <v>12044800</v>
      </c>
    </row>
    <row r="9" spans="2:19" x14ac:dyDescent="0.25">
      <c r="M9" s="155" t="s">
        <v>43</v>
      </c>
      <c r="N9" s="155"/>
      <c r="O9" s="155"/>
      <c r="P9" s="155"/>
      <c r="Q9" s="155"/>
      <c r="R9" s="155"/>
      <c r="S9" s="109">
        <f>SUM(S6:S8)</f>
        <v>68056500</v>
      </c>
    </row>
    <row r="12" spans="2:19" x14ac:dyDescent="0.25">
      <c r="O12" s="56"/>
    </row>
    <row r="15" spans="2:19" ht="15.75" x14ac:dyDescent="0.25">
      <c r="B15" s="146" t="s">
        <v>53</v>
      </c>
      <c r="C15" s="146"/>
      <c r="D15" s="146"/>
      <c r="E15" s="146"/>
      <c r="F15" s="146"/>
      <c r="G15" s="146"/>
      <c r="H15" s="146"/>
      <c r="I15" s="146"/>
      <c r="J15" s="146"/>
      <c r="K15" s="147"/>
    </row>
    <row r="16" spans="2:19" ht="90" x14ac:dyDescent="0.25">
      <c r="B16" s="30" t="s">
        <v>0</v>
      </c>
      <c r="C16" s="148" t="s">
        <v>30</v>
      </c>
      <c r="D16" s="149"/>
      <c r="E16" s="150"/>
      <c r="F16" s="30" t="s">
        <v>39</v>
      </c>
      <c r="G16" s="30" t="s">
        <v>40</v>
      </c>
      <c r="H16" s="30" t="s">
        <v>32</v>
      </c>
      <c r="I16" s="30" t="s">
        <v>33</v>
      </c>
      <c r="J16" s="31" t="s">
        <v>34</v>
      </c>
      <c r="K16" s="32" t="s">
        <v>35</v>
      </c>
    </row>
    <row r="17" spans="2:11" x14ac:dyDescent="0.25">
      <c r="B17" s="33">
        <v>1</v>
      </c>
      <c r="C17" s="151" t="s">
        <v>44</v>
      </c>
      <c r="D17" s="152"/>
      <c r="E17" s="153"/>
      <c r="F17" s="40">
        <v>4800</v>
      </c>
      <c r="G17" s="41">
        <f>F17*10.7639</f>
        <v>51666.720000000001</v>
      </c>
      <c r="H17" s="43">
        <v>200</v>
      </c>
      <c r="I17" s="42">
        <f>H17*F17</f>
        <v>960000</v>
      </c>
      <c r="J17" s="34">
        <v>0</v>
      </c>
      <c r="K17" s="34">
        <v>0</v>
      </c>
    </row>
    <row r="18" spans="2:11" x14ac:dyDescent="0.25">
      <c r="B18" s="33">
        <v>2</v>
      </c>
      <c r="C18" s="151" t="s">
        <v>164</v>
      </c>
      <c r="D18" s="152"/>
      <c r="E18" s="153"/>
      <c r="F18" s="40">
        <v>9000</v>
      </c>
      <c r="G18" s="41">
        <f>F18*10.7639</f>
        <v>96875.099999999991</v>
      </c>
      <c r="H18" s="43">
        <v>500</v>
      </c>
      <c r="I18" s="42">
        <f t="shared" ref="I18:I24" si="0">(F18*H18)</f>
        <v>4500000</v>
      </c>
      <c r="J18" s="34">
        <v>0</v>
      </c>
      <c r="K18" s="34">
        <v>0</v>
      </c>
    </row>
    <row r="19" spans="2:11" x14ac:dyDescent="0.25">
      <c r="B19" s="33">
        <v>3</v>
      </c>
      <c r="C19" s="156" t="s">
        <v>37</v>
      </c>
      <c r="D19" s="157"/>
      <c r="E19" s="158"/>
      <c r="F19" s="40">
        <v>36000</v>
      </c>
      <c r="G19" s="41">
        <f t="shared" ref="G19:G25" si="1">F19*10.7639</f>
        <v>387500.39999999997</v>
      </c>
      <c r="H19" s="43">
        <v>500</v>
      </c>
      <c r="I19" s="42">
        <f t="shared" si="0"/>
        <v>18000000</v>
      </c>
      <c r="J19" s="35">
        <v>0</v>
      </c>
      <c r="K19" s="34">
        <v>0</v>
      </c>
    </row>
    <row r="20" spans="2:11" x14ac:dyDescent="0.25">
      <c r="B20" s="33">
        <v>4</v>
      </c>
      <c r="C20" s="156" t="s">
        <v>165</v>
      </c>
      <c r="D20" s="157"/>
      <c r="E20" s="158"/>
      <c r="F20" s="40">
        <v>1080</v>
      </c>
      <c r="G20" s="41">
        <f t="shared" si="1"/>
        <v>11625.011999999999</v>
      </c>
      <c r="H20" s="43">
        <v>700</v>
      </c>
      <c r="I20" s="42">
        <f t="shared" si="0"/>
        <v>756000</v>
      </c>
      <c r="J20" s="102"/>
      <c r="K20" s="102"/>
    </row>
    <row r="21" spans="2:11" x14ac:dyDescent="0.25">
      <c r="B21" s="33">
        <v>5</v>
      </c>
      <c r="C21" s="156" t="s">
        <v>166</v>
      </c>
      <c r="D21" s="157"/>
      <c r="E21" s="158"/>
      <c r="F21" s="40">
        <v>17600</v>
      </c>
      <c r="G21" s="41">
        <f t="shared" si="1"/>
        <v>189444.63999999998</v>
      </c>
      <c r="H21" s="43">
        <v>700</v>
      </c>
      <c r="I21" s="42">
        <f t="shared" si="0"/>
        <v>12320000</v>
      </c>
      <c r="J21" s="102"/>
      <c r="K21" s="102"/>
    </row>
    <row r="22" spans="2:11" x14ac:dyDescent="0.25">
      <c r="B22" s="33">
        <v>6</v>
      </c>
      <c r="C22" s="156" t="s">
        <v>168</v>
      </c>
      <c r="D22" s="157"/>
      <c r="E22" s="158"/>
      <c r="F22" s="40">
        <v>14400</v>
      </c>
      <c r="G22" s="41">
        <f t="shared" si="1"/>
        <v>155000.16</v>
      </c>
      <c r="H22" s="43">
        <v>500</v>
      </c>
      <c r="I22" s="42">
        <f t="shared" si="0"/>
        <v>7200000</v>
      </c>
      <c r="J22" s="102"/>
      <c r="K22" s="102"/>
    </row>
    <row r="23" spans="2:11" x14ac:dyDescent="0.25">
      <c r="B23" s="33">
        <v>7</v>
      </c>
      <c r="C23" s="156" t="s">
        <v>168</v>
      </c>
      <c r="D23" s="157"/>
      <c r="E23" s="158"/>
      <c r="F23" s="40">
        <v>5500</v>
      </c>
      <c r="G23" s="41">
        <f t="shared" si="1"/>
        <v>59201.45</v>
      </c>
      <c r="H23" s="43">
        <v>500</v>
      </c>
      <c r="I23" s="42">
        <f t="shared" si="0"/>
        <v>2750000</v>
      </c>
      <c r="J23" s="102"/>
      <c r="K23" s="102"/>
    </row>
    <row r="24" spans="2:11" x14ac:dyDescent="0.25">
      <c r="B24" s="33">
        <v>8</v>
      </c>
      <c r="C24" s="156" t="s">
        <v>167</v>
      </c>
      <c r="D24" s="157"/>
      <c r="E24" s="158"/>
      <c r="F24" s="40">
        <v>20900</v>
      </c>
      <c r="G24" s="41">
        <f t="shared" si="1"/>
        <v>224965.50999999998</v>
      </c>
      <c r="H24" s="43">
        <v>700</v>
      </c>
      <c r="I24" s="42">
        <f t="shared" si="0"/>
        <v>14630000</v>
      </c>
      <c r="J24" s="102"/>
      <c r="K24" s="102"/>
    </row>
    <row r="25" spans="2:11" x14ac:dyDescent="0.25">
      <c r="B25" s="33">
        <v>4</v>
      </c>
      <c r="C25" s="156" t="s">
        <v>38</v>
      </c>
      <c r="D25" s="157"/>
      <c r="E25" s="158"/>
      <c r="F25" s="41">
        <v>1830</v>
      </c>
      <c r="G25" s="41">
        <f t="shared" si="1"/>
        <v>19697.936999999998</v>
      </c>
      <c r="H25" s="43">
        <v>500</v>
      </c>
      <c r="I25" s="42">
        <f>H25*F25</f>
        <v>915000</v>
      </c>
      <c r="J25" s="33">
        <v>0</v>
      </c>
      <c r="K25" s="33">
        <v>0</v>
      </c>
    </row>
    <row r="26" spans="2:11" x14ac:dyDescent="0.25">
      <c r="B26" s="155" t="s">
        <v>36</v>
      </c>
      <c r="C26" s="155"/>
      <c r="D26" s="155"/>
      <c r="E26" s="155"/>
      <c r="F26" s="103">
        <f>SUM(F17:F25)</f>
        <v>111110</v>
      </c>
      <c r="G26" s="103">
        <f>SUM(G17:G25)</f>
        <v>1195976.9289999998</v>
      </c>
      <c r="H26" s="36"/>
      <c r="I26" s="106">
        <f>SUM(I17:I25)</f>
        <v>62031000</v>
      </c>
      <c r="J26" s="19"/>
      <c r="K26" s="19"/>
    </row>
  </sheetData>
  <mergeCells count="18">
    <mergeCell ref="C24:E24"/>
    <mergeCell ref="C22:E22"/>
    <mergeCell ref="C23:E23"/>
    <mergeCell ref="B26:E26"/>
    <mergeCell ref="N5:P5"/>
    <mergeCell ref="N6:P6"/>
    <mergeCell ref="C19:E19"/>
    <mergeCell ref="C25:E25"/>
    <mergeCell ref="C20:E20"/>
    <mergeCell ref="C21:E21"/>
    <mergeCell ref="M4:S4"/>
    <mergeCell ref="B15:K15"/>
    <mergeCell ref="C16:E16"/>
    <mergeCell ref="C17:E17"/>
    <mergeCell ref="C18:E18"/>
    <mergeCell ref="N7:P7"/>
    <mergeCell ref="N8:P8"/>
    <mergeCell ref="M9:R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B899-156C-4A37-AE8C-72C3231741BE}">
  <dimension ref="B4:F15"/>
  <sheetViews>
    <sheetView workbookViewId="0">
      <selection activeCell="I7" sqref="I7"/>
    </sheetView>
  </sheetViews>
  <sheetFormatPr defaultRowHeight="15" x14ac:dyDescent="0.25"/>
  <cols>
    <col min="2" max="2" width="10" customWidth="1"/>
    <col min="3" max="3" width="22.85546875" customWidth="1"/>
    <col min="4" max="5" width="21" customWidth="1"/>
    <col min="6" max="6" width="37.140625" customWidth="1"/>
  </cols>
  <sheetData>
    <row r="4" spans="2:6" ht="33.75" customHeight="1" x14ac:dyDescent="0.25">
      <c r="B4" s="164" t="s">
        <v>227</v>
      </c>
      <c r="C4" s="164"/>
      <c r="D4" s="164"/>
      <c r="E4" s="164"/>
      <c r="F4" s="164"/>
    </row>
    <row r="5" spans="2:6" x14ac:dyDescent="0.25">
      <c r="B5" s="60" t="s">
        <v>4</v>
      </c>
      <c r="C5" s="165" t="s">
        <v>30</v>
      </c>
      <c r="D5" s="166"/>
      <c r="E5" s="138" t="s">
        <v>228</v>
      </c>
      <c r="F5" s="61" t="s">
        <v>45</v>
      </c>
    </row>
    <row r="6" spans="2:6" x14ac:dyDescent="0.25">
      <c r="B6" s="62">
        <v>1</v>
      </c>
      <c r="C6" s="167" t="s">
        <v>46</v>
      </c>
      <c r="D6" s="168"/>
      <c r="E6" s="64">
        <f>Sugar_unit_working!S64</f>
        <v>794079961.50709796</v>
      </c>
      <c r="F6" s="64">
        <f>Sugar_unit_working!W64</f>
        <v>563435049.39458239</v>
      </c>
    </row>
    <row r="7" spans="2:6" x14ac:dyDescent="0.25">
      <c r="B7" s="62">
        <v>2</v>
      </c>
      <c r="C7" s="167" t="s">
        <v>169</v>
      </c>
      <c r="D7" s="168"/>
      <c r="E7" s="64">
        <f>Ecotech_Working!S26</f>
        <v>161682662.95361596</v>
      </c>
      <c r="F7" s="64">
        <f>Ecotech_Working!W26</f>
        <v>105530702.90390392</v>
      </c>
    </row>
    <row r="8" spans="2:6" x14ac:dyDescent="0.25">
      <c r="B8" s="62">
        <v>3</v>
      </c>
      <c r="C8" s="167" t="s">
        <v>170</v>
      </c>
      <c r="D8" s="168"/>
      <c r="E8" s="143">
        <f>F8</f>
        <v>62031000</v>
      </c>
      <c r="F8" s="64">
        <f>'Road_&amp;_other_structures'!I26</f>
        <v>62031000</v>
      </c>
    </row>
    <row r="9" spans="2:6" x14ac:dyDescent="0.25">
      <c r="B9" s="160">
        <v>4</v>
      </c>
      <c r="C9" s="160" t="s">
        <v>47</v>
      </c>
      <c r="D9" s="63" t="s">
        <v>48</v>
      </c>
      <c r="E9" s="162">
        <f>F9</f>
        <v>68056500</v>
      </c>
      <c r="F9" s="162">
        <f>'Road_&amp;_other_structures'!S9</f>
        <v>68056500</v>
      </c>
    </row>
    <row r="10" spans="2:6" x14ac:dyDescent="0.25">
      <c r="B10" s="161"/>
      <c r="C10" s="161"/>
      <c r="D10" s="63" t="s">
        <v>42</v>
      </c>
      <c r="E10" s="169"/>
      <c r="F10" s="163"/>
    </row>
    <row r="11" spans="2:6" x14ac:dyDescent="0.25">
      <c r="B11" s="165" t="s">
        <v>36</v>
      </c>
      <c r="C11" s="170"/>
      <c r="D11" s="166"/>
      <c r="E11" s="144">
        <f>SUM(E6:E10)</f>
        <v>1085850124.4607139</v>
      </c>
      <c r="F11" s="110">
        <f>SUM(F6:F10)</f>
        <v>799053252.29848635</v>
      </c>
    </row>
    <row r="12" spans="2:6" x14ac:dyDescent="0.25">
      <c r="B12" s="171" t="s">
        <v>49</v>
      </c>
      <c r="C12" s="172"/>
      <c r="D12" s="172"/>
      <c r="E12" s="172"/>
      <c r="F12" s="173"/>
    </row>
    <row r="13" spans="2:6" ht="18" customHeight="1" x14ac:dyDescent="0.25">
      <c r="B13" s="174" t="s">
        <v>50</v>
      </c>
      <c r="C13" s="175"/>
      <c r="D13" s="175"/>
      <c r="E13" s="175"/>
      <c r="F13" s="176"/>
    </row>
    <row r="14" spans="2:6" ht="22.5" customHeight="1" x14ac:dyDescent="0.25">
      <c r="B14" s="174" t="s">
        <v>51</v>
      </c>
      <c r="C14" s="175"/>
      <c r="D14" s="175"/>
      <c r="E14" s="175"/>
      <c r="F14" s="176"/>
    </row>
    <row r="15" spans="2:6" ht="19.5" customHeight="1" x14ac:dyDescent="0.25">
      <c r="B15" s="174" t="s">
        <v>52</v>
      </c>
      <c r="C15" s="175"/>
      <c r="D15" s="175"/>
      <c r="E15" s="175"/>
      <c r="F15" s="176"/>
    </row>
  </sheetData>
  <mergeCells count="14">
    <mergeCell ref="B11:D11"/>
    <mergeCell ref="B12:F12"/>
    <mergeCell ref="B13:F13"/>
    <mergeCell ref="B14:F14"/>
    <mergeCell ref="B15:F15"/>
    <mergeCell ref="B9:B10"/>
    <mergeCell ref="C9:C10"/>
    <mergeCell ref="F9:F10"/>
    <mergeCell ref="B4:F4"/>
    <mergeCell ref="C5:D5"/>
    <mergeCell ref="C6:D6"/>
    <mergeCell ref="C7:D7"/>
    <mergeCell ref="C8:D8"/>
    <mergeCell ref="E9:E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B776-B376-4B08-9F76-B5B12F563D81}">
  <dimension ref="B4:J15"/>
  <sheetViews>
    <sheetView workbookViewId="0">
      <selection activeCell="K9" sqref="K9"/>
    </sheetView>
  </sheetViews>
  <sheetFormatPr defaultRowHeight="15" x14ac:dyDescent="0.25"/>
  <cols>
    <col min="3" max="3" width="18" customWidth="1"/>
    <col min="5" max="5" width="10.28515625" customWidth="1"/>
    <col min="6" max="6" width="13.7109375" customWidth="1"/>
    <col min="7" max="7" width="19.140625" customWidth="1"/>
    <col min="8" max="8" width="18.7109375" customWidth="1"/>
    <col min="9" max="9" width="16.42578125" customWidth="1"/>
    <col min="10" max="10" width="18.5703125" bestFit="1" customWidth="1"/>
  </cols>
  <sheetData>
    <row r="4" spans="2:10" x14ac:dyDescent="0.25">
      <c r="B4" s="177" t="s">
        <v>173</v>
      </c>
      <c r="C4" s="177"/>
      <c r="D4" s="177"/>
      <c r="E4" s="177"/>
      <c r="F4" s="177"/>
      <c r="G4" s="177"/>
      <c r="H4" s="177"/>
      <c r="I4" s="177"/>
      <c r="J4" s="177"/>
    </row>
    <row r="5" spans="2:10" ht="45" x14ac:dyDescent="0.25">
      <c r="B5" s="112" t="s">
        <v>174</v>
      </c>
      <c r="C5" s="112" t="s">
        <v>175</v>
      </c>
      <c r="D5" s="113" t="s">
        <v>176</v>
      </c>
      <c r="E5" s="113" t="s">
        <v>177</v>
      </c>
      <c r="F5" s="113" t="s">
        <v>178</v>
      </c>
      <c r="G5" s="113" t="s">
        <v>179</v>
      </c>
      <c r="H5" s="113" t="s">
        <v>180</v>
      </c>
      <c r="I5" s="113" t="s">
        <v>181</v>
      </c>
      <c r="J5" s="113" t="s">
        <v>182</v>
      </c>
    </row>
    <row r="6" spans="2:10" x14ac:dyDescent="0.25">
      <c r="B6" s="62">
        <v>1</v>
      </c>
      <c r="C6" s="114" t="s">
        <v>183</v>
      </c>
      <c r="D6" s="62">
        <v>1</v>
      </c>
      <c r="E6" s="62">
        <v>7.0000000000000007E-2</v>
      </c>
      <c r="F6" s="115">
        <f>E6*10000</f>
        <v>700.00000000000011</v>
      </c>
      <c r="G6" s="116">
        <f>29*100000</f>
        <v>2900000</v>
      </c>
      <c r="H6" s="116">
        <f>G6*E6</f>
        <v>203000.00000000003</v>
      </c>
      <c r="I6" s="116">
        <v>2800</v>
      </c>
      <c r="J6" s="116">
        <f>I6*F6</f>
        <v>1960000.0000000002</v>
      </c>
    </row>
    <row r="7" spans="2:10" ht="30" x14ac:dyDescent="0.25">
      <c r="B7" s="62">
        <v>2</v>
      </c>
      <c r="C7" s="114" t="s">
        <v>184</v>
      </c>
      <c r="D7" s="62">
        <v>15</v>
      </c>
      <c r="E7" s="62">
        <v>8.8650000000000002</v>
      </c>
      <c r="F7" s="115">
        <f t="shared" ref="F7:F12" si="0">E7*10000</f>
        <v>88650</v>
      </c>
      <c r="G7" s="116">
        <f>22*100000</f>
        <v>2200000</v>
      </c>
      <c r="H7" s="116">
        <f t="shared" ref="H7:H12" si="1">G7*E7</f>
        <v>19503000</v>
      </c>
      <c r="I7" s="116">
        <v>2800</v>
      </c>
      <c r="J7" s="116">
        <f t="shared" ref="J7:J12" si="2">I7*F7</f>
        <v>248220000</v>
      </c>
    </row>
    <row r="8" spans="2:10" x14ac:dyDescent="0.25">
      <c r="B8" s="62">
        <v>3</v>
      </c>
      <c r="C8" s="114" t="s">
        <v>185</v>
      </c>
      <c r="D8" s="62">
        <v>2</v>
      </c>
      <c r="E8" s="62">
        <v>0.57799999999999996</v>
      </c>
      <c r="F8" s="115">
        <f t="shared" si="0"/>
        <v>5780</v>
      </c>
      <c r="G8" s="116">
        <f>29*100000</f>
        <v>2900000</v>
      </c>
      <c r="H8" s="116">
        <f t="shared" si="1"/>
        <v>1676199.9999999998</v>
      </c>
      <c r="I8" s="116">
        <v>3400</v>
      </c>
      <c r="J8" s="116">
        <f t="shared" si="2"/>
        <v>19652000</v>
      </c>
    </row>
    <row r="9" spans="2:10" x14ac:dyDescent="0.25">
      <c r="B9" s="62">
        <v>4</v>
      </c>
      <c r="C9" s="114" t="s">
        <v>186</v>
      </c>
      <c r="D9" s="62">
        <v>11</v>
      </c>
      <c r="E9" s="62">
        <v>28.238</v>
      </c>
      <c r="F9" s="115">
        <f t="shared" si="0"/>
        <v>282380</v>
      </c>
      <c r="G9" s="116">
        <f>29*100000</f>
        <v>2900000</v>
      </c>
      <c r="H9" s="116">
        <f t="shared" si="1"/>
        <v>81890200</v>
      </c>
      <c r="I9" s="116">
        <v>2800</v>
      </c>
      <c r="J9" s="116">
        <f t="shared" si="2"/>
        <v>790664000</v>
      </c>
    </row>
    <row r="10" spans="2:10" x14ac:dyDescent="0.25">
      <c r="B10" s="62">
        <v>5</v>
      </c>
      <c r="C10" s="114" t="s">
        <v>187</v>
      </c>
      <c r="D10" s="62">
        <v>12</v>
      </c>
      <c r="E10" s="62">
        <v>1.3029999999999999</v>
      </c>
      <c r="F10" s="115">
        <f t="shared" si="0"/>
        <v>13030</v>
      </c>
      <c r="G10" s="116">
        <f>29*100000</f>
        <v>2900000</v>
      </c>
      <c r="H10" s="116">
        <f t="shared" si="1"/>
        <v>3778700</v>
      </c>
      <c r="I10" s="116">
        <v>4200</v>
      </c>
      <c r="J10" s="116">
        <f t="shared" si="2"/>
        <v>54726000</v>
      </c>
    </row>
    <row r="11" spans="2:10" x14ac:dyDescent="0.25">
      <c r="B11" s="62">
        <v>6</v>
      </c>
      <c r="C11" s="114" t="s">
        <v>188</v>
      </c>
      <c r="D11" s="62">
        <v>9</v>
      </c>
      <c r="E11" s="62">
        <v>38.481999999999999</v>
      </c>
      <c r="F11" s="115">
        <f t="shared" si="0"/>
        <v>384820</v>
      </c>
      <c r="G11" s="116">
        <f>29*100000</f>
        <v>2900000</v>
      </c>
      <c r="H11" s="116">
        <f t="shared" si="1"/>
        <v>111597800</v>
      </c>
      <c r="I11" s="116">
        <v>4200</v>
      </c>
      <c r="J11" s="116">
        <f t="shared" si="2"/>
        <v>1616244000</v>
      </c>
    </row>
    <row r="12" spans="2:10" ht="30" x14ac:dyDescent="0.25">
      <c r="B12" s="62">
        <v>7</v>
      </c>
      <c r="C12" s="114" t="s">
        <v>189</v>
      </c>
      <c r="D12" s="62">
        <v>1</v>
      </c>
      <c r="E12" s="62">
        <v>0.17399999999999999</v>
      </c>
      <c r="F12" s="115">
        <f t="shared" si="0"/>
        <v>1739.9999999999998</v>
      </c>
      <c r="G12" s="116">
        <f>29*100000</f>
        <v>2900000</v>
      </c>
      <c r="H12" s="116">
        <f t="shared" si="1"/>
        <v>504599.99999999994</v>
      </c>
      <c r="I12" s="116">
        <v>2800</v>
      </c>
      <c r="J12" s="116">
        <f t="shared" si="2"/>
        <v>4871999.9999999991</v>
      </c>
    </row>
    <row r="13" spans="2:10" x14ac:dyDescent="0.25">
      <c r="B13" s="178" t="s">
        <v>36</v>
      </c>
      <c r="C13" s="179"/>
      <c r="D13" s="117">
        <f>SUM(D6:D12)</f>
        <v>51</v>
      </c>
      <c r="E13" s="117">
        <f>SUM(E6:E12)</f>
        <v>77.710000000000008</v>
      </c>
      <c r="F13" s="118">
        <f>SUM(F6:F12)</f>
        <v>777100</v>
      </c>
      <c r="G13" s="36"/>
      <c r="H13" s="119">
        <f t="shared" ref="H13:J13" si="3">SUM(H6:H12)</f>
        <v>219153500</v>
      </c>
      <c r="I13" s="119"/>
      <c r="J13" s="119">
        <f t="shared" si="3"/>
        <v>2736338000</v>
      </c>
    </row>
    <row r="14" spans="2:10" x14ac:dyDescent="0.25">
      <c r="B14" s="180" t="s">
        <v>49</v>
      </c>
      <c r="C14" s="181"/>
      <c r="D14" s="181"/>
      <c r="E14" s="181"/>
      <c r="F14" s="181"/>
      <c r="G14" s="181"/>
      <c r="H14" s="181"/>
      <c r="I14" s="181"/>
      <c r="J14" s="182"/>
    </row>
    <row r="15" spans="2:10" ht="27" customHeight="1" x14ac:dyDescent="0.25">
      <c r="B15" s="180" t="s">
        <v>190</v>
      </c>
      <c r="C15" s="181"/>
      <c r="D15" s="181"/>
      <c r="E15" s="181"/>
      <c r="F15" s="181"/>
      <c r="G15" s="181"/>
      <c r="H15" s="181"/>
      <c r="I15" s="181"/>
      <c r="J15" s="182"/>
    </row>
  </sheetData>
  <mergeCells count="4">
    <mergeCell ref="B4:J4"/>
    <mergeCell ref="B13:C13"/>
    <mergeCell ref="B14:J14"/>
    <mergeCell ref="B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BC84-A6A5-4D09-BB64-168F9F3BC852}">
  <dimension ref="B3:M14"/>
  <sheetViews>
    <sheetView workbookViewId="0">
      <selection activeCell="J7" sqref="J7"/>
    </sheetView>
  </sheetViews>
  <sheetFormatPr defaultRowHeight="15" x14ac:dyDescent="0.25"/>
  <cols>
    <col min="2" max="2" width="7.42578125" bestFit="1" customWidth="1"/>
    <col min="3" max="3" width="39" customWidth="1"/>
    <col min="6" max="6" width="15.28515625" customWidth="1"/>
    <col min="7" max="7" width="22.140625" bestFit="1" customWidth="1"/>
    <col min="8" max="9" width="22.140625" customWidth="1"/>
    <col min="10" max="10" width="16.85546875" bestFit="1" customWidth="1"/>
    <col min="11" max="11" width="13.28515625" bestFit="1" customWidth="1"/>
    <col min="12" max="13" width="14.28515625" bestFit="1" customWidth="1"/>
  </cols>
  <sheetData>
    <row r="3" spans="2:13" x14ac:dyDescent="0.25">
      <c r="B3" s="195" t="s">
        <v>191</v>
      </c>
      <c r="C3" s="195"/>
      <c r="D3" s="195"/>
      <c r="E3" s="195"/>
      <c r="F3" s="195"/>
      <c r="G3" s="195"/>
      <c r="H3" s="136"/>
      <c r="I3" s="136"/>
      <c r="M3" s="122" t="s">
        <v>207</v>
      </c>
    </row>
    <row r="4" spans="2:13" x14ac:dyDescent="0.25">
      <c r="B4" s="196" t="s">
        <v>192</v>
      </c>
      <c r="C4" s="196" t="s">
        <v>193</v>
      </c>
      <c r="D4" s="197" t="s">
        <v>194</v>
      </c>
      <c r="E4" s="197"/>
      <c r="F4" s="198" t="s">
        <v>195</v>
      </c>
      <c r="G4" s="199" t="s">
        <v>196</v>
      </c>
      <c r="H4" s="137"/>
      <c r="I4" s="137"/>
      <c r="L4" s="122" t="s">
        <v>206</v>
      </c>
      <c r="M4" s="123">
        <v>3300000</v>
      </c>
    </row>
    <row r="5" spans="2:13" x14ac:dyDescent="0.25">
      <c r="B5" s="196"/>
      <c r="C5" s="196"/>
      <c r="D5" s="120" t="s">
        <v>197</v>
      </c>
      <c r="E5" s="120" t="s">
        <v>198</v>
      </c>
      <c r="F5" s="198"/>
      <c r="G5" s="200"/>
      <c r="H5" s="137"/>
      <c r="I5" s="137"/>
      <c r="M5" s="127">
        <f>M4/4.84</f>
        <v>681818.18181818188</v>
      </c>
    </row>
    <row r="6" spans="2:13" x14ac:dyDescent="0.25">
      <c r="B6" s="62">
        <v>1</v>
      </c>
      <c r="C6" s="63" t="s">
        <v>199</v>
      </c>
      <c r="D6" s="65">
        <v>192.03</v>
      </c>
      <c r="E6" s="65">
        <v>77.709999999999994</v>
      </c>
      <c r="F6" s="116">
        <f>M4</f>
        <v>3300000</v>
      </c>
      <c r="G6" s="116">
        <f>F6*D6</f>
        <v>633699000</v>
      </c>
      <c r="H6" s="131"/>
      <c r="I6" s="131">
        <f>G6/D6</f>
        <v>3300000</v>
      </c>
      <c r="J6" s="127">
        <f>F6/4.84</f>
        <v>681818.18181818188</v>
      </c>
    </row>
    <row r="7" spans="2:13" x14ac:dyDescent="0.25">
      <c r="B7" s="62"/>
      <c r="C7" s="63" t="s">
        <v>224</v>
      </c>
      <c r="D7" s="124"/>
      <c r="E7" s="125"/>
      <c r="F7" s="126"/>
      <c r="G7" s="116">
        <f>G6*0.775</f>
        <v>491116725</v>
      </c>
      <c r="H7" s="131"/>
      <c r="I7" s="131">
        <f>G7/D6</f>
        <v>2557500</v>
      </c>
      <c r="J7" s="127">
        <f>G7/D6</f>
        <v>2557500</v>
      </c>
      <c r="K7" s="127">
        <f>J7/4.84</f>
        <v>528409.09090909094</v>
      </c>
    </row>
    <row r="8" spans="2:13" x14ac:dyDescent="0.25">
      <c r="B8" s="62">
        <v>2</v>
      </c>
      <c r="C8" s="121" t="s">
        <v>200</v>
      </c>
      <c r="D8" s="184">
        <v>0.05</v>
      </c>
      <c r="E8" s="185"/>
      <c r="F8" s="186"/>
      <c r="G8" s="116">
        <f>D8*G7</f>
        <v>24555836.25</v>
      </c>
      <c r="H8" s="131"/>
      <c r="I8" s="131"/>
    </row>
    <row r="9" spans="2:13" ht="45" x14ac:dyDescent="0.25">
      <c r="B9" s="62">
        <v>3</v>
      </c>
      <c r="C9" s="121" t="s">
        <v>225</v>
      </c>
      <c r="D9" s="184">
        <v>0.05</v>
      </c>
      <c r="E9" s="185"/>
      <c r="F9" s="186"/>
      <c r="G9" s="116">
        <f>D9*G7</f>
        <v>24555836.25</v>
      </c>
      <c r="H9" s="131"/>
      <c r="I9" s="131"/>
      <c r="J9" s="130">
        <f>G7*5%</f>
        <v>24555836.25</v>
      </c>
      <c r="K9" s="129">
        <v>0.05</v>
      </c>
    </row>
    <row r="10" spans="2:13" ht="45" x14ac:dyDescent="0.25">
      <c r="B10" s="62">
        <v>4</v>
      </c>
      <c r="C10" s="121" t="s">
        <v>201</v>
      </c>
      <c r="D10" s="187" t="s">
        <v>202</v>
      </c>
      <c r="E10" s="188"/>
      <c r="F10" s="189"/>
      <c r="G10" s="116">
        <f>250000*D6</f>
        <v>48007500</v>
      </c>
      <c r="H10" s="131"/>
      <c r="I10" s="131">
        <f>G6/D6</f>
        <v>3300000</v>
      </c>
      <c r="L10">
        <f>100-22.5</f>
        <v>77.5</v>
      </c>
    </row>
    <row r="11" spans="2:13" x14ac:dyDescent="0.25">
      <c r="B11" s="190" t="s">
        <v>203</v>
      </c>
      <c r="C11" s="190"/>
      <c r="D11" s="190"/>
      <c r="E11" s="190"/>
      <c r="F11" s="190"/>
      <c r="G11" s="119">
        <f>SUM(G7+G8+G9+G10)</f>
        <v>588235897.5</v>
      </c>
      <c r="H11" s="132"/>
      <c r="I11" s="132"/>
      <c r="J11" s="128">
        <f>G10+J9+G8+G7</f>
        <v>588235897.5</v>
      </c>
    </row>
    <row r="12" spans="2:13" x14ac:dyDescent="0.25">
      <c r="B12" s="191" t="s">
        <v>204</v>
      </c>
      <c r="C12" s="191"/>
      <c r="D12" s="191"/>
      <c r="E12" s="191"/>
      <c r="F12" s="191"/>
      <c r="G12" s="191"/>
      <c r="H12" s="133"/>
      <c r="I12" s="133"/>
    </row>
    <row r="13" spans="2:13" x14ac:dyDescent="0.25">
      <c r="B13" s="192" t="s">
        <v>205</v>
      </c>
      <c r="C13" s="193"/>
      <c r="D13" s="193"/>
      <c r="E13" s="193"/>
      <c r="F13" s="193"/>
      <c r="G13" s="194"/>
      <c r="H13" s="134"/>
      <c r="I13" s="134"/>
      <c r="L13" s="127">
        <f>G11/D6</f>
        <v>3063250</v>
      </c>
    </row>
    <row r="14" spans="2:13" ht="32.25" customHeight="1" x14ac:dyDescent="0.25">
      <c r="B14" s="183" t="s">
        <v>226</v>
      </c>
      <c r="C14" s="183"/>
      <c r="D14" s="183"/>
      <c r="E14" s="183"/>
      <c r="F14" s="183"/>
      <c r="G14" s="183"/>
      <c r="H14" s="135"/>
      <c r="I14" s="135"/>
    </row>
  </sheetData>
  <mergeCells count="13">
    <mergeCell ref="B3:G3"/>
    <mergeCell ref="B4:B5"/>
    <mergeCell ref="C4:C5"/>
    <mergeCell ref="D4:E4"/>
    <mergeCell ref="F4:F5"/>
    <mergeCell ref="G4:G5"/>
    <mergeCell ref="B14:G14"/>
    <mergeCell ref="D8:F8"/>
    <mergeCell ref="D9:F9"/>
    <mergeCell ref="D10:F10"/>
    <mergeCell ref="B11:F11"/>
    <mergeCell ref="B12:G12"/>
    <mergeCell ref="B13:G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B47A-4B0B-49AF-97E0-54EC09C93513}">
  <dimension ref="D3:F16"/>
  <sheetViews>
    <sheetView workbookViewId="0">
      <selection activeCell="K16" sqref="K16"/>
    </sheetView>
  </sheetViews>
  <sheetFormatPr defaultRowHeight="15" x14ac:dyDescent="0.25"/>
  <cols>
    <col min="5" max="5" width="17.140625" customWidth="1"/>
    <col min="6" max="6" width="16.7109375" customWidth="1"/>
  </cols>
  <sheetData>
    <row r="3" spans="4:6" x14ac:dyDescent="0.25">
      <c r="D3" s="201" t="s">
        <v>208</v>
      </c>
      <c r="E3" s="201"/>
      <c r="F3" s="201"/>
    </row>
    <row r="4" spans="4:6" x14ac:dyDescent="0.25">
      <c r="D4" s="122" t="s">
        <v>174</v>
      </c>
      <c r="E4" s="122" t="s">
        <v>209</v>
      </c>
      <c r="F4" s="122" t="s">
        <v>210</v>
      </c>
    </row>
    <row r="5" spans="4:6" x14ac:dyDescent="0.25">
      <c r="D5" s="62">
        <v>1</v>
      </c>
      <c r="E5" s="19" t="s">
        <v>46</v>
      </c>
      <c r="F5" s="19" t="s">
        <v>211</v>
      </c>
    </row>
    <row r="6" spans="4:6" x14ac:dyDescent="0.25">
      <c r="D6" s="62">
        <v>2</v>
      </c>
      <c r="E6" s="19" t="s">
        <v>212</v>
      </c>
      <c r="F6" s="19" t="s">
        <v>213</v>
      </c>
    </row>
    <row r="7" spans="4:6" x14ac:dyDescent="0.25">
      <c r="D7" s="62">
        <v>3</v>
      </c>
      <c r="E7" s="19" t="s">
        <v>214</v>
      </c>
      <c r="F7" s="19" t="s">
        <v>215</v>
      </c>
    </row>
    <row r="8" spans="4:6" x14ac:dyDescent="0.25">
      <c r="D8" s="62">
        <v>4</v>
      </c>
      <c r="E8" s="19" t="s">
        <v>216</v>
      </c>
      <c r="F8" s="19" t="s">
        <v>213</v>
      </c>
    </row>
    <row r="9" spans="4:6" x14ac:dyDescent="0.25">
      <c r="D9" s="62">
        <v>5</v>
      </c>
      <c r="E9" s="19" t="s">
        <v>217</v>
      </c>
      <c r="F9" s="19" t="s">
        <v>213</v>
      </c>
    </row>
    <row r="10" spans="4:6" x14ac:dyDescent="0.25">
      <c r="D10" s="62">
        <v>6</v>
      </c>
      <c r="E10" s="19" t="s">
        <v>218</v>
      </c>
      <c r="F10" s="19" t="s">
        <v>213</v>
      </c>
    </row>
    <row r="11" spans="4:6" ht="30" x14ac:dyDescent="0.25">
      <c r="D11" s="62">
        <v>7</v>
      </c>
      <c r="E11" s="114" t="s">
        <v>219</v>
      </c>
      <c r="F11" s="19" t="s">
        <v>213</v>
      </c>
    </row>
    <row r="12" spans="4:6" ht="30" x14ac:dyDescent="0.25">
      <c r="D12" s="62">
        <v>8</v>
      </c>
      <c r="E12" s="114" t="s">
        <v>220</v>
      </c>
      <c r="F12" s="19" t="s">
        <v>213</v>
      </c>
    </row>
    <row r="13" spans="4:6" ht="30" x14ac:dyDescent="0.25">
      <c r="D13" s="62">
        <v>9</v>
      </c>
      <c r="E13" s="114" t="s">
        <v>221</v>
      </c>
      <c r="F13" s="19" t="s">
        <v>213</v>
      </c>
    </row>
    <row r="14" spans="4:6" x14ac:dyDescent="0.25">
      <c r="D14" s="62">
        <v>10</v>
      </c>
      <c r="E14" s="114" t="s">
        <v>222</v>
      </c>
      <c r="F14" s="19" t="s">
        <v>213</v>
      </c>
    </row>
    <row r="15" spans="4:6" x14ac:dyDescent="0.25">
      <c r="D15" s="180" t="s">
        <v>49</v>
      </c>
      <c r="E15" s="181"/>
      <c r="F15" s="182"/>
    </row>
    <row r="16" spans="4:6" ht="50.25" customHeight="1" x14ac:dyDescent="0.25">
      <c r="D16" s="202" t="s">
        <v>223</v>
      </c>
      <c r="E16" s="203"/>
      <c r="F16" s="204"/>
    </row>
  </sheetData>
  <mergeCells count="3">
    <mergeCell ref="D3:F3"/>
    <mergeCell ref="D15:F15"/>
    <mergeCell ref="D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Sugar_unit_working</vt:lpstr>
      <vt:lpstr>Ecotech_Working</vt:lpstr>
      <vt:lpstr>Road_&amp;_other_structures</vt:lpstr>
      <vt:lpstr>Summary</vt:lpstr>
      <vt:lpstr>Government_rate</vt:lpstr>
      <vt:lpstr>Land_valuation</vt:lpstr>
      <vt:lpstr>Plant_capacity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Arup Banerjee</cp:lastModifiedBy>
  <dcterms:created xsi:type="dcterms:W3CDTF">2022-06-15T05:27:47Z</dcterms:created>
  <dcterms:modified xsi:type="dcterms:W3CDTF">2022-07-20T06:00:30Z</dcterms:modified>
</cp:coreProperties>
</file>