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Khamberkhera_VIS(2022-23)-PL073-061-115, BHSL, Khamberkhera Unit\Report_&amp;_Working\"/>
    </mc:Choice>
  </mc:AlternateContent>
  <xr:revisionPtr revIDLastSave="0" documentId="13_ncr:1_{B6821DD2-6272-4733-8A6F-10A40E1EE44A}" xr6:coauthVersionLast="47" xr6:coauthVersionMax="47" xr10:uidLastSave="{00000000-0000-0000-0000-000000000000}"/>
  <bookViews>
    <workbookView xWindow="-120" yWindow="-120" windowWidth="21840" windowHeight="13140" activeTab="2" xr2:uid="{AC8FE02A-9A38-4B65-8F3D-5E1BB58C81BB}"/>
  </bookViews>
  <sheets>
    <sheet name="Sugar_Unit_working_Building" sheetId="5" r:id="rId1"/>
    <sheet name="Roads &amp; Drainage" sheetId="9" r:id="rId2"/>
    <sheet name="Summary" sheetId="10" r:id="rId3"/>
  </sheets>
  <definedNames>
    <definedName name="_xlnm._FilterDatabase" localSheetId="0" hidden="1">Sugar_Unit_working_Building!$B$4:$V$59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 i="10" l="1"/>
  <c r="H5" i="10"/>
  <c r="Q67" i="5"/>
  <c r="R67" i="5" s="1"/>
  <c r="O67" i="5"/>
  <c r="L67" i="5"/>
  <c r="H67" i="5"/>
  <c r="Q66" i="5"/>
  <c r="R66" i="5" s="1"/>
  <c r="R68" i="5" s="1"/>
  <c r="O66" i="5"/>
  <c r="L66" i="5"/>
  <c r="H66" i="5"/>
  <c r="Q12" i="5"/>
  <c r="Q13" i="5"/>
  <c r="Q6" i="5"/>
  <c r="Q57" i="5"/>
  <c r="R57" i="5" s="1"/>
  <c r="Q55" i="5"/>
  <c r="R55" i="5" s="1"/>
  <c r="Q56" i="5"/>
  <c r="R56" i="5" s="1"/>
  <c r="Q58" i="5"/>
  <c r="O55" i="5"/>
  <c r="O56" i="5"/>
  <c r="O57" i="5"/>
  <c r="O58" i="5"/>
  <c r="L56" i="5"/>
  <c r="L57" i="5"/>
  <c r="H56" i="5"/>
  <c r="H57" i="5"/>
  <c r="K7" i="9"/>
  <c r="K6" i="9"/>
  <c r="I5" i="9"/>
  <c r="K5" i="9" s="1"/>
  <c r="K4" i="9"/>
  <c r="S66" i="5" l="1"/>
  <c r="T66" i="5" s="1"/>
  <c r="V66" i="5" s="1"/>
  <c r="V68" i="5" s="1"/>
  <c r="S67" i="5"/>
  <c r="T67" i="5" s="1"/>
  <c r="V67" i="5" s="1"/>
  <c r="S56" i="5"/>
  <c r="T56" i="5" s="1"/>
  <c r="V56" i="5" s="1"/>
  <c r="S57" i="5"/>
  <c r="T57" i="5" s="1"/>
  <c r="V57" i="5" s="1"/>
  <c r="K8" i="9"/>
  <c r="I8" i="9"/>
  <c r="L55" i="5" l="1"/>
  <c r="S55" i="5" s="1"/>
  <c r="L58" i="5"/>
  <c r="L14" i="5"/>
  <c r="L15" i="5"/>
  <c r="L16" i="5"/>
  <c r="L17" i="5"/>
  <c r="L18" i="5"/>
  <c r="L19" i="5"/>
  <c r="L20" i="5"/>
  <c r="L21" i="5"/>
  <c r="L22" i="5"/>
  <c r="L23" i="5"/>
  <c r="L24" i="5"/>
  <c r="L25" i="5"/>
  <c r="L26" i="5"/>
  <c r="L27" i="5"/>
  <c r="L28" i="5"/>
  <c r="L29" i="5"/>
  <c r="L30" i="5"/>
  <c r="L32" i="5"/>
  <c r="L33" i="5"/>
  <c r="L34" i="5"/>
  <c r="L35" i="5"/>
  <c r="L36" i="5"/>
  <c r="L37" i="5"/>
  <c r="L38" i="5"/>
  <c r="L39" i="5"/>
  <c r="L40" i="5"/>
  <c r="L41" i="5"/>
  <c r="L42" i="5"/>
  <c r="L43" i="5"/>
  <c r="L44" i="5"/>
  <c r="L45" i="5"/>
  <c r="L46" i="5"/>
  <c r="L47" i="5"/>
  <c r="L48" i="5"/>
  <c r="L49" i="5"/>
  <c r="L51" i="5"/>
  <c r="L52" i="5"/>
  <c r="L54" i="5"/>
  <c r="L12" i="5"/>
  <c r="L13" i="5"/>
  <c r="L7" i="5"/>
  <c r="L8" i="5"/>
  <c r="L9" i="5"/>
  <c r="L10" i="5"/>
  <c r="L11" i="5"/>
  <c r="L6" i="5"/>
  <c r="H17" i="5" l="1"/>
  <c r="H23" i="5"/>
  <c r="H24" i="5"/>
  <c r="H27" i="5"/>
  <c r="H32" i="5"/>
  <c r="H36" i="5"/>
  <c r="H39" i="5"/>
  <c r="H40" i="5"/>
  <c r="H46" i="5"/>
  <c r="H48" i="5"/>
  <c r="H49" i="5"/>
  <c r="H51" i="5"/>
  <c r="H55" i="5"/>
  <c r="G58" i="5"/>
  <c r="G54" i="5"/>
  <c r="H54" i="5" s="1"/>
  <c r="G52" i="5"/>
  <c r="H52" i="5" s="1"/>
  <c r="G47" i="5"/>
  <c r="H47" i="5" s="1"/>
  <c r="G45" i="5"/>
  <c r="H45" i="5" s="1"/>
  <c r="G44" i="5"/>
  <c r="H44" i="5" s="1"/>
  <c r="G43" i="5"/>
  <c r="H43" i="5" s="1"/>
  <c r="G42" i="5"/>
  <c r="H42" i="5" s="1"/>
  <c r="G41" i="5"/>
  <c r="H41" i="5" s="1"/>
  <c r="G38" i="5"/>
  <c r="H38" i="5" s="1"/>
  <c r="G37" i="5"/>
  <c r="H37" i="5" s="1"/>
  <c r="G35" i="5"/>
  <c r="H35" i="5" s="1"/>
  <c r="G34" i="5"/>
  <c r="H34" i="5" s="1"/>
  <c r="G33" i="5"/>
  <c r="H33" i="5" s="1"/>
  <c r="G30" i="5"/>
  <c r="H30" i="5" s="1"/>
  <c r="G29" i="5"/>
  <c r="H29" i="5" s="1"/>
  <c r="G28" i="5"/>
  <c r="H28" i="5" s="1"/>
  <c r="G26" i="5"/>
  <c r="H26" i="5" s="1"/>
  <c r="G25" i="5"/>
  <c r="H25" i="5" s="1"/>
  <c r="G22" i="5"/>
  <c r="H22" i="5" s="1"/>
  <c r="G21" i="5"/>
  <c r="H21" i="5" s="1"/>
  <c r="G20" i="5"/>
  <c r="H20" i="5" s="1"/>
  <c r="G19" i="5"/>
  <c r="H19" i="5" s="1"/>
  <c r="G18" i="5"/>
  <c r="H18" i="5" s="1"/>
  <c r="G16" i="5"/>
  <c r="H16" i="5" s="1"/>
  <c r="G15" i="5"/>
  <c r="H15" i="5" s="1"/>
  <c r="G14" i="5"/>
  <c r="H14" i="5" s="1"/>
  <c r="G13" i="5"/>
  <c r="G12" i="5"/>
  <c r="G11" i="5"/>
  <c r="H11" i="5" s="1"/>
  <c r="G10" i="5"/>
  <c r="H10" i="5" s="1"/>
  <c r="G9" i="5"/>
  <c r="H9" i="5" s="1"/>
  <c r="G8" i="5"/>
  <c r="H8" i="5" s="1"/>
  <c r="G7" i="5"/>
  <c r="H7" i="5" s="1"/>
  <c r="G6" i="5"/>
  <c r="R6" i="5" s="1"/>
  <c r="H12" i="5" l="1"/>
  <c r="R12" i="5"/>
  <c r="H13" i="5"/>
  <c r="R13" i="5"/>
  <c r="H6" i="5"/>
  <c r="H58" i="5"/>
  <c r="R58" i="5"/>
  <c r="Q39" i="5"/>
  <c r="R39" i="5" s="1"/>
  <c r="Q40" i="5"/>
  <c r="R40" i="5" s="1"/>
  <c r="Q41" i="5"/>
  <c r="R41" i="5" s="1"/>
  <c r="Q42" i="5"/>
  <c r="R42" i="5" s="1"/>
  <c r="Q43" i="5"/>
  <c r="R43" i="5" s="1"/>
  <c r="Q44" i="5"/>
  <c r="R44" i="5" s="1"/>
  <c r="Q45" i="5"/>
  <c r="R45" i="5" s="1"/>
  <c r="Q46" i="5"/>
  <c r="R46" i="5" s="1"/>
  <c r="Q47" i="5"/>
  <c r="R47" i="5" s="1"/>
  <c r="Q48" i="5"/>
  <c r="R48" i="5" s="1"/>
  <c r="R49" i="5"/>
  <c r="R52" i="5"/>
  <c r="Q54" i="5"/>
  <c r="R54" i="5" s="1"/>
  <c r="X58" i="5" s="1"/>
  <c r="O39" i="5"/>
  <c r="O40" i="5"/>
  <c r="O41" i="5"/>
  <c r="O42" i="5"/>
  <c r="O43" i="5"/>
  <c r="O44" i="5"/>
  <c r="O45" i="5"/>
  <c r="O46" i="5"/>
  <c r="O47" i="5"/>
  <c r="O48" i="5"/>
  <c r="O49" i="5"/>
  <c r="O51" i="5"/>
  <c r="O52" i="5"/>
  <c r="O54" i="5"/>
  <c r="Q38" i="5"/>
  <c r="R38" i="5" s="1"/>
  <c r="O38" i="5"/>
  <c r="Q37" i="5"/>
  <c r="R37" i="5" s="1"/>
  <c r="O37" i="5"/>
  <c r="Q36" i="5"/>
  <c r="R36" i="5" s="1"/>
  <c r="O36" i="5"/>
  <c r="Q35" i="5"/>
  <c r="R35" i="5" s="1"/>
  <c r="O35" i="5"/>
  <c r="Q34" i="5"/>
  <c r="R34" i="5" s="1"/>
  <c r="O34" i="5"/>
  <c r="Q33" i="5"/>
  <c r="R33" i="5" s="1"/>
  <c r="O33" i="5"/>
  <c r="Q32" i="5"/>
  <c r="R32" i="5" s="1"/>
  <c r="O32" i="5"/>
  <c r="Q30" i="5"/>
  <c r="R30" i="5" s="1"/>
  <c r="O30" i="5"/>
  <c r="Q29" i="5"/>
  <c r="R29" i="5" s="1"/>
  <c r="O29" i="5"/>
  <c r="Q28" i="5"/>
  <c r="R28" i="5" s="1"/>
  <c r="O28" i="5"/>
  <c r="Q27" i="5"/>
  <c r="R27" i="5" s="1"/>
  <c r="O27" i="5"/>
  <c r="Q26" i="5"/>
  <c r="R26" i="5" s="1"/>
  <c r="O26" i="5"/>
  <c r="Q25" i="5"/>
  <c r="R25" i="5" s="1"/>
  <c r="O25" i="5"/>
  <c r="Q24" i="5"/>
  <c r="R24" i="5" s="1"/>
  <c r="O24" i="5"/>
  <c r="Q23" i="5"/>
  <c r="R23" i="5" s="1"/>
  <c r="O23" i="5"/>
  <c r="Q22" i="5"/>
  <c r="R22" i="5" s="1"/>
  <c r="O22" i="5"/>
  <c r="Q21" i="5"/>
  <c r="R21" i="5" s="1"/>
  <c r="O21" i="5"/>
  <c r="Q20" i="5"/>
  <c r="R20" i="5" s="1"/>
  <c r="O20" i="5"/>
  <c r="Q19" i="5"/>
  <c r="R19" i="5" s="1"/>
  <c r="O19" i="5"/>
  <c r="Q18" i="5"/>
  <c r="R18" i="5" s="1"/>
  <c r="O18" i="5"/>
  <c r="Q17" i="5"/>
  <c r="R17" i="5" s="1"/>
  <c r="O17" i="5"/>
  <c r="Q16" i="5"/>
  <c r="R16" i="5" s="1"/>
  <c r="O16" i="5"/>
  <c r="Q15" i="5"/>
  <c r="R15" i="5" s="1"/>
  <c r="O15" i="5"/>
  <c r="Q14" i="5"/>
  <c r="R14" i="5" s="1"/>
  <c r="O14" i="5"/>
  <c r="O13" i="5"/>
  <c r="O12" i="5"/>
  <c r="Q11" i="5"/>
  <c r="R11" i="5" s="1"/>
  <c r="O11" i="5"/>
  <c r="Q10" i="5"/>
  <c r="R10" i="5" s="1"/>
  <c r="O10" i="5"/>
  <c r="Q9" i="5"/>
  <c r="R9" i="5" s="1"/>
  <c r="O9" i="5"/>
  <c r="Q8" i="5"/>
  <c r="R8" i="5" s="1"/>
  <c r="O8" i="5"/>
  <c r="Q7" i="5"/>
  <c r="R7" i="5" s="1"/>
  <c r="O7" i="5"/>
  <c r="O6" i="5"/>
  <c r="X30" i="5" l="1"/>
  <c r="X49" i="5"/>
  <c r="S6" i="5"/>
  <c r="T6" i="5" s="1"/>
  <c r="V6" i="5" s="1"/>
  <c r="S12" i="5"/>
  <c r="T12" i="5" s="1"/>
  <c r="V12" i="5" s="1"/>
  <c r="S13" i="5"/>
  <c r="T13" i="5" s="1"/>
  <c r="V13" i="5" s="1"/>
  <c r="S58" i="5"/>
  <c r="T58" i="5" s="1"/>
  <c r="V58" i="5" s="1"/>
  <c r="R51" i="5"/>
  <c r="X52" i="5" s="1"/>
  <c r="S54" i="5"/>
  <c r="T54" i="5" s="1"/>
  <c r="V54" i="5" s="1"/>
  <c r="S49" i="5"/>
  <c r="T49" i="5" s="1"/>
  <c r="V49" i="5" s="1"/>
  <c r="S52" i="5"/>
  <c r="T52" i="5" s="1"/>
  <c r="V52" i="5" s="1"/>
  <c r="S48" i="5"/>
  <c r="T48" i="5" s="1"/>
  <c r="V48" i="5" s="1"/>
  <c r="S44" i="5"/>
  <c r="T44" i="5" s="1"/>
  <c r="V44" i="5" s="1"/>
  <c r="S40" i="5"/>
  <c r="T40" i="5" s="1"/>
  <c r="V40" i="5" s="1"/>
  <c r="S41" i="5"/>
  <c r="T41" i="5" s="1"/>
  <c r="V41" i="5" s="1"/>
  <c r="S45" i="5"/>
  <c r="T45" i="5" s="1"/>
  <c r="V45" i="5" s="1"/>
  <c r="S47" i="5"/>
  <c r="T47" i="5" s="1"/>
  <c r="V47" i="5" s="1"/>
  <c r="S43" i="5"/>
  <c r="T43" i="5" s="1"/>
  <c r="V43" i="5" s="1"/>
  <c r="S39" i="5"/>
  <c r="T39" i="5" s="1"/>
  <c r="V39" i="5" s="1"/>
  <c r="S46" i="5"/>
  <c r="T46" i="5" s="1"/>
  <c r="V46" i="5" s="1"/>
  <c r="S42" i="5"/>
  <c r="T42" i="5" s="1"/>
  <c r="V42" i="5" s="1"/>
  <c r="S8" i="5"/>
  <c r="T8" i="5" s="1"/>
  <c r="V8" i="5" s="1"/>
  <c r="S10" i="5"/>
  <c r="T10" i="5" s="1"/>
  <c r="V10" i="5" s="1"/>
  <c r="S14" i="5"/>
  <c r="T14" i="5" s="1"/>
  <c r="V14" i="5" s="1"/>
  <c r="S16" i="5"/>
  <c r="T16" i="5" s="1"/>
  <c r="V16" i="5" s="1"/>
  <c r="S18" i="5"/>
  <c r="T18" i="5" s="1"/>
  <c r="V18" i="5" s="1"/>
  <c r="S20" i="5"/>
  <c r="T20" i="5" s="1"/>
  <c r="V20" i="5" s="1"/>
  <c r="S22" i="5"/>
  <c r="T22" i="5" s="1"/>
  <c r="V22" i="5" s="1"/>
  <c r="S24" i="5"/>
  <c r="T24" i="5" s="1"/>
  <c r="V24" i="5" s="1"/>
  <c r="S27" i="5"/>
  <c r="T27" i="5" s="1"/>
  <c r="V27" i="5" s="1"/>
  <c r="S9" i="5"/>
  <c r="T9" i="5" s="1"/>
  <c r="V9" i="5" s="1"/>
  <c r="S11" i="5"/>
  <c r="T11" i="5" s="1"/>
  <c r="V11" i="5" s="1"/>
  <c r="S15" i="5"/>
  <c r="T15" i="5" s="1"/>
  <c r="V15" i="5" s="1"/>
  <c r="S17" i="5"/>
  <c r="T17" i="5" s="1"/>
  <c r="V17" i="5" s="1"/>
  <c r="S19" i="5"/>
  <c r="T19" i="5" s="1"/>
  <c r="V19" i="5" s="1"/>
  <c r="S21" i="5"/>
  <c r="T21" i="5" s="1"/>
  <c r="V21" i="5" s="1"/>
  <c r="S23" i="5"/>
  <c r="T23" i="5" s="1"/>
  <c r="V23" i="5" s="1"/>
  <c r="S25" i="5"/>
  <c r="T25" i="5" s="1"/>
  <c r="V25" i="5" s="1"/>
  <c r="S26" i="5"/>
  <c r="T26" i="5" s="1"/>
  <c r="V26" i="5" s="1"/>
  <c r="S28" i="5"/>
  <c r="T28" i="5" s="1"/>
  <c r="V28" i="5" s="1"/>
  <c r="S7" i="5"/>
  <c r="S29" i="5"/>
  <c r="T29" i="5" s="1"/>
  <c r="V29" i="5" s="1"/>
  <c r="S30" i="5"/>
  <c r="T30" i="5" s="1"/>
  <c r="V30" i="5" s="1"/>
  <c r="S32" i="5"/>
  <c r="T32" i="5" s="1"/>
  <c r="V32" i="5" s="1"/>
  <c r="S33" i="5"/>
  <c r="T33" i="5" s="1"/>
  <c r="V33" i="5" s="1"/>
  <c r="S34" i="5"/>
  <c r="T34" i="5" s="1"/>
  <c r="V34" i="5" s="1"/>
  <c r="S35" i="5"/>
  <c r="T35" i="5" s="1"/>
  <c r="V35" i="5" s="1"/>
  <c r="S36" i="5"/>
  <c r="T36" i="5" s="1"/>
  <c r="V36" i="5" s="1"/>
  <c r="S37" i="5"/>
  <c r="T37" i="5" s="1"/>
  <c r="V37" i="5" s="1"/>
  <c r="S38" i="5"/>
  <c r="T38" i="5" s="1"/>
  <c r="V38" i="5" s="1"/>
  <c r="R59" i="5" l="1"/>
  <c r="H4" i="10" s="1"/>
  <c r="H6" i="10" s="1"/>
  <c r="W49" i="5"/>
  <c r="T7" i="5"/>
  <c r="S51" i="5"/>
  <c r="V7" i="5" l="1"/>
  <c r="W30" i="5" s="1"/>
  <c r="T51" i="5"/>
  <c r="V51" i="5" s="1"/>
  <c r="W52" i="5" s="1"/>
  <c r="T55" i="5"/>
  <c r="V55" i="5" l="1"/>
  <c r="W58" i="5" s="1"/>
  <c r="V59" i="5" s="1"/>
  <c r="I4" i="10" s="1"/>
  <c r="I6" i="10" s="1"/>
</calcChain>
</file>

<file path=xl/sharedStrings.xml><?xml version="1.0" encoding="utf-8"?>
<sst xmlns="http://schemas.openxmlformats.org/spreadsheetml/2006/main" count="230" uniqueCount="117">
  <si>
    <t>S.No.</t>
  </si>
  <si>
    <t>Block Name</t>
  </si>
  <si>
    <t>Total Slabs/ Floors</t>
  </si>
  <si>
    <t>Floor wise Height (ft.)</t>
  </si>
  <si>
    <t>Year of construction</t>
  </si>
  <si>
    <t xml:space="preserve">RCC </t>
  </si>
  <si>
    <t>Sr. No.</t>
  </si>
  <si>
    <t>Floor</t>
  </si>
  <si>
    <t xml:space="preserve">Block Name </t>
  </si>
  <si>
    <t>Construction Category</t>
  </si>
  <si>
    <t>Condition of Structure</t>
  </si>
  <si>
    <t>Year of Construction</t>
  </si>
  <si>
    <t xml:space="preserve">Year of Valuation </t>
  </si>
  <si>
    <t>Salvage value</t>
  </si>
  <si>
    <t>Depreciation Rate</t>
  </si>
  <si>
    <t>Good</t>
  </si>
  <si>
    <r>
      <t xml:space="preserve">Premium </t>
    </r>
    <r>
      <rPr>
        <i/>
        <sz val="10"/>
        <rFont val="Calibri"/>
        <family val="2"/>
        <scheme val="minor"/>
      </rPr>
      <t>(For additional aesthetics or renovation)</t>
    </r>
  </si>
  <si>
    <r>
      <t xml:space="preserve">Depreciated Replacement Market Value
</t>
    </r>
    <r>
      <rPr>
        <b/>
        <i/>
        <sz val="10"/>
        <rFont val="Calibri"/>
        <family val="2"/>
        <scheme val="minor"/>
      </rPr>
      <t>(</t>
    </r>
    <r>
      <rPr>
        <i/>
        <sz val="10"/>
        <rFont val="Calibri"/>
        <family val="2"/>
        <scheme val="minor"/>
      </rPr>
      <t>INR</t>
    </r>
    <r>
      <rPr>
        <b/>
        <i/>
        <sz val="10"/>
        <rFont val="Calibri"/>
        <family val="2"/>
        <scheme val="minor"/>
      </rPr>
      <t>)</t>
    </r>
  </si>
  <si>
    <r>
      <t xml:space="preserve">Depreciated Value
</t>
    </r>
    <r>
      <rPr>
        <b/>
        <i/>
        <sz val="10"/>
        <rFont val="Calibri"/>
        <family val="2"/>
        <scheme val="minor"/>
      </rPr>
      <t>(</t>
    </r>
    <r>
      <rPr>
        <i/>
        <sz val="10"/>
        <rFont val="Calibri"/>
        <family val="2"/>
        <scheme val="minor"/>
      </rPr>
      <t>INR</t>
    </r>
    <r>
      <rPr>
        <b/>
        <i/>
        <sz val="10"/>
        <rFont val="Calibri"/>
        <family val="2"/>
        <scheme val="minor"/>
      </rPr>
      <t>)</t>
    </r>
  </si>
  <si>
    <r>
      <t xml:space="preserve">Total Deterioration 
</t>
    </r>
    <r>
      <rPr>
        <b/>
        <i/>
        <sz val="10"/>
        <rFont val="Calibri"/>
        <family val="2"/>
        <scheme val="minor"/>
      </rPr>
      <t>(</t>
    </r>
    <r>
      <rPr>
        <i/>
        <sz val="10"/>
        <rFont val="Calibri"/>
        <family val="2"/>
        <scheme val="minor"/>
      </rPr>
      <t>INR</t>
    </r>
    <r>
      <rPr>
        <b/>
        <i/>
        <sz val="10"/>
        <rFont val="Calibri"/>
        <family val="2"/>
        <scheme val="minor"/>
      </rPr>
      <t xml:space="preserve">) </t>
    </r>
  </si>
  <si>
    <r>
      <t xml:space="preserve">Gross Replacement Value
</t>
    </r>
    <r>
      <rPr>
        <b/>
        <i/>
        <sz val="10"/>
        <rFont val="Calibri"/>
        <family val="2"/>
        <scheme val="minor"/>
      </rPr>
      <t>(</t>
    </r>
    <r>
      <rPr>
        <i/>
        <sz val="10"/>
        <rFont val="Calibri"/>
        <family val="2"/>
        <scheme val="minor"/>
      </rPr>
      <t>INR</t>
    </r>
    <r>
      <rPr>
        <b/>
        <i/>
        <sz val="10"/>
        <rFont val="Calibri"/>
        <family val="2"/>
        <scheme val="minor"/>
      </rPr>
      <t>)</t>
    </r>
  </si>
  <si>
    <r>
      <t xml:space="preserve">Plinth Area  Rate 
</t>
    </r>
    <r>
      <rPr>
        <b/>
        <i/>
        <sz val="10"/>
        <rFont val="Calibri"/>
        <family val="2"/>
        <scheme val="minor"/>
      </rPr>
      <t>(</t>
    </r>
    <r>
      <rPr>
        <i/>
        <sz val="10"/>
        <rFont val="Calibri"/>
        <family val="2"/>
        <scheme val="minor"/>
      </rPr>
      <t>In per sq. mtr.</t>
    </r>
    <r>
      <rPr>
        <b/>
        <i/>
        <sz val="10"/>
        <rFont val="Calibri"/>
        <family val="2"/>
        <scheme val="minor"/>
      </rPr>
      <t>)</t>
    </r>
  </si>
  <si>
    <r>
      <t xml:space="preserve">Plinth Area  Rate 
</t>
    </r>
    <r>
      <rPr>
        <i/>
        <sz val="10"/>
        <rFont val="Calibri"/>
        <family val="2"/>
        <scheme val="minor"/>
      </rPr>
      <t>(in per sq.ft.)</t>
    </r>
  </si>
  <si>
    <r>
      <t xml:space="preserve">Total Economical Life
</t>
    </r>
    <r>
      <rPr>
        <i/>
        <sz val="10"/>
        <rFont val="Calibri"/>
        <family val="2"/>
        <scheme val="minor"/>
      </rPr>
      <t>(in yrs.)</t>
    </r>
  </si>
  <si>
    <r>
      <t xml:space="preserve">Total Life Consumed 
</t>
    </r>
    <r>
      <rPr>
        <i/>
        <sz val="10"/>
        <rFont val="Calibri"/>
        <family val="2"/>
        <scheme val="minor"/>
      </rPr>
      <t>(in yrs.)</t>
    </r>
  </si>
  <si>
    <r>
      <t xml:space="preserve">Height 
</t>
    </r>
    <r>
      <rPr>
        <b/>
        <i/>
        <sz val="10"/>
        <rFont val="Calibri"/>
        <family val="2"/>
        <scheme val="minor"/>
      </rPr>
      <t>(</t>
    </r>
    <r>
      <rPr>
        <i/>
        <sz val="10"/>
        <rFont val="Calibri"/>
        <family val="2"/>
        <scheme val="minor"/>
      </rPr>
      <t>mtr.</t>
    </r>
    <r>
      <rPr>
        <b/>
        <i/>
        <sz val="10"/>
        <rFont val="Calibri"/>
        <family val="2"/>
        <scheme val="minor"/>
      </rPr>
      <t>)</t>
    </r>
  </si>
  <si>
    <r>
      <t xml:space="preserve">Area 
</t>
    </r>
    <r>
      <rPr>
        <i/>
        <sz val="10"/>
        <rFont val="Calibri"/>
        <family val="2"/>
        <scheme val="minor"/>
      </rPr>
      <t>(in sq.ft)</t>
    </r>
  </si>
  <si>
    <r>
      <t xml:space="preserve">Area 
</t>
    </r>
    <r>
      <rPr>
        <i/>
        <sz val="10"/>
        <rFont val="Calibri"/>
        <family val="2"/>
        <scheme val="minor"/>
      </rPr>
      <t>(in sq mtr)</t>
    </r>
  </si>
  <si>
    <t xml:space="preserve">Truck Parking </t>
  </si>
  <si>
    <t>Weigh Bridge Cabins</t>
  </si>
  <si>
    <t xml:space="preserve">Mill House </t>
  </si>
  <si>
    <t>Mill House Control and Instrument Room (2 Nos)</t>
  </si>
  <si>
    <t xml:space="preserve">Workshop </t>
  </si>
  <si>
    <t xml:space="preserve">Power House </t>
  </si>
  <si>
    <t xml:space="preserve">Boiler House </t>
  </si>
  <si>
    <t>Boiling House (Clarification House, Pan &amp; Sugar, Drier House)</t>
  </si>
  <si>
    <t xml:space="preserve">Store House </t>
  </si>
  <si>
    <t xml:space="preserve">Lime &amp; Sulphur Godown </t>
  </si>
  <si>
    <t xml:space="preserve">DG House </t>
  </si>
  <si>
    <t>Chimney (Dia 5Mtr , Ht: 65 Mtr)</t>
  </si>
  <si>
    <t xml:space="preserve">Injection Pump House </t>
  </si>
  <si>
    <t xml:space="preserve">Weigh Bridge Cabins </t>
  </si>
  <si>
    <t xml:space="preserve">Token Room </t>
  </si>
  <si>
    <t xml:space="preserve">Staff Canteen </t>
  </si>
  <si>
    <t xml:space="preserve">Worker's Canteen </t>
  </si>
  <si>
    <t xml:space="preserve">Cane Complex &amp; Dispensary </t>
  </si>
  <si>
    <t xml:space="preserve">Administration Block </t>
  </si>
  <si>
    <t xml:space="preserve">Time Office </t>
  </si>
  <si>
    <t xml:space="preserve">Sugar Godown </t>
  </si>
  <si>
    <t>Gate Cabin (Nos)</t>
  </si>
  <si>
    <t xml:space="preserve">Lab Building </t>
  </si>
  <si>
    <t xml:space="preserve">Excise Office </t>
  </si>
  <si>
    <t xml:space="preserve">Pres Mud Room </t>
  </si>
  <si>
    <t xml:space="preserve">Under Ground Water Tank </t>
  </si>
  <si>
    <t xml:space="preserve">Gunny Bags Godown ,Drying and Printing Room </t>
  </si>
  <si>
    <t xml:space="preserve">Bagasse Yard </t>
  </si>
  <si>
    <t xml:space="preserve">Boundry Wall for Bio Gas and Plant Area </t>
  </si>
  <si>
    <t xml:space="preserve">D.M.Plant </t>
  </si>
  <si>
    <t xml:space="preserve">Fermentation House </t>
  </si>
  <si>
    <t xml:space="preserve">Weigh Bridge Cabin </t>
  </si>
  <si>
    <t xml:space="preserve">Reception and Security Cabin </t>
  </si>
  <si>
    <t xml:space="preserve">Administration &amp; Excise Office </t>
  </si>
  <si>
    <t xml:space="preserve">Maintainance and Store Rooms </t>
  </si>
  <si>
    <t xml:space="preserve">Farmer Hut </t>
  </si>
  <si>
    <t xml:space="preserve">Sales Office </t>
  </si>
  <si>
    <t xml:space="preserve">Cane Hostel </t>
  </si>
  <si>
    <t xml:space="preserve">Labour General Toilets </t>
  </si>
  <si>
    <t xml:space="preserve">Telephone Room,Comercial and Enquiry Room </t>
  </si>
  <si>
    <t xml:space="preserve">Unit Head office </t>
  </si>
  <si>
    <t xml:space="preserve">ATM and SBI Building </t>
  </si>
  <si>
    <t xml:space="preserve">MCC Panel For Drier House </t>
  </si>
  <si>
    <t xml:space="preserve">MCC For Centrifugal House </t>
  </si>
  <si>
    <t xml:space="preserve">Road :RCC </t>
  </si>
  <si>
    <t xml:space="preserve">Drain </t>
  </si>
  <si>
    <t>Boundry Wall</t>
  </si>
  <si>
    <t xml:space="preserve">Residential &amp; Public Buildings </t>
  </si>
  <si>
    <t xml:space="preserve">Single Room Qtrs - Horticulture </t>
  </si>
  <si>
    <t xml:space="preserve">Recreation Club (Single Room Qtrs ) </t>
  </si>
  <si>
    <t>Mess (Single Room Qtrs)</t>
  </si>
  <si>
    <t xml:space="preserve">Dormitory (Guest House) </t>
  </si>
  <si>
    <t xml:space="preserve">Labour Hutment </t>
  </si>
  <si>
    <t>RCC column beams stone masonry wails in cement, bricks, steel etc.</t>
  </si>
  <si>
    <t>GI shed roof mounted on iron pillars, trusses frame structure resting on brick wall</t>
  </si>
  <si>
    <t>ANNEXURE :B | OTHER STRUCTURE VALUATION  | BAJAJ HINDUSTHAN SUGAR LIMITED |KHAMBARKHERA, LAKHIMPUR KHERI, UTTAR PRADESH</t>
  </si>
  <si>
    <t xml:space="preserve">Type of construction     </t>
  </si>
  <si>
    <t>Structure condition</t>
  </si>
  <si>
    <r>
      <t xml:space="preserve">Legth 
</t>
    </r>
    <r>
      <rPr>
        <i/>
        <sz val="9"/>
        <rFont val="Arial"/>
        <family val="2"/>
      </rPr>
      <t>(In running Mtr.)</t>
    </r>
  </si>
  <si>
    <t xml:space="preserve">Rate adopted </t>
  </si>
  <si>
    <t xml:space="preserve"> Fair Market Value</t>
  </si>
  <si>
    <t>Average</t>
  </si>
  <si>
    <t>Total</t>
  </si>
  <si>
    <t>G+2</t>
  </si>
  <si>
    <t>One BedRoom Qtrs.</t>
  </si>
  <si>
    <t>Temple</t>
  </si>
  <si>
    <t>Pujari Room</t>
  </si>
  <si>
    <t>Plant Buildings</t>
  </si>
  <si>
    <t>Two BedRoom Qtrs.</t>
  </si>
  <si>
    <t>FMV</t>
  </si>
  <si>
    <t>GCRC</t>
  </si>
  <si>
    <t>S</t>
  </si>
  <si>
    <t>Description</t>
  </si>
  <si>
    <t>Annexure</t>
  </si>
  <si>
    <t>Gross Block</t>
  </si>
  <si>
    <t>Depreciated Fair Market Value</t>
  </si>
  <si>
    <t>A</t>
  </si>
  <si>
    <t>B</t>
  </si>
  <si>
    <t>Notes:</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</si>
  <si>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</si>
  <si>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</si>
  <si>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4. For evaluation of the useful economic life for the calculation of depreciation, companies act 2013 and the general practical trend of same Buildings are taken into consideration.</t>
  </si>
  <si>
    <t xml:space="preserve">5. The economic life of the Main Plant Building is taken as 25 years, for Industrial  RCC structure is taken as 60 years, and others structure related to Sugar, Manufacturing Plant varies from 40 to 60 years. </t>
  </si>
  <si>
    <t>6. For calculting reproduction cost of Civil &amp; Structural Assets as on date, we have taken reference from open market and calculated depreciation on the same.</t>
  </si>
  <si>
    <t>TOTAL</t>
  </si>
  <si>
    <t>ANNEXURE-A:  MARKET VALUE OF STRUCTURES OF M/S. BAJAJ HINDUSTHAN SUGAR LIMITED.| PROPERTY OF INDUSTRIAL PROPERTY | SITUATED AT: VILLAGE- KHAMBERKHERA, DISTRICT- LAKHIMPUR KHIRI, U.P</t>
  </si>
  <si>
    <t>Roads &amp; Drainage</t>
  </si>
  <si>
    <t>BUILDING/ CIVIL STRUCTURE | BAJAJ HINDUSTHAN SUGAR LIMITED | KHAMBERKHERA, LAKHIMPUR KHIRI</t>
  </si>
  <si>
    <t>1. Buildings &amp; Civil works only related to the BHSL, Khamberkhera, Lakhimpur Khiri, U.P Plant and associated facilities are considered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</si>
</sst>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00"/>
    <numFmt numFmtId="165" formatCode="_ [$₹-4009]\ * #,##0.00_ ;_ [$₹-4009]\ * \-#,##0.00_ ;_ [$₹-4009]\ * &quot;-&quot;??_ ;_ @_ "/>
    <numFmt numFmtId="166" formatCode="_ [$₹-4009]\ * #,##0_ ;_ [$₹-4009]\ * \-#,##0_ ;_ [$₹-4009]\ * &quot;-&quot;??_ ;_ @_ "/>
    <numFmt numFmtId="167" formatCode="####\ ##\ ##\ ###"/>
    <numFmt numFmtId="168" formatCode="&quot; &quot;[$₹]&quot; &quot;#,##0&quot; &quot;;&quot; &quot;[$₹]&quot; -&quot;#,##0&quot; &quot;;&quot; &quot;[$₹]&quot; -&quot;00&quot; &quot;;&quot; &quot;@&quot; &quot;"/>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Arial"/>
      <family val="2"/>
    </font>
    <font>
      <b/>
      <sz val="11"/>
      <name val="Calibri"/>
      <family val="2"/>
      <scheme val="minor"/>
    </font>
    <font>
      <sz val="10"/>
      <color theme="1"/>
      <name val="Calibri"/>
      <family val="2"/>
      <scheme val="minor"/>
    </font>
    <font>
      <sz val="11"/>
      <color indexed="8"/>
      <name val="Calibri"/>
      <family val="2"/>
    </font>
    <font>
      <i/>
      <sz val="10"/>
      <name val="Calibri"/>
      <family val="2"/>
      <scheme val="minor"/>
    </font>
    <font>
      <b/>
      <i/>
      <sz val="10"/>
      <name val="Calibri"/>
      <family val="2"/>
      <scheme val="minor"/>
    </font>
    <font>
      <b/>
      <sz val="10"/>
      <color theme="0"/>
      <name val="Arial"/>
      <family val="2"/>
    </font>
    <font>
      <b/>
      <sz val="10"/>
      <name val="Arial"/>
      <family val="2"/>
    </font>
    <font>
      <i/>
      <sz val="9"/>
      <name val="Arial"/>
      <family val="2"/>
    </font>
    <font>
      <sz val="10"/>
      <color indexed="8"/>
      <name val="Arial"/>
      <family val="2"/>
    </font>
    <font>
      <b/>
      <sz val="11"/>
      <name val="Arial"/>
      <family val="2"/>
    </font>
    <font>
      <b/>
      <sz val="10"/>
      <color theme="1"/>
      <name val="Arial"/>
      <family val="2"/>
    </font>
    <font>
      <sz val="11"/>
      <color rgb="FF000000"/>
      <name val="Calibri"/>
      <family val="2"/>
    </font>
    <font>
      <b/>
      <sz val="12"/>
      <color rgb="FFFFFFFF"/>
      <name val="Calibri"/>
      <family val="2"/>
    </font>
    <font>
      <b/>
      <sz val="11"/>
      <color rgb="FF000000"/>
      <name val="Calibri"/>
      <family val="2"/>
    </font>
    <font>
      <b/>
      <i/>
      <sz val="11"/>
      <color rgb="FF000000"/>
      <name val="Calibri"/>
      <family val="2"/>
    </font>
    <font>
      <i/>
      <sz val="11"/>
      <color rgb="FF000000"/>
      <name val="Calibri"/>
      <family val="2"/>
    </font>
  </fonts>
  <fills count="8">
    <fill>
      <patternFill patternType="none"/>
    </fill>
    <fill>
      <patternFill patternType="gray125"/>
    </fill>
    <fill>
      <patternFill patternType="solid">
        <fgColor rgb="FF1E366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3366"/>
        <bgColor rgb="FF003366"/>
      </patternFill>
    </fill>
    <fill>
      <patternFill patternType="solid">
        <fgColor rgb="FFB4C6E7"/>
        <bgColor rgb="FFB4C6E7"/>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4">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44" fontId="1" fillId="0" borderId="0" applyFont="0" applyFill="0" applyBorder="0" applyAlignment="0" applyProtection="0"/>
  </cellStyleXfs>
  <cellXfs count="95">
    <xf numFmtId="0" fontId="0" fillId="0" borderId="0" xfId="0"/>
    <xf numFmtId="0" fontId="0" fillId="0" borderId="0" xfId="0"/>
    <xf numFmtId="0" fontId="5" fillId="0" borderId="1" xfId="0" applyFont="1" applyBorder="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6" fontId="0" fillId="0" borderId="0" xfId="0" applyNumberFormat="1"/>
    <xf numFmtId="0" fontId="7" fillId="0" borderId="13" xfId="0" applyFont="1" applyBorder="1" applyAlignment="1">
      <alignment vertical="center" wrapText="1"/>
    </xf>
    <xf numFmtId="166" fontId="7" fillId="0" borderId="1" xfId="0" applyNumberFormat="1" applyFont="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0" borderId="13" xfId="0" applyFont="1" applyBorder="1" applyAlignment="1">
      <alignment horizontal="center" vertical="center" wrapText="1"/>
    </xf>
    <xf numFmtId="0" fontId="0" fillId="0" borderId="1" xfId="0" applyBorder="1" applyAlignment="1">
      <alignment vertical="center" wrapText="1"/>
    </xf>
    <xf numFmtId="167" fontId="0" fillId="0" borderId="1" xfId="0" applyNumberFormat="1" applyBorder="1" applyAlignment="1">
      <alignment horizontal="right" vertical="center" wrapText="1"/>
    </xf>
    <xf numFmtId="0" fontId="7" fillId="0" borderId="12" xfId="0" applyFont="1" applyBorder="1" applyAlignment="1">
      <alignment horizontal="center" vertical="center" wrapText="1"/>
    </xf>
    <xf numFmtId="0" fontId="7" fillId="0" borderId="1" xfId="0" applyFont="1" applyBorder="1" applyAlignment="1">
      <alignment vertical="center" wrapText="1"/>
    </xf>
    <xf numFmtId="164" fontId="7" fillId="0" borderId="15" xfId="0" applyNumberFormat="1" applyFont="1" applyBorder="1" applyAlignment="1">
      <alignment horizontal="center" vertical="center" wrapText="1"/>
    </xf>
    <xf numFmtId="165" fontId="7" fillId="0" borderId="1" xfId="0" applyNumberFormat="1" applyFont="1" applyBorder="1" applyAlignment="1">
      <alignment vertical="center" wrapText="1"/>
    </xf>
    <xf numFmtId="0" fontId="7" fillId="0" borderId="1" xfId="0" applyFont="1" applyFill="1" applyBorder="1" applyAlignment="1">
      <alignment horizontal="center" vertical="center" wrapText="1"/>
    </xf>
    <xf numFmtId="0" fontId="5" fillId="0" borderId="7" xfId="0" applyFont="1" applyBorder="1" applyAlignment="1">
      <alignment horizontal="center" vertical="center"/>
    </xf>
    <xf numFmtId="167" fontId="0" fillId="0" borderId="13" xfId="0" applyNumberFormat="1" applyBorder="1" applyAlignment="1">
      <alignment horizontal="right" vertical="center" wrapText="1"/>
    </xf>
    <xf numFmtId="0" fontId="5" fillId="0" borderId="13" xfId="0" applyFont="1" applyBorder="1" applyAlignment="1">
      <alignment vertical="center"/>
    </xf>
    <xf numFmtId="0" fontId="0" fillId="0" borderId="13" xfId="0" applyBorder="1" applyAlignment="1">
      <alignment horizontal="center" vertical="center" wrapText="1"/>
    </xf>
    <xf numFmtId="166" fontId="0" fillId="0" borderId="13" xfId="0" applyNumberFormat="1" applyBorder="1"/>
    <xf numFmtId="166" fontId="7" fillId="0" borderId="13"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12" fillId="5" borderId="7"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4" fillId="0" borderId="14" xfId="5" applyFont="1" applyBorder="1" applyAlignment="1">
      <alignment horizontal="center" vertical="center"/>
    </xf>
    <xf numFmtId="0" fontId="0" fillId="0" borderId="13" xfId="0" applyBorder="1" applyAlignment="1">
      <alignment vertical="center" wrapText="1"/>
    </xf>
    <xf numFmtId="0" fontId="14" fillId="0" borderId="13" xfId="5" applyFont="1" applyBorder="1" applyAlignment="1">
      <alignment horizontal="center" vertical="center" wrapText="1"/>
    </xf>
    <xf numFmtId="0" fontId="14" fillId="0" borderId="13" xfId="5" applyFont="1" applyBorder="1" applyAlignment="1">
      <alignment horizontal="center" vertical="center"/>
    </xf>
    <xf numFmtId="0" fontId="0" fillId="0" borderId="13" xfId="0" applyBorder="1" applyAlignment="1">
      <alignment horizontal="center" vertical="center"/>
    </xf>
    <xf numFmtId="44" fontId="0" fillId="0" borderId="13" xfId="13" applyFont="1" applyBorder="1" applyAlignment="1">
      <alignment horizontal="center" vertical="center"/>
    </xf>
    <xf numFmtId="44" fontId="0" fillId="0" borderId="16" xfId="13" applyFont="1" applyBorder="1" applyAlignment="1">
      <alignment horizontal="center" vertical="center"/>
    </xf>
    <xf numFmtId="0" fontId="14" fillId="0" borderId="7" xfId="5" applyFont="1" applyBorder="1" applyAlignment="1">
      <alignment horizontal="center" vertical="center"/>
    </xf>
    <xf numFmtId="0" fontId="14" fillId="0" borderId="1" xfId="5" applyFont="1" applyBorder="1" applyAlignment="1">
      <alignment horizontal="center" vertical="center" wrapText="1"/>
    </xf>
    <xf numFmtId="2" fontId="0" fillId="0" borderId="1" xfId="0" applyNumberFormat="1" applyBorder="1" applyAlignment="1">
      <alignment horizontal="center" vertical="center" wrapText="1"/>
    </xf>
    <xf numFmtId="44" fontId="0" fillId="0" borderId="1" xfId="13" applyFont="1" applyBorder="1" applyAlignment="1">
      <alignment horizontal="center" vertical="center"/>
    </xf>
    <xf numFmtId="44" fontId="0" fillId="0" borderId="8" xfId="13" applyFont="1" applyBorder="1" applyAlignment="1">
      <alignment horizontal="center" vertical="center"/>
    </xf>
    <xf numFmtId="0" fontId="14" fillId="0" borderId="4" xfId="5" applyFont="1" applyBorder="1" applyAlignment="1">
      <alignment horizontal="center" vertical="center"/>
    </xf>
    <xf numFmtId="0" fontId="0" fillId="0" borderId="5" xfId="0" applyBorder="1" applyAlignment="1">
      <alignment vertical="center" wrapText="1"/>
    </xf>
    <xf numFmtId="0" fontId="14" fillId="0" borderId="5" xfId="5" applyFont="1" applyBorder="1" applyAlignment="1">
      <alignment horizontal="center" vertical="center" wrapText="1"/>
    </xf>
    <xf numFmtId="0" fontId="0" fillId="0" borderId="5" xfId="0" applyBorder="1" applyAlignment="1">
      <alignment horizontal="center" vertical="center"/>
    </xf>
    <xf numFmtId="2" fontId="0" fillId="0" borderId="5" xfId="0" applyNumberFormat="1" applyBorder="1" applyAlignment="1">
      <alignment horizontal="center" vertical="center" wrapText="1"/>
    </xf>
    <xf numFmtId="44" fontId="0" fillId="0" borderId="5" xfId="13" applyFont="1" applyBorder="1" applyAlignment="1">
      <alignment horizontal="center" vertical="center"/>
    </xf>
    <xf numFmtId="44" fontId="0" fillId="0" borderId="6" xfId="13" applyFont="1" applyBorder="1" applyAlignment="1">
      <alignment horizontal="center" vertical="center"/>
    </xf>
    <xf numFmtId="2" fontId="0" fillId="0" borderId="13" xfId="0" applyNumberFormat="1" applyBorder="1" applyAlignment="1">
      <alignment horizontal="center" vertical="center" wrapText="1"/>
    </xf>
    <xf numFmtId="0" fontId="15" fillId="0" borderId="2" xfId="0" applyFont="1" applyBorder="1" applyAlignment="1">
      <alignment horizontal="center" vertical="center" wrapText="1"/>
    </xf>
    <xf numFmtId="44" fontId="15" fillId="0" borderId="3" xfId="13"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0" fillId="0" borderId="1" xfId="0" applyNumberFormat="1" applyBorder="1"/>
    <xf numFmtId="0" fontId="6" fillId="3" borderId="22" xfId="0" applyFont="1" applyFill="1" applyBorder="1" applyAlignment="1">
      <alignment horizontal="center" vertical="center" wrapText="1"/>
    </xf>
    <xf numFmtId="0" fontId="19" fillId="7" borderId="23" xfId="0" applyFont="1" applyFill="1" applyBorder="1" applyAlignment="1">
      <alignment horizontal="center" vertical="center"/>
    </xf>
    <xf numFmtId="0" fontId="19" fillId="7" borderId="23"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66" fontId="3" fillId="0" borderId="1" xfId="0" applyNumberFormat="1" applyFont="1" applyBorder="1"/>
    <xf numFmtId="0" fontId="3" fillId="0" borderId="1" xfId="0" applyFont="1" applyBorder="1"/>
    <xf numFmtId="0" fontId="0" fillId="0" borderId="0" xfId="0" applyFill="1"/>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2" xfId="0" applyFill="1" applyBorder="1" applyAlignment="1">
      <alignment horizontal="center"/>
    </xf>
    <xf numFmtId="0" fontId="0" fillId="0" borderId="1" xfId="0" applyFill="1" applyBorder="1"/>
    <xf numFmtId="168" fontId="19" fillId="0" borderId="23" xfId="0" applyNumberFormat="1" applyFont="1" applyBorder="1" applyAlignment="1">
      <alignment horizontal="center" vertical="center"/>
    </xf>
    <xf numFmtId="168" fontId="17" fillId="0" borderId="23" xfId="0" applyNumberFormat="1" applyFont="1" applyBorder="1" applyAlignment="1">
      <alignment horizontal="center" vertical="center"/>
    </xf>
    <xf numFmtId="168" fontId="0" fillId="0" borderId="23" xfId="0" applyNumberFormat="1" applyBorder="1" applyAlignment="1">
      <alignment horizontal="center"/>
    </xf>
    <xf numFmtId="0" fontId="3" fillId="5" borderId="20"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16" fillId="5" borderId="20" xfId="0" applyFont="1" applyFill="1" applyBorder="1" applyAlignment="1">
      <alignment horizontal="left" vertical="center"/>
    </xf>
    <xf numFmtId="0" fontId="16" fillId="5" borderId="21" xfId="0" applyFont="1" applyFill="1" applyBorder="1" applyAlignment="1">
      <alignment horizontal="left" vertical="center"/>
    </xf>
    <xf numFmtId="0" fontId="16" fillId="5" borderId="12" xfId="0" applyFont="1" applyFill="1" applyBorder="1" applyAlignment="1">
      <alignment horizontal="left"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2" fillId="2" borderId="1"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1" fillId="0" borderId="23" xfId="0" applyFont="1" applyBorder="1" applyAlignment="1">
      <alignment horizontal="left" vertical="center" wrapText="1"/>
    </xf>
    <xf numFmtId="0" fontId="18" fillId="6" borderId="23" xfId="5" applyFont="1" applyFill="1" applyBorder="1" applyAlignment="1">
      <alignment horizontal="center" vertical="center" wrapText="1"/>
    </xf>
    <xf numFmtId="0" fontId="19" fillId="7" borderId="23" xfId="0" applyFont="1" applyFill="1" applyBorder="1" applyAlignment="1">
      <alignment horizontal="center" vertical="center"/>
    </xf>
    <xf numFmtId="0" fontId="0" fillId="0" borderId="23" xfId="0" applyBorder="1" applyAlignment="1">
      <alignment horizontal="left" vertical="center"/>
    </xf>
    <xf numFmtId="0" fontId="19" fillId="0" borderId="23" xfId="0" applyFont="1" applyBorder="1" applyAlignment="1">
      <alignment horizontal="center" vertical="center"/>
    </xf>
    <xf numFmtId="0" fontId="20" fillId="0" borderId="23" xfId="0" applyFont="1" applyBorder="1" applyAlignment="1">
      <alignment horizontal="left" vertical="center" wrapText="1"/>
    </xf>
  </cellXfs>
  <cellStyles count="14">
    <cellStyle name="Comma 2" xfId="1" xr:uid="{589AF3E5-5D5D-4EB3-9A31-CAC9F7827CFA}"/>
    <cellStyle name="Currency" xfId="13" builtinId="4"/>
    <cellStyle name="Excel Built-in Normal" xfId="5" xr:uid="{B593830F-E9B9-4C05-9CE5-4BE88EA00AEA}"/>
    <cellStyle name="Excel Built-in Normal 1" xfId="12" xr:uid="{4B6BDE67-C351-4CC6-8429-FE7D7F13037C}"/>
    <cellStyle name="Normal" xfId="0" builtinId="0"/>
    <cellStyle name="Normal 118" xfId="4" xr:uid="{5E3CB59D-637F-4A9B-96C4-64D04A1C049D}"/>
    <cellStyle name="Normal 119" xfId="9" xr:uid="{784FBE4F-59A4-4B2A-9F80-0D7C57AF9F63}"/>
    <cellStyle name="Normal 120" xfId="3" xr:uid="{52FED0B8-1A57-43DE-8034-E03CAFCF8F96}"/>
    <cellStyle name="Normal 122" xfId="8" xr:uid="{2B1589E1-0360-4F7A-BC43-ED95734D86A3}"/>
    <cellStyle name="Normal 123" xfId="6" xr:uid="{DD2F59E9-077B-49B7-AA29-062FF63F411B}"/>
    <cellStyle name="Normal 124" xfId="10" xr:uid="{8DE0EA1E-A32D-41C3-B957-240A2CB89AD8}"/>
    <cellStyle name="Normal 125" xfId="7" xr:uid="{9361649B-87F1-4D71-9163-5945B16E9AAC}"/>
    <cellStyle name="Normal 127" xfId="11" xr:uid="{39790D07-8722-4298-843A-EDB8ED65AAFF}"/>
    <cellStyle name="Normal 3" xfId="2" xr:uid="{7E73B985-1241-4404-B074-D0232F86C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A848-08B8-45AF-ACF6-6DA9734142AA}">
  <dimension ref="B1:X68"/>
  <sheetViews>
    <sheetView topLeftCell="K1" workbookViewId="0">
      <pane ySplit="4" topLeftCell="A8" activePane="bottomLeft" state="frozen"/>
      <selection pane="bottomLeft" activeCell="AA11" sqref="AA11"/>
    </sheetView>
  </sheetViews>
  <sheetFormatPr defaultRowHeight="15" x14ac:dyDescent="0.25"/>
  <cols>
    <col min="2" max="2" width="6.7109375" style="8" customWidth="1"/>
    <col min="3" max="3" width="12.42578125" style="9" customWidth="1"/>
    <col min="4" max="4" width="40" style="8" bestFit="1" customWidth="1"/>
    <col min="5" max="5" width="40.85546875" style="9" customWidth="1"/>
    <col min="6" max="6" width="20.85546875" customWidth="1"/>
    <col min="7" max="7" width="10" customWidth="1"/>
    <col min="8" max="8" width="8.28515625" style="1" customWidth="1"/>
    <col min="9" max="9" width="8.7109375" style="65" customWidth="1"/>
    <col min="10" max="10" width="12.42578125" customWidth="1"/>
    <col min="11" max="11" width="11.42578125" style="1" customWidth="1"/>
    <col min="12" max="12" width="10.7109375" customWidth="1"/>
    <col min="13" max="13" width="12" customWidth="1"/>
    <col min="14" max="14" width="9.140625" customWidth="1"/>
    <col min="15" max="15" width="13.140625" customWidth="1"/>
    <col min="16" max="16" width="14.7109375" customWidth="1"/>
    <col min="17" max="17" width="12.5703125" customWidth="1"/>
    <col min="18" max="18" width="15.85546875" customWidth="1"/>
    <col min="19" max="19" width="17.7109375" customWidth="1"/>
    <col min="20" max="20" width="16.140625" customWidth="1"/>
    <col min="21" max="21" width="14.28515625" hidden="1" customWidth="1"/>
    <col min="22" max="22" width="16" customWidth="1"/>
    <col min="23" max="23" width="18.28515625" hidden="1" customWidth="1"/>
    <col min="24" max="24" width="14.28515625" hidden="1" customWidth="1"/>
  </cols>
  <sheetData>
    <row r="1" spans="2:24" x14ac:dyDescent="0.25">
      <c r="K1"/>
    </row>
    <row r="2" spans="2:24" x14ac:dyDescent="0.25">
      <c r="K2"/>
    </row>
    <row r="3" spans="2:24" x14ac:dyDescent="0.25">
      <c r="B3" s="82" t="s">
        <v>113</v>
      </c>
      <c r="C3" s="82"/>
      <c r="D3" s="82"/>
      <c r="E3" s="82"/>
      <c r="F3" s="82"/>
      <c r="G3" s="82"/>
      <c r="H3" s="82"/>
      <c r="I3" s="82"/>
      <c r="J3" s="82"/>
      <c r="K3" s="82"/>
      <c r="L3" s="82"/>
      <c r="M3" s="82"/>
      <c r="N3" s="82"/>
      <c r="O3" s="82"/>
      <c r="P3" s="82"/>
      <c r="Q3" s="82"/>
      <c r="R3" s="82"/>
      <c r="S3" s="82"/>
      <c r="T3" s="82"/>
      <c r="U3" s="82"/>
      <c r="V3" s="82"/>
    </row>
    <row r="4" spans="2:24" ht="68.25" customHeight="1" x14ac:dyDescent="0.25">
      <c r="B4" s="13" t="s">
        <v>6</v>
      </c>
      <c r="C4" s="13" t="s">
        <v>7</v>
      </c>
      <c r="D4" s="14" t="s">
        <v>8</v>
      </c>
      <c r="E4" s="13" t="s">
        <v>9</v>
      </c>
      <c r="F4" s="13" t="s">
        <v>10</v>
      </c>
      <c r="G4" s="13" t="s">
        <v>27</v>
      </c>
      <c r="H4" s="13" t="s">
        <v>26</v>
      </c>
      <c r="I4" s="13" t="s">
        <v>25</v>
      </c>
      <c r="J4" s="13" t="s">
        <v>11</v>
      </c>
      <c r="K4" s="13" t="s">
        <v>12</v>
      </c>
      <c r="L4" s="13" t="s">
        <v>24</v>
      </c>
      <c r="M4" s="13" t="s">
        <v>23</v>
      </c>
      <c r="N4" s="13" t="s">
        <v>13</v>
      </c>
      <c r="O4" s="13" t="s">
        <v>14</v>
      </c>
      <c r="P4" s="13" t="s">
        <v>22</v>
      </c>
      <c r="Q4" s="13" t="s">
        <v>21</v>
      </c>
      <c r="R4" s="13" t="s">
        <v>20</v>
      </c>
      <c r="S4" s="13" t="s">
        <v>19</v>
      </c>
      <c r="T4" s="13" t="s">
        <v>18</v>
      </c>
      <c r="U4" s="13" t="s">
        <v>16</v>
      </c>
      <c r="V4" s="13" t="s">
        <v>17</v>
      </c>
      <c r="W4" s="57" t="s">
        <v>97</v>
      </c>
      <c r="X4" s="57" t="s">
        <v>98</v>
      </c>
    </row>
    <row r="5" spans="2:24" x14ac:dyDescent="0.25">
      <c r="B5" s="73" t="s">
        <v>95</v>
      </c>
      <c r="C5" s="74"/>
      <c r="D5" s="74"/>
      <c r="E5" s="74"/>
      <c r="F5" s="74"/>
      <c r="G5" s="74"/>
      <c r="H5" s="74"/>
      <c r="I5" s="74"/>
      <c r="J5" s="74"/>
      <c r="K5" s="74"/>
      <c r="L5" s="74"/>
      <c r="M5" s="74"/>
      <c r="N5" s="74"/>
      <c r="O5" s="74"/>
      <c r="P5" s="74"/>
      <c r="Q5" s="74"/>
      <c r="R5" s="74"/>
      <c r="S5" s="74"/>
      <c r="T5" s="74"/>
      <c r="U5" s="74"/>
      <c r="V5" s="75"/>
    </row>
    <row r="6" spans="2:24" x14ac:dyDescent="0.25">
      <c r="B6" s="23">
        <v>1</v>
      </c>
      <c r="C6" s="7"/>
      <c r="D6" s="16" t="s">
        <v>28</v>
      </c>
      <c r="E6" s="7" t="s">
        <v>5</v>
      </c>
      <c r="F6" s="7" t="s">
        <v>15</v>
      </c>
      <c r="G6" s="17">
        <f>(148.8+168)*139</f>
        <v>44035.200000000004</v>
      </c>
      <c r="H6" s="2">
        <f>G6*10.764</f>
        <v>473994.89280000003</v>
      </c>
      <c r="I6" s="66"/>
      <c r="J6" s="7">
        <v>2007</v>
      </c>
      <c r="K6" s="19">
        <v>2022</v>
      </c>
      <c r="L6" s="4">
        <f>K6-J6</f>
        <v>15</v>
      </c>
      <c r="M6" s="18">
        <v>60</v>
      </c>
      <c r="N6" s="4">
        <v>0.05</v>
      </c>
      <c r="O6" s="20">
        <f>(1-N6)/M6</f>
        <v>1.5833333333333331E-2</v>
      </c>
      <c r="P6" s="5">
        <v>50</v>
      </c>
      <c r="Q6" s="5">
        <f>P6*10.7639</f>
        <v>538.19499999999994</v>
      </c>
      <c r="R6" s="6">
        <f t="shared" ref="R6:R11" si="0">Q6*G6</f>
        <v>23699524.463999998</v>
      </c>
      <c r="S6" s="6">
        <f>R6*O6*L6</f>
        <v>5628637.0601999983</v>
      </c>
      <c r="T6" s="6">
        <f>MAX(R6-S6,0)</f>
        <v>18070887.4038</v>
      </c>
      <c r="U6" s="4">
        <v>0</v>
      </c>
      <c r="V6" s="6">
        <f>IF(T6&gt;N6*R6,T6*(1+U6),R6*N6)</f>
        <v>18070887.4038</v>
      </c>
    </row>
    <row r="7" spans="2:24" ht="30" x14ac:dyDescent="0.25">
      <c r="B7" s="23">
        <v>2</v>
      </c>
      <c r="C7" s="7"/>
      <c r="D7" s="16" t="s">
        <v>29</v>
      </c>
      <c r="E7" s="7" t="s">
        <v>81</v>
      </c>
      <c r="F7" s="7" t="s">
        <v>15</v>
      </c>
      <c r="G7" s="17">
        <f>3.5*3.5*9</f>
        <v>110.25</v>
      </c>
      <c r="H7" s="2">
        <f t="shared" ref="H7:H58" si="1">G7*10.764</f>
        <v>1186.731</v>
      </c>
      <c r="I7" s="66">
        <v>9.84</v>
      </c>
      <c r="J7" s="7">
        <v>2007</v>
      </c>
      <c r="K7" s="19">
        <v>2022</v>
      </c>
      <c r="L7" s="4">
        <f t="shared" ref="L7:L58" si="2">K7-J7</f>
        <v>15</v>
      </c>
      <c r="M7" s="18">
        <v>60</v>
      </c>
      <c r="N7" s="4">
        <v>0.05</v>
      </c>
      <c r="O7" s="20">
        <f>(1-N7)/M7</f>
        <v>1.5833333333333331E-2</v>
      </c>
      <c r="P7" s="5">
        <v>1500</v>
      </c>
      <c r="Q7" s="5">
        <f>P7*10.7639</f>
        <v>16145.849999999999</v>
      </c>
      <c r="R7" s="6">
        <f t="shared" si="0"/>
        <v>1780079.9624999999</v>
      </c>
      <c r="S7" s="6">
        <f>R7*O7*L7</f>
        <v>422768.99109374994</v>
      </c>
      <c r="T7" s="6">
        <f>MAX(R7-S7,0)</f>
        <v>1357310.97140625</v>
      </c>
      <c r="U7" s="4">
        <v>0</v>
      </c>
      <c r="V7" s="6">
        <f>IF(T7&gt;N7*R7,T7*(1+U7),R7*N7)</f>
        <v>1357310.97140625</v>
      </c>
    </row>
    <row r="8" spans="2:24" ht="30" x14ac:dyDescent="0.25">
      <c r="B8" s="23">
        <v>3</v>
      </c>
      <c r="C8" s="7"/>
      <c r="D8" s="16" t="s">
        <v>30</v>
      </c>
      <c r="E8" s="7" t="s">
        <v>81</v>
      </c>
      <c r="F8" s="7" t="s">
        <v>15</v>
      </c>
      <c r="G8" s="17">
        <f>124*27</f>
        <v>3348</v>
      </c>
      <c r="H8" s="2">
        <f t="shared" si="1"/>
        <v>36037.871999999996</v>
      </c>
      <c r="I8" s="66">
        <v>62.33</v>
      </c>
      <c r="J8" s="7">
        <v>2007</v>
      </c>
      <c r="K8" s="19">
        <v>2022</v>
      </c>
      <c r="L8" s="4">
        <f t="shared" si="2"/>
        <v>15</v>
      </c>
      <c r="M8" s="18">
        <v>60</v>
      </c>
      <c r="N8" s="4">
        <v>0.05</v>
      </c>
      <c r="O8" s="20">
        <f>(1-N8)/M8</f>
        <v>1.5833333333333331E-2</v>
      </c>
      <c r="P8" s="5">
        <v>1500</v>
      </c>
      <c r="Q8" s="5">
        <f>P8*10.7639</f>
        <v>16145.849999999999</v>
      </c>
      <c r="R8" s="6">
        <f t="shared" si="0"/>
        <v>54056305.799999997</v>
      </c>
      <c r="S8" s="6">
        <f>R8*O8*L8</f>
        <v>12838372.627499998</v>
      </c>
      <c r="T8" s="6">
        <f>MAX(R8-S8,0)</f>
        <v>41217933.172499999</v>
      </c>
      <c r="U8" s="4">
        <v>0</v>
      </c>
      <c r="V8" s="6">
        <f>IF(T8&gt;N8*R8,T8*(1+U8),R8*N8)</f>
        <v>41217933.172499999</v>
      </c>
    </row>
    <row r="9" spans="2:24" ht="30" x14ac:dyDescent="0.25">
      <c r="B9" s="23">
        <v>4</v>
      </c>
      <c r="C9" s="7">
        <v>2</v>
      </c>
      <c r="D9" s="16" t="s">
        <v>31</v>
      </c>
      <c r="E9" s="7" t="s">
        <v>81</v>
      </c>
      <c r="F9" s="7" t="s">
        <v>15</v>
      </c>
      <c r="G9" s="17">
        <f>8*5*2</f>
        <v>80</v>
      </c>
      <c r="H9" s="2">
        <f t="shared" si="1"/>
        <v>861.11999999999989</v>
      </c>
      <c r="I9" s="66">
        <v>9.84</v>
      </c>
      <c r="J9" s="7">
        <v>2007</v>
      </c>
      <c r="K9" s="19">
        <v>2022</v>
      </c>
      <c r="L9" s="4">
        <f t="shared" si="2"/>
        <v>15</v>
      </c>
      <c r="M9" s="18">
        <v>60</v>
      </c>
      <c r="N9" s="4">
        <v>0.05</v>
      </c>
      <c r="O9" s="20">
        <f t="shared" ref="O9:O37" si="3">(1-N9)/M9</f>
        <v>1.5833333333333331E-2</v>
      </c>
      <c r="P9" s="5">
        <v>1500</v>
      </c>
      <c r="Q9" s="5">
        <f t="shared" ref="Q9:Q19" si="4">P9*10.7639</f>
        <v>16145.849999999999</v>
      </c>
      <c r="R9" s="6">
        <f t="shared" si="0"/>
        <v>1291668</v>
      </c>
      <c r="S9" s="6">
        <f t="shared" ref="S9:S19" si="5">R9*O9*L9</f>
        <v>306771.14999999997</v>
      </c>
      <c r="T9" s="6">
        <f t="shared" ref="T9:T19" si="6">MAX(R9-S9,0)</f>
        <v>984896.85000000009</v>
      </c>
      <c r="U9" s="4">
        <v>0</v>
      </c>
      <c r="V9" s="6">
        <f>IF(T9&gt;N9*R9,T9*(1+U9),R9*N9)</f>
        <v>984896.85000000009</v>
      </c>
    </row>
    <row r="10" spans="2:24" ht="30" x14ac:dyDescent="0.25">
      <c r="B10" s="23">
        <v>5</v>
      </c>
      <c r="C10" s="7"/>
      <c r="D10" s="16" t="s">
        <v>32</v>
      </c>
      <c r="E10" s="7" t="s">
        <v>82</v>
      </c>
      <c r="F10" s="7" t="s">
        <v>15</v>
      </c>
      <c r="G10" s="17">
        <f>36*27</f>
        <v>972</v>
      </c>
      <c r="H10" s="2">
        <f t="shared" si="1"/>
        <v>10462.608</v>
      </c>
      <c r="I10" s="66">
        <v>62.33</v>
      </c>
      <c r="J10" s="7">
        <v>2007</v>
      </c>
      <c r="K10" s="19">
        <v>2022</v>
      </c>
      <c r="L10" s="4">
        <f t="shared" si="2"/>
        <v>15</v>
      </c>
      <c r="M10" s="18">
        <v>40</v>
      </c>
      <c r="N10" s="4">
        <v>0.05</v>
      </c>
      <c r="O10" s="20">
        <f t="shared" si="3"/>
        <v>2.375E-2</v>
      </c>
      <c r="P10" s="5">
        <v>700</v>
      </c>
      <c r="Q10" s="5">
        <f t="shared" si="4"/>
        <v>7534.73</v>
      </c>
      <c r="R10" s="6">
        <f t="shared" si="0"/>
        <v>7323757.5599999996</v>
      </c>
      <c r="S10" s="6">
        <f t="shared" si="5"/>
        <v>2609088.63075</v>
      </c>
      <c r="T10" s="6">
        <f t="shared" si="6"/>
        <v>4714668.92925</v>
      </c>
      <c r="U10" s="4">
        <v>0</v>
      </c>
      <c r="V10" s="6">
        <f>IF(T10&gt;N10*R10,T10*(1+U10),R10*N10)</f>
        <v>4714668.92925</v>
      </c>
    </row>
    <row r="11" spans="2:24" ht="30" x14ac:dyDescent="0.25">
      <c r="B11" s="23">
        <v>6</v>
      </c>
      <c r="C11" s="7"/>
      <c r="D11" s="16" t="s">
        <v>33</v>
      </c>
      <c r="E11" s="7" t="s">
        <v>81</v>
      </c>
      <c r="F11" s="7" t="s">
        <v>15</v>
      </c>
      <c r="G11" s="17">
        <f>52*65</f>
        <v>3380</v>
      </c>
      <c r="H11" s="2">
        <f t="shared" si="1"/>
        <v>36382.32</v>
      </c>
      <c r="I11" s="67">
        <v>62.33</v>
      </c>
      <c r="J11" s="7">
        <v>2007</v>
      </c>
      <c r="K11" s="19">
        <v>2022</v>
      </c>
      <c r="L11" s="4">
        <f t="shared" si="2"/>
        <v>15</v>
      </c>
      <c r="M11" s="18">
        <v>60</v>
      </c>
      <c r="N11" s="4">
        <v>0.05</v>
      </c>
      <c r="O11" s="20">
        <f t="shared" si="3"/>
        <v>1.5833333333333331E-2</v>
      </c>
      <c r="P11" s="5">
        <v>1500</v>
      </c>
      <c r="Q11" s="21">
        <f t="shared" si="4"/>
        <v>16145.849999999999</v>
      </c>
      <c r="R11" s="12">
        <f t="shared" si="0"/>
        <v>54572972.999999993</v>
      </c>
      <c r="S11" s="12">
        <f t="shared" si="5"/>
        <v>12961081.087499997</v>
      </c>
      <c r="T11" s="12">
        <f t="shared" si="6"/>
        <v>41611891.912499994</v>
      </c>
      <c r="U11" s="4">
        <v>0</v>
      </c>
      <c r="V11" s="6">
        <f>IF(T11&gt;N11*R11,T11*(1+U11),R11*N11)</f>
        <v>41611891.912499994</v>
      </c>
    </row>
    <row r="12" spans="2:24" ht="30" x14ac:dyDescent="0.25">
      <c r="B12" s="23">
        <v>7</v>
      </c>
      <c r="C12" s="7"/>
      <c r="D12" s="16" t="s">
        <v>34</v>
      </c>
      <c r="E12" s="7" t="s">
        <v>82</v>
      </c>
      <c r="F12" s="7" t="s">
        <v>15</v>
      </c>
      <c r="G12" s="17">
        <f>80.8*68.25</f>
        <v>5514.5999999999995</v>
      </c>
      <c r="H12" s="2">
        <f t="shared" si="1"/>
        <v>59359.154399999992</v>
      </c>
      <c r="I12" s="67">
        <v>82</v>
      </c>
      <c r="J12" s="7">
        <v>2007</v>
      </c>
      <c r="K12" s="19">
        <v>2022</v>
      </c>
      <c r="L12" s="4">
        <f>K12-J12</f>
        <v>15</v>
      </c>
      <c r="M12" s="18">
        <v>40</v>
      </c>
      <c r="N12" s="4">
        <v>0.05</v>
      </c>
      <c r="O12" s="20">
        <f t="shared" si="3"/>
        <v>2.375E-2</v>
      </c>
      <c r="P12" s="5">
        <v>700</v>
      </c>
      <c r="Q12" s="21">
        <f t="shared" si="4"/>
        <v>7534.73</v>
      </c>
      <c r="R12" s="12">
        <f t="shared" ref="R12:R13" si="7">Q12*G12</f>
        <v>41551022.057999991</v>
      </c>
      <c r="S12" s="12">
        <f t="shared" si="5"/>
        <v>14802551.608162496</v>
      </c>
      <c r="T12" s="12">
        <f t="shared" si="6"/>
        <v>26748470.449837495</v>
      </c>
      <c r="U12" s="4">
        <v>0</v>
      </c>
      <c r="V12" s="12">
        <f>IF(T12&gt;N12*R12,T12*(1+U12),R12*N12)</f>
        <v>26748470.449837495</v>
      </c>
    </row>
    <row r="13" spans="2:24" ht="30" x14ac:dyDescent="0.25">
      <c r="B13" s="23">
        <v>8</v>
      </c>
      <c r="C13" s="7"/>
      <c r="D13" s="16" t="s">
        <v>35</v>
      </c>
      <c r="E13" s="7" t="s">
        <v>82</v>
      </c>
      <c r="F13" s="7" t="s">
        <v>15</v>
      </c>
      <c r="G13" s="17">
        <f>78*73</f>
        <v>5694</v>
      </c>
      <c r="H13" s="2">
        <f t="shared" si="1"/>
        <v>61290.215999999993</v>
      </c>
      <c r="I13" s="66">
        <v>98.42</v>
      </c>
      <c r="J13" s="7">
        <v>2007</v>
      </c>
      <c r="K13" s="19">
        <v>2022</v>
      </c>
      <c r="L13" s="4">
        <f t="shared" si="2"/>
        <v>15</v>
      </c>
      <c r="M13" s="18">
        <v>40</v>
      </c>
      <c r="N13" s="4">
        <v>0.05</v>
      </c>
      <c r="O13" s="20">
        <f t="shared" si="3"/>
        <v>2.375E-2</v>
      </c>
      <c r="P13" s="5">
        <v>700</v>
      </c>
      <c r="Q13" s="21">
        <f t="shared" si="4"/>
        <v>7534.73</v>
      </c>
      <c r="R13" s="12">
        <f t="shared" si="7"/>
        <v>42902752.619999997</v>
      </c>
      <c r="S13" s="12">
        <f t="shared" si="5"/>
        <v>15284105.620875001</v>
      </c>
      <c r="T13" s="12">
        <f t="shared" si="6"/>
        <v>27618646.999124996</v>
      </c>
      <c r="U13" s="4">
        <v>0</v>
      </c>
      <c r="V13" s="12">
        <f>IF(T13&gt;N13*R13,T13*(1+U13),R13*N13)</f>
        <v>27618646.999124996</v>
      </c>
    </row>
    <row r="14" spans="2:24" ht="30" x14ac:dyDescent="0.25">
      <c r="B14" s="23">
        <v>9</v>
      </c>
      <c r="C14" s="7"/>
      <c r="D14" s="16" t="s">
        <v>36</v>
      </c>
      <c r="E14" s="7" t="s">
        <v>82</v>
      </c>
      <c r="F14" s="7" t="s">
        <v>15</v>
      </c>
      <c r="G14" s="17">
        <f>15*40</f>
        <v>600</v>
      </c>
      <c r="H14" s="2">
        <f t="shared" si="1"/>
        <v>6458.4</v>
      </c>
      <c r="I14" s="67">
        <v>26.2</v>
      </c>
      <c r="J14" s="7">
        <v>2007</v>
      </c>
      <c r="K14" s="19">
        <v>2022</v>
      </c>
      <c r="L14" s="4">
        <f t="shared" si="2"/>
        <v>15</v>
      </c>
      <c r="M14" s="18">
        <v>40</v>
      </c>
      <c r="N14" s="4">
        <v>0.05</v>
      </c>
      <c r="O14" s="20">
        <f t="shared" si="3"/>
        <v>2.375E-2</v>
      </c>
      <c r="P14" s="5">
        <v>700</v>
      </c>
      <c r="Q14" s="5">
        <f t="shared" si="4"/>
        <v>7534.73</v>
      </c>
      <c r="R14" s="6">
        <f t="shared" ref="R14:R38" si="8">Q14*G14</f>
        <v>4520838</v>
      </c>
      <c r="S14" s="6">
        <f t="shared" si="5"/>
        <v>1610548.5374999999</v>
      </c>
      <c r="T14" s="6">
        <f t="shared" si="6"/>
        <v>2910289.4625000004</v>
      </c>
      <c r="U14" s="4">
        <v>0</v>
      </c>
      <c r="V14" s="6">
        <f>IF(T14&gt;N14*R14,T14*(1+U14),R14*N14)</f>
        <v>2910289.4625000004</v>
      </c>
    </row>
    <row r="15" spans="2:24" ht="30" x14ac:dyDescent="0.25">
      <c r="B15" s="23">
        <v>10</v>
      </c>
      <c r="C15" s="7"/>
      <c r="D15" s="16" t="s">
        <v>37</v>
      </c>
      <c r="E15" s="7" t="s">
        <v>82</v>
      </c>
      <c r="F15" s="7" t="s">
        <v>15</v>
      </c>
      <c r="G15" s="17">
        <f>16.5*12</f>
        <v>198</v>
      </c>
      <c r="H15" s="2">
        <f t="shared" si="1"/>
        <v>2131.2719999999999</v>
      </c>
      <c r="I15" s="66">
        <v>15.74</v>
      </c>
      <c r="J15" s="7">
        <v>2007</v>
      </c>
      <c r="K15" s="19">
        <v>2022</v>
      </c>
      <c r="L15" s="4">
        <f t="shared" si="2"/>
        <v>15</v>
      </c>
      <c r="M15" s="18">
        <v>40</v>
      </c>
      <c r="N15" s="4">
        <v>0.05</v>
      </c>
      <c r="O15" s="20">
        <f t="shared" si="3"/>
        <v>2.375E-2</v>
      </c>
      <c r="P15" s="5">
        <v>700</v>
      </c>
      <c r="Q15" s="5">
        <f t="shared" si="4"/>
        <v>7534.73</v>
      </c>
      <c r="R15" s="6">
        <f t="shared" si="8"/>
        <v>1491876.5399999998</v>
      </c>
      <c r="S15" s="6">
        <f t="shared" si="5"/>
        <v>531481.01737499994</v>
      </c>
      <c r="T15" s="6">
        <f t="shared" si="6"/>
        <v>960395.52262499987</v>
      </c>
      <c r="U15" s="4">
        <v>0</v>
      </c>
      <c r="V15" s="6">
        <f>IF(T15&gt;N15*R15,T15*(1+U15),R15*N15)</f>
        <v>960395.52262499987</v>
      </c>
    </row>
    <row r="16" spans="2:24" ht="30" x14ac:dyDescent="0.25">
      <c r="B16" s="23">
        <v>11</v>
      </c>
      <c r="C16" s="7"/>
      <c r="D16" s="16" t="s">
        <v>38</v>
      </c>
      <c r="E16" s="7" t="s">
        <v>82</v>
      </c>
      <c r="F16" s="7" t="s">
        <v>15</v>
      </c>
      <c r="G16" s="17">
        <f>11.4*20</f>
        <v>228</v>
      </c>
      <c r="H16" s="2">
        <f t="shared" si="1"/>
        <v>2454.192</v>
      </c>
      <c r="I16" s="67">
        <v>16.399999999999999</v>
      </c>
      <c r="J16" s="7">
        <v>2007</v>
      </c>
      <c r="K16" s="19">
        <v>2022</v>
      </c>
      <c r="L16" s="4">
        <f t="shared" si="2"/>
        <v>15</v>
      </c>
      <c r="M16" s="18">
        <v>40</v>
      </c>
      <c r="N16" s="4">
        <v>0.05</v>
      </c>
      <c r="O16" s="20">
        <f t="shared" si="3"/>
        <v>2.375E-2</v>
      </c>
      <c r="P16" s="5">
        <v>700</v>
      </c>
      <c r="Q16" s="5">
        <f t="shared" si="4"/>
        <v>7534.73</v>
      </c>
      <c r="R16" s="6">
        <f t="shared" si="8"/>
        <v>1717918.44</v>
      </c>
      <c r="S16" s="6">
        <f t="shared" si="5"/>
        <v>612008.44424999994</v>
      </c>
      <c r="T16" s="6">
        <f t="shared" si="6"/>
        <v>1105909.99575</v>
      </c>
      <c r="U16" s="4">
        <v>0</v>
      </c>
      <c r="V16" s="6">
        <f>IF(T16&gt;N16*R16,T16*(1+U16),R16*N16)</f>
        <v>1105909.99575</v>
      </c>
    </row>
    <row r="17" spans="2:24" ht="30" x14ac:dyDescent="0.25">
      <c r="B17" s="23">
        <v>12</v>
      </c>
      <c r="C17" s="7"/>
      <c r="D17" s="16" t="s">
        <v>39</v>
      </c>
      <c r="E17" s="7" t="s">
        <v>81</v>
      </c>
      <c r="F17" s="7" t="s">
        <v>15</v>
      </c>
      <c r="G17" s="17">
        <v>65</v>
      </c>
      <c r="H17" s="2">
        <f t="shared" si="1"/>
        <v>699.66</v>
      </c>
      <c r="I17" s="66">
        <v>213.25</v>
      </c>
      <c r="J17" s="7">
        <v>2007</v>
      </c>
      <c r="K17" s="19">
        <v>2022</v>
      </c>
      <c r="L17" s="4">
        <f t="shared" si="2"/>
        <v>15</v>
      </c>
      <c r="M17" s="18">
        <v>60</v>
      </c>
      <c r="N17" s="4">
        <v>0.05</v>
      </c>
      <c r="O17" s="20">
        <f t="shared" si="3"/>
        <v>1.5833333333333331E-2</v>
      </c>
      <c r="P17" s="5">
        <v>0</v>
      </c>
      <c r="Q17" s="5">
        <f t="shared" si="4"/>
        <v>0</v>
      </c>
      <c r="R17" s="6">
        <f t="shared" si="8"/>
        <v>0</v>
      </c>
      <c r="S17" s="6">
        <f t="shared" si="5"/>
        <v>0</v>
      </c>
      <c r="T17" s="6">
        <f t="shared" si="6"/>
        <v>0</v>
      </c>
      <c r="U17" s="4">
        <v>0</v>
      </c>
      <c r="V17" s="6">
        <f>IF(T17&gt;N17*R17,T17*(1+U17),R17*N17)</f>
        <v>0</v>
      </c>
    </row>
    <row r="18" spans="2:24" ht="30" x14ac:dyDescent="0.25">
      <c r="B18" s="23">
        <v>13</v>
      </c>
      <c r="C18" s="7"/>
      <c r="D18" s="16" t="s">
        <v>40</v>
      </c>
      <c r="E18" s="7" t="s">
        <v>81</v>
      </c>
      <c r="F18" s="7" t="s">
        <v>15</v>
      </c>
      <c r="G18" s="17">
        <f>15*4</f>
        <v>60</v>
      </c>
      <c r="H18" s="2">
        <f t="shared" si="1"/>
        <v>645.83999999999992</v>
      </c>
      <c r="I18" s="68"/>
      <c r="J18" s="7">
        <v>2007</v>
      </c>
      <c r="K18" s="19">
        <v>2022</v>
      </c>
      <c r="L18" s="4">
        <f t="shared" si="2"/>
        <v>15</v>
      </c>
      <c r="M18" s="18">
        <v>60</v>
      </c>
      <c r="N18" s="4">
        <v>0.05</v>
      </c>
      <c r="O18" s="20">
        <f t="shared" si="3"/>
        <v>1.5833333333333331E-2</v>
      </c>
      <c r="P18" s="5">
        <v>1500</v>
      </c>
      <c r="Q18" s="5">
        <f t="shared" si="4"/>
        <v>16145.849999999999</v>
      </c>
      <c r="R18" s="6">
        <f t="shared" si="8"/>
        <v>968750.99999999988</v>
      </c>
      <c r="S18" s="6">
        <f t="shared" si="5"/>
        <v>230078.36249999993</v>
      </c>
      <c r="T18" s="6">
        <f t="shared" si="6"/>
        <v>738672.63749999995</v>
      </c>
      <c r="U18" s="4">
        <v>0</v>
      </c>
      <c r="V18" s="6">
        <f>IF(T18&gt;N18*R18,T18*(1+U18),R18*N18)</f>
        <v>738672.63749999995</v>
      </c>
    </row>
    <row r="19" spans="2:24" ht="30" x14ac:dyDescent="0.25">
      <c r="B19" s="23">
        <v>14</v>
      </c>
      <c r="C19" s="7"/>
      <c r="D19" s="16" t="s">
        <v>41</v>
      </c>
      <c r="E19" s="7" t="s">
        <v>81</v>
      </c>
      <c r="F19" s="7" t="s">
        <v>15</v>
      </c>
      <c r="G19" s="17">
        <f>3.5*3.5*6</f>
        <v>73.5</v>
      </c>
      <c r="H19" s="2">
        <f t="shared" si="1"/>
        <v>791.154</v>
      </c>
      <c r="I19" s="66">
        <v>9.84</v>
      </c>
      <c r="J19" s="7">
        <v>2007</v>
      </c>
      <c r="K19" s="19">
        <v>2022</v>
      </c>
      <c r="L19" s="4">
        <f t="shared" si="2"/>
        <v>15</v>
      </c>
      <c r="M19" s="18">
        <v>60</v>
      </c>
      <c r="N19" s="4">
        <v>0.05</v>
      </c>
      <c r="O19" s="20">
        <f t="shared" si="3"/>
        <v>1.5833333333333331E-2</v>
      </c>
      <c r="P19" s="5">
        <v>1500</v>
      </c>
      <c r="Q19" s="5">
        <f t="shared" si="4"/>
        <v>16145.849999999999</v>
      </c>
      <c r="R19" s="6">
        <f t="shared" si="8"/>
        <v>1186719.9749999999</v>
      </c>
      <c r="S19" s="6">
        <f t="shared" si="5"/>
        <v>281845.9940624999</v>
      </c>
      <c r="T19" s="6">
        <f t="shared" si="6"/>
        <v>904873.98093750002</v>
      </c>
      <c r="U19" s="4">
        <v>0</v>
      </c>
      <c r="V19" s="6">
        <f>IF(T19&gt;N19*R19,T19*(1+U19),R19*N19)</f>
        <v>904873.98093750002</v>
      </c>
    </row>
    <row r="20" spans="2:24" ht="30" x14ac:dyDescent="0.25">
      <c r="B20" s="23">
        <v>15</v>
      </c>
      <c r="C20" s="7"/>
      <c r="D20" s="16" t="s">
        <v>42</v>
      </c>
      <c r="E20" s="7" t="s">
        <v>81</v>
      </c>
      <c r="F20" s="7" t="s">
        <v>15</v>
      </c>
      <c r="G20" s="17">
        <f>3*3*5</f>
        <v>45</v>
      </c>
      <c r="H20" s="2">
        <f t="shared" si="1"/>
        <v>484.38</v>
      </c>
      <c r="I20" s="66">
        <v>9.84</v>
      </c>
      <c r="J20" s="7">
        <v>2007</v>
      </c>
      <c r="K20" s="19">
        <v>2022</v>
      </c>
      <c r="L20" s="4">
        <f t="shared" si="2"/>
        <v>15</v>
      </c>
      <c r="M20" s="18">
        <v>60</v>
      </c>
      <c r="N20" s="4">
        <v>0.05</v>
      </c>
      <c r="O20" s="20">
        <f t="shared" si="3"/>
        <v>1.5833333333333331E-2</v>
      </c>
      <c r="P20" s="5">
        <v>1500</v>
      </c>
      <c r="Q20" s="5">
        <f>P20*10.7639</f>
        <v>16145.849999999999</v>
      </c>
      <c r="R20" s="6">
        <f t="shared" si="8"/>
        <v>726563.24999999988</v>
      </c>
      <c r="S20" s="6">
        <f>R20*O20*L20</f>
        <v>172558.77187499995</v>
      </c>
      <c r="T20" s="6">
        <f>MAX(R20-S20,0)</f>
        <v>554004.47812499991</v>
      </c>
      <c r="U20" s="4">
        <v>0</v>
      </c>
      <c r="V20" s="6">
        <f>IF(T20&gt;N20*R20,T20*(1+U20),R20*N20)</f>
        <v>554004.47812499991</v>
      </c>
    </row>
    <row r="21" spans="2:24" ht="30" x14ac:dyDescent="0.25">
      <c r="B21" s="23">
        <v>16</v>
      </c>
      <c r="C21" s="7"/>
      <c r="D21" s="16" t="s">
        <v>43</v>
      </c>
      <c r="E21" s="7" t="s">
        <v>82</v>
      </c>
      <c r="F21" s="7" t="s">
        <v>15</v>
      </c>
      <c r="G21" s="17">
        <f>16.5*6</f>
        <v>99</v>
      </c>
      <c r="H21" s="2">
        <f t="shared" si="1"/>
        <v>1065.636</v>
      </c>
      <c r="I21" s="66">
        <v>13.12</v>
      </c>
      <c r="J21" s="7">
        <v>2007</v>
      </c>
      <c r="K21" s="19">
        <v>2022</v>
      </c>
      <c r="L21" s="4">
        <f t="shared" si="2"/>
        <v>15</v>
      </c>
      <c r="M21" s="18">
        <v>40</v>
      </c>
      <c r="N21" s="4">
        <v>0.05</v>
      </c>
      <c r="O21" s="20">
        <f t="shared" si="3"/>
        <v>2.375E-2</v>
      </c>
      <c r="P21" s="5">
        <v>700</v>
      </c>
      <c r="Q21" s="5">
        <f t="shared" ref="Q21:Q58" si="9">P21*10.7639</f>
        <v>7534.73</v>
      </c>
      <c r="R21" s="6">
        <f t="shared" si="8"/>
        <v>745938.2699999999</v>
      </c>
      <c r="S21" s="6">
        <f t="shared" ref="S21:S57" si="10">R21*O21*L21</f>
        <v>265740.50868749997</v>
      </c>
      <c r="T21" s="6">
        <f t="shared" ref="T21:T58" si="11">MAX(R21-S21,0)</f>
        <v>480197.76131249993</v>
      </c>
      <c r="U21" s="4">
        <v>0</v>
      </c>
      <c r="V21" s="6">
        <f>IF(T21&gt;N21*R21,T21*(1+U21),R21*N21)</f>
        <v>480197.76131249993</v>
      </c>
    </row>
    <row r="22" spans="2:24" ht="30" x14ac:dyDescent="0.25">
      <c r="B22" s="23">
        <v>17</v>
      </c>
      <c r="C22" s="7"/>
      <c r="D22" s="16" t="s">
        <v>44</v>
      </c>
      <c r="E22" s="7" t="s">
        <v>82</v>
      </c>
      <c r="F22" s="7" t="s">
        <v>15</v>
      </c>
      <c r="G22" s="17">
        <f>99</f>
        <v>99</v>
      </c>
      <c r="H22" s="2">
        <f t="shared" si="1"/>
        <v>1065.636</v>
      </c>
      <c r="I22" s="66">
        <v>13.12</v>
      </c>
      <c r="J22" s="7">
        <v>2007</v>
      </c>
      <c r="K22" s="19">
        <v>2022</v>
      </c>
      <c r="L22" s="4">
        <f t="shared" si="2"/>
        <v>15</v>
      </c>
      <c r="M22" s="18">
        <v>40</v>
      </c>
      <c r="N22" s="4">
        <v>0.05</v>
      </c>
      <c r="O22" s="20">
        <f t="shared" si="3"/>
        <v>2.375E-2</v>
      </c>
      <c r="P22" s="5">
        <v>700</v>
      </c>
      <c r="Q22" s="5">
        <f t="shared" si="9"/>
        <v>7534.73</v>
      </c>
      <c r="R22" s="6">
        <f t="shared" si="8"/>
        <v>745938.2699999999</v>
      </c>
      <c r="S22" s="6">
        <f t="shared" si="10"/>
        <v>265740.50868749997</v>
      </c>
      <c r="T22" s="6">
        <f t="shared" si="11"/>
        <v>480197.76131249993</v>
      </c>
      <c r="U22" s="4">
        <v>0</v>
      </c>
      <c r="V22" s="6">
        <f>IF(T22&gt;N22*R22,T22*(1+U22),R22*N22)</f>
        <v>480197.76131249993</v>
      </c>
    </row>
    <row r="23" spans="2:24" ht="30" x14ac:dyDescent="0.25">
      <c r="B23" s="23">
        <v>18</v>
      </c>
      <c r="C23" s="7"/>
      <c r="D23" s="16" t="s">
        <v>45</v>
      </c>
      <c r="E23" s="7" t="s">
        <v>81</v>
      </c>
      <c r="F23" s="7" t="s">
        <v>15</v>
      </c>
      <c r="G23" s="17">
        <v>1237</v>
      </c>
      <c r="H23" s="2">
        <f t="shared" si="1"/>
        <v>13315.067999999999</v>
      </c>
      <c r="I23" s="66">
        <v>13.12</v>
      </c>
      <c r="J23" s="7">
        <v>2007</v>
      </c>
      <c r="K23" s="19">
        <v>2022</v>
      </c>
      <c r="L23" s="4">
        <f t="shared" si="2"/>
        <v>15</v>
      </c>
      <c r="M23" s="18">
        <v>60</v>
      </c>
      <c r="N23" s="4">
        <v>0.05</v>
      </c>
      <c r="O23" s="20">
        <f t="shared" si="3"/>
        <v>1.5833333333333331E-2</v>
      </c>
      <c r="P23" s="5">
        <v>1500</v>
      </c>
      <c r="Q23" s="5">
        <f t="shared" si="9"/>
        <v>16145.849999999999</v>
      </c>
      <c r="R23" s="6">
        <f t="shared" si="8"/>
        <v>19972416.449999999</v>
      </c>
      <c r="S23" s="6">
        <f t="shared" si="10"/>
        <v>4743448.9068749994</v>
      </c>
      <c r="T23" s="6">
        <f t="shared" si="11"/>
        <v>15228967.543125</v>
      </c>
      <c r="U23" s="4">
        <v>0</v>
      </c>
      <c r="V23" s="6">
        <f>IF(T23&gt;N23*R23,T23*(1+U23),R23*N23)</f>
        <v>15228967.543125</v>
      </c>
    </row>
    <row r="24" spans="2:24" ht="30" x14ac:dyDescent="0.25">
      <c r="B24" s="23">
        <v>19</v>
      </c>
      <c r="C24" s="7"/>
      <c r="D24" s="16" t="s">
        <v>46</v>
      </c>
      <c r="E24" s="7" t="s">
        <v>81</v>
      </c>
      <c r="F24" s="7" t="s">
        <v>15</v>
      </c>
      <c r="G24" s="17">
        <v>500</v>
      </c>
      <c r="H24" s="2">
        <f t="shared" si="1"/>
        <v>5382</v>
      </c>
      <c r="I24" s="66">
        <v>26.24</v>
      </c>
      <c r="J24" s="7">
        <v>2007</v>
      </c>
      <c r="K24" s="19">
        <v>2022</v>
      </c>
      <c r="L24" s="4">
        <f t="shared" si="2"/>
        <v>15</v>
      </c>
      <c r="M24" s="18">
        <v>60</v>
      </c>
      <c r="N24" s="4">
        <v>0.05</v>
      </c>
      <c r="O24" s="20">
        <f t="shared" si="3"/>
        <v>1.5833333333333331E-2</v>
      </c>
      <c r="P24" s="5">
        <v>1500</v>
      </c>
      <c r="Q24" s="5">
        <f t="shared" si="9"/>
        <v>16145.849999999999</v>
      </c>
      <c r="R24" s="6">
        <f t="shared" si="8"/>
        <v>8072924.9999999991</v>
      </c>
      <c r="S24" s="6">
        <f t="shared" si="10"/>
        <v>1917319.6874999995</v>
      </c>
      <c r="T24" s="6">
        <f t="shared" si="11"/>
        <v>6155605.3125</v>
      </c>
      <c r="U24" s="4">
        <v>0</v>
      </c>
      <c r="V24" s="6">
        <f>IF(T24&gt;N24*R24,T24*(1+U24),R24*N24)</f>
        <v>6155605.3125</v>
      </c>
    </row>
    <row r="25" spans="2:24" ht="30" x14ac:dyDescent="0.25">
      <c r="B25" s="23">
        <v>20</v>
      </c>
      <c r="C25" s="7"/>
      <c r="D25" s="16" t="s">
        <v>47</v>
      </c>
      <c r="E25" s="7" t="s">
        <v>81</v>
      </c>
      <c r="F25" s="7" t="s">
        <v>15</v>
      </c>
      <c r="G25" s="17">
        <f>6*15</f>
        <v>90</v>
      </c>
      <c r="H25" s="2">
        <f t="shared" si="1"/>
        <v>968.76</v>
      </c>
      <c r="I25" s="66">
        <v>7.87</v>
      </c>
      <c r="J25" s="7">
        <v>2007</v>
      </c>
      <c r="K25" s="19">
        <v>2022</v>
      </c>
      <c r="L25" s="4">
        <f t="shared" si="2"/>
        <v>15</v>
      </c>
      <c r="M25" s="18">
        <v>60</v>
      </c>
      <c r="N25" s="4">
        <v>0.05</v>
      </c>
      <c r="O25" s="20">
        <f t="shared" si="3"/>
        <v>1.5833333333333331E-2</v>
      </c>
      <c r="P25" s="5">
        <v>1500</v>
      </c>
      <c r="Q25" s="5">
        <f t="shared" si="9"/>
        <v>16145.849999999999</v>
      </c>
      <c r="R25" s="6">
        <f t="shared" si="8"/>
        <v>1453126.4999999998</v>
      </c>
      <c r="S25" s="6">
        <f t="shared" si="10"/>
        <v>345117.5437499999</v>
      </c>
      <c r="T25" s="6">
        <f t="shared" si="11"/>
        <v>1108008.9562499998</v>
      </c>
      <c r="U25" s="4">
        <v>0</v>
      </c>
      <c r="V25" s="6">
        <f>IF(T25&gt;N25*R25,T25*(1+U25),R25*N25)</f>
        <v>1108008.9562499998</v>
      </c>
    </row>
    <row r="26" spans="2:24" ht="30" x14ac:dyDescent="0.25">
      <c r="B26" s="23">
        <v>21</v>
      </c>
      <c r="C26" s="7"/>
      <c r="D26" s="16" t="s">
        <v>48</v>
      </c>
      <c r="E26" s="7" t="s">
        <v>82</v>
      </c>
      <c r="F26" s="7" t="s">
        <v>15</v>
      </c>
      <c r="G26" s="17">
        <f>2*200*50</f>
        <v>20000</v>
      </c>
      <c r="H26" s="2">
        <f t="shared" si="1"/>
        <v>215280</v>
      </c>
      <c r="I26" s="67">
        <v>32.799999999999997</v>
      </c>
      <c r="J26" s="7">
        <v>2007</v>
      </c>
      <c r="K26" s="19">
        <v>2022</v>
      </c>
      <c r="L26" s="4">
        <f t="shared" si="2"/>
        <v>15</v>
      </c>
      <c r="M26" s="18">
        <v>40</v>
      </c>
      <c r="N26" s="4">
        <v>0.05</v>
      </c>
      <c r="O26" s="20">
        <f t="shared" si="3"/>
        <v>2.375E-2</v>
      </c>
      <c r="P26" s="5">
        <v>700</v>
      </c>
      <c r="Q26" s="5">
        <f t="shared" si="9"/>
        <v>7534.73</v>
      </c>
      <c r="R26" s="6">
        <f t="shared" si="8"/>
        <v>150694600</v>
      </c>
      <c r="S26" s="6">
        <f t="shared" si="10"/>
        <v>53684951.25</v>
      </c>
      <c r="T26" s="6">
        <f t="shared" si="11"/>
        <v>97009648.75</v>
      </c>
      <c r="U26" s="4">
        <v>0</v>
      </c>
      <c r="V26" s="6">
        <f>IF(T26&gt;N26*R26,T26*(1+U26),R26*N26)</f>
        <v>97009648.75</v>
      </c>
    </row>
    <row r="27" spans="2:24" ht="30" x14ac:dyDescent="0.25">
      <c r="B27" s="23">
        <v>22</v>
      </c>
      <c r="C27" s="7"/>
      <c r="D27" s="16" t="s">
        <v>49</v>
      </c>
      <c r="E27" s="7" t="s">
        <v>81</v>
      </c>
      <c r="F27" s="7" t="s">
        <v>15</v>
      </c>
      <c r="G27" s="17">
        <v>18</v>
      </c>
      <c r="H27" s="2">
        <f t="shared" si="1"/>
        <v>193.75199999999998</v>
      </c>
      <c r="I27" s="66">
        <v>9.84</v>
      </c>
      <c r="J27" s="7">
        <v>2007</v>
      </c>
      <c r="K27" s="19">
        <v>2022</v>
      </c>
      <c r="L27" s="4">
        <f t="shared" si="2"/>
        <v>15</v>
      </c>
      <c r="M27" s="18">
        <v>60</v>
      </c>
      <c r="N27" s="4">
        <v>0.05</v>
      </c>
      <c r="O27" s="20">
        <f t="shared" si="3"/>
        <v>1.5833333333333331E-2</v>
      </c>
      <c r="P27" s="5">
        <v>1500</v>
      </c>
      <c r="Q27" s="5">
        <f t="shared" si="9"/>
        <v>16145.849999999999</v>
      </c>
      <c r="R27" s="6">
        <f t="shared" si="8"/>
        <v>290625.3</v>
      </c>
      <c r="S27" s="6">
        <f t="shared" si="10"/>
        <v>69023.508749999994</v>
      </c>
      <c r="T27" s="6">
        <f t="shared" si="11"/>
        <v>221601.79125000001</v>
      </c>
      <c r="U27" s="4">
        <v>0</v>
      </c>
      <c r="V27" s="6">
        <f>IF(T27&gt;N27*R27,T27*(1+U27),R27*N27)</f>
        <v>221601.79125000001</v>
      </c>
    </row>
    <row r="28" spans="2:24" ht="30" x14ac:dyDescent="0.25">
      <c r="B28" s="23">
        <v>23</v>
      </c>
      <c r="C28" s="7"/>
      <c r="D28" s="16" t="s">
        <v>50</v>
      </c>
      <c r="E28" s="7" t="s">
        <v>81</v>
      </c>
      <c r="F28" s="7" t="s">
        <v>15</v>
      </c>
      <c r="G28" s="17">
        <f>15*4</f>
        <v>60</v>
      </c>
      <c r="H28" s="2">
        <f t="shared" si="1"/>
        <v>645.83999999999992</v>
      </c>
      <c r="I28" s="66">
        <v>11.81</v>
      </c>
      <c r="J28" s="7">
        <v>2007</v>
      </c>
      <c r="K28" s="19">
        <v>2022</v>
      </c>
      <c r="L28" s="4">
        <f t="shared" si="2"/>
        <v>15</v>
      </c>
      <c r="M28" s="18">
        <v>60</v>
      </c>
      <c r="N28" s="4">
        <v>0.05</v>
      </c>
      <c r="O28" s="20">
        <f t="shared" si="3"/>
        <v>1.5833333333333331E-2</v>
      </c>
      <c r="P28" s="5">
        <v>1500</v>
      </c>
      <c r="Q28" s="5">
        <f t="shared" si="9"/>
        <v>16145.849999999999</v>
      </c>
      <c r="R28" s="6">
        <f t="shared" si="8"/>
        <v>968750.99999999988</v>
      </c>
      <c r="S28" s="6">
        <f t="shared" si="10"/>
        <v>230078.36249999993</v>
      </c>
      <c r="T28" s="6">
        <f t="shared" si="11"/>
        <v>738672.63749999995</v>
      </c>
      <c r="U28" s="4">
        <v>0</v>
      </c>
      <c r="V28" s="6">
        <f>IF(T28&gt;N28*R28,T28*(1+U28),R28*N28)</f>
        <v>738672.63749999995</v>
      </c>
    </row>
    <row r="29" spans="2:24" ht="30" x14ac:dyDescent="0.25">
      <c r="B29" s="23">
        <v>24</v>
      </c>
      <c r="C29" s="7"/>
      <c r="D29" s="16" t="s">
        <v>51</v>
      </c>
      <c r="E29" s="7" t="s">
        <v>81</v>
      </c>
      <c r="F29" s="7" t="s">
        <v>15</v>
      </c>
      <c r="G29" s="17">
        <f>6*9</f>
        <v>54</v>
      </c>
      <c r="H29" s="2">
        <f t="shared" si="1"/>
        <v>581.25599999999997</v>
      </c>
      <c r="I29" s="66">
        <v>9.84</v>
      </c>
      <c r="J29" s="7">
        <v>2007</v>
      </c>
      <c r="K29" s="19">
        <v>2022</v>
      </c>
      <c r="L29" s="4">
        <f t="shared" si="2"/>
        <v>15</v>
      </c>
      <c r="M29" s="18">
        <v>60</v>
      </c>
      <c r="N29" s="4">
        <v>0.05</v>
      </c>
      <c r="O29" s="20">
        <f t="shared" si="3"/>
        <v>1.5833333333333331E-2</v>
      </c>
      <c r="P29" s="5">
        <v>1500</v>
      </c>
      <c r="Q29" s="5">
        <f t="shared" si="9"/>
        <v>16145.849999999999</v>
      </c>
      <c r="R29" s="6">
        <f t="shared" si="8"/>
        <v>871875.89999999991</v>
      </c>
      <c r="S29" s="6">
        <f t="shared" si="10"/>
        <v>207070.52624999994</v>
      </c>
      <c r="T29" s="6">
        <f t="shared" si="11"/>
        <v>664805.37375000003</v>
      </c>
      <c r="U29" s="4">
        <v>0</v>
      </c>
      <c r="V29" s="6">
        <f>IF(T29&gt;N29*R29,T29*(1+U29),R29*N29)</f>
        <v>664805.37375000003</v>
      </c>
    </row>
    <row r="30" spans="2:24" ht="30" x14ac:dyDescent="0.25">
      <c r="B30" s="23">
        <v>25</v>
      </c>
      <c r="C30" s="7"/>
      <c r="D30" s="16" t="s">
        <v>52</v>
      </c>
      <c r="E30" s="7" t="s">
        <v>82</v>
      </c>
      <c r="F30" s="7" t="s">
        <v>15</v>
      </c>
      <c r="G30" s="17">
        <f>(47.5*10.3)/10.76</f>
        <v>45.46933085501859</v>
      </c>
      <c r="H30" s="2">
        <f t="shared" si="1"/>
        <v>489.43187732342005</v>
      </c>
      <c r="I30" s="66">
        <v>9.84</v>
      </c>
      <c r="J30" s="7">
        <v>2007</v>
      </c>
      <c r="K30" s="19">
        <v>2022</v>
      </c>
      <c r="L30" s="4">
        <f t="shared" si="2"/>
        <v>15</v>
      </c>
      <c r="M30" s="18">
        <v>40</v>
      </c>
      <c r="N30" s="4">
        <v>0.05</v>
      </c>
      <c r="O30" s="20">
        <f t="shared" si="3"/>
        <v>2.375E-2</v>
      </c>
      <c r="P30" s="5">
        <v>700</v>
      </c>
      <c r="Q30" s="5">
        <f t="shared" si="9"/>
        <v>7534.73</v>
      </c>
      <c r="R30" s="6">
        <f t="shared" si="8"/>
        <v>342599.1312732342</v>
      </c>
      <c r="S30" s="6">
        <f t="shared" si="10"/>
        <v>122050.94051608969</v>
      </c>
      <c r="T30" s="6">
        <f t="shared" si="11"/>
        <v>220548.19075714453</v>
      </c>
      <c r="U30" s="4">
        <v>0</v>
      </c>
      <c r="V30" s="6">
        <f>IF(T30&gt;N30*R30,T30*(1+U30),R30*N30)</f>
        <v>220548.19075714453</v>
      </c>
      <c r="W30" s="10">
        <f>SUM(V6:V30)</f>
        <v>291807106.84361345</v>
      </c>
      <c r="X30" s="10">
        <f>SUM(R6:R30)</f>
        <v>421949546.49077314</v>
      </c>
    </row>
    <row r="31" spans="2:24" s="1" customFormat="1" x14ac:dyDescent="0.25">
      <c r="B31" s="76" t="s">
        <v>95</v>
      </c>
      <c r="C31" s="77"/>
      <c r="D31" s="77"/>
      <c r="E31" s="77"/>
      <c r="F31" s="77"/>
      <c r="G31" s="77"/>
      <c r="H31" s="77"/>
      <c r="I31" s="77"/>
      <c r="J31" s="77"/>
      <c r="K31" s="77"/>
      <c r="L31" s="77"/>
      <c r="M31" s="77"/>
      <c r="N31" s="77"/>
      <c r="O31" s="77"/>
      <c r="P31" s="77"/>
      <c r="Q31" s="77"/>
      <c r="R31" s="77"/>
      <c r="S31" s="77"/>
      <c r="T31" s="77"/>
      <c r="U31" s="77"/>
      <c r="V31" s="78"/>
    </row>
    <row r="32" spans="2:24" ht="30" x14ac:dyDescent="0.25">
      <c r="B32" s="23">
        <v>26</v>
      </c>
      <c r="C32" s="7"/>
      <c r="D32" s="16" t="s">
        <v>53</v>
      </c>
      <c r="E32" s="7" t="s">
        <v>81</v>
      </c>
      <c r="F32" s="7" t="s">
        <v>15</v>
      </c>
      <c r="G32" s="17">
        <v>646</v>
      </c>
      <c r="H32" s="2">
        <f t="shared" si="1"/>
        <v>6953.5439999999999</v>
      </c>
      <c r="I32" s="66">
        <v>18.37</v>
      </c>
      <c r="J32" s="7">
        <v>2007</v>
      </c>
      <c r="K32" s="19">
        <v>2022</v>
      </c>
      <c r="L32" s="4">
        <f t="shared" si="2"/>
        <v>15</v>
      </c>
      <c r="M32" s="18">
        <v>60</v>
      </c>
      <c r="N32" s="4">
        <v>0.05</v>
      </c>
      <c r="O32" s="20">
        <f t="shared" si="3"/>
        <v>1.5833333333333331E-2</v>
      </c>
      <c r="P32" s="5">
        <v>1200</v>
      </c>
      <c r="Q32" s="5">
        <f t="shared" si="9"/>
        <v>12916.68</v>
      </c>
      <c r="R32" s="6">
        <f t="shared" si="8"/>
        <v>8344175.2800000003</v>
      </c>
      <c r="S32" s="6">
        <f t="shared" si="10"/>
        <v>1981741.6289999997</v>
      </c>
      <c r="T32" s="6">
        <f t="shared" si="11"/>
        <v>6362433.6510000005</v>
      </c>
      <c r="U32" s="4">
        <v>0</v>
      </c>
      <c r="V32" s="6">
        <f>IF(T32&gt;N32*R32,T32*(1+U32),R32*N32)</f>
        <v>6362433.6510000005</v>
      </c>
    </row>
    <row r="33" spans="2:22" ht="30" x14ac:dyDescent="0.25">
      <c r="B33" s="23">
        <v>27</v>
      </c>
      <c r="C33" s="7"/>
      <c r="D33" s="16" t="s">
        <v>54</v>
      </c>
      <c r="E33" s="7" t="s">
        <v>82</v>
      </c>
      <c r="F33" s="7" t="s">
        <v>15</v>
      </c>
      <c r="G33" s="17">
        <f>33.5*11.6*(32.11/10.76)+(33.5*7)</f>
        <v>1394.1604089219329</v>
      </c>
      <c r="H33" s="2">
        <f t="shared" si="1"/>
        <v>15006.742641635685</v>
      </c>
      <c r="I33" s="67">
        <v>16.399999999999999</v>
      </c>
      <c r="J33" s="7">
        <v>2007</v>
      </c>
      <c r="K33" s="19">
        <v>2022</v>
      </c>
      <c r="L33" s="4">
        <f t="shared" si="2"/>
        <v>15</v>
      </c>
      <c r="M33" s="18">
        <v>40</v>
      </c>
      <c r="N33" s="4">
        <v>0.05</v>
      </c>
      <c r="O33" s="20">
        <f t="shared" si="3"/>
        <v>2.375E-2</v>
      </c>
      <c r="P33" s="5">
        <v>700</v>
      </c>
      <c r="Q33" s="5">
        <f t="shared" si="9"/>
        <v>7534.73</v>
      </c>
      <c r="R33" s="6">
        <f t="shared" si="8"/>
        <v>10504622.257916356</v>
      </c>
      <c r="S33" s="6">
        <f t="shared" si="10"/>
        <v>3742271.6793827019</v>
      </c>
      <c r="T33" s="6">
        <f t="shared" si="11"/>
        <v>6762350.5785336532</v>
      </c>
      <c r="U33" s="4">
        <v>0</v>
      </c>
      <c r="V33" s="6">
        <f>IF(T33&gt;N33*R33,T33*(1+U33),R33*N33)</f>
        <v>6762350.5785336532</v>
      </c>
    </row>
    <row r="34" spans="2:22" ht="30" x14ac:dyDescent="0.25">
      <c r="B34" s="23">
        <v>28</v>
      </c>
      <c r="C34" s="7"/>
      <c r="D34" s="16" t="s">
        <v>55</v>
      </c>
      <c r="E34" s="7" t="s">
        <v>81</v>
      </c>
      <c r="F34" s="7" t="s">
        <v>15</v>
      </c>
      <c r="G34" s="17">
        <f>(69.06+174)*(120-95)</f>
        <v>6076.5</v>
      </c>
      <c r="H34" s="2">
        <f t="shared" si="1"/>
        <v>65407.445999999996</v>
      </c>
      <c r="I34" s="66">
        <v>36.08</v>
      </c>
      <c r="J34" s="7">
        <v>2007</v>
      </c>
      <c r="K34" s="19">
        <v>2022</v>
      </c>
      <c r="L34" s="4">
        <f t="shared" si="2"/>
        <v>15</v>
      </c>
      <c r="M34" s="18">
        <v>60</v>
      </c>
      <c r="N34" s="4">
        <v>0.05</v>
      </c>
      <c r="O34" s="20">
        <f t="shared" si="3"/>
        <v>1.5833333333333331E-2</v>
      </c>
      <c r="P34" s="5">
        <v>50</v>
      </c>
      <c r="Q34" s="5">
        <f t="shared" si="9"/>
        <v>538.19499999999994</v>
      </c>
      <c r="R34" s="6">
        <f t="shared" si="8"/>
        <v>3270341.9174999995</v>
      </c>
      <c r="S34" s="6">
        <f t="shared" si="10"/>
        <v>776706.20540624973</v>
      </c>
      <c r="T34" s="6">
        <f t="shared" si="11"/>
        <v>2493635.71209375</v>
      </c>
      <c r="U34" s="4">
        <v>0</v>
      </c>
      <c r="V34" s="6">
        <f>IF(T34&gt;N34*R34,T34*(1+U34),R34*N34)</f>
        <v>2493635.71209375</v>
      </c>
    </row>
    <row r="35" spans="2:22" ht="30" x14ac:dyDescent="0.25">
      <c r="B35" s="23">
        <v>30</v>
      </c>
      <c r="C35" s="7"/>
      <c r="D35" s="16" t="s">
        <v>57</v>
      </c>
      <c r="E35" s="7" t="s">
        <v>81</v>
      </c>
      <c r="F35" s="7" t="s">
        <v>15</v>
      </c>
      <c r="G35" s="17">
        <f>(51.205/10.7)*23</f>
        <v>110.06682242990654</v>
      </c>
      <c r="H35" s="2">
        <f t="shared" si="1"/>
        <v>1184.759276635514</v>
      </c>
      <c r="I35" s="66">
        <v>11.81</v>
      </c>
      <c r="J35" s="7">
        <v>2007</v>
      </c>
      <c r="K35" s="19">
        <v>2022</v>
      </c>
      <c r="L35" s="4">
        <f t="shared" si="2"/>
        <v>15</v>
      </c>
      <c r="M35" s="18">
        <v>60</v>
      </c>
      <c r="N35" s="4">
        <v>0.05</v>
      </c>
      <c r="O35" s="20">
        <f t="shared" si="3"/>
        <v>1.5833333333333331E-2</v>
      </c>
      <c r="P35" s="5">
        <v>1500</v>
      </c>
      <c r="Q35" s="5">
        <f t="shared" si="9"/>
        <v>16145.849999999999</v>
      </c>
      <c r="R35" s="6">
        <f t="shared" si="8"/>
        <v>1777122.4049299064</v>
      </c>
      <c r="S35" s="6">
        <f t="shared" si="10"/>
        <v>422066.57117085275</v>
      </c>
      <c r="T35" s="6">
        <f t="shared" si="11"/>
        <v>1355055.8337590536</v>
      </c>
      <c r="U35" s="4">
        <v>0</v>
      </c>
      <c r="V35" s="6">
        <f>IF(T35&gt;N35*R35,T35*(1+U35),R35*N35)</f>
        <v>1355055.8337590536</v>
      </c>
    </row>
    <row r="36" spans="2:22" ht="30" x14ac:dyDescent="0.25">
      <c r="B36" s="23">
        <v>31</v>
      </c>
      <c r="C36" s="7"/>
      <c r="D36" s="16" t="s">
        <v>58</v>
      </c>
      <c r="E36" s="7" t="s">
        <v>82</v>
      </c>
      <c r="F36" s="7" t="s">
        <v>15</v>
      </c>
      <c r="G36" s="17">
        <v>1700</v>
      </c>
      <c r="H36" s="2">
        <f t="shared" si="1"/>
        <v>18298.8</v>
      </c>
      <c r="I36" s="66">
        <v>45.93</v>
      </c>
      <c r="J36" s="7">
        <v>2007</v>
      </c>
      <c r="K36" s="19">
        <v>2022</v>
      </c>
      <c r="L36" s="4">
        <f t="shared" si="2"/>
        <v>15</v>
      </c>
      <c r="M36" s="18">
        <v>40</v>
      </c>
      <c r="N36" s="4">
        <v>0.05</v>
      </c>
      <c r="O36" s="20">
        <f t="shared" si="3"/>
        <v>2.375E-2</v>
      </c>
      <c r="P36" s="5">
        <v>700</v>
      </c>
      <c r="Q36" s="5">
        <f t="shared" si="9"/>
        <v>7534.73</v>
      </c>
      <c r="R36" s="6">
        <f t="shared" si="8"/>
        <v>12809041</v>
      </c>
      <c r="S36" s="6">
        <f t="shared" si="10"/>
        <v>4563220.8562500002</v>
      </c>
      <c r="T36" s="6">
        <f t="shared" si="11"/>
        <v>8245820.1437499998</v>
      </c>
      <c r="U36" s="4">
        <v>0</v>
      </c>
      <c r="V36" s="6">
        <f>IF(T36&gt;N36*R36,T36*(1+U36),R36*N36)</f>
        <v>8245820.1437499998</v>
      </c>
    </row>
    <row r="37" spans="2:22" ht="30" x14ac:dyDescent="0.25">
      <c r="B37" s="23">
        <v>32</v>
      </c>
      <c r="C37" s="7"/>
      <c r="D37" s="16" t="s">
        <v>59</v>
      </c>
      <c r="E37" s="7" t="s">
        <v>81</v>
      </c>
      <c r="F37" s="7" t="s">
        <v>15</v>
      </c>
      <c r="G37" s="17">
        <f>16</f>
        <v>16</v>
      </c>
      <c r="H37" s="2">
        <f t="shared" si="1"/>
        <v>172.22399999999999</v>
      </c>
      <c r="I37" s="66">
        <v>9.84</v>
      </c>
      <c r="J37" s="7">
        <v>2007</v>
      </c>
      <c r="K37" s="19">
        <v>2022</v>
      </c>
      <c r="L37" s="4">
        <f t="shared" si="2"/>
        <v>15</v>
      </c>
      <c r="M37" s="18">
        <v>60</v>
      </c>
      <c r="N37" s="4">
        <v>0.05</v>
      </c>
      <c r="O37" s="20">
        <f t="shared" si="3"/>
        <v>1.5833333333333331E-2</v>
      </c>
      <c r="P37" s="5">
        <v>1500</v>
      </c>
      <c r="Q37" s="5">
        <f t="shared" si="9"/>
        <v>16145.849999999999</v>
      </c>
      <c r="R37" s="6">
        <f t="shared" si="8"/>
        <v>258333.59999999998</v>
      </c>
      <c r="S37" s="6">
        <f t="shared" si="10"/>
        <v>61354.229999999989</v>
      </c>
      <c r="T37" s="6">
        <f t="shared" si="11"/>
        <v>196979.37</v>
      </c>
      <c r="U37" s="4">
        <v>0</v>
      </c>
      <c r="V37" s="6">
        <f>IF(T37&gt;N37*R37,T37*(1+U37),R37*N37)</f>
        <v>196979.37</v>
      </c>
    </row>
    <row r="38" spans="2:22" ht="30" x14ac:dyDescent="0.25">
      <c r="B38" s="23">
        <v>33</v>
      </c>
      <c r="C38" s="7"/>
      <c r="D38" s="16" t="s">
        <v>60</v>
      </c>
      <c r="E38" s="7" t="s">
        <v>81</v>
      </c>
      <c r="F38" s="7" t="s">
        <v>15</v>
      </c>
      <c r="G38" s="17">
        <f>32</f>
        <v>32</v>
      </c>
      <c r="H38" s="2">
        <f t="shared" si="1"/>
        <v>344.44799999999998</v>
      </c>
      <c r="I38" s="66">
        <v>9.84</v>
      </c>
      <c r="J38" s="7">
        <v>2007</v>
      </c>
      <c r="K38" s="19">
        <v>2022</v>
      </c>
      <c r="L38" s="4">
        <f t="shared" si="2"/>
        <v>15</v>
      </c>
      <c r="M38" s="18">
        <v>60</v>
      </c>
      <c r="N38" s="4">
        <v>0.05</v>
      </c>
      <c r="O38" s="20">
        <f>(1-N38)/M38</f>
        <v>1.5833333333333331E-2</v>
      </c>
      <c r="P38" s="5">
        <v>1500</v>
      </c>
      <c r="Q38" s="5">
        <f t="shared" si="9"/>
        <v>16145.849999999999</v>
      </c>
      <c r="R38" s="6">
        <f t="shared" si="8"/>
        <v>516667.19999999995</v>
      </c>
      <c r="S38" s="6">
        <f t="shared" si="10"/>
        <v>122708.45999999998</v>
      </c>
      <c r="T38" s="6">
        <f t="shared" si="11"/>
        <v>393958.74</v>
      </c>
      <c r="U38" s="4">
        <v>0</v>
      </c>
      <c r="V38" s="6">
        <f>IF(T38&gt;N38*R38,T38*(1+U38),R38*N38)</f>
        <v>393958.74</v>
      </c>
    </row>
    <row r="39" spans="2:22" ht="30" x14ac:dyDescent="0.25">
      <c r="B39" s="23">
        <v>34</v>
      </c>
      <c r="C39" s="7"/>
      <c r="D39" s="16" t="s">
        <v>61</v>
      </c>
      <c r="E39" s="7" t="s">
        <v>81</v>
      </c>
      <c r="F39" s="7" t="s">
        <v>15</v>
      </c>
      <c r="G39" s="17">
        <v>512</v>
      </c>
      <c r="H39" s="2">
        <f t="shared" si="1"/>
        <v>5511.1679999999997</v>
      </c>
      <c r="I39" s="66">
        <v>32.799999999999997</v>
      </c>
      <c r="J39" s="7">
        <v>2007</v>
      </c>
      <c r="K39" s="19">
        <v>2022</v>
      </c>
      <c r="L39" s="4">
        <f t="shared" si="2"/>
        <v>15</v>
      </c>
      <c r="M39" s="18">
        <v>60</v>
      </c>
      <c r="N39" s="4">
        <v>0.05</v>
      </c>
      <c r="O39" s="20">
        <f t="shared" ref="O39:O58" si="12">(1-N39)/M39</f>
        <v>1.5833333333333331E-2</v>
      </c>
      <c r="P39" s="5">
        <v>1500</v>
      </c>
      <c r="Q39" s="5">
        <f t="shared" si="9"/>
        <v>16145.849999999999</v>
      </c>
      <c r="R39" s="6">
        <f t="shared" ref="R39:R58" si="13">Q39*G39</f>
        <v>8266675.1999999993</v>
      </c>
      <c r="S39" s="6">
        <f t="shared" si="10"/>
        <v>1963335.3599999996</v>
      </c>
      <c r="T39" s="6">
        <f t="shared" si="11"/>
        <v>6303339.8399999999</v>
      </c>
      <c r="U39" s="4">
        <v>0</v>
      </c>
      <c r="V39" s="6">
        <f>IF(T39&gt;N39*R39,T39*(1+U39),R39*N39)</f>
        <v>6303339.8399999999</v>
      </c>
    </row>
    <row r="40" spans="2:22" ht="30" x14ac:dyDescent="0.25">
      <c r="B40" s="23">
        <v>35</v>
      </c>
      <c r="C40" s="7"/>
      <c r="D40" s="16" t="s">
        <v>62</v>
      </c>
      <c r="E40" s="7" t="s">
        <v>82</v>
      </c>
      <c r="F40" s="7" t="s">
        <v>15</v>
      </c>
      <c r="G40" s="17">
        <v>216</v>
      </c>
      <c r="H40" s="2">
        <f t="shared" si="1"/>
        <v>2325.0239999999999</v>
      </c>
      <c r="I40" s="66">
        <v>9.84</v>
      </c>
      <c r="J40" s="7">
        <v>2007</v>
      </c>
      <c r="K40" s="19">
        <v>2022</v>
      </c>
      <c r="L40" s="4">
        <f t="shared" si="2"/>
        <v>15</v>
      </c>
      <c r="M40" s="18">
        <v>40</v>
      </c>
      <c r="N40" s="4">
        <v>0.05</v>
      </c>
      <c r="O40" s="20">
        <f t="shared" si="12"/>
        <v>2.375E-2</v>
      </c>
      <c r="P40" s="5">
        <v>700</v>
      </c>
      <c r="Q40" s="5">
        <f t="shared" si="9"/>
        <v>7534.73</v>
      </c>
      <c r="R40" s="6">
        <f t="shared" si="13"/>
        <v>1627501.68</v>
      </c>
      <c r="S40" s="6">
        <f t="shared" si="10"/>
        <v>579797.47349999996</v>
      </c>
      <c r="T40" s="6">
        <f t="shared" si="11"/>
        <v>1047704.2065</v>
      </c>
      <c r="U40" s="4">
        <v>0</v>
      </c>
      <c r="V40" s="6">
        <f>IF(T40&gt;N40*R40,T40*(1+U40),R40*N40)</f>
        <v>1047704.2065</v>
      </c>
    </row>
    <row r="41" spans="2:22" ht="30" x14ac:dyDescent="0.25">
      <c r="B41" s="23">
        <v>36</v>
      </c>
      <c r="C41" s="7"/>
      <c r="D41" s="16" t="s">
        <v>63</v>
      </c>
      <c r="E41" s="7" t="s">
        <v>82</v>
      </c>
      <c r="F41" s="7" t="s">
        <v>15</v>
      </c>
      <c r="G41" s="17">
        <f>3*7</f>
        <v>21</v>
      </c>
      <c r="H41" s="2">
        <f t="shared" si="1"/>
        <v>226.04399999999998</v>
      </c>
      <c r="I41" s="66">
        <v>9.84</v>
      </c>
      <c r="J41" s="7">
        <v>2007</v>
      </c>
      <c r="K41" s="19">
        <v>2022</v>
      </c>
      <c r="L41" s="4">
        <f t="shared" si="2"/>
        <v>15</v>
      </c>
      <c r="M41" s="18">
        <v>40</v>
      </c>
      <c r="N41" s="4">
        <v>0.05</v>
      </c>
      <c r="O41" s="20">
        <f t="shared" si="12"/>
        <v>2.375E-2</v>
      </c>
      <c r="P41" s="5">
        <v>700</v>
      </c>
      <c r="Q41" s="5">
        <f t="shared" si="9"/>
        <v>7534.73</v>
      </c>
      <c r="R41" s="6">
        <f t="shared" si="13"/>
        <v>158229.32999999999</v>
      </c>
      <c r="S41" s="6">
        <f t="shared" si="10"/>
        <v>56369.198812499992</v>
      </c>
      <c r="T41" s="6">
        <f t="shared" si="11"/>
        <v>101860.1311875</v>
      </c>
      <c r="U41" s="4">
        <v>0</v>
      </c>
      <c r="V41" s="6">
        <f>IF(T41&gt;N41*R41,T41*(1+U41),R41*N41)</f>
        <v>101860.1311875</v>
      </c>
    </row>
    <row r="42" spans="2:22" ht="30" x14ac:dyDescent="0.25">
      <c r="B42" s="23">
        <v>37</v>
      </c>
      <c r="C42" s="7"/>
      <c r="D42" s="16" t="s">
        <v>64</v>
      </c>
      <c r="E42" s="7" t="s">
        <v>81</v>
      </c>
      <c r="F42" s="7" t="s">
        <v>15</v>
      </c>
      <c r="G42" s="17">
        <f>21*19</f>
        <v>399</v>
      </c>
      <c r="H42" s="2">
        <f t="shared" si="1"/>
        <v>4294.8359999999993</v>
      </c>
      <c r="I42" s="66">
        <v>9.84</v>
      </c>
      <c r="J42" s="7">
        <v>2007</v>
      </c>
      <c r="K42" s="19">
        <v>2022</v>
      </c>
      <c r="L42" s="4">
        <f t="shared" si="2"/>
        <v>15</v>
      </c>
      <c r="M42" s="18">
        <v>60</v>
      </c>
      <c r="N42" s="4">
        <v>0.05</v>
      </c>
      <c r="O42" s="20">
        <f t="shared" si="12"/>
        <v>1.5833333333333331E-2</v>
      </c>
      <c r="P42" s="5">
        <v>1500</v>
      </c>
      <c r="Q42" s="5">
        <f t="shared" si="9"/>
        <v>16145.849999999999</v>
      </c>
      <c r="R42" s="6">
        <f t="shared" si="13"/>
        <v>6442194.1499999994</v>
      </c>
      <c r="S42" s="6">
        <f t="shared" si="10"/>
        <v>1530021.1106249997</v>
      </c>
      <c r="T42" s="6">
        <f t="shared" si="11"/>
        <v>4912173.0393749997</v>
      </c>
      <c r="U42" s="4">
        <v>0</v>
      </c>
      <c r="V42" s="6">
        <f>IF(T42&gt;N42*R42,T42*(1+U42),R42*N42)</f>
        <v>4912173.0393749997</v>
      </c>
    </row>
    <row r="43" spans="2:22" ht="30" x14ac:dyDescent="0.25">
      <c r="B43" s="23">
        <v>38</v>
      </c>
      <c r="C43" s="7"/>
      <c r="D43" s="16" t="s">
        <v>65</v>
      </c>
      <c r="E43" s="7" t="s">
        <v>82</v>
      </c>
      <c r="F43" s="7" t="s">
        <v>15</v>
      </c>
      <c r="G43" s="17">
        <f>46*5</f>
        <v>230</v>
      </c>
      <c r="H43" s="2">
        <f t="shared" si="1"/>
        <v>2475.7199999999998</v>
      </c>
      <c r="I43" s="66">
        <v>9.84</v>
      </c>
      <c r="J43" s="7">
        <v>2007</v>
      </c>
      <c r="K43" s="19">
        <v>2022</v>
      </c>
      <c r="L43" s="4">
        <f t="shared" si="2"/>
        <v>15</v>
      </c>
      <c r="M43" s="18">
        <v>40</v>
      </c>
      <c r="N43" s="4">
        <v>0.05</v>
      </c>
      <c r="O43" s="20">
        <f t="shared" si="12"/>
        <v>2.375E-2</v>
      </c>
      <c r="P43" s="5">
        <v>700</v>
      </c>
      <c r="Q43" s="5">
        <f t="shared" si="9"/>
        <v>7534.73</v>
      </c>
      <c r="R43" s="6">
        <f t="shared" si="13"/>
        <v>1732987.9</v>
      </c>
      <c r="S43" s="6">
        <f t="shared" si="10"/>
        <v>617376.93937499996</v>
      </c>
      <c r="T43" s="6">
        <f t="shared" si="11"/>
        <v>1115610.9606249998</v>
      </c>
      <c r="U43" s="4">
        <v>0</v>
      </c>
      <c r="V43" s="6">
        <f>IF(T43&gt;N43*R43,T43*(1+U43),R43*N43)</f>
        <v>1115610.9606249998</v>
      </c>
    </row>
    <row r="44" spans="2:22" ht="30" x14ac:dyDescent="0.25">
      <c r="B44" s="23">
        <v>39</v>
      </c>
      <c r="C44" s="7"/>
      <c r="D44" s="16" t="s">
        <v>66</v>
      </c>
      <c r="E44" s="7" t="s">
        <v>82</v>
      </c>
      <c r="F44" s="7" t="s">
        <v>15</v>
      </c>
      <c r="G44" s="17">
        <f>8*3.5*2</f>
        <v>56</v>
      </c>
      <c r="H44" s="2">
        <f t="shared" si="1"/>
        <v>602.78399999999999</v>
      </c>
      <c r="I44" s="66">
        <v>9.84</v>
      </c>
      <c r="J44" s="7">
        <v>2007</v>
      </c>
      <c r="K44" s="19">
        <v>2022</v>
      </c>
      <c r="L44" s="4">
        <f t="shared" si="2"/>
        <v>15</v>
      </c>
      <c r="M44" s="18">
        <v>40</v>
      </c>
      <c r="N44" s="4">
        <v>0.05</v>
      </c>
      <c r="O44" s="20">
        <f t="shared" si="12"/>
        <v>2.375E-2</v>
      </c>
      <c r="P44" s="5">
        <v>700</v>
      </c>
      <c r="Q44" s="5">
        <f t="shared" si="9"/>
        <v>7534.73</v>
      </c>
      <c r="R44" s="6">
        <f t="shared" si="13"/>
        <v>421944.88</v>
      </c>
      <c r="S44" s="6">
        <f t="shared" si="10"/>
        <v>150317.86350000001</v>
      </c>
      <c r="T44" s="6">
        <f t="shared" si="11"/>
        <v>271627.01650000003</v>
      </c>
      <c r="U44" s="4">
        <v>0</v>
      </c>
      <c r="V44" s="6">
        <f>IF(T44&gt;N44*R44,T44*(1+U44),R44*N44)</f>
        <v>271627.01650000003</v>
      </c>
    </row>
    <row r="45" spans="2:22" ht="30" x14ac:dyDescent="0.25">
      <c r="B45" s="23">
        <v>40</v>
      </c>
      <c r="C45" s="7"/>
      <c r="D45" s="16" t="s">
        <v>67</v>
      </c>
      <c r="E45" s="7" t="s">
        <v>81</v>
      </c>
      <c r="F45" s="7" t="s">
        <v>15</v>
      </c>
      <c r="G45" s="17">
        <f>11.5*4</f>
        <v>46</v>
      </c>
      <c r="H45" s="2">
        <f t="shared" si="1"/>
        <v>495.14399999999995</v>
      </c>
      <c r="I45" s="66">
        <v>9.84</v>
      </c>
      <c r="J45" s="7">
        <v>2007</v>
      </c>
      <c r="K45" s="19">
        <v>2022</v>
      </c>
      <c r="L45" s="4">
        <f t="shared" si="2"/>
        <v>15</v>
      </c>
      <c r="M45" s="18">
        <v>60</v>
      </c>
      <c r="N45" s="4">
        <v>0.05</v>
      </c>
      <c r="O45" s="20">
        <f t="shared" si="12"/>
        <v>1.5833333333333331E-2</v>
      </c>
      <c r="P45" s="5">
        <v>1500</v>
      </c>
      <c r="Q45" s="5">
        <f t="shared" si="9"/>
        <v>16145.849999999999</v>
      </c>
      <c r="R45" s="6">
        <f t="shared" si="13"/>
        <v>742709.1</v>
      </c>
      <c r="S45" s="6">
        <f t="shared" si="10"/>
        <v>176393.41124999998</v>
      </c>
      <c r="T45" s="6">
        <f t="shared" si="11"/>
        <v>566315.68874999997</v>
      </c>
      <c r="U45" s="4">
        <v>0</v>
      </c>
      <c r="V45" s="6">
        <f>IF(T45&gt;N45*R45,T45*(1+U45),R45*N45)</f>
        <v>566315.68874999997</v>
      </c>
    </row>
    <row r="46" spans="2:22" ht="30" x14ac:dyDescent="0.25">
      <c r="B46" s="23">
        <v>41</v>
      </c>
      <c r="C46" s="7"/>
      <c r="D46" s="16" t="s">
        <v>68</v>
      </c>
      <c r="E46" s="7" t="s">
        <v>81</v>
      </c>
      <c r="F46" s="7" t="s">
        <v>15</v>
      </c>
      <c r="G46" s="17">
        <v>20</v>
      </c>
      <c r="H46" s="2">
        <f t="shared" si="1"/>
        <v>215.27999999999997</v>
      </c>
      <c r="I46" s="66">
        <v>9.84</v>
      </c>
      <c r="J46" s="7">
        <v>2007</v>
      </c>
      <c r="K46" s="19">
        <v>2022</v>
      </c>
      <c r="L46" s="4">
        <f t="shared" si="2"/>
        <v>15</v>
      </c>
      <c r="M46" s="18">
        <v>60</v>
      </c>
      <c r="N46" s="4">
        <v>0.05</v>
      </c>
      <c r="O46" s="20">
        <f t="shared" si="12"/>
        <v>1.5833333333333331E-2</v>
      </c>
      <c r="P46" s="5">
        <v>1500</v>
      </c>
      <c r="Q46" s="5">
        <f t="shared" si="9"/>
        <v>16145.849999999999</v>
      </c>
      <c r="R46" s="6">
        <f t="shared" si="13"/>
        <v>322917</v>
      </c>
      <c r="S46" s="6">
        <f t="shared" si="10"/>
        <v>76692.787499999991</v>
      </c>
      <c r="T46" s="6">
        <f t="shared" si="11"/>
        <v>246224.21250000002</v>
      </c>
      <c r="U46" s="4">
        <v>0</v>
      </c>
      <c r="V46" s="6">
        <f>IF(T46&gt;N46*R46,T46*(1+U46),R46*N46)</f>
        <v>246224.21250000002</v>
      </c>
    </row>
    <row r="47" spans="2:22" ht="30" x14ac:dyDescent="0.25">
      <c r="B47" s="23">
        <v>42</v>
      </c>
      <c r="C47" s="7"/>
      <c r="D47" s="16" t="s">
        <v>69</v>
      </c>
      <c r="E47" s="7" t="s">
        <v>81</v>
      </c>
      <c r="F47" s="7" t="s">
        <v>15</v>
      </c>
      <c r="G47" s="17">
        <f>12.8*16.5</f>
        <v>211.20000000000002</v>
      </c>
      <c r="H47" s="2">
        <f t="shared" si="1"/>
        <v>2273.3568</v>
      </c>
      <c r="I47" s="66">
        <v>9.84</v>
      </c>
      <c r="J47" s="7">
        <v>2007</v>
      </c>
      <c r="K47" s="19">
        <v>2022</v>
      </c>
      <c r="L47" s="4">
        <f t="shared" si="2"/>
        <v>15</v>
      </c>
      <c r="M47" s="18">
        <v>60</v>
      </c>
      <c r="N47" s="4">
        <v>0.05</v>
      </c>
      <c r="O47" s="20">
        <f t="shared" si="12"/>
        <v>1.5833333333333331E-2</v>
      </c>
      <c r="P47" s="5">
        <v>1500</v>
      </c>
      <c r="Q47" s="5">
        <f t="shared" si="9"/>
        <v>16145.849999999999</v>
      </c>
      <c r="R47" s="6">
        <f t="shared" si="13"/>
        <v>3410003.52</v>
      </c>
      <c r="S47" s="6">
        <f t="shared" si="10"/>
        <v>809875.83599999989</v>
      </c>
      <c r="T47" s="6">
        <f t="shared" si="11"/>
        <v>2600127.6840000004</v>
      </c>
      <c r="U47" s="4">
        <v>0</v>
      </c>
      <c r="V47" s="6">
        <f>IF(T47&gt;N47*R47,T47*(1+U47),R47*N47)</f>
        <v>2600127.6840000004</v>
      </c>
    </row>
    <row r="48" spans="2:22" ht="30" x14ac:dyDescent="0.25">
      <c r="B48" s="23">
        <v>43</v>
      </c>
      <c r="C48" s="7"/>
      <c r="D48" s="16" t="s">
        <v>70</v>
      </c>
      <c r="E48" s="7" t="s">
        <v>81</v>
      </c>
      <c r="F48" s="7" t="s">
        <v>15</v>
      </c>
      <c r="G48" s="17">
        <v>30</v>
      </c>
      <c r="H48" s="2">
        <f t="shared" si="1"/>
        <v>322.91999999999996</v>
      </c>
      <c r="I48" s="66">
        <v>13.12</v>
      </c>
      <c r="J48" s="7">
        <v>2007</v>
      </c>
      <c r="K48" s="19">
        <v>2022</v>
      </c>
      <c r="L48" s="4">
        <f t="shared" si="2"/>
        <v>15</v>
      </c>
      <c r="M48" s="18">
        <v>60</v>
      </c>
      <c r="N48" s="4">
        <v>0.05</v>
      </c>
      <c r="O48" s="20">
        <f t="shared" si="12"/>
        <v>1.5833333333333331E-2</v>
      </c>
      <c r="P48" s="5">
        <v>1500</v>
      </c>
      <c r="Q48" s="5">
        <f t="shared" si="9"/>
        <v>16145.849999999999</v>
      </c>
      <c r="R48" s="6">
        <f t="shared" si="13"/>
        <v>484375.49999999994</v>
      </c>
      <c r="S48" s="6">
        <f t="shared" si="10"/>
        <v>115039.18124999997</v>
      </c>
      <c r="T48" s="6">
        <f t="shared" si="11"/>
        <v>369336.31874999998</v>
      </c>
      <c r="U48" s="4">
        <v>0</v>
      </c>
      <c r="V48" s="6">
        <f>IF(T48&gt;N48*R48,T48*(1+U48),R48*N48)</f>
        <v>369336.31874999998</v>
      </c>
    </row>
    <row r="49" spans="2:24" ht="30" x14ac:dyDescent="0.25">
      <c r="B49" s="23">
        <v>44</v>
      </c>
      <c r="C49" s="7"/>
      <c r="D49" s="16" t="s">
        <v>71</v>
      </c>
      <c r="E49" s="7" t="s">
        <v>81</v>
      </c>
      <c r="F49" s="7" t="s">
        <v>15</v>
      </c>
      <c r="G49" s="17">
        <v>45</v>
      </c>
      <c r="H49" s="2">
        <f t="shared" si="1"/>
        <v>484.38</v>
      </c>
      <c r="I49" s="66">
        <v>13.77</v>
      </c>
      <c r="J49" s="7">
        <v>2007</v>
      </c>
      <c r="K49" s="19">
        <v>2022</v>
      </c>
      <c r="L49" s="4">
        <f t="shared" si="2"/>
        <v>15</v>
      </c>
      <c r="M49" s="18">
        <v>60</v>
      </c>
      <c r="N49" s="4">
        <v>0.05</v>
      </c>
      <c r="O49" s="20">
        <f t="shared" si="12"/>
        <v>1.5833333333333331E-2</v>
      </c>
      <c r="P49" s="5">
        <v>1500</v>
      </c>
      <c r="Q49" s="5">
        <v>50</v>
      </c>
      <c r="R49" s="6">
        <f t="shared" si="13"/>
        <v>2250</v>
      </c>
      <c r="S49" s="6">
        <f t="shared" si="10"/>
        <v>534.37499999999989</v>
      </c>
      <c r="T49" s="6">
        <f t="shared" si="11"/>
        <v>1715.625</v>
      </c>
      <c r="U49" s="4">
        <v>0</v>
      </c>
      <c r="V49" s="6">
        <f>IF(T49&gt;N49*R49,T49*(1+U49),R49*N49)</f>
        <v>1715.625</v>
      </c>
      <c r="W49" s="10">
        <f>SUM(V32:V49)</f>
        <v>43346268.752323955</v>
      </c>
      <c r="X49" s="10">
        <f>SUM(R32:R49)</f>
        <v>61092091.92034626</v>
      </c>
    </row>
    <row r="50" spans="2:24" x14ac:dyDescent="0.25">
      <c r="B50" s="73" t="s">
        <v>75</v>
      </c>
      <c r="C50" s="74"/>
      <c r="D50" s="74"/>
      <c r="E50" s="74"/>
      <c r="F50" s="74"/>
      <c r="G50" s="74"/>
      <c r="H50" s="74"/>
      <c r="I50" s="74"/>
      <c r="J50" s="74"/>
      <c r="K50" s="74"/>
      <c r="L50" s="74"/>
      <c r="M50" s="74"/>
      <c r="N50" s="74"/>
      <c r="O50" s="74"/>
      <c r="P50" s="74"/>
      <c r="Q50" s="74"/>
      <c r="R50" s="74"/>
      <c r="S50" s="74"/>
      <c r="T50" s="74"/>
      <c r="U50" s="74"/>
      <c r="V50" s="75"/>
    </row>
    <row r="51" spans="2:24" ht="30" x14ac:dyDescent="0.25">
      <c r="B51" s="23">
        <v>46</v>
      </c>
      <c r="C51" s="7"/>
      <c r="D51" s="16" t="s">
        <v>76</v>
      </c>
      <c r="E51" s="7" t="s">
        <v>82</v>
      </c>
      <c r="F51" s="7" t="s">
        <v>15</v>
      </c>
      <c r="G51" s="17">
        <v>375</v>
      </c>
      <c r="H51" s="2">
        <f t="shared" si="1"/>
        <v>4036.4999999999995</v>
      </c>
      <c r="I51" s="66">
        <v>9.84</v>
      </c>
      <c r="J51" s="7">
        <v>2007</v>
      </c>
      <c r="K51" s="19">
        <v>2022</v>
      </c>
      <c r="L51" s="4">
        <f t="shared" si="2"/>
        <v>15</v>
      </c>
      <c r="M51" s="18">
        <v>40</v>
      </c>
      <c r="N51" s="4">
        <v>0.05</v>
      </c>
      <c r="O51" s="20">
        <f t="shared" si="12"/>
        <v>2.375E-2</v>
      </c>
      <c r="P51" s="5">
        <v>700</v>
      </c>
      <c r="Q51" s="5">
        <v>2500</v>
      </c>
      <c r="R51" s="6">
        <f>Q51*G51</f>
        <v>937500</v>
      </c>
      <c r="S51" s="6">
        <f t="shared" si="10"/>
        <v>333984.375</v>
      </c>
      <c r="T51" s="6">
        <f t="shared" si="11"/>
        <v>603515.625</v>
      </c>
      <c r="U51" s="4">
        <v>0</v>
      </c>
      <c r="V51" s="6">
        <f>IF(T51&gt;N51*R51,T51*(1+U51),R51*N51)</f>
        <v>603515.625</v>
      </c>
    </row>
    <row r="52" spans="2:24" ht="30" x14ac:dyDescent="0.25">
      <c r="B52" s="23">
        <v>47</v>
      </c>
      <c r="C52" s="7"/>
      <c r="D52" s="16" t="s">
        <v>77</v>
      </c>
      <c r="E52" s="7" t="s">
        <v>81</v>
      </c>
      <c r="F52" s="7" t="s">
        <v>15</v>
      </c>
      <c r="G52" s="17">
        <f>21.5*9.21</f>
        <v>198.01500000000001</v>
      </c>
      <c r="H52" s="2">
        <f t="shared" si="1"/>
        <v>2131.4334600000002</v>
      </c>
      <c r="I52" s="66">
        <v>9.84</v>
      </c>
      <c r="J52" s="7">
        <v>2007</v>
      </c>
      <c r="K52" s="19">
        <v>2022</v>
      </c>
      <c r="L52" s="4">
        <f t="shared" si="2"/>
        <v>15</v>
      </c>
      <c r="M52" s="18">
        <v>60</v>
      </c>
      <c r="N52" s="4">
        <v>0.05</v>
      </c>
      <c r="O52" s="20">
        <f t="shared" si="12"/>
        <v>1.5833333333333331E-2</v>
      </c>
      <c r="P52" s="5">
        <v>1500</v>
      </c>
      <c r="Q52" s="5">
        <v>2000</v>
      </c>
      <c r="R52" s="6">
        <f t="shared" si="13"/>
        <v>396030.00000000006</v>
      </c>
      <c r="S52" s="6">
        <f t="shared" si="10"/>
        <v>94057.125</v>
      </c>
      <c r="T52" s="6">
        <f t="shared" si="11"/>
        <v>301972.87500000006</v>
      </c>
      <c r="U52" s="4">
        <v>0</v>
      </c>
      <c r="V52" s="6">
        <f>IF(T52&gt;N52*R52,T52*(1+U52),R52*N52)</f>
        <v>301972.87500000006</v>
      </c>
      <c r="W52" s="10">
        <f>SUM(V51:V52)</f>
        <v>905488.5</v>
      </c>
      <c r="X52" s="10">
        <f>SUM(R51:R52)</f>
        <v>1333530</v>
      </c>
    </row>
    <row r="53" spans="2:24" s="1" customFormat="1" x14ac:dyDescent="0.25">
      <c r="B53" s="76" t="s">
        <v>95</v>
      </c>
      <c r="C53" s="77"/>
      <c r="D53" s="77"/>
      <c r="E53" s="77"/>
      <c r="F53" s="77"/>
      <c r="G53" s="77"/>
      <c r="H53" s="77"/>
      <c r="I53" s="77"/>
      <c r="J53" s="77"/>
      <c r="K53" s="77"/>
      <c r="L53" s="77"/>
      <c r="M53" s="77"/>
      <c r="N53" s="77"/>
      <c r="O53" s="77"/>
      <c r="P53" s="77"/>
      <c r="Q53" s="77"/>
      <c r="R53" s="77"/>
      <c r="S53" s="77"/>
      <c r="T53" s="77"/>
      <c r="U53" s="77"/>
      <c r="V53" s="78"/>
    </row>
    <row r="54" spans="2:24" ht="30" x14ac:dyDescent="0.25">
      <c r="B54" s="23">
        <v>48</v>
      </c>
      <c r="C54" s="7"/>
      <c r="D54" s="16" t="s">
        <v>78</v>
      </c>
      <c r="E54" s="7" t="s">
        <v>81</v>
      </c>
      <c r="F54" s="7" t="s">
        <v>15</v>
      </c>
      <c r="G54" s="17">
        <f>21.5*9.21</f>
        <v>198.01500000000001</v>
      </c>
      <c r="H54" s="2">
        <f t="shared" si="1"/>
        <v>2131.4334600000002</v>
      </c>
      <c r="I54" s="66">
        <v>9.84</v>
      </c>
      <c r="J54" s="7">
        <v>2007</v>
      </c>
      <c r="K54" s="19">
        <v>2022</v>
      </c>
      <c r="L54" s="4">
        <f t="shared" si="2"/>
        <v>15</v>
      </c>
      <c r="M54" s="18">
        <v>60</v>
      </c>
      <c r="N54" s="4">
        <v>0.05</v>
      </c>
      <c r="O54" s="20">
        <f t="shared" si="12"/>
        <v>1.5833333333333331E-2</v>
      </c>
      <c r="P54" s="5">
        <v>1500</v>
      </c>
      <c r="Q54" s="5">
        <f t="shared" si="9"/>
        <v>16145.849999999999</v>
      </c>
      <c r="R54" s="6">
        <f t="shared" si="13"/>
        <v>3197120.4877499999</v>
      </c>
      <c r="S54" s="6">
        <f t="shared" si="10"/>
        <v>759316.11584062479</v>
      </c>
      <c r="T54" s="6">
        <f t="shared" si="11"/>
        <v>2437804.3719093753</v>
      </c>
      <c r="U54" s="4">
        <v>0</v>
      </c>
      <c r="V54" s="6">
        <f>IF(T54&gt;N54*R54,T54*(1+U54),R54*N54)</f>
        <v>2437804.3719093753</v>
      </c>
    </row>
    <row r="55" spans="2:24" ht="30" x14ac:dyDescent="0.25">
      <c r="B55" s="23">
        <v>49</v>
      </c>
      <c r="C55" s="7"/>
      <c r="D55" s="16" t="s">
        <v>79</v>
      </c>
      <c r="E55" s="7" t="s">
        <v>81</v>
      </c>
      <c r="F55" s="7" t="s">
        <v>15</v>
      </c>
      <c r="G55" s="24">
        <v>5400</v>
      </c>
      <c r="H55" s="25">
        <f t="shared" si="1"/>
        <v>58125.599999999999</v>
      </c>
      <c r="I55" s="66">
        <v>22.96</v>
      </c>
      <c r="J55" s="7">
        <v>2007</v>
      </c>
      <c r="K55" s="11">
        <v>2022</v>
      </c>
      <c r="L55" s="15">
        <f>K55-J55</f>
        <v>15</v>
      </c>
      <c r="M55" s="18">
        <v>60</v>
      </c>
      <c r="N55" s="4">
        <v>0.05</v>
      </c>
      <c r="O55" s="20">
        <f t="shared" si="12"/>
        <v>1.5833333333333331E-2</v>
      </c>
      <c r="P55" s="5">
        <v>1500</v>
      </c>
      <c r="Q55" s="5">
        <f t="shared" si="9"/>
        <v>16145.849999999999</v>
      </c>
      <c r="R55" s="27">
        <f t="shared" si="13"/>
        <v>87187589.999999985</v>
      </c>
      <c r="S55" s="6">
        <f t="shared" si="10"/>
        <v>20707052.624999993</v>
      </c>
      <c r="T55" s="28">
        <f t="shared" si="11"/>
        <v>66480537.374999993</v>
      </c>
      <c r="U55" s="4">
        <v>0</v>
      </c>
      <c r="V55" s="6">
        <f>IF(T55&gt;N55*R55,T55*(1+U55),R55*N55)</f>
        <v>66480537.374999993</v>
      </c>
    </row>
    <row r="56" spans="2:24" s="1" customFormat="1" ht="30" x14ac:dyDescent="0.25">
      <c r="B56" s="23">
        <v>52</v>
      </c>
      <c r="C56" s="7"/>
      <c r="D56" s="16" t="s">
        <v>93</v>
      </c>
      <c r="E56" s="7" t="s">
        <v>81</v>
      </c>
      <c r="F56" s="7" t="s">
        <v>15</v>
      </c>
      <c r="G56" s="24">
        <v>5837</v>
      </c>
      <c r="H56" s="25">
        <f t="shared" si="1"/>
        <v>62829.467999999993</v>
      </c>
      <c r="I56" s="69"/>
      <c r="J56" s="7">
        <v>2013</v>
      </c>
      <c r="K56" s="11">
        <v>2022</v>
      </c>
      <c r="L56" s="15">
        <f t="shared" ref="L56:L57" si="14">K56-J56</f>
        <v>9</v>
      </c>
      <c r="M56" s="18">
        <v>60</v>
      </c>
      <c r="N56" s="4">
        <v>0.05</v>
      </c>
      <c r="O56" s="20">
        <f t="shared" si="12"/>
        <v>1.5833333333333331E-2</v>
      </c>
      <c r="P56" s="5">
        <v>1500</v>
      </c>
      <c r="Q56" s="5">
        <f t="shared" si="9"/>
        <v>16145.849999999999</v>
      </c>
      <c r="R56" s="27">
        <f t="shared" si="13"/>
        <v>94243326.449999988</v>
      </c>
      <c r="S56" s="6">
        <f t="shared" si="10"/>
        <v>13429674.019124996</v>
      </c>
      <c r="T56" s="28">
        <f t="shared" si="11"/>
        <v>80813652.430874988</v>
      </c>
      <c r="U56" s="4">
        <v>0</v>
      </c>
      <c r="V56" s="6">
        <f>IF(T56&gt;N56*R56,T56*(1+U56),R56*N56)</f>
        <v>80813652.430874988</v>
      </c>
    </row>
    <row r="57" spans="2:24" s="1" customFormat="1" ht="30" x14ac:dyDescent="0.25">
      <c r="B57" s="23">
        <v>53</v>
      </c>
      <c r="C57" s="7"/>
      <c r="D57" s="16" t="s">
        <v>94</v>
      </c>
      <c r="E57" s="7" t="s">
        <v>81</v>
      </c>
      <c r="F57" s="7" t="s">
        <v>15</v>
      </c>
      <c r="G57" s="24">
        <v>125</v>
      </c>
      <c r="H57" s="25">
        <f t="shared" si="1"/>
        <v>1345.5</v>
      </c>
      <c r="I57" s="69"/>
      <c r="J57" s="7">
        <v>2013</v>
      </c>
      <c r="K57" s="11">
        <v>2022</v>
      </c>
      <c r="L57" s="15">
        <f t="shared" si="14"/>
        <v>9</v>
      </c>
      <c r="M57" s="18">
        <v>60</v>
      </c>
      <c r="N57" s="4">
        <v>0.05</v>
      </c>
      <c r="O57" s="20">
        <f t="shared" si="12"/>
        <v>1.5833333333333331E-2</v>
      </c>
      <c r="P57" s="5">
        <v>1500</v>
      </c>
      <c r="Q57" s="5">
        <f>P57*10.7639</f>
        <v>16145.849999999999</v>
      </c>
      <c r="R57" s="27">
        <f>Q57*G57</f>
        <v>2018231.2499999998</v>
      </c>
      <c r="S57" s="6">
        <f t="shared" si="10"/>
        <v>287597.95312499994</v>
      </c>
      <c r="T57" s="28">
        <f t="shared" si="11"/>
        <v>1730633.2968749998</v>
      </c>
      <c r="U57" s="4">
        <v>0</v>
      </c>
      <c r="V57" s="6">
        <f>IF(T57&gt;N57*R57,T57*(1+U57),R57*N57)</f>
        <v>1730633.2968749998</v>
      </c>
    </row>
    <row r="58" spans="2:24" ht="30" x14ac:dyDescent="0.25">
      <c r="B58" s="23">
        <v>54</v>
      </c>
      <c r="C58" s="7"/>
      <c r="D58" s="16" t="s">
        <v>80</v>
      </c>
      <c r="E58" s="7" t="s">
        <v>82</v>
      </c>
      <c r="F58" s="7" t="s">
        <v>15</v>
      </c>
      <c r="G58" s="17">
        <f>70*(18*30)/10.76</f>
        <v>3513.0111524163572</v>
      </c>
      <c r="H58" s="2">
        <f t="shared" si="1"/>
        <v>37814.052044609663</v>
      </c>
      <c r="I58" s="66">
        <v>10.66</v>
      </c>
      <c r="J58" s="7">
        <v>2007</v>
      </c>
      <c r="K58" s="19">
        <v>2022</v>
      </c>
      <c r="L58" s="4">
        <f t="shared" si="2"/>
        <v>15</v>
      </c>
      <c r="M58" s="22">
        <v>40</v>
      </c>
      <c r="N58" s="22">
        <v>0.05</v>
      </c>
      <c r="O58" s="20">
        <f t="shared" si="12"/>
        <v>2.375E-2</v>
      </c>
      <c r="P58" s="5">
        <v>700</v>
      </c>
      <c r="Q58" s="5">
        <f t="shared" si="9"/>
        <v>7534.73</v>
      </c>
      <c r="R58" s="56">
        <f t="shared" si="13"/>
        <v>26469590.520446096</v>
      </c>
      <c r="S58" s="6">
        <f>R58*O58*L58</f>
        <v>9429791.6229089219</v>
      </c>
      <c r="T58" s="55">
        <f t="shared" si="11"/>
        <v>17039798.897537172</v>
      </c>
      <c r="U58" s="4">
        <v>0</v>
      </c>
      <c r="V58" s="6">
        <f>IF(T58&gt;N58*R58,T58*(1+U58),R58*N58)</f>
        <v>17039798.897537172</v>
      </c>
      <c r="W58" s="10">
        <f>SUM(V54:V58)</f>
        <v>168502426.37219653</v>
      </c>
      <c r="X58" s="10">
        <f>SUM(R54:R58)</f>
        <v>213115858.70819607</v>
      </c>
    </row>
    <row r="59" spans="2:24" x14ac:dyDescent="0.25">
      <c r="B59" s="3"/>
      <c r="C59" s="79" t="s">
        <v>112</v>
      </c>
      <c r="D59" s="80"/>
      <c r="E59" s="80"/>
      <c r="F59" s="80"/>
      <c r="G59" s="80"/>
      <c r="H59" s="80"/>
      <c r="I59" s="80"/>
      <c r="J59" s="80"/>
      <c r="K59" s="80"/>
      <c r="L59" s="80"/>
      <c r="M59" s="80"/>
      <c r="N59" s="80"/>
      <c r="O59" s="80"/>
      <c r="P59" s="80"/>
      <c r="Q59" s="81"/>
      <c r="R59" s="63">
        <f>X58+X52+X49+X30</f>
        <v>697491027.11931539</v>
      </c>
      <c r="S59" s="64"/>
      <c r="T59" s="64"/>
      <c r="U59" s="64"/>
      <c r="V59" s="63">
        <f>W58+W52+W49+W30</f>
        <v>504561290.46813393</v>
      </c>
    </row>
    <row r="63" spans="2:24" x14ac:dyDescent="0.25">
      <c r="G63" s="10"/>
    </row>
    <row r="66" spans="2:22" ht="30" x14ac:dyDescent="0.25">
      <c r="B66" s="23">
        <v>50</v>
      </c>
      <c r="C66" s="7" t="s">
        <v>91</v>
      </c>
      <c r="D66" s="16" t="s">
        <v>92</v>
      </c>
      <c r="E66" s="7" t="s">
        <v>81</v>
      </c>
      <c r="F66" s="7" t="s">
        <v>15</v>
      </c>
      <c r="G66" s="24">
        <v>18225</v>
      </c>
      <c r="H66" s="25">
        <f t="shared" ref="H66:H67" si="15">G66*10.764</f>
        <v>196173.9</v>
      </c>
      <c r="I66" s="69"/>
      <c r="J66" s="7">
        <v>2007</v>
      </c>
      <c r="K66" s="11">
        <v>2022</v>
      </c>
      <c r="L66" s="15">
        <f t="shared" ref="L66:L67" si="16">K66-J66</f>
        <v>15</v>
      </c>
      <c r="M66" s="18">
        <v>60</v>
      </c>
      <c r="N66" s="4">
        <v>0.05</v>
      </c>
      <c r="O66" s="20">
        <f t="shared" ref="O66:O67" si="17">(1-N66)/M66</f>
        <v>1.5833333333333331E-2</v>
      </c>
      <c r="P66" s="5">
        <v>1500</v>
      </c>
      <c r="Q66" s="5">
        <f t="shared" ref="Q66:Q67" si="18">P66*10.7639</f>
        <v>16145.849999999999</v>
      </c>
      <c r="R66" s="27">
        <f t="shared" ref="R66:R67" si="19">Q66*G66</f>
        <v>294258116.25</v>
      </c>
      <c r="S66" s="6">
        <f t="shared" ref="S66:S67" si="20">R66*O66*L66</f>
        <v>69886302.609374985</v>
      </c>
      <c r="T66" s="28">
        <f t="shared" ref="T66:T67" si="21">MAX(R66-S66,0)</f>
        <v>224371813.640625</v>
      </c>
      <c r="U66" s="4">
        <v>0.05</v>
      </c>
      <c r="V66" s="6">
        <f>IF(T66&gt;N66*R66,T66*(1+U66),R66*N66)</f>
        <v>235590404.32265627</v>
      </c>
    </row>
    <row r="67" spans="2:22" ht="30" x14ac:dyDescent="0.25">
      <c r="B67" s="23">
        <v>51</v>
      </c>
      <c r="C67" s="7" t="s">
        <v>91</v>
      </c>
      <c r="D67" s="16" t="s">
        <v>96</v>
      </c>
      <c r="E67" s="7" t="s">
        <v>81</v>
      </c>
      <c r="F67" s="7" t="s">
        <v>15</v>
      </c>
      <c r="G67" s="24">
        <v>58310</v>
      </c>
      <c r="H67" s="25">
        <f t="shared" si="15"/>
        <v>627648.84</v>
      </c>
      <c r="I67" s="69"/>
      <c r="J67" s="7">
        <v>2007</v>
      </c>
      <c r="K67" s="11">
        <v>2022</v>
      </c>
      <c r="L67" s="15">
        <f t="shared" si="16"/>
        <v>15</v>
      </c>
      <c r="M67" s="18">
        <v>60</v>
      </c>
      <c r="N67" s="4">
        <v>0.05</v>
      </c>
      <c r="O67" s="20">
        <f t="shared" si="17"/>
        <v>1.5833333333333331E-2</v>
      </c>
      <c r="P67" s="5">
        <v>1500</v>
      </c>
      <c r="Q67" s="5">
        <f t="shared" si="18"/>
        <v>16145.849999999999</v>
      </c>
      <c r="R67" s="27">
        <f t="shared" si="19"/>
        <v>941464513.49999988</v>
      </c>
      <c r="S67" s="6">
        <f t="shared" si="20"/>
        <v>223597821.95624992</v>
      </c>
      <c r="T67" s="28">
        <f t="shared" si="21"/>
        <v>717866691.54374993</v>
      </c>
      <c r="U67" s="4">
        <v>0.05</v>
      </c>
      <c r="V67" s="6">
        <f>IF(T67&gt;N67*R67,T67*(1+U67),R67*N67)</f>
        <v>753760026.12093747</v>
      </c>
    </row>
    <row r="68" spans="2:22" x14ac:dyDescent="0.25">
      <c r="R68" s="10">
        <f>SUM(R66:R67)</f>
        <v>1235722629.75</v>
      </c>
      <c r="V68" s="10">
        <f>SUM(V66:V67)</f>
        <v>989350430.44359374</v>
      </c>
    </row>
  </sheetData>
  <autoFilter ref="B4:V59" xr:uid="{9D6BA848-08B8-45AF-ACF6-6DA9734142AA}"/>
  <mergeCells count="6">
    <mergeCell ref="B50:V50"/>
    <mergeCell ref="B53:V53"/>
    <mergeCell ref="C59:Q59"/>
    <mergeCell ref="B3:V3"/>
    <mergeCell ref="B31:V31"/>
    <mergeCell ref="B5:V5"/>
  </mergeCells>
  <dataValidations count="2">
    <dataValidation type="list" allowBlank="1" showInputMessage="1" showErrorMessage="1" sqref="E6:E12 E17:E20 E23:E25 E27:E29 E32 E37:E39 E42 E52 E34:E35 E45:E49 E66:E67 E54:E57" xr:uid="{1B4DBB89-A4B3-4E1D-B6F2-EA467BAC35F5}">
      <formula1>$K$2:$K$8</formula1>
    </dataValidation>
    <dataValidation type="list" allowBlank="1" showInputMessage="1" showErrorMessage="1" sqref="F6:F30 F32:F49 F51:F52 F66:F67 F54:F58" xr:uid="{95A37D86-5B63-4B79-B6BF-4401DDC70FCF}">
      <formula1>"Very Good, Good, Average, Poor, Ordinary with wreckages in the structure"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527C4-5315-46B1-95AA-883EFC398601}">
  <dimension ref="B1:K8"/>
  <sheetViews>
    <sheetView workbookViewId="0">
      <selection activeCell="C23" sqref="C23"/>
    </sheetView>
  </sheetViews>
  <sheetFormatPr defaultRowHeight="15" x14ac:dyDescent="0.25"/>
  <cols>
    <col min="3" max="3" width="32.140625" customWidth="1"/>
    <col min="4" max="5" width="0" hidden="1" customWidth="1"/>
    <col min="6" max="6" width="15" customWidth="1"/>
    <col min="7" max="7" width="37.85546875" customWidth="1"/>
    <col min="8" max="8" width="13.28515625" customWidth="1"/>
    <col min="9" max="9" width="11.28515625" bestFit="1" customWidth="1"/>
    <col min="10" max="10" width="12.42578125" customWidth="1"/>
    <col min="11" max="11" width="22" bestFit="1" customWidth="1"/>
  </cols>
  <sheetData>
    <row r="1" spans="2:11" ht="15.75" thickBot="1" x14ac:dyDescent="0.3"/>
    <row r="2" spans="2:11" x14ac:dyDescent="0.25">
      <c r="B2" s="83" t="s">
        <v>83</v>
      </c>
      <c r="C2" s="84"/>
      <c r="D2" s="84"/>
      <c r="E2" s="84"/>
      <c r="F2" s="84"/>
      <c r="G2" s="84"/>
      <c r="H2" s="84"/>
      <c r="I2" s="84"/>
      <c r="J2" s="84"/>
      <c r="K2" s="85"/>
    </row>
    <row r="3" spans="2:11" ht="51" x14ac:dyDescent="0.25">
      <c r="B3" s="30" t="s">
        <v>0</v>
      </c>
      <c r="C3" s="31" t="s">
        <v>1</v>
      </c>
      <c r="D3" s="31" t="s">
        <v>2</v>
      </c>
      <c r="E3" s="31" t="s">
        <v>3</v>
      </c>
      <c r="F3" s="31" t="s">
        <v>4</v>
      </c>
      <c r="G3" s="31" t="s">
        <v>84</v>
      </c>
      <c r="H3" s="31" t="s">
        <v>85</v>
      </c>
      <c r="I3" s="31" t="s">
        <v>86</v>
      </c>
      <c r="J3" s="31" t="s">
        <v>87</v>
      </c>
      <c r="K3" s="32" t="s">
        <v>88</v>
      </c>
    </row>
    <row r="4" spans="2:11" ht="30" x14ac:dyDescent="0.25">
      <c r="B4" s="33">
        <v>1</v>
      </c>
      <c r="C4" s="34" t="s">
        <v>56</v>
      </c>
      <c r="D4" s="35"/>
      <c r="E4" s="36"/>
      <c r="F4" s="26">
        <v>2007</v>
      </c>
      <c r="G4" s="26" t="s">
        <v>81</v>
      </c>
      <c r="H4" s="37" t="s">
        <v>89</v>
      </c>
      <c r="I4" s="26">
        <v>657.87</v>
      </c>
      <c r="J4" s="38">
        <v>2500</v>
      </c>
      <c r="K4" s="39">
        <f>J4*I4</f>
        <v>1644675</v>
      </c>
    </row>
    <row r="5" spans="2:11" ht="30" x14ac:dyDescent="0.25">
      <c r="B5" s="40">
        <v>2</v>
      </c>
      <c r="C5" s="16" t="s">
        <v>72</v>
      </c>
      <c r="D5" s="41"/>
      <c r="E5" s="3"/>
      <c r="F5" s="7">
        <v>2007</v>
      </c>
      <c r="G5" s="7" t="s">
        <v>81</v>
      </c>
      <c r="H5" s="3" t="s">
        <v>89</v>
      </c>
      <c r="I5" s="42">
        <f>243+1803+184+283+209+133</f>
        <v>2855</v>
      </c>
      <c r="J5" s="43">
        <v>18000</v>
      </c>
      <c r="K5" s="44">
        <f t="shared" ref="K5:K7" si="0">J5*I5</f>
        <v>51390000</v>
      </c>
    </row>
    <row r="6" spans="2:11" ht="30" x14ac:dyDescent="0.25">
      <c r="B6" s="45">
        <v>3</v>
      </c>
      <c r="C6" s="46" t="s">
        <v>73</v>
      </c>
      <c r="D6" s="47"/>
      <c r="E6" s="48"/>
      <c r="F6" s="29">
        <v>2007</v>
      </c>
      <c r="G6" s="29" t="s">
        <v>81</v>
      </c>
      <c r="H6" s="48" t="s">
        <v>89</v>
      </c>
      <c r="I6" s="49">
        <v>4022</v>
      </c>
      <c r="J6" s="50">
        <v>3000</v>
      </c>
      <c r="K6" s="51">
        <f t="shared" si="0"/>
        <v>12066000</v>
      </c>
    </row>
    <row r="7" spans="2:11" ht="30.75" thickBot="1" x14ac:dyDescent="0.3">
      <c r="B7" s="33">
        <v>4</v>
      </c>
      <c r="C7" s="34" t="s">
        <v>74</v>
      </c>
      <c r="D7" s="35"/>
      <c r="E7" s="37"/>
      <c r="F7" s="26">
        <v>2007</v>
      </c>
      <c r="G7" s="26" t="s">
        <v>81</v>
      </c>
      <c r="H7" s="37" t="s">
        <v>89</v>
      </c>
      <c r="I7" s="52">
        <v>5360</v>
      </c>
      <c r="J7" s="38">
        <v>3000</v>
      </c>
      <c r="K7" s="39">
        <f t="shared" si="0"/>
        <v>16080000</v>
      </c>
    </row>
    <row r="8" spans="2:11" ht="15.75" thickBot="1" x14ac:dyDescent="0.3">
      <c r="B8" s="86" t="s">
        <v>90</v>
      </c>
      <c r="C8" s="87"/>
      <c r="D8" s="87"/>
      <c r="E8" s="87"/>
      <c r="F8" s="87"/>
      <c r="G8" s="87"/>
      <c r="H8" s="88"/>
      <c r="I8" s="53">
        <f>SUM(I4:I7)</f>
        <v>12894.869999999999</v>
      </c>
      <c r="J8" s="53"/>
      <c r="K8" s="54">
        <f>SUM(K4:K7)</f>
        <v>81180675</v>
      </c>
    </row>
  </sheetData>
  <mergeCells count="2">
    <mergeCell ref="B2:K2"/>
    <mergeCell ref="B8:H8"/>
  </mergeCells>
  <dataValidations count="1">
    <dataValidation type="list" allowBlank="1" showInputMessage="1" showErrorMessage="1" sqref="G4:G7" xr:uid="{6F1F347F-F74A-4EB1-B5D2-987B139DF971}">
      <formula1>$J$3:$J$3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5580-232A-409F-8C8D-C5ACA45DD205}">
  <dimension ref="A1:I13"/>
  <sheetViews>
    <sheetView tabSelected="1" workbookViewId="0">
      <selection activeCell="Q10" sqref="Q10"/>
    </sheetView>
  </sheetViews>
  <sheetFormatPr defaultRowHeight="15" x14ac:dyDescent="0.25"/>
  <cols>
    <col min="6" max="6" width="11.28515625" customWidth="1"/>
    <col min="8" max="8" width="18.7109375" customWidth="1"/>
    <col min="9" max="9" width="21.42578125" customWidth="1"/>
  </cols>
  <sheetData>
    <row r="1" spans="1:9" x14ac:dyDescent="0.25">
      <c r="A1" t="s">
        <v>99</v>
      </c>
    </row>
    <row r="2" spans="1:9" ht="33" customHeight="1" x14ac:dyDescent="0.25">
      <c r="D2" s="90" t="s">
        <v>115</v>
      </c>
      <c r="E2" s="90"/>
      <c r="F2" s="90"/>
      <c r="G2" s="90"/>
      <c r="H2" s="90"/>
      <c r="I2" s="90"/>
    </row>
    <row r="3" spans="1:9" ht="30" x14ac:dyDescent="0.25">
      <c r="D3" s="58" t="s">
        <v>6</v>
      </c>
      <c r="E3" s="91" t="s">
        <v>100</v>
      </c>
      <c r="F3" s="91"/>
      <c r="G3" s="58" t="s">
        <v>101</v>
      </c>
      <c r="H3" s="58" t="s">
        <v>102</v>
      </c>
      <c r="I3" s="59" t="s">
        <v>103</v>
      </c>
    </row>
    <row r="4" spans="1:9" x14ac:dyDescent="0.25">
      <c r="D4" s="60">
        <v>1</v>
      </c>
      <c r="E4" s="92" t="s">
        <v>95</v>
      </c>
      <c r="F4" s="92"/>
      <c r="G4" s="60" t="s">
        <v>104</v>
      </c>
      <c r="H4" s="71">
        <f>Sugar_Unit_working_Building!R59</f>
        <v>697491027.11931539</v>
      </c>
      <c r="I4" s="72">
        <f>Sugar_Unit_working_Building!V59</f>
        <v>504561290.46813393</v>
      </c>
    </row>
    <row r="5" spans="1:9" x14ac:dyDescent="0.25">
      <c r="D5" s="61">
        <v>2</v>
      </c>
      <c r="E5" s="92" t="s">
        <v>114</v>
      </c>
      <c r="F5" s="92"/>
      <c r="G5" s="62" t="s">
        <v>105</v>
      </c>
      <c r="H5" s="71">
        <f>'Roads &amp; Drainage'!K8</f>
        <v>81180675</v>
      </c>
      <c r="I5" s="72">
        <f>H5</f>
        <v>81180675</v>
      </c>
    </row>
    <row r="6" spans="1:9" x14ac:dyDescent="0.25">
      <c r="D6" s="93" t="s">
        <v>90</v>
      </c>
      <c r="E6" s="93"/>
      <c r="F6" s="93"/>
      <c r="G6" s="93"/>
      <c r="H6" s="70">
        <f>SUM(H4:H5)</f>
        <v>778671702.11931539</v>
      </c>
      <c r="I6" s="70">
        <f>SUM(I4:I5)</f>
        <v>585741965.46813393</v>
      </c>
    </row>
    <row r="7" spans="1:9" x14ac:dyDescent="0.25">
      <c r="D7" s="94" t="s">
        <v>106</v>
      </c>
      <c r="E7" s="94"/>
      <c r="F7" s="94"/>
      <c r="G7" s="94"/>
      <c r="H7" s="94"/>
      <c r="I7" s="94"/>
    </row>
    <row r="8" spans="1:9" ht="30" customHeight="1" x14ac:dyDescent="0.25">
      <c r="D8" s="89" t="s">
        <v>116</v>
      </c>
      <c r="E8" s="89"/>
      <c r="F8" s="89"/>
      <c r="G8" s="89"/>
      <c r="H8" s="89"/>
      <c r="I8" s="89"/>
    </row>
    <row r="9" spans="1:9" ht="48.75" customHeight="1" x14ac:dyDescent="0.25">
      <c r="D9" s="89" t="s">
        <v>107</v>
      </c>
      <c r="E9" s="89"/>
      <c r="F9" s="89"/>
      <c r="G9" s="89"/>
      <c r="H9" s="89"/>
      <c r="I9" s="89"/>
    </row>
    <row r="10" spans="1:9" ht="44.25" customHeight="1" x14ac:dyDescent="0.25">
      <c r="D10" s="89" t="s">
        <v>108</v>
      </c>
      <c r="E10" s="89"/>
      <c r="F10" s="89"/>
      <c r="G10" s="89"/>
      <c r="H10" s="89"/>
      <c r="I10" s="89"/>
    </row>
    <row r="11" spans="1:9" ht="30.75" customHeight="1" x14ac:dyDescent="0.25">
      <c r="D11" s="89" t="s">
        <v>109</v>
      </c>
      <c r="E11" s="89"/>
      <c r="F11" s="89"/>
      <c r="G11" s="89"/>
      <c r="H11" s="89"/>
      <c r="I11" s="89"/>
    </row>
    <row r="12" spans="1:9" ht="47.25" customHeight="1" x14ac:dyDescent="0.25">
      <c r="D12" s="89" t="s">
        <v>110</v>
      </c>
      <c r="E12" s="89"/>
      <c r="F12" s="89"/>
      <c r="G12" s="89"/>
      <c r="H12" s="89"/>
      <c r="I12" s="89"/>
    </row>
    <row r="13" spans="1:9" ht="33.75" customHeight="1" x14ac:dyDescent="0.25">
      <c r="D13" s="89" t="s">
        <v>111</v>
      </c>
      <c r="E13" s="89"/>
      <c r="F13" s="89"/>
      <c r="G13" s="89"/>
      <c r="H13" s="89"/>
      <c r="I13" s="89"/>
    </row>
  </sheetData>
  <mergeCells count="12">
    <mergeCell ref="D13:I13"/>
    <mergeCell ref="D2:I2"/>
    <mergeCell ref="E3:F3"/>
    <mergeCell ref="E4:F4"/>
    <mergeCell ref="E5:F5"/>
    <mergeCell ref="D6:G6"/>
    <mergeCell ref="D7:I7"/>
    <mergeCell ref="D8:I8"/>
    <mergeCell ref="D9:I9"/>
    <mergeCell ref="D10:I10"/>
    <mergeCell ref="D11:I11"/>
    <mergeCell ref="D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Sugar_Unit_working_Building</vt:lpstr>
      <vt:lpstr>Roads &amp; Drainage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Arup Banerjee</cp:lastModifiedBy>
  <dcterms:created xsi:type="dcterms:W3CDTF">2022-06-07T07:34:36Z</dcterms:created>
  <dcterms:modified xsi:type="dcterms:W3CDTF">2022-07-20T05:53:16Z</dcterms:modified>
</cp:coreProperties>
</file>