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rup Banerjee\BHSL DOCS\BHSL_FV\Barkhera_VIS(2022-2023)_PL-073-061-116 Barkhera\Report_&amp;_Working\"/>
    </mc:Choice>
  </mc:AlternateContent>
  <xr:revisionPtr revIDLastSave="0" documentId="13_ncr:1_{6FAF2701-B762-4427-972B-269B42DE1B93}" xr6:coauthVersionLast="47" xr6:coauthVersionMax="47" xr10:uidLastSave="{00000000-0000-0000-0000-000000000000}"/>
  <bookViews>
    <workbookView xWindow="-120" yWindow="-120" windowWidth="21840" windowHeight="13140" activeTab="4" xr2:uid="{E6DD5938-DF05-4B5C-9C54-E4942E4E9A91}"/>
  </bookViews>
  <sheets>
    <sheet name="Sugar_Unit" sheetId="1" r:id="rId1"/>
    <sheet name="Block_area" sheetId="3" r:id="rId2"/>
    <sheet name="Yards" sheetId="2" r:id="rId3"/>
    <sheet name="Roads_Drain_Boundary" sheetId="4" r:id="rId4"/>
    <sheet name="Summary" sheetId="5" r:id="rId5"/>
    <sheet name="Circle_rates" sheetId="6" r:id="rId6"/>
    <sheet name="land_acquisition" sheetId="7" r:id="rId7"/>
    <sheet name="FMV_Land" sheetId="8" r:id="rId8"/>
    <sheet name="FMV Belting Method" sheetId="9" r:id="rId9"/>
  </sheets>
  <definedNames>
    <definedName name="_xlnm._FilterDatabase" localSheetId="0" hidden="1">Sugar_Unit!$B$3:$W$39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5" l="1"/>
  <c r="E6" i="5"/>
  <c r="E5" i="5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4" i="1"/>
  <c r="W5" i="3"/>
  <c r="W6" i="3"/>
  <c r="W7" i="3"/>
  <c r="W8" i="3"/>
  <c r="W9" i="3"/>
  <c r="W10" i="3"/>
  <c r="W11" i="3"/>
  <c r="W4" i="3"/>
  <c r="I5" i="6"/>
  <c r="H14" i="9" l="1"/>
  <c r="H8" i="9"/>
  <c r="H7" i="9"/>
  <c r="G7" i="9"/>
  <c r="G8" i="9" s="1"/>
  <c r="H6" i="9"/>
  <c r="G6" i="9"/>
  <c r="F6" i="9"/>
  <c r="F8" i="9" s="1"/>
  <c r="F9" i="9" l="1"/>
  <c r="H13" i="9" l="1"/>
  <c r="F10" i="9"/>
  <c r="H11" i="9" s="1"/>
  <c r="H12" i="9"/>
  <c r="H15" i="9" s="1"/>
  <c r="K6" i="8" l="1"/>
  <c r="H5" i="6"/>
  <c r="I7" i="6" s="1"/>
  <c r="I6" i="6"/>
  <c r="H6" i="6"/>
  <c r="H8" i="8"/>
  <c r="H7" i="8"/>
  <c r="P14" i="8"/>
  <c r="I15" i="5"/>
  <c r="L14" i="8"/>
  <c r="H9" i="8"/>
  <c r="H6" i="8"/>
  <c r="H10" i="8" s="1"/>
  <c r="I10" i="8" s="1"/>
  <c r="F6" i="8"/>
  <c r="F7" i="7"/>
  <c r="H6" i="7"/>
  <c r="E6" i="7"/>
  <c r="E5" i="7"/>
  <c r="H5" i="7" s="1"/>
  <c r="H7" i="7" s="1"/>
  <c r="H9" i="7" s="1"/>
  <c r="H13" i="7" s="1"/>
  <c r="H15" i="7" s="1"/>
  <c r="H17" i="7" s="1"/>
  <c r="F7" i="6"/>
  <c r="G6" i="6"/>
  <c r="E6" i="6"/>
  <c r="G5" i="6"/>
  <c r="G7" i="6" s="1"/>
  <c r="E5" i="6"/>
  <c r="E7" i="6" s="1"/>
  <c r="S39" i="1"/>
  <c r="U12" i="3"/>
  <c r="T12" i="3"/>
  <c r="S12" i="3"/>
  <c r="E8" i="5"/>
  <c r="I8" i="4"/>
  <c r="K7" i="4"/>
  <c r="K6" i="4"/>
  <c r="K5" i="4"/>
  <c r="U11" i="3"/>
  <c r="T11" i="3"/>
  <c r="S11" i="3"/>
  <c r="R7" i="3"/>
  <c r="S7" i="3" s="1"/>
  <c r="R8" i="3"/>
  <c r="S8" i="3" s="1"/>
  <c r="R9" i="3"/>
  <c r="S9" i="3" s="1"/>
  <c r="R10" i="3"/>
  <c r="S10" i="3" s="1"/>
  <c r="R11" i="3"/>
  <c r="P7" i="3"/>
  <c r="P8" i="3"/>
  <c r="P9" i="3"/>
  <c r="P10" i="3"/>
  <c r="P11" i="3"/>
  <c r="M7" i="3"/>
  <c r="M8" i="3"/>
  <c r="M9" i="3"/>
  <c r="M10" i="3"/>
  <c r="M11" i="3"/>
  <c r="I7" i="3"/>
  <c r="I8" i="3"/>
  <c r="I9" i="3"/>
  <c r="I10" i="3"/>
  <c r="I11" i="3"/>
  <c r="I5" i="3"/>
  <c r="I6" i="3"/>
  <c r="H7" i="3"/>
  <c r="H8" i="3"/>
  <c r="H9" i="3"/>
  <c r="H10" i="3"/>
  <c r="H11" i="3"/>
  <c r="G9" i="3"/>
  <c r="R6" i="3"/>
  <c r="S6" i="3" s="1"/>
  <c r="P6" i="3"/>
  <c r="M6" i="3"/>
  <c r="H6" i="3"/>
  <c r="Z6" i="3" s="1"/>
  <c r="R5" i="3"/>
  <c r="S5" i="3" s="1"/>
  <c r="P5" i="3"/>
  <c r="M5" i="3"/>
  <c r="H5" i="3"/>
  <c r="Z5" i="3" s="1"/>
  <c r="Z4" i="3"/>
  <c r="R4" i="3"/>
  <c r="S4" i="3" s="1"/>
  <c r="P4" i="3"/>
  <c r="M4" i="3"/>
  <c r="I4" i="3"/>
  <c r="H4" i="3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16" i="1"/>
  <c r="S16" i="1" s="1"/>
  <c r="R17" i="1"/>
  <c r="S17" i="1" s="1"/>
  <c r="R22" i="1"/>
  <c r="S22" i="1" s="1"/>
  <c r="R21" i="1"/>
  <c r="S21" i="1" s="1"/>
  <c r="R6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16" i="1"/>
  <c r="P17" i="1"/>
  <c r="M34" i="1"/>
  <c r="M35" i="1"/>
  <c r="M36" i="1"/>
  <c r="M37" i="1"/>
  <c r="M38" i="1"/>
  <c r="I38" i="1"/>
  <c r="I37" i="1"/>
  <c r="I36" i="1"/>
  <c r="I35" i="1"/>
  <c r="I34" i="1"/>
  <c r="H38" i="1"/>
  <c r="H37" i="1"/>
  <c r="H36" i="1"/>
  <c r="H35" i="1"/>
  <c r="H34" i="1"/>
  <c r="I26" i="1"/>
  <c r="I27" i="1"/>
  <c r="I28" i="1"/>
  <c r="I29" i="1"/>
  <c r="I30" i="1"/>
  <c r="I31" i="1"/>
  <c r="I32" i="1"/>
  <c r="I33" i="1"/>
  <c r="I25" i="1"/>
  <c r="I24" i="1"/>
  <c r="I23" i="1"/>
  <c r="I20" i="1"/>
  <c r="I21" i="1"/>
  <c r="I22" i="1"/>
  <c r="I19" i="1"/>
  <c r="I18" i="1"/>
  <c r="I17" i="1"/>
  <c r="I16" i="1"/>
  <c r="I5" i="1"/>
  <c r="I4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16" i="1"/>
  <c r="M17" i="1"/>
  <c r="M5" i="1"/>
  <c r="M6" i="1"/>
  <c r="M7" i="1"/>
  <c r="M8" i="1"/>
  <c r="M9" i="1"/>
  <c r="M10" i="1"/>
  <c r="M11" i="1"/>
  <c r="M12" i="1"/>
  <c r="M13" i="1"/>
  <c r="M14" i="1"/>
  <c r="M15" i="1"/>
  <c r="I9" i="2"/>
  <c r="I10" i="2"/>
  <c r="I11" i="2"/>
  <c r="I7" i="2"/>
  <c r="G9" i="2"/>
  <c r="G10" i="2"/>
  <c r="F11" i="2"/>
  <c r="G11" i="2" s="1"/>
  <c r="F8" i="2"/>
  <c r="I8" i="2" s="1"/>
  <c r="E7" i="7" l="1"/>
  <c r="K8" i="4"/>
  <c r="T9" i="3"/>
  <c r="U9" i="3" s="1"/>
  <c r="T8" i="3"/>
  <c r="U8" i="3" s="1"/>
  <c r="T7" i="3"/>
  <c r="U7" i="3" s="1"/>
  <c r="T10" i="3"/>
  <c r="U10" i="3" s="1"/>
  <c r="T5" i="3"/>
  <c r="U5" i="3" s="1"/>
  <c r="T6" i="3"/>
  <c r="U6" i="3" s="1"/>
  <c r="T4" i="3"/>
  <c r="U4" i="3" s="1"/>
  <c r="T33" i="1"/>
  <c r="T25" i="1"/>
  <c r="T38" i="1"/>
  <c r="U38" i="1" s="1"/>
  <c r="T34" i="1"/>
  <c r="U34" i="1" s="1"/>
  <c r="T30" i="1"/>
  <c r="U30" i="1" s="1"/>
  <c r="T26" i="1"/>
  <c r="U26" i="1" s="1"/>
  <c r="T17" i="1"/>
  <c r="U17" i="1" s="1"/>
  <c r="T36" i="1"/>
  <c r="U36" i="1" s="1"/>
  <c r="T32" i="1"/>
  <c r="U32" i="1" s="1"/>
  <c r="T28" i="1"/>
  <c r="U28" i="1" s="1"/>
  <c r="T24" i="1"/>
  <c r="U24" i="1"/>
  <c r="T16" i="1"/>
  <c r="U16" i="1" s="1"/>
  <c r="T35" i="1"/>
  <c r="U35" i="1"/>
  <c r="T31" i="1"/>
  <c r="U31" i="1" s="1"/>
  <c r="T27" i="1"/>
  <c r="U27" i="1" s="1"/>
  <c r="T23" i="1"/>
  <c r="U23" i="1" s="1"/>
  <c r="U33" i="1"/>
  <c r="U25" i="1"/>
  <c r="T37" i="1"/>
  <c r="U37" i="1" s="1"/>
  <c r="T29" i="1"/>
  <c r="U29" i="1" s="1"/>
  <c r="T22" i="1"/>
  <c r="U22" i="1"/>
  <c r="T21" i="1"/>
  <c r="U21" i="1"/>
  <c r="G8" i="2"/>
  <c r="G7" i="2"/>
  <c r="I6" i="2"/>
  <c r="G6" i="2"/>
  <c r="F12" i="2"/>
  <c r="F7" i="5" l="1"/>
  <c r="W12" i="3"/>
  <c r="F6" i="5" s="1"/>
  <c r="I12" i="2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17" i="1"/>
  <c r="H16" i="1"/>
  <c r="R20" i="1"/>
  <c r="S20" i="1" s="1"/>
  <c r="P20" i="1"/>
  <c r="M20" i="1"/>
  <c r="H20" i="1"/>
  <c r="R19" i="1"/>
  <c r="S19" i="1" s="1"/>
  <c r="P19" i="1"/>
  <c r="M19" i="1"/>
  <c r="H19" i="1"/>
  <c r="R18" i="1"/>
  <c r="S18" i="1" s="1"/>
  <c r="P18" i="1"/>
  <c r="M18" i="1"/>
  <c r="H18" i="1"/>
  <c r="R15" i="1"/>
  <c r="S15" i="1" s="1"/>
  <c r="P15" i="1"/>
  <c r="H15" i="1"/>
  <c r="R14" i="1"/>
  <c r="S14" i="1" s="1"/>
  <c r="P14" i="1"/>
  <c r="H14" i="1"/>
  <c r="R13" i="1"/>
  <c r="S13" i="1" s="1"/>
  <c r="P13" i="1"/>
  <c r="H13" i="1"/>
  <c r="R12" i="1"/>
  <c r="S12" i="1" s="1"/>
  <c r="P12" i="1"/>
  <c r="H12" i="1"/>
  <c r="R11" i="1"/>
  <c r="S11" i="1" s="1"/>
  <c r="P11" i="1"/>
  <c r="H11" i="1"/>
  <c r="R10" i="1"/>
  <c r="S10" i="1" s="1"/>
  <c r="P10" i="1"/>
  <c r="H10" i="1"/>
  <c r="R9" i="1"/>
  <c r="S9" i="1" s="1"/>
  <c r="P9" i="1"/>
  <c r="H9" i="1"/>
  <c r="R8" i="1"/>
  <c r="S8" i="1" s="1"/>
  <c r="P8" i="1"/>
  <c r="H8" i="1"/>
  <c r="R7" i="1"/>
  <c r="S7" i="1" s="1"/>
  <c r="P7" i="1"/>
  <c r="H7" i="1"/>
  <c r="S6" i="1"/>
  <c r="P6" i="1"/>
  <c r="H6" i="1"/>
  <c r="Z6" i="1" s="1"/>
  <c r="R5" i="1"/>
  <c r="S5" i="1" s="1"/>
  <c r="P5" i="1"/>
  <c r="H5" i="1"/>
  <c r="Z5" i="1" s="1"/>
  <c r="Z4" i="1"/>
  <c r="R4" i="1"/>
  <c r="S4" i="1" s="1"/>
  <c r="P4" i="1"/>
  <c r="M4" i="1"/>
  <c r="H4" i="1"/>
  <c r="T6" i="1" l="1"/>
  <c r="T9" i="1"/>
  <c r="U9" i="1" s="1"/>
  <c r="T13" i="1"/>
  <c r="U13" i="1" s="1"/>
  <c r="T19" i="1"/>
  <c r="U19" i="1" s="1"/>
  <c r="T12" i="1"/>
  <c r="U12" i="1" s="1"/>
  <c r="T10" i="1"/>
  <c r="U10" i="1" s="1"/>
  <c r="T8" i="1"/>
  <c r="U8" i="1" s="1"/>
  <c r="T18" i="1"/>
  <c r="U18" i="1" s="1"/>
  <c r="T20" i="1"/>
  <c r="U20" i="1" s="1"/>
  <c r="T5" i="1"/>
  <c r="U5" i="1" s="1"/>
  <c r="T14" i="1"/>
  <c r="U14" i="1" s="1"/>
  <c r="U6" i="1"/>
  <c r="T4" i="1"/>
  <c r="U4" i="1" s="1"/>
  <c r="T7" i="1"/>
  <c r="U7" i="1" s="1"/>
  <c r="T11" i="1"/>
  <c r="U11" i="1" s="1"/>
  <c r="T15" i="1"/>
  <c r="U15" i="1" s="1"/>
  <c r="W39" i="1" l="1"/>
  <c r="F5" i="5" l="1"/>
  <c r="F8" i="5" s="1"/>
  <c r="I19" i="2"/>
  <c r="I6" i="1"/>
  <c r="I7" i="1"/>
  <c r="I8" i="1"/>
  <c r="I9" i="1"/>
  <c r="I10" i="1"/>
  <c r="I11" i="1"/>
  <c r="I12" i="1"/>
  <c r="I13" i="1"/>
  <c r="I14" i="1"/>
  <c r="I15" i="1"/>
</calcChain>
</file>

<file path=xl/sharedStrings.xml><?xml version="1.0" encoding="utf-8"?>
<sst xmlns="http://schemas.openxmlformats.org/spreadsheetml/2006/main" count="341" uniqueCount="182">
  <si>
    <t xml:space="preserve"> MARKET VALUE OF STRUCTURES OF M/S. BAJAJ HINDUSTHAN SUGAR LIMITED.| PROPERTY OF INDUSTRIAL PROPERTY | SITUATED AT: VILLAGE- PALIA, DISTRICT- LAKHIMPURKHIRI, U.P</t>
  </si>
  <si>
    <t>Sr. No.</t>
  </si>
  <si>
    <t>Floor</t>
  </si>
  <si>
    <t xml:space="preserve">Block Name </t>
  </si>
  <si>
    <t>Construction Category</t>
  </si>
  <si>
    <t>Condition of Structure</t>
  </si>
  <si>
    <r>
      <t xml:space="preserve">Area 
</t>
    </r>
    <r>
      <rPr>
        <i/>
        <sz val="11"/>
        <rFont val="Calibri"/>
        <family val="2"/>
        <scheme val="minor"/>
      </rPr>
      <t>(in sq mtr)</t>
    </r>
  </si>
  <si>
    <r>
      <t xml:space="preserve">Area 
</t>
    </r>
    <r>
      <rPr>
        <i/>
        <sz val="11"/>
        <rFont val="Calibri"/>
        <family val="2"/>
        <scheme val="minor"/>
      </rPr>
      <t>(in sq ft)</t>
    </r>
  </si>
  <si>
    <t>Height (in mtr.)</t>
  </si>
  <si>
    <t>Height (in ft.)</t>
  </si>
  <si>
    <t>Year of Construction</t>
  </si>
  <si>
    <t xml:space="preserve">Year of Valuation </t>
  </si>
  <si>
    <r>
      <t xml:space="preserve">Total Life Consumed 
</t>
    </r>
    <r>
      <rPr>
        <i/>
        <sz val="11"/>
        <rFont val="Calibri"/>
        <family val="2"/>
        <scheme val="minor"/>
      </rPr>
      <t>(in yrs.)</t>
    </r>
  </si>
  <si>
    <r>
      <t xml:space="preserve">Total Economical Life
</t>
    </r>
    <r>
      <rPr>
        <i/>
        <sz val="11"/>
        <rFont val="Calibri"/>
        <family val="2"/>
        <scheme val="minor"/>
      </rPr>
      <t>(in yrs.)</t>
    </r>
  </si>
  <si>
    <t>Salvage value</t>
  </si>
  <si>
    <t>Depreciation Rate</t>
  </si>
  <si>
    <r>
      <t xml:space="preserve">Plinth Area  Rate 
</t>
    </r>
    <r>
      <rPr>
        <i/>
        <sz val="11"/>
        <rFont val="Calibri"/>
        <family val="2"/>
        <scheme val="minor"/>
      </rPr>
      <t>(in per sq.ft.)</t>
    </r>
  </si>
  <si>
    <r>
      <t xml:space="preserve">Plinth Area  Rate 
</t>
    </r>
    <r>
      <rPr>
        <b/>
        <i/>
        <sz val="11"/>
        <rFont val="Calibri"/>
        <family val="2"/>
        <scheme val="minor"/>
      </rPr>
      <t>(</t>
    </r>
    <r>
      <rPr>
        <i/>
        <sz val="11"/>
        <rFont val="Calibri"/>
        <family val="2"/>
        <scheme val="minor"/>
      </rPr>
      <t>In per sq. mtr.</t>
    </r>
    <r>
      <rPr>
        <b/>
        <i/>
        <sz val="11"/>
        <rFont val="Calibri"/>
        <family val="2"/>
        <scheme val="minor"/>
      </rPr>
      <t>)</t>
    </r>
  </si>
  <si>
    <r>
      <t>Gross Replacement Value
(</t>
    </r>
    <r>
      <rPr>
        <i/>
        <sz val="11"/>
        <rFont val="Calibri"/>
        <family val="2"/>
        <scheme val="minor"/>
      </rPr>
      <t>INR</t>
    </r>
    <r>
      <rPr>
        <b/>
        <sz val="11"/>
        <rFont val="Calibri"/>
        <family val="2"/>
        <scheme val="minor"/>
      </rPr>
      <t>)</t>
    </r>
  </si>
  <si>
    <r>
      <t>Total Deterioration 
(</t>
    </r>
    <r>
      <rPr>
        <i/>
        <sz val="11"/>
        <rFont val="Calibri"/>
        <family val="2"/>
        <scheme val="minor"/>
      </rPr>
      <t>INR</t>
    </r>
    <r>
      <rPr>
        <b/>
        <sz val="11"/>
        <rFont val="Calibri"/>
        <family val="2"/>
        <scheme val="minor"/>
      </rPr>
      <t xml:space="preserve">) </t>
    </r>
  </si>
  <si>
    <r>
      <t>Depreciated Value
(</t>
    </r>
    <r>
      <rPr>
        <i/>
        <sz val="11"/>
        <rFont val="Calibri"/>
        <family val="2"/>
        <scheme val="minor"/>
      </rPr>
      <t>INR</t>
    </r>
    <r>
      <rPr>
        <b/>
        <sz val="11"/>
        <rFont val="Calibri"/>
        <family val="2"/>
        <scheme val="minor"/>
      </rPr>
      <t>)</t>
    </r>
  </si>
  <si>
    <r>
      <t xml:space="preserve">Premium </t>
    </r>
    <r>
      <rPr>
        <sz val="11"/>
        <rFont val="Calibri"/>
        <family val="2"/>
        <scheme val="minor"/>
      </rPr>
      <t>(For additional aesthetics or renovation)</t>
    </r>
  </si>
  <si>
    <r>
      <t>Depreciated Replacement Market Value
(</t>
    </r>
    <r>
      <rPr>
        <i/>
        <sz val="11"/>
        <rFont val="Calibri"/>
        <family val="2"/>
        <scheme val="minor"/>
      </rPr>
      <t>INR</t>
    </r>
    <r>
      <rPr>
        <b/>
        <sz val="11"/>
        <rFont val="Calibri"/>
        <family val="2"/>
        <scheme val="minor"/>
      </rPr>
      <t>)</t>
    </r>
  </si>
  <si>
    <r>
      <t>Govt. Guideline rates
(</t>
    </r>
    <r>
      <rPr>
        <i/>
        <sz val="11"/>
        <rFont val="Calibri"/>
        <family val="2"/>
        <scheme val="minor"/>
      </rPr>
      <t>per sq. mtr.</t>
    </r>
    <r>
      <rPr>
        <b/>
        <sz val="11"/>
        <rFont val="Calibri"/>
        <family val="2"/>
        <scheme val="minor"/>
      </rPr>
      <t>)</t>
    </r>
  </si>
  <si>
    <t>Age Factor</t>
  </si>
  <si>
    <t>Total Govt. Guideline value</t>
  </si>
  <si>
    <t>G+1</t>
  </si>
  <si>
    <t>Good</t>
  </si>
  <si>
    <t>G</t>
  </si>
  <si>
    <t>Cane Unloader (Cane Unloading Area)</t>
  </si>
  <si>
    <t>Mill House &amp; Work Shop</t>
  </si>
  <si>
    <t>BHSL Store (G+1)</t>
  </si>
  <si>
    <t>Usable Yard</t>
  </si>
  <si>
    <t>Scrap Yard</t>
  </si>
  <si>
    <t>Power House</t>
  </si>
  <si>
    <t>D.G. Room</t>
  </si>
  <si>
    <t>Clarification House</t>
  </si>
  <si>
    <t>Evaporation House</t>
  </si>
  <si>
    <t>Pan House</t>
  </si>
  <si>
    <t>Drier House</t>
  </si>
  <si>
    <t>Gunny Bag Godown</t>
  </si>
  <si>
    <t>Cement &amp; Sulphur Godown</t>
  </si>
  <si>
    <t>Boiler House</t>
  </si>
  <si>
    <t xml:space="preserve">Power House Cooling Tower </t>
  </si>
  <si>
    <t>Paharpur cooling Tower</t>
  </si>
  <si>
    <t>Technical block (G+4)</t>
  </si>
  <si>
    <t>Drier House MCC Room</t>
  </si>
  <si>
    <t>Injuction Panel Room</t>
  </si>
  <si>
    <t>Mill MCC Room</t>
  </si>
  <si>
    <t>Mill VFD Panel Room</t>
  </si>
  <si>
    <t>Mill Controll Room</t>
  </si>
  <si>
    <t>ADM Building</t>
  </si>
  <si>
    <t>Canteen + Cane Store</t>
  </si>
  <si>
    <t>Cane Office + Hospital</t>
  </si>
  <si>
    <t>Cane Firtilizer Store</t>
  </si>
  <si>
    <t>Bagasse Yard</t>
  </si>
  <si>
    <t>Sugar Godowns 02 no(Floor Area)</t>
  </si>
  <si>
    <t>RCC &amp; M.S. Structure</t>
  </si>
  <si>
    <t>RCC column beams stone masonry wails in cement, bricks, steel etc.</t>
  </si>
  <si>
    <t>AC shed roof mounted on iron pillars, trusses frame structure resting on brick wall</t>
  </si>
  <si>
    <t>GI shed roof mounted on iron pillars, trusses frame structure resting on M.S Columns</t>
  </si>
  <si>
    <t>AC shed roof mounted on iron pillars, trusses frame structure resting on M.S Columns</t>
  </si>
  <si>
    <t>GI shed roof mounted on iron pillars, trusses frame structure resting on RCC Columns</t>
  </si>
  <si>
    <t>RCC Structure</t>
  </si>
  <si>
    <t>M.S. Structure &amp; and brick walls</t>
  </si>
  <si>
    <t>RCC load bearing structure on beam column and brick walls</t>
  </si>
  <si>
    <t>Sugar Godown X 2</t>
  </si>
  <si>
    <t>G+4</t>
  </si>
  <si>
    <t>Token rooms X 8</t>
  </si>
  <si>
    <t>Boiler Control Room</t>
  </si>
  <si>
    <t>Boiler MCC Panel Room</t>
  </si>
  <si>
    <t>Clarification and UGR MCC Room</t>
  </si>
  <si>
    <t>AC shed roof mounted on iron pillars, trusses frame structure resting on brick walls</t>
  </si>
  <si>
    <t xml:space="preserve"> VALUATION  OF OTHER STRUCTURES</t>
  </si>
  <si>
    <t>S.No.</t>
  </si>
  <si>
    <t>Description</t>
  </si>
  <si>
    <r>
      <t xml:space="preserve">Area 
</t>
    </r>
    <r>
      <rPr>
        <i/>
        <sz val="11"/>
        <color indexed="8"/>
        <rFont val="Calibri"/>
        <family val="2"/>
      </rPr>
      <t>(sq.mtr.)</t>
    </r>
  </si>
  <si>
    <r>
      <t xml:space="preserve">Area
</t>
    </r>
    <r>
      <rPr>
        <i/>
        <sz val="11"/>
        <color indexed="8"/>
        <rFont val="Calibri"/>
        <family val="2"/>
      </rPr>
      <t xml:space="preserve"> ( sq.fts.)</t>
    </r>
  </si>
  <si>
    <t>Rates adopted</t>
  </si>
  <si>
    <t>Depreciated Replacement Cost</t>
  </si>
  <si>
    <t xml:space="preserve">Govt. Guidelines Rates 
(in sq. mtr.)
</t>
  </si>
  <si>
    <t xml:space="preserve"> Govt. Guideline Value</t>
  </si>
  <si>
    <t>Cane Yard</t>
  </si>
  <si>
    <t>Total</t>
  </si>
  <si>
    <t>Lagoon Yard</t>
  </si>
  <si>
    <t>Open store Yard</t>
  </si>
  <si>
    <t>Time office</t>
  </si>
  <si>
    <t>Sales office</t>
  </si>
  <si>
    <t>Horticulture office</t>
  </si>
  <si>
    <t xml:space="preserve">Security Office </t>
  </si>
  <si>
    <t>Excise Office</t>
  </si>
  <si>
    <t>Labour Hutment</t>
  </si>
  <si>
    <t>Dormitory</t>
  </si>
  <si>
    <t>One Bedroom Block C</t>
  </si>
  <si>
    <t>Two Bedroom Block-B</t>
  </si>
  <si>
    <t>Three Bedroom Block A</t>
  </si>
  <si>
    <t>Four Bedroom</t>
  </si>
  <si>
    <t>Bajaj Public School+Workers Colony</t>
  </si>
  <si>
    <t>G+2</t>
  </si>
  <si>
    <t>GI shed roof mounted on iron pillars, trusses frame structure resting on brick walls</t>
  </si>
  <si>
    <t>Average</t>
  </si>
  <si>
    <t xml:space="preserve">CIVIL/STRUCTURES VALUATION </t>
  </si>
  <si>
    <t>Block Name</t>
  </si>
  <si>
    <t>Total Slabs/ Floors</t>
  </si>
  <si>
    <t>Floor wise Height (ft.)</t>
  </si>
  <si>
    <t>Year of construction</t>
  </si>
  <si>
    <t xml:space="preserve">Type of construction     </t>
  </si>
  <si>
    <t>Structure condition</t>
  </si>
  <si>
    <r>
      <t xml:space="preserve">Legth 
</t>
    </r>
    <r>
      <rPr>
        <i/>
        <sz val="9"/>
        <rFont val="Arial"/>
        <family val="2"/>
      </rPr>
      <t>(In running Mtr.)</t>
    </r>
  </si>
  <si>
    <t xml:space="preserve">Rate adopted </t>
  </si>
  <si>
    <t>Depreciated Fair Market Value</t>
  </si>
  <si>
    <t xml:space="preserve">Road :RCC </t>
  </si>
  <si>
    <t xml:space="preserve">Drain </t>
  </si>
  <si>
    <t>Boundry Wall</t>
  </si>
  <si>
    <t>BUILDING/ CIVIL STRUCTURE | BAJAJ HINDUSTHAN SUGAR LIMITED |BARKHERA, UTTAR PRADESH</t>
  </si>
  <si>
    <t>Gross Block</t>
  </si>
  <si>
    <t>Sugar Plant</t>
  </si>
  <si>
    <t>Residential Block</t>
  </si>
  <si>
    <t>Other  Structures</t>
  </si>
  <si>
    <t>Remarks:</t>
  </si>
  <si>
    <t>1.The covered area statement of the subject project has been taken on the basis of information/ data provided by the company.</t>
  </si>
  <si>
    <t>2. The condition of the structure is average and maintained by the company.</t>
  </si>
  <si>
    <t>3. The Valuation of the building/ civil structures has been done on the basis of 'Depreciated Replacement cost approach'.</t>
  </si>
  <si>
    <t>TOTAL</t>
  </si>
  <si>
    <t>LAND AREA STATEMENT</t>
  </si>
  <si>
    <t>Village Name</t>
  </si>
  <si>
    <r>
      <t xml:space="preserve">Land Area         </t>
    </r>
    <r>
      <rPr>
        <b/>
        <sz val="8"/>
        <rFont val="Calibri"/>
        <family val="2"/>
        <scheme val="minor"/>
      </rPr>
      <t xml:space="preserve"> (in Hectare)</t>
    </r>
  </si>
  <si>
    <r>
      <t xml:space="preserve">Land Area </t>
    </r>
    <r>
      <rPr>
        <b/>
        <sz val="8"/>
        <rFont val="Calibri"/>
        <family val="2"/>
        <scheme val="minor"/>
      </rPr>
      <t>(acres)</t>
    </r>
  </si>
  <si>
    <r>
      <t xml:space="preserve">Land Area </t>
    </r>
    <r>
      <rPr>
        <b/>
        <sz val="8"/>
        <rFont val="Calibri"/>
        <family val="2"/>
        <scheme val="minor"/>
      </rPr>
      <t>(sq.mtr.)</t>
    </r>
  </si>
  <si>
    <t>Muradabad Alias Nakta</t>
  </si>
  <si>
    <t>Gulra Machwakheda</t>
  </si>
  <si>
    <t>Valuation of Project Land|Bajaj Hindusthan Sugar Limited| District Barkhera</t>
  </si>
  <si>
    <t>S.r. No.</t>
  </si>
  <si>
    <r>
      <t xml:space="preserve">Land Area         </t>
    </r>
    <r>
      <rPr>
        <b/>
        <sz val="8"/>
        <color theme="0"/>
        <rFont val="Calibri"/>
        <family val="2"/>
        <scheme val="minor"/>
      </rPr>
      <t xml:space="preserve"> (in Hectare)</t>
    </r>
  </si>
  <si>
    <r>
      <t xml:space="preserve">Land Area </t>
    </r>
    <r>
      <rPr>
        <b/>
        <sz val="8"/>
        <color theme="0"/>
        <rFont val="Calibri"/>
        <family val="2"/>
        <scheme val="minor"/>
      </rPr>
      <t>(acres)</t>
    </r>
  </si>
  <si>
    <t>Land Rate under land acquisition Act-2013                (in per hectares)</t>
  </si>
  <si>
    <t>Total (INR)</t>
  </si>
  <si>
    <t>Total (A)</t>
  </si>
  <si>
    <t>Factor for land falls under rural area (B)</t>
  </si>
  <si>
    <t>2 Times of Value A</t>
  </si>
  <si>
    <t>Value of assets attached to land or building ( C )</t>
  </si>
  <si>
    <t>Total (D= B+C)</t>
  </si>
  <si>
    <t>Add Solatium (100%)  E</t>
  </si>
  <si>
    <t>100%  of value D</t>
  </si>
  <si>
    <t>Total Award Value (F=D+E)</t>
  </si>
  <si>
    <t>FAIR MARKET VALUATION OF LAND | M/S. BAJAJ HINDUSTHAN SUGAR LIMITED| BARKHERA, DISTRICT- PILIBHIT, UTTAR PRADESH</t>
  </si>
  <si>
    <t>Sr.No.</t>
  </si>
  <si>
    <t>Particulars</t>
  </si>
  <si>
    <t>Original Land Area</t>
  </si>
  <si>
    <t>Land rate (INR/Acre)</t>
  </si>
  <si>
    <t xml:space="preserve">Fair Market Valuation </t>
  </si>
  <si>
    <t>Acres</t>
  </si>
  <si>
    <t>Hectares</t>
  </si>
  <si>
    <t>Subject Land Project Land</t>
  </si>
  <si>
    <t>Add 5% premium for non agriculture land</t>
  </si>
  <si>
    <t>Add 10% for cost &amp; effort considerations to cover administrative cost, effort towards land acquisition &amp; consolidation etc.</t>
  </si>
  <si>
    <t>Add: Land Development, Site Levelling charges etc.</t>
  </si>
  <si>
    <t xml:space="preserve">  At Rs.2.5 Lacs per acre</t>
  </si>
  <si>
    <t>GRAND TOTAL</t>
  </si>
  <si>
    <t>Notes:</t>
  </si>
  <si>
    <t>1.  Land area details has been provided to us by the company, which is relied upon in good faith.</t>
  </si>
  <si>
    <t>Bigha</t>
  </si>
  <si>
    <t>Acre</t>
  </si>
  <si>
    <t xml:space="preserve">Acre </t>
  </si>
  <si>
    <t xml:space="preserve">2. As per the our calculations, the market rate for the subject power project is comes out to be Rs.37.31 Lakhs  per Acres, which seems to be reasonable in our view. </t>
  </si>
  <si>
    <t>Guideline Value</t>
  </si>
  <si>
    <r>
      <t xml:space="preserve">Rate Adopted </t>
    </r>
    <r>
      <rPr>
        <b/>
        <sz val="9"/>
        <rFont val="Calibri"/>
        <family val="2"/>
        <scheme val="minor"/>
      </rPr>
      <t>(per Hectare)</t>
    </r>
  </si>
  <si>
    <t>BARKHERA LAND VALUATION BELTING METHOD</t>
  </si>
  <si>
    <t>Calculation by Belting Method</t>
  </si>
  <si>
    <t>Total Area</t>
  </si>
  <si>
    <t>Area (front side)</t>
  </si>
  <si>
    <t>Area (middle part)</t>
  </si>
  <si>
    <t>Area (back side)</t>
  </si>
  <si>
    <t>Area (Acre)</t>
  </si>
  <si>
    <t>Rate (Acre)</t>
  </si>
  <si>
    <t>Value</t>
  </si>
  <si>
    <t>Total Value</t>
  </si>
  <si>
    <t>Average Rate (Acre)</t>
  </si>
  <si>
    <t>Add 5% for cost &amp; effort considerations to cover administrative cost, effort towards land acquisition &amp; consolidation etc.</t>
  </si>
  <si>
    <t xml:space="preserve">Add: Land Development, Site Levelling charges etc. </t>
  </si>
  <si>
    <t>2.5 lacs per acre</t>
  </si>
  <si>
    <t xml:space="preserve"> MARKET VALUE OF STRUCTURES OF M/S. BAJAJ HINDUSTHAN SUGAR LIMITED.| PROPERTY OF INDUSTRIAL PROPERTY | SITUATED AT: VILLAGE- BARKHERA, DISTRICT- LAKHIMPURKHIRI, U.P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</si>
</sst>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164" formatCode="0.000"/>
    <numFmt numFmtId="165" formatCode="_ [$₹-4009]\ * #,##0.00_ ;_ [$₹-4009]\ * \-#,##0.00_ ;_ [$₹-4009]\ * &quot;-&quot;??_ ;_ @_ "/>
    <numFmt numFmtId="166" formatCode="_ [$₹-4009]\ * #,##0_ ;_ [$₹-4009]\ * \-#,##0_ ;_ [$₹-4009]\ * &quot;-&quot;??_ ;_ @_ "/>
    <numFmt numFmtId="167" formatCode="_ &quot;₹&quot;\ * #,##0_ ;_ &quot;₹&quot;\ * \-#,##0_ ;_ &quot;₹&quot;\ * &quot;-&quot;??_ ;_ @_ "/>
    <numFmt numFmtId="168" formatCode="_-[$₹-460]\ * #,##0_-;\-[$₹-460]\ * #,##0_-;_-[$₹-460]\ 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Times New Roman"/>
      <family val="1"/>
    </font>
    <font>
      <b/>
      <sz val="10"/>
      <color theme="0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1E366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6"/>
        <bgColor indexed="63"/>
      </patternFill>
    </fill>
    <fill>
      <patternFill patternType="solid">
        <fgColor theme="4" tint="0.59999389629810485"/>
        <bgColor indexed="24"/>
      </patternFill>
    </fill>
    <fill>
      <patternFill patternType="solid">
        <fgColor indexed="44"/>
        <bgColor indexed="2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2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3" xfId="0" applyBorder="1"/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3" fillId="0" borderId="1" xfId="2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6" borderId="7" xfId="2" applyFont="1" applyFill="1" applyBorder="1" applyAlignment="1">
      <alignment horizontal="center" vertical="center" wrapText="1"/>
    </xf>
    <xf numFmtId="0" fontId="16" fillId="7" borderId="7" xfId="2" applyFont="1" applyFill="1" applyBorder="1" applyAlignment="1">
      <alignment horizontal="center" vertical="center" wrapText="1"/>
    </xf>
    <xf numFmtId="0" fontId="16" fillId="7" borderId="1" xfId="2" applyFont="1" applyFill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/>
    </xf>
    <xf numFmtId="1" fontId="7" fillId="0" borderId="5" xfId="2" applyNumberFormat="1" applyFont="1" applyBorder="1" applyAlignment="1">
      <alignment horizontal="center" vertical="center"/>
    </xf>
    <xf numFmtId="2" fontId="18" fillId="0" borderId="5" xfId="2" applyNumberFormat="1" applyFont="1" applyBorder="1" applyAlignment="1">
      <alignment horizontal="center" vertical="center"/>
    </xf>
    <xf numFmtId="167" fontId="1" fillId="0" borderId="1" xfId="1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/>
    <xf numFmtId="0" fontId="0" fillId="0" borderId="1" xfId="0" applyBorder="1"/>
    <xf numFmtId="0" fontId="19" fillId="0" borderId="9" xfId="2" applyFont="1" applyBorder="1" applyAlignment="1">
      <alignment horizontal="center" vertical="center"/>
    </xf>
    <xf numFmtId="0" fontId="19" fillId="0" borderId="8" xfId="2" applyFont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1" fontId="1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3" fillId="0" borderId="1" xfId="2" applyFont="1" applyFill="1" applyBorder="1" applyAlignment="1">
      <alignment horizontal="center" vertical="center" wrapText="1"/>
    </xf>
    <xf numFmtId="1" fontId="13" fillId="0" borderId="1" xfId="2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44" fontId="0" fillId="0" borderId="0" xfId="1" applyFont="1"/>
    <xf numFmtId="44" fontId="4" fillId="3" borderId="1" xfId="1" applyFont="1" applyFill="1" applyBorder="1" applyAlignment="1">
      <alignment horizontal="center" vertical="center" wrapText="1"/>
    </xf>
    <xf numFmtId="44" fontId="10" fillId="0" borderId="1" xfId="1" applyFont="1" applyBorder="1" applyAlignment="1">
      <alignment horizontal="center" vertical="center" wrapText="1"/>
    </xf>
    <xf numFmtId="44" fontId="0" fillId="0" borderId="1" xfId="1" applyFont="1" applyBorder="1"/>
    <xf numFmtId="44" fontId="20" fillId="0" borderId="1" xfId="1" applyFont="1" applyFill="1" applyBorder="1" applyAlignment="1">
      <alignment vertical="center"/>
    </xf>
    <xf numFmtId="166" fontId="0" fillId="0" borderId="0" xfId="0" applyNumberFormat="1"/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9" borderId="1" xfId="0" applyFont="1" applyFill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13" fillId="0" borderId="11" xfId="2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4" fontId="24" fillId="0" borderId="1" xfId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166" fontId="26" fillId="0" borderId="14" xfId="0" applyNumberFormat="1" applyFont="1" applyFill="1" applyBorder="1" applyAlignment="1">
      <alignment horizontal="center" vertical="center" wrapText="1"/>
    </xf>
    <xf numFmtId="166" fontId="26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68" fontId="0" fillId="0" borderId="1" xfId="0" applyNumberFormat="1" applyBorder="1"/>
    <xf numFmtId="2" fontId="3" fillId="0" borderId="1" xfId="0" applyNumberFormat="1" applyFont="1" applyBorder="1" applyAlignment="1">
      <alignment horizontal="center"/>
    </xf>
    <xf numFmtId="168" fontId="2" fillId="11" borderId="1" xfId="0" applyNumberFormat="1" applyFont="1" applyFill="1" applyBorder="1"/>
    <xf numFmtId="0" fontId="4" fillId="9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7" fontId="3" fillId="0" borderId="1" xfId="3" applyNumberFormat="1" applyFont="1" applyBorder="1" applyAlignment="1">
      <alignment vertical="center"/>
    </xf>
    <xf numFmtId="167" fontId="0" fillId="0" borderId="1" xfId="3" applyNumberFormat="1" applyFont="1" applyBorder="1" applyAlignment="1">
      <alignment vertical="center"/>
    </xf>
    <xf numFmtId="167" fontId="3" fillId="9" borderId="1" xfId="3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7" fontId="0" fillId="0" borderId="1" xfId="1" applyNumberFormat="1" applyFont="1" applyBorder="1" applyAlignment="1">
      <alignment horizontal="center" vertical="center"/>
    </xf>
    <xf numFmtId="167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2" fontId="0" fillId="0" borderId="11" xfId="0" applyNumberFormat="1" applyBorder="1" applyAlignment="1">
      <alignment horizontal="center"/>
    </xf>
    <xf numFmtId="165" fontId="0" fillId="0" borderId="1" xfId="0" applyNumberFormat="1" applyBorder="1"/>
    <xf numFmtId="165" fontId="3" fillId="0" borderId="1" xfId="0" applyNumberFormat="1" applyFont="1" applyBorder="1"/>
    <xf numFmtId="44" fontId="0" fillId="0" borderId="0" xfId="0" applyNumberFormat="1"/>
    <xf numFmtId="0" fontId="29" fillId="14" borderId="1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167" fontId="0" fillId="12" borderId="1" xfId="0" applyNumberForma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12" borderId="1" xfId="0" applyFont="1" applyFill="1" applyBorder="1" applyAlignment="1">
      <alignment vertical="center" wrapText="1"/>
    </xf>
    <xf numFmtId="167" fontId="3" fillId="0" borderId="1" xfId="0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9" fillId="0" borderId="8" xfId="2" applyFont="1" applyBorder="1" applyAlignment="1">
      <alignment horizontal="center" vertical="center" wrapText="1"/>
    </xf>
    <xf numFmtId="0" fontId="19" fillId="0" borderId="9" xfId="2" applyFont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/>
    </xf>
    <xf numFmtId="0" fontId="15" fillId="5" borderId="0" xfId="2" applyFont="1" applyFill="1" applyAlignment="1">
      <alignment horizontal="center" vertical="center"/>
    </xf>
    <xf numFmtId="0" fontId="16" fillId="6" borderId="8" xfId="2" applyFont="1" applyFill="1" applyBorder="1" applyAlignment="1">
      <alignment horizontal="center" vertical="center" wrapText="1"/>
    </xf>
    <xf numFmtId="0" fontId="16" fillId="6" borderId="9" xfId="2" applyFont="1" applyFill="1" applyBorder="1" applyAlignment="1">
      <alignment horizontal="center" vertical="center" wrapText="1"/>
    </xf>
    <xf numFmtId="0" fontId="16" fillId="6" borderId="10" xfId="2" applyFont="1" applyFill="1" applyBorder="1" applyAlignment="1">
      <alignment horizontal="center" vertical="center" wrapText="1"/>
    </xf>
    <xf numFmtId="0" fontId="19" fillId="0" borderId="8" xfId="2" applyFont="1" applyBorder="1" applyAlignment="1">
      <alignment horizontal="center" vertical="center"/>
    </xf>
    <xf numFmtId="0" fontId="19" fillId="0" borderId="9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15" fillId="5" borderId="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8" borderId="19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10" borderId="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/>
    </xf>
    <xf numFmtId="0" fontId="3" fillId="9" borderId="13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9" fontId="0" fillId="0" borderId="1" xfId="0" applyNumberFormat="1" applyBorder="1" applyAlignment="1">
      <alignment horizontal="center" vertical="center"/>
    </xf>
    <xf numFmtId="0" fontId="0" fillId="12" borderId="12" xfId="0" applyFill="1" applyBorder="1" applyAlignment="1">
      <alignment vertical="center" wrapText="1"/>
    </xf>
    <xf numFmtId="0" fontId="0" fillId="12" borderId="2" xfId="0" applyFill="1" applyBorder="1" applyAlignment="1">
      <alignment vertical="center" wrapText="1"/>
    </xf>
    <xf numFmtId="0" fontId="0" fillId="12" borderId="12" xfId="0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44" fontId="4" fillId="9" borderId="1" xfId="3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167" fontId="3" fillId="0" borderId="1" xfId="0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4">
    <cellStyle name="Currency" xfId="1" builtinId="4"/>
    <cellStyle name="Currency 6" xfId="3" xr:uid="{A0841F71-CBFE-41E7-958F-6F14D946A464}"/>
    <cellStyle name="Excel Built-in Normal" xfId="2" xr:uid="{59745703-2DF6-499D-8D8B-4313B8A588D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BA820-C00A-46DC-95FF-6BC845D83A96}">
  <dimension ref="B2:Z39"/>
  <sheetViews>
    <sheetView topLeftCell="F34" zoomScale="85" zoomScaleNormal="85" workbookViewId="0">
      <selection activeCell="B3" sqref="B3"/>
    </sheetView>
  </sheetViews>
  <sheetFormatPr defaultRowHeight="15" x14ac:dyDescent="0.25"/>
  <cols>
    <col min="2" max="2" width="6.7109375" customWidth="1"/>
    <col min="3" max="3" width="12.42578125" customWidth="1"/>
    <col min="4" max="4" width="18" customWidth="1"/>
    <col min="5" max="5" width="38.42578125" customWidth="1"/>
    <col min="6" max="6" width="13.140625" customWidth="1"/>
    <col min="7" max="7" width="21" bestFit="1" customWidth="1"/>
    <col min="8" max="8" width="10.5703125" customWidth="1"/>
    <col min="9" max="9" width="16.28515625" style="21" customWidth="1"/>
    <col min="10" max="10" width="9.140625" style="21" customWidth="1"/>
    <col min="11" max="13" width="9.140625" customWidth="1"/>
    <col min="14" max="14" width="9.140625" style="21" customWidth="1"/>
    <col min="15" max="15" width="9.140625" customWidth="1"/>
    <col min="16" max="16" width="14.140625" customWidth="1"/>
    <col min="17" max="17" width="11.85546875" style="49" customWidth="1"/>
    <col min="18" max="18" width="12.5703125" customWidth="1"/>
    <col min="19" max="19" width="13.85546875" customWidth="1"/>
    <col min="20" max="20" width="13.7109375" customWidth="1"/>
    <col min="21" max="21" width="14.42578125" customWidth="1"/>
    <col min="22" max="22" width="14.28515625" hidden="1" customWidth="1"/>
    <col min="23" max="23" width="14.140625" customWidth="1"/>
    <col min="24" max="26" width="0" hidden="1" customWidth="1"/>
  </cols>
  <sheetData>
    <row r="2" spans="2:26" x14ac:dyDescent="0.25">
      <c r="B2" s="118" t="s">
        <v>181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9"/>
      <c r="R2" s="118"/>
      <c r="S2" s="118"/>
      <c r="T2" s="118"/>
      <c r="U2" s="118"/>
      <c r="V2" s="118"/>
      <c r="W2" s="118"/>
      <c r="X2" s="118"/>
      <c r="Y2" s="118"/>
      <c r="Z2" s="118"/>
    </row>
    <row r="3" spans="2:26" ht="75" x14ac:dyDescent="0.25">
      <c r="B3" s="1" t="s">
        <v>1</v>
      </c>
      <c r="C3" s="1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50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3" t="s">
        <v>23</v>
      </c>
      <c r="Y3" s="4" t="s">
        <v>24</v>
      </c>
      <c r="Z3" s="4" t="s">
        <v>25</v>
      </c>
    </row>
    <row r="4" spans="2:26" x14ac:dyDescent="0.25">
      <c r="B4" s="5">
        <v>1</v>
      </c>
      <c r="C4" s="39" t="s">
        <v>28</v>
      </c>
      <c r="D4" s="16" t="s">
        <v>29</v>
      </c>
      <c r="E4" s="17" t="s">
        <v>57</v>
      </c>
      <c r="F4" s="7" t="s">
        <v>27</v>
      </c>
      <c r="G4" s="40">
        <v>2923.1800000000003</v>
      </c>
      <c r="H4" s="47">
        <f>G4*10.7639</f>
        <v>31464.817202000002</v>
      </c>
      <c r="I4" s="8">
        <f>J4*0.3048</f>
        <v>9.1440000000000001</v>
      </c>
      <c r="J4" s="8">
        <v>30</v>
      </c>
      <c r="K4" s="6">
        <v>2006</v>
      </c>
      <c r="L4" s="7">
        <v>2022</v>
      </c>
      <c r="M4" s="7">
        <f t="shared" ref="M4:M38" si="0">L4-K4</f>
        <v>16</v>
      </c>
      <c r="N4" s="7">
        <v>60</v>
      </c>
      <c r="O4" s="7">
        <v>0.05</v>
      </c>
      <c r="P4" s="9">
        <f>(1-O4)/N4</f>
        <v>1.5833333333333331E-2</v>
      </c>
      <c r="Q4" s="51">
        <v>1200</v>
      </c>
      <c r="R4" s="10">
        <f>Q4*10.7639</f>
        <v>12916.68</v>
      </c>
      <c r="S4" s="11">
        <f>R4*G4</f>
        <v>37757780.642400004</v>
      </c>
      <c r="T4" s="11">
        <f>S4*P4*M4</f>
        <v>9565304.4294079989</v>
      </c>
      <c r="U4" s="11">
        <f>MAX(S4-T4,0)</f>
        <v>28192476.212992005</v>
      </c>
      <c r="V4" s="7">
        <v>0</v>
      </c>
      <c r="W4" s="11">
        <f>IF(U4&gt;O4*S4,U4*(1+V4),S4*O4)</f>
        <v>28192476.212992005</v>
      </c>
      <c r="X4" s="12">
        <v>800</v>
      </c>
      <c r="Y4" s="13">
        <v>0.99</v>
      </c>
      <c r="Z4" s="14">
        <f>(X4*Y4*G4)</f>
        <v>2315158.56</v>
      </c>
    </row>
    <row r="5" spans="2:26" ht="25.5" x14ac:dyDescent="0.25">
      <c r="B5" s="5">
        <v>2</v>
      </c>
      <c r="C5" s="39" t="s">
        <v>28</v>
      </c>
      <c r="D5" s="17" t="s">
        <v>30</v>
      </c>
      <c r="E5" s="17" t="s">
        <v>57</v>
      </c>
      <c r="F5" s="7" t="s">
        <v>27</v>
      </c>
      <c r="G5" s="40">
        <v>3120</v>
      </c>
      <c r="H5" s="47">
        <f t="shared" ref="H5:H38" si="1">G5*10.7639</f>
        <v>33583.368000000002</v>
      </c>
      <c r="I5" s="8">
        <f t="shared" ref="I5:I17" si="2">J5*0.3048</f>
        <v>19.001232000000002</v>
      </c>
      <c r="J5" s="8">
        <v>62.34</v>
      </c>
      <c r="K5" s="6">
        <v>2006</v>
      </c>
      <c r="L5" s="7">
        <v>2022</v>
      </c>
      <c r="M5" s="7">
        <f t="shared" si="0"/>
        <v>16</v>
      </c>
      <c r="N5" s="7">
        <v>60</v>
      </c>
      <c r="O5" s="7">
        <v>0.05</v>
      </c>
      <c r="P5" s="9">
        <f>(1-O5)/N5</f>
        <v>1.5833333333333331E-2</v>
      </c>
      <c r="Q5" s="51">
        <v>1300</v>
      </c>
      <c r="R5" s="10">
        <f>Q5*10.7639</f>
        <v>13993.07</v>
      </c>
      <c r="S5" s="11">
        <f>R5*G5</f>
        <v>43658378.399999999</v>
      </c>
      <c r="T5" s="11">
        <f>S5*P5*M5</f>
        <v>11060122.527999999</v>
      </c>
      <c r="U5" s="11">
        <f>MAX(S5-T5,0)</f>
        <v>32598255.872000001</v>
      </c>
      <c r="V5" s="7">
        <v>0</v>
      </c>
      <c r="W5" s="11">
        <f t="shared" ref="W5:W38" si="3">IF(U5&gt;O5*S5,U5*(1+V5),S5*O5)</f>
        <v>32598255.872000001</v>
      </c>
      <c r="X5" s="12">
        <v>800</v>
      </c>
      <c r="Y5" s="13">
        <v>0.99</v>
      </c>
      <c r="Z5" s="14">
        <f>X5*H5</f>
        <v>26866694.400000002</v>
      </c>
    </row>
    <row r="6" spans="2:26" ht="25.5" x14ac:dyDescent="0.25">
      <c r="B6" s="5">
        <v>3</v>
      </c>
      <c r="C6" s="39" t="s">
        <v>26</v>
      </c>
      <c r="D6" s="17" t="s">
        <v>31</v>
      </c>
      <c r="E6" s="18" t="s">
        <v>58</v>
      </c>
      <c r="F6" s="7" t="s">
        <v>27</v>
      </c>
      <c r="G6" s="40">
        <v>615</v>
      </c>
      <c r="H6" s="47">
        <f t="shared" si="1"/>
        <v>6619.7984999999999</v>
      </c>
      <c r="I6" s="8">
        <f t="shared" si="2"/>
        <v>8.0010000000000012</v>
      </c>
      <c r="J6" s="8">
        <v>26.25</v>
      </c>
      <c r="K6" s="6">
        <v>2006</v>
      </c>
      <c r="L6" s="7">
        <v>2022</v>
      </c>
      <c r="M6" s="7">
        <f t="shared" si="0"/>
        <v>16</v>
      </c>
      <c r="N6" s="7">
        <v>60</v>
      </c>
      <c r="O6" s="7">
        <v>0.05</v>
      </c>
      <c r="P6" s="9">
        <f>(1-O6)/N6</f>
        <v>1.5833333333333331E-2</v>
      </c>
      <c r="Q6" s="51">
        <v>1100</v>
      </c>
      <c r="R6" s="10">
        <f>Q6*10.7639</f>
        <v>11840.289999999999</v>
      </c>
      <c r="S6" s="11">
        <f>R6*G6</f>
        <v>7281778.3499999996</v>
      </c>
      <c r="T6" s="11">
        <f>S6*P6*M6</f>
        <v>1844717.1819999996</v>
      </c>
      <c r="U6" s="11">
        <f>MAX(S6-T6,0)</f>
        <v>5437061.1679999996</v>
      </c>
      <c r="V6" s="7">
        <v>0</v>
      </c>
      <c r="W6" s="11">
        <f t="shared" si="3"/>
        <v>5437061.1679999996</v>
      </c>
      <c r="X6" s="12">
        <v>800</v>
      </c>
      <c r="Y6" s="13"/>
      <c r="Z6" s="14">
        <f t="shared" ref="Z6" si="4">X6*H6</f>
        <v>5295838.8</v>
      </c>
    </row>
    <row r="7" spans="2:26" ht="25.5" x14ac:dyDescent="0.25">
      <c r="B7" s="5">
        <v>4</v>
      </c>
      <c r="C7" s="39" t="s">
        <v>26</v>
      </c>
      <c r="D7" s="17" t="s">
        <v>34</v>
      </c>
      <c r="E7" s="18" t="s">
        <v>59</v>
      </c>
      <c r="F7" s="7" t="s">
        <v>27</v>
      </c>
      <c r="G7" s="40">
        <v>2172.7999999999997</v>
      </c>
      <c r="H7" s="47">
        <f t="shared" si="1"/>
        <v>23387.801919999994</v>
      </c>
      <c r="I7" s="8">
        <f t="shared" si="2"/>
        <v>18.897600000000001</v>
      </c>
      <c r="J7" s="8">
        <v>62</v>
      </c>
      <c r="K7" s="6">
        <v>2006</v>
      </c>
      <c r="L7" s="7">
        <v>2022</v>
      </c>
      <c r="M7" s="7">
        <f t="shared" si="0"/>
        <v>16</v>
      </c>
      <c r="N7" s="7">
        <v>40</v>
      </c>
      <c r="O7" s="7">
        <v>0.05</v>
      </c>
      <c r="P7" s="9">
        <f t="shared" ref="P7" si="5">(1-O7)/N7</f>
        <v>2.375E-2</v>
      </c>
      <c r="Q7" s="10">
        <v>1100</v>
      </c>
      <c r="R7" s="10">
        <f t="shared" ref="R7:R38" si="6">Q7*10.7639</f>
        <v>11840.289999999999</v>
      </c>
      <c r="S7" s="11">
        <f t="shared" ref="S7:S38" si="7">R7*G7</f>
        <v>25726582.111999996</v>
      </c>
      <c r="T7" s="11">
        <f t="shared" ref="T7:T38" si="8">S7*P7*M7</f>
        <v>9776101.2025599983</v>
      </c>
      <c r="U7" s="11">
        <f t="shared" ref="U7:U38" si="9">MAX(S7-T7,0)</f>
        <v>15950480.909439998</v>
      </c>
      <c r="V7" s="7">
        <v>0</v>
      </c>
      <c r="W7" s="11">
        <f t="shared" si="3"/>
        <v>15950480.909439998</v>
      </c>
    </row>
    <row r="8" spans="2:26" ht="25.5" x14ac:dyDescent="0.25">
      <c r="B8" s="5">
        <v>5</v>
      </c>
      <c r="C8" s="39" t="s">
        <v>28</v>
      </c>
      <c r="D8" s="17" t="s">
        <v>35</v>
      </c>
      <c r="E8" s="18" t="s">
        <v>59</v>
      </c>
      <c r="F8" s="7" t="s">
        <v>27</v>
      </c>
      <c r="G8" s="40">
        <v>375</v>
      </c>
      <c r="H8" s="47">
        <f t="shared" si="1"/>
        <v>4036.4624999999996</v>
      </c>
      <c r="I8" s="8">
        <f t="shared" si="2"/>
        <v>4.8768000000000002</v>
      </c>
      <c r="J8" s="8">
        <v>16</v>
      </c>
      <c r="K8" s="6">
        <v>2006</v>
      </c>
      <c r="L8" s="7">
        <v>2022</v>
      </c>
      <c r="M8" s="7">
        <f t="shared" si="0"/>
        <v>16</v>
      </c>
      <c r="N8" s="7">
        <v>40</v>
      </c>
      <c r="O8" s="7">
        <v>0.05</v>
      </c>
      <c r="P8" s="9">
        <f>(1-O8)/N8</f>
        <v>2.375E-2</v>
      </c>
      <c r="Q8" s="10">
        <v>800</v>
      </c>
      <c r="R8" s="10">
        <f t="shared" si="6"/>
        <v>8611.119999999999</v>
      </c>
      <c r="S8" s="11">
        <f t="shared" si="7"/>
        <v>3229169.9999999995</v>
      </c>
      <c r="T8" s="11">
        <f t="shared" si="8"/>
        <v>1227084.5999999999</v>
      </c>
      <c r="U8" s="11">
        <f t="shared" si="9"/>
        <v>2002085.3999999997</v>
      </c>
      <c r="V8" s="7">
        <v>0</v>
      </c>
      <c r="W8" s="11">
        <f t="shared" si="3"/>
        <v>2002085.3999999997</v>
      </c>
    </row>
    <row r="9" spans="2:26" ht="38.25" x14ac:dyDescent="0.25">
      <c r="B9" s="5">
        <v>6</v>
      </c>
      <c r="C9" s="39" t="s">
        <v>28</v>
      </c>
      <c r="D9" s="17" t="s">
        <v>36</v>
      </c>
      <c r="E9" s="19" t="s">
        <v>60</v>
      </c>
      <c r="F9" s="7" t="s">
        <v>27</v>
      </c>
      <c r="G9" s="40">
        <v>1715.2800000000002</v>
      </c>
      <c r="H9" s="47">
        <f t="shared" si="1"/>
        <v>18463.102392000001</v>
      </c>
      <c r="I9" s="8">
        <f t="shared" si="2"/>
        <v>23.7744</v>
      </c>
      <c r="J9" s="8">
        <v>78</v>
      </c>
      <c r="K9" s="6">
        <v>2006</v>
      </c>
      <c r="L9" s="7">
        <v>2022</v>
      </c>
      <c r="M9" s="7">
        <f t="shared" si="0"/>
        <v>16</v>
      </c>
      <c r="N9" s="7">
        <v>40</v>
      </c>
      <c r="O9" s="7">
        <v>0.05</v>
      </c>
      <c r="P9" s="9">
        <f t="shared" ref="P9:P38" si="10">(1-O9)/N9</f>
        <v>2.375E-2</v>
      </c>
      <c r="Q9" s="10">
        <v>1300</v>
      </c>
      <c r="R9" s="10">
        <f t="shared" si="6"/>
        <v>13993.07</v>
      </c>
      <c r="S9" s="11">
        <f t="shared" si="7"/>
        <v>24002033.109600004</v>
      </c>
      <c r="T9" s="11">
        <f t="shared" si="8"/>
        <v>9120772.5816480014</v>
      </c>
      <c r="U9" s="11">
        <f t="shared" si="9"/>
        <v>14881260.527952002</v>
      </c>
      <c r="V9" s="7">
        <v>0</v>
      </c>
      <c r="W9" s="11">
        <f t="shared" si="3"/>
        <v>14881260.527952002</v>
      </c>
    </row>
    <row r="10" spans="2:26" ht="38.25" x14ac:dyDescent="0.25">
      <c r="B10" s="5">
        <v>7</v>
      </c>
      <c r="C10" s="39" t="s">
        <v>28</v>
      </c>
      <c r="D10" s="17" t="s">
        <v>37</v>
      </c>
      <c r="E10" s="18" t="s">
        <v>61</v>
      </c>
      <c r="F10" s="7" t="s">
        <v>27</v>
      </c>
      <c r="G10" s="40">
        <v>1643.04</v>
      </c>
      <c r="H10" s="47">
        <f t="shared" si="1"/>
        <v>17685.518255999999</v>
      </c>
      <c r="I10" s="8">
        <f t="shared" si="2"/>
        <v>23.7744</v>
      </c>
      <c r="J10" s="8">
        <v>78</v>
      </c>
      <c r="K10" s="6">
        <v>2006</v>
      </c>
      <c r="L10" s="7">
        <v>2022</v>
      </c>
      <c r="M10" s="7">
        <f t="shared" si="0"/>
        <v>16</v>
      </c>
      <c r="N10" s="7">
        <v>40</v>
      </c>
      <c r="O10" s="7">
        <v>0.05</v>
      </c>
      <c r="P10" s="9">
        <f t="shared" si="10"/>
        <v>2.375E-2</v>
      </c>
      <c r="Q10" s="10">
        <v>1300</v>
      </c>
      <c r="R10" s="10">
        <f t="shared" si="6"/>
        <v>13993.07</v>
      </c>
      <c r="S10" s="11">
        <f t="shared" si="7"/>
        <v>22991173.732799999</v>
      </c>
      <c r="T10" s="11">
        <f t="shared" si="8"/>
        <v>8736646.018463999</v>
      </c>
      <c r="U10" s="11">
        <f t="shared" si="9"/>
        <v>14254527.714336</v>
      </c>
      <c r="V10" s="7">
        <v>0</v>
      </c>
      <c r="W10" s="11">
        <f t="shared" si="3"/>
        <v>14254527.714336</v>
      </c>
    </row>
    <row r="11" spans="2:26" ht="38.25" x14ac:dyDescent="0.25">
      <c r="B11" s="5">
        <v>8</v>
      </c>
      <c r="C11" s="39" t="s">
        <v>28</v>
      </c>
      <c r="D11" s="17" t="s">
        <v>38</v>
      </c>
      <c r="E11" s="19" t="s">
        <v>60</v>
      </c>
      <c r="F11" s="7" t="s">
        <v>27</v>
      </c>
      <c r="G11" s="40">
        <v>3753</v>
      </c>
      <c r="H11" s="47">
        <f t="shared" si="1"/>
        <v>40396.916700000002</v>
      </c>
      <c r="I11" s="8">
        <f t="shared" si="2"/>
        <v>29.8704</v>
      </c>
      <c r="J11" s="8">
        <v>98</v>
      </c>
      <c r="K11" s="6">
        <v>2006</v>
      </c>
      <c r="L11" s="7">
        <v>2022</v>
      </c>
      <c r="M11" s="7">
        <f t="shared" si="0"/>
        <v>16</v>
      </c>
      <c r="N11" s="7">
        <v>40</v>
      </c>
      <c r="O11" s="7">
        <v>0.05</v>
      </c>
      <c r="P11" s="9">
        <f t="shared" si="10"/>
        <v>2.375E-2</v>
      </c>
      <c r="Q11" s="10">
        <v>1400</v>
      </c>
      <c r="R11" s="10">
        <f t="shared" si="6"/>
        <v>15069.46</v>
      </c>
      <c r="S11" s="11">
        <f t="shared" si="7"/>
        <v>56555683.379999995</v>
      </c>
      <c r="T11" s="11">
        <f t="shared" si="8"/>
        <v>21491159.6844</v>
      </c>
      <c r="U11" s="11">
        <f t="shared" si="9"/>
        <v>35064523.695599996</v>
      </c>
      <c r="V11" s="7">
        <v>0</v>
      </c>
      <c r="W11" s="11">
        <f t="shared" si="3"/>
        <v>35064523.695599996</v>
      </c>
    </row>
    <row r="12" spans="2:26" ht="38.25" x14ac:dyDescent="0.25">
      <c r="B12" s="5">
        <v>9</v>
      </c>
      <c r="C12" s="39" t="s">
        <v>28</v>
      </c>
      <c r="D12" s="17" t="s">
        <v>39</v>
      </c>
      <c r="E12" s="19" t="s">
        <v>60</v>
      </c>
      <c r="F12" s="7" t="s">
        <v>27</v>
      </c>
      <c r="G12" s="40">
        <v>1792</v>
      </c>
      <c r="H12" s="47">
        <f t="shared" si="1"/>
        <v>19288.908799999997</v>
      </c>
      <c r="I12" s="8">
        <f t="shared" si="2"/>
        <v>21.945600000000002</v>
      </c>
      <c r="J12" s="8">
        <v>72</v>
      </c>
      <c r="K12" s="6">
        <v>2006</v>
      </c>
      <c r="L12" s="7">
        <v>2022</v>
      </c>
      <c r="M12" s="7">
        <f t="shared" si="0"/>
        <v>16</v>
      </c>
      <c r="N12" s="7">
        <v>40</v>
      </c>
      <c r="O12" s="7">
        <v>0.05</v>
      </c>
      <c r="P12" s="9">
        <f t="shared" si="10"/>
        <v>2.375E-2</v>
      </c>
      <c r="Q12" s="10">
        <v>1300</v>
      </c>
      <c r="R12" s="10">
        <f t="shared" si="6"/>
        <v>13993.07</v>
      </c>
      <c r="S12" s="11">
        <f t="shared" si="7"/>
        <v>25075581.439999998</v>
      </c>
      <c r="T12" s="11">
        <f t="shared" si="8"/>
        <v>9528720.9471999984</v>
      </c>
      <c r="U12" s="11">
        <f t="shared" si="9"/>
        <v>15546860.492799999</v>
      </c>
      <c r="V12" s="7">
        <v>0</v>
      </c>
      <c r="W12" s="11">
        <f t="shared" si="3"/>
        <v>15546860.492799999</v>
      </c>
    </row>
    <row r="13" spans="2:26" ht="38.25" x14ac:dyDescent="0.25">
      <c r="B13" s="5">
        <v>10</v>
      </c>
      <c r="C13" s="39" t="s">
        <v>28</v>
      </c>
      <c r="D13" s="17" t="s">
        <v>40</v>
      </c>
      <c r="E13" s="19" t="s">
        <v>60</v>
      </c>
      <c r="F13" s="7" t="s">
        <v>27</v>
      </c>
      <c r="G13" s="40">
        <v>672</v>
      </c>
      <c r="H13" s="47">
        <f t="shared" si="1"/>
        <v>7233.3407999999999</v>
      </c>
      <c r="I13" s="8">
        <f t="shared" si="2"/>
        <v>4.8768000000000002</v>
      </c>
      <c r="J13" s="8">
        <v>16</v>
      </c>
      <c r="K13" s="6">
        <v>2006</v>
      </c>
      <c r="L13" s="7">
        <v>2022</v>
      </c>
      <c r="M13" s="7">
        <f t="shared" si="0"/>
        <v>16</v>
      </c>
      <c r="N13" s="7">
        <v>40</v>
      </c>
      <c r="O13" s="7">
        <v>0.05</v>
      </c>
      <c r="P13" s="9">
        <f t="shared" si="10"/>
        <v>2.375E-2</v>
      </c>
      <c r="Q13" s="10">
        <v>900</v>
      </c>
      <c r="R13" s="10">
        <f t="shared" si="6"/>
        <v>9687.51</v>
      </c>
      <c r="S13" s="11">
        <f t="shared" si="7"/>
        <v>6510006.7199999997</v>
      </c>
      <c r="T13" s="11">
        <f t="shared" si="8"/>
        <v>2473802.5535999998</v>
      </c>
      <c r="U13" s="11">
        <f t="shared" si="9"/>
        <v>4036204.1664</v>
      </c>
      <c r="V13" s="7">
        <v>0</v>
      </c>
      <c r="W13" s="11">
        <f t="shared" si="3"/>
        <v>4036204.1664</v>
      </c>
    </row>
    <row r="14" spans="2:26" ht="38.25" x14ac:dyDescent="0.25">
      <c r="B14" s="5">
        <v>11</v>
      </c>
      <c r="C14" s="39" t="s">
        <v>28</v>
      </c>
      <c r="D14" s="17" t="s">
        <v>66</v>
      </c>
      <c r="E14" s="19" t="s">
        <v>62</v>
      </c>
      <c r="F14" s="7" t="s">
        <v>27</v>
      </c>
      <c r="G14" s="40">
        <v>15832.244999999999</v>
      </c>
      <c r="H14" s="47">
        <f t="shared" si="1"/>
        <v>170416.70195549997</v>
      </c>
      <c r="I14" s="8">
        <f t="shared" si="2"/>
        <v>9.7536000000000005</v>
      </c>
      <c r="J14" s="8">
        <v>32</v>
      </c>
      <c r="K14" s="6">
        <v>2006</v>
      </c>
      <c r="L14" s="7">
        <v>2022</v>
      </c>
      <c r="M14" s="7">
        <f t="shared" si="0"/>
        <v>16</v>
      </c>
      <c r="N14" s="7">
        <v>40</v>
      </c>
      <c r="O14" s="7">
        <v>0.05</v>
      </c>
      <c r="P14" s="9">
        <f t="shared" si="10"/>
        <v>2.375E-2</v>
      </c>
      <c r="Q14" s="10">
        <v>1000</v>
      </c>
      <c r="R14" s="10">
        <f t="shared" si="6"/>
        <v>10763.9</v>
      </c>
      <c r="S14" s="11">
        <f t="shared" si="7"/>
        <v>170416701.95549998</v>
      </c>
      <c r="T14" s="11">
        <f t="shared" si="8"/>
        <v>64758346.743089989</v>
      </c>
      <c r="U14" s="11">
        <f t="shared" si="9"/>
        <v>105658355.21240999</v>
      </c>
      <c r="V14" s="7">
        <v>0</v>
      </c>
      <c r="W14" s="11">
        <f t="shared" si="3"/>
        <v>105658355.21240999</v>
      </c>
    </row>
    <row r="15" spans="2:26" ht="38.25" x14ac:dyDescent="0.25">
      <c r="B15" s="5">
        <v>12</v>
      </c>
      <c r="C15" s="39" t="s">
        <v>28</v>
      </c>
      <c r="D15" s="17" t="s">
        <v>41</v>
      </c>
      <c r="E15" s="19" t="s">
        <v>60</v>
      </c>
      <c r="F15" s="7" t="s">
        <v>27</v>
      </c>
      <c r="G15" s="40">
        <v>300</v>
      </c>
      <c r="H15" s="47">
        <f t="shared" si="1"/>
        <v>3229.17</v>
      </c>
      <c r="I15" s="8">
        <f t="shared" si="2"/>
        <v>4.2671999999999999</v>
      </c>
      <c r="J15" s="8">
        <v>14</v>
      </c>
      <c r="K15" s="6">
        <v>2006</v>
      </c>
      <c r="L15" s="7">
        <v>2022</v>
      </c>
      <c r="M15" s="7">
        <f t="shared" si="0"/>
        <v>16</v>
      </c>
      <c r="N15" s="7">
        <v>40</v>
      </c>
      <c r="O15" s="7">
        <v>0.05</v>
      </c>
      <c r="P15" s="9">
        <f t="shared" si="10"/>
        <v>2.375E-2</v>
      </c>
      <c r="Q15" s="10">
        <v>900</v>
      </c>
      <c r="R15" s="10">
        <f t="shared" si="6"/>
        <v>9687.51</v>
      </c>
      <c r="S15" s="11">
        <f t="shared" si="7"/>
        <v>2906253</v>
      </c>
      <c r="T15" s="11">
        <f t="shared" si="8"/>
        <v>1104376.1399999999</v>
      </c>
      <c r="U15" s="11">
        <f t="shared" si="9"/>
        <v>1801876.86</v>
      </c>
      <c r="V15" s="7">
        <v>0</v>
      </c>
      <c r="W15" s="11">
        <f t="shared" si="3"/>
        <v>1801876.86</v>
      </c>
    </row>
    <row r="16" spans="2:26" ht="25.5" x14ac:dyDescent="0.25">
      <c r="B16" s="5">
        <v>13</v>
      </c>
      <c r="C16" s="39" t="s">
        <v>28</v>
      </c>
      <c r="D16" s="17" t="s">
        <v>69</v>
      </c>
      <c r="E16" s="19" t="s">
        <v>65</v>
      </c>
      <c r="F16" s="7" t="s">
        <v>27</v>
      </c>
      <c r="G16" s="40">
        <v>139</v>
      </c>
      <c r="H16" s="47">
        <f t="shared" si="1"/>
        <v>1496.1821</v>
      </c>
      <c r="I16" s="8">
        <f t="shared" si="2"/>
        <v>4.8768000000000002</v>
      </c>
      <c r="J16" s="8">
        <v>16</v>
      </c>
      <c r="K16" s="6">
        <v>2006</v>
      </c>
      <c r="L16" s="7">
        <v>2022</v>
      </c>
      <c r="M16" s="7">
        <f t="shared" si="0"/>
        <v>16</v>
      </c>
      <c r="N16" s="7">
        <v>60</v>
      </c>
      <c r="O16" s="7">
        <v>0.05</v>
      </c>
      <c r="P16" s="9">
        <f t="shared" si="10"/>
        <v>1.5833333333333331E-2</v>
      </c>
      <c r="Q16" s="51">
        <v>1200</v>
      </c>
      <c r="R16" s="10">
        <f t="shared" si="6"/>
        <v>12916.68</v>
      </c>
      <c r="S16" s="11">
        <f t="shared" si="7"/>
        <v>1795418.52</v>
      </c>
      <c r="T16" s="11">
        <f t="shared" si="8"/>
        <v>454839.35839999997</v>
      </c>
      <c r="U16" s="11">
        <f t="shared" si="9"/>
        <v>1340579.1616</v>
      </c>
      <c r="V16" s="7">
        <v>0</v>
      </c>
      <c r="W16" s="11">
        <f t="shared" si="3"/>
        <v>1340579.1616</v>
      </c>
    </row>
    <row r="17" spans="2:25" ht="25.5" x14ac:dyDescent="0.25">
      <c r="B17" s="5">
        <v>14</v>
      </c>
      <c r="C17" s="39" t="s">
        <v>28</v>
      </c>
      <c r="D17" s="17" t="s">
        <v>70</v>
      </c>
      <c r="E17" s="19" t="s">
        <v>65</v>
      </c>
      <c r="F17" s="7" t="s">
        <v>27</v>
      </c>
      <c r="G17" s="40">
        <v>308</v>
      </c>
      <c r="H17" s="47">
        <f t="shared" si="1"/>
        <v>3315.2811999999999</v>
      </c>
      <c r="I17" s="8">
        <f t="shared" si="2"/>
        <v>4.8768000000000002</v>
      </c>
      <c r="J17" s="8">
        <v>16</v>
      </c>
      <c r="K17" s="6">
        <v>2006</v>
      </c>
      <c r="L17" s="7">
        <v>2022</v>
      </c>
      <c r="M17" s="7">
        <f t="shared" si="0"/>
        <v>16</v>
      </c>
      <c r="N17" s="7">
        <v>60</v>
      </c>
      <c r="O17" s="7">
        <v>0.05</v>
      </c>
      <c r="P17" s="9">
        <f t="shared" si="10"/>
        <v>1.5833333333333331E-2</v>
      </c>
      <c r="Q17" s="51">
        <v>1200</v>
      </c>
      <c r="R17" s="10">
        <f t="shared" si="6"/>
        <v>12916.68</v>
      </c>
      <c r="S17" s="11">
        <f t="shared" si="7"/>
        <v>3978337.44</v>
      </c>
      <c r="T17" s="11">
        <f t="shared" si="8"/>
        <v>1007845.4847999999</v>
      </c>
      <c r="U17" s="11">
        <f t="shared" si="9"/>
        <v>2970491.9552000002</v>
      </c>
      <c r="V17" s="7">
        <v>0</v>
      </c>
      <c r="W17" s="11">
        <f t="shared" si="3"/>
        <v>2970491.9552000002</v>
      </c>
    </row>
    <row r="18" spans="2:25" ht="38.25" x14ac:dyDescent="0.25">
      <c r="B18" s="5">
        <v>15</v>
      </c>
      <c r="C18" s="39" t="s">
        <v>28</v>
      </c>
      <c r="D18" s="17" t="s">
        <v>42</v>
      </c>
      <c r="E18" s="19" t="s">
        <v>60</v>
      </c>
      <c r="F18" s="7" t="s">
        <v>27</v>
      </c>
      <c r="G18" s="40">
        <v>7412</v>
      </c>
      <c r="H18" s="47">
        <f t="shared" si="1"/>
        <v>79782.026799999992</v>
      </c>
      <c r="I18" s="8">
        <f>J18*0.3048</f>
        <v>24.993600000000001</v>
      </c>
      <c r="J18" s="8">
        <v>82</v>
      </c>
      <c r="K18" s="6">
        <v>2006</v>
      </c>
      <c r="L18" s="7">
        <v>2022</v>
      </c>
      <c r="M18" s="7">
        <f t="shared" si="0"/>
        <v>16</v>
      </c>
      <c r="N18" s="7">
        <v>40</v>
      </c>
      <c r="O18" s="7">
        <v>0.05</v>
      </c>
      <c r="P18" s="9">
        <f t="shared" si="10"/>
        <v>2.375E-2</v>
      </c>
      <c r="Q18" s="10">
        <v>1300</v>
      </c>
      <c r="R18" s="10">
        <f t="shared" si="6"/>
        <v>13993.07</v>
      </c>
      <c r="S18" s="11">
        <f t="shared" si="7"/>
        <v>103716634.84</v>
      </c>
      <c r="T18" s="11">
        <f t="shared" si="8"/>
        <v>39412321.239200003</v>
      </c>
      <c r="U18" s="11">
        <f t="shared" si="9"/>
        <v>64304313.6008</v>
      </c>
      <c r="V18" s="7">
        <v>0</v>
      </c>
      <c r="W18" s="11">
        <f t="shared" si="3"/>
        <v>64304313.6008</v>
      </c>
    </row>
    <row r="19" spans="2:25" ht="25.5" x14ac:dyDescent="0.25">
      <c r="B19" s="5">
        <v>16</v>
      </c>
      <c r="C19" s="39" t="s">
        <v>28</v>
      </c>
      <c r="D19" s="17" t="s">
        <v>43</v>
      </c>
      <c r="E19" s="18" t="s">
        <v>63</v>
      </c>
      <c r="F19" s="7" t="s">
        <v>27</v>
      </c>
      <c r="G19" s="40">
        <v>1250</v>
      </c>
      <c r="H19" s="47">
        <f t="shared" si="1"/>
        <v>13454.875</v>
      </c>
      <c r="I19" s="8">
        <f>J19*0.3048</f>
        <v>18.897600000000001</v>
      </c>
      <c r="J19" s="8">
        <v>62</v>
      </c>
      <c r="K19" s="6">
        <v>2006</v>
      </c>
      <c r="L19" s="7">
        <v>2022</v>
      </c>
      <c r="M19" s="7">
        <f t="shared" si="0"/>
        <v>16</v>
      </c>
      <c r="N19" s="7">
        <v>60</v>
      </c>
      <c r="O19" s="7">
        <v>0.05</v>
      </c>
      <c r="P19" s="9">
        <f t="shared" si="10"/>
        <v>1.5833333333333331E-2</v>
      </c>
      <c r="Q19" s="51">
        <v>1400</v>
      </c>
      <c r="R19" s="10">
        <f t="shared" si="6"/>
        <v>15069.46</v>
      </c>
      <c r="S19" s="11">
        <f t="shared" si="7"/>
        <v>18836825</v>
      </c>
      <c r="T19" s="11">
        <f t="shared" si="8"/>
        <v>4771995.666666666</v>
      </c>
      <c r="U19" s="11">
        <f t="shared" si="9"/>
        <v>14064829.333333334</v>
      </c>
      <c r="V19" s="7">
        <v>0</v>
      </c>
      <c r="W19" s="11">
        <f t="shared" si="3"/>
        <v>14064829.333333334</v>
      </c>
    </row>
    <row r="20" spans="2:25" ht="25.5" x14ac:dyDescent="0.25">
      <c r="B20" s="5">
        <v>17</v>
      </c>
      <c r="C20" s="39" t="s">
        <v>28</v>
      </c>
      <c r="D20" s="17" t="s">
        <v>44</v>
      </c>
      <c r="E20" s="18" t="s">
        <v>63</v>
      </c>
      <c r="F20" s="7" t="s">
        <v>27</v>
      </c>
      <c r="G20" s="40">
        <v>1092</v>
      </c>
      <c r="H20" s="47">
        <f t="shared" si="1"/>
        <v>11754.1788</v>
      </c>
      <c r="I20" s="8">
        <f t="shared" ref="I20:I38" si="11">J20*0.3048</f>
        <v>11.5824</v>
      </c>
      <c r="J20" s="8">
        <v>38</v>
      </c>
      <c r="K20" s="6">
        <v>2006</v>
      </c>
      <c r="L20" s="7">
        <v>2022</v>
      </c>
      <c r="M20" s="7">
        <f t="shared" si="0"/>
        <v>16</v>
      </c>
      <c r="N20" s="7">
        <v>60</v>
      </c>
      <c r="O20" s="7">
        <v>0.05</v>
      </c>
      <c r="P20" s="9">
        <f t="shared" si="10"/>
        <v>1.5833333333333331E-2</v>
      </c>
      <c r="Q20" s="51">
        <v>1200</v>
      </c>
      <c r="R20" s="10">
        <f t="shared" si="6"/>
        <v>12916.68</v>
      </c>
      <c r="S20" s="11">
        <f t="shared" si="7"/>
        <v>14105014.560000001</v>
      </c>
      <c r="T20" s="11">
        <f t="shared" si="8"/>
        <v>3573270.3551999996</v>
      </c>
      <c r="U20" s="11">
        <f t="shared" si="9"/>
        <v>10531744.2048</v>
      </c>
      <c r="V20" s="7">
        <v>0</v>
      </c>
      <c r="W20" s="11">
        <f t="shared" si="3"/>
        <v>10531744.2048</v>
      </c>
    </row>
    <row r="21" spans="2:25" ht="38.25" x14ac:dyDescent="0.25">
      <c r="B21" s="5">
        <v>18</v>
      </c>
      <c r="C21" s="39" t="s">
        <v>28</v>
      </c>
      <c r="D21" s="17" t="s">
        <v>71</v>
      </c>
      <c r="E21" s="19" t="s">
        <v>72</v>
      </c>
      <c r="F21" s="7" t="s">
        <v>27</v>
      </c>
      <c r="G21" s="40">
        <v>148</v>
      </c>
      <c r="H21" s="47">
        <f t="shared" si="1"/>
        <v>1593.0572</v>
      </c>
      <c r="I21" s="8">
        <f t="shared" si="11"/>
        <v>5.1816000000000004</v>
      </c>
      <c r="J21" s="42">
        <v>17</v>
      </c>
      <c r="K21" s="6">
        <v>2006</v>
      </c>
      <c r="L21" s="7">
        <v>2022</v>
      </c>
      <c r="M21" s="7">
        <f t="shared" si="0"/>
        <v>16</v>
      </c>
      <c r="N21" s="42">
        <v>40</v>
      </c>
      <c r="O21" s="7">
        <v>0.05</v>
      </c>
      <c r="P21" s="9">
        <f t="shared" si="10"/>
        <v>2.375E-2</v>
      </c>
      <c r="Q21" s="53">
        <v>900</v>
      </c>
      <c r="R21" s="53">
        <f t="shared" si="6"/>
        <v>9687.51</v>
      </c>
      <c r="S21" s="11">
        <f t="shared" si="7"/>
        <v>1433751.48</v>
      </c>
      <c r="T21" s="11">
        <f t="shared" si="8"/>
        <v>544825.56240000005</v>
      </c>
      <c r="U21" s="11">
        <f t="shared" si="9"/>
        <v>888925.91759999993</v>
      </c>
      <c r="V21" s="7">
        <v>0</v>
      </c>
      <c r="W21" s="11">
        <f t="shared" si="3"/>
        <v>888925.91759999993</v>
      </c>
    </row>
    <row r="22" spans="2:25" ht="25.5" x14ac:dyDescent="0.25">
      <c r="B22" s="5">
        <v>19</v>
      </c>
      <c r="C22" s="39" t="s">
        <v>67</v>
      </c>
      <c r="D22" s="17" t="s">
        <v>45</v>
      </c>
      <c r="E22" s="19" t="s">
        <v>64</v>
      </c>
      <c r="F22" s="7" t="s">
        <v>27</v>
      </c>
      <c r="G22" s="40">
        <v>228.35159999999999</v>
      </c>
      <c r="H22" s="47">
        <f t="shared" si="1"/>
        <v>2457.9537872399997</v>
      </c>
      <c r="I22" s="8">
        <f t="shared" si="11"/>
        <v>16.763999999999999</v>
      </c>
      <c r="J22" s="8">
        <v>55</v>
      </c>
      <c r="K22" s="6">
        <v>2006</v>
      </c>
      <c r="L22" s="7">
        <v>2022</v>
      </c>
      <c r="M22" s="7">
        <f t="shared" si="0"/>
        <v>16</v>
      </c>
      <c r="N22" s="7">
        <v>40</v>
      </c>
      <c r="O22" s="7">
        <v>0.05</v>
      </c>
      <c r="P22" s="9">
        <f t="shared" si="10"/>
        <v>2.375E-2</v>
      </c>
      <c r="Q22" s="10">
        <v>1100</v>
      </c>
      <c r="R22" s="10">
        <f t="shared" si="6"/>
        <v>11840.289999999999</v>
      </c>
      <c r="S22" s="11">
        <f t="shared" si="7"/>
        <v>2703749.1659639995</v>
      </c>
      <c r="T22" s="11">
        <f t="shared" si="8"/>
        <v>1027424.6830663198</v>
      </c>
      <c r="U22" s="11">
        <f t="shared" si="9"/>
        <v>1676324.4828976798</v>
      </c>
      <c r="V22" s="7">
        <v>0</v>
      </c>
      <c r="W22" s="11">
        <f t="shared" si="3"/>
        <v>1676324.4828976798</v>
      </c>
      <c r="X22" s="15"/>
      <c r="Y22" s="15"/>
    </row>
    <row r="23" spans="2:25" x14ac:dyDescent="0.25">
      <c r="B23" s="5">
        <v>20</v>
      </c>
      <c r="C23" s="39" t="s">
        <v>28</v>
      </c>
      <c r="D23" s="17" t="s">
        <v>68</v>
      </c>
      <c r="E23" s="19" t="s">
        <v>63</v>
      </c>
      <c r="F23" s="7" t="s">
        <v>27</v>
      </c>
      <c r="G23" s="40">
        <v>72</v>
      </c>
      <c r="H23" s="47">
        <f t="shared" si="1"/>
        <v>775.00080000000003</v>
      </c>
      <c r="I23" s="8">
        <f t="shared" si="11"/>
        <v>2.7432000000000003</v>
      </c>
      <c r="J23" s="8">
        <v>9</v>
      </c>
      <c r="K23" s="6">
        <v>2006</v>
      </c>
      <c r="L23" s="7">
        <v>2022</v>
      </c>
      <c r="M23" s="7">
        <f t="shared" si="0"/>
        <v>16</v>
      </c>
      <c r="N23" s="7">
        <v>60</v>
      </c>
      <c r="O23" s="7">
        <v>0.05</v>
      </c>
      <c r="P23" s="9">
        <f t="shared" si="10"/>
        <v>1.5833333333333331E-2</v>
      </c>
      <c r="Q23" s="51">
        <v>1000</v>
      </c>
      <c r="R23" s="10">
        <f t="shared" si="6"/>
        <v>10763.9</v>
      </c>
      <c r="S23" s="11">
        <f t="shared" si="7"/>
        <v>775000.79999999993</v>
      </c>
      <c r="T23" s="11">
        <f t="shared" si="8"/>
        <v>196333.53599999996</v>
      </c>
      <c r="U23" s="11">
        <f t="shared" si="9"/>
        <v>578667.26399999997</v>
      </c>
      <c r="V23" s="7">
        <v>0</v>
      </c>
      <c r="W23" s="11">
        <f t="shared" si="3"/>
        <v>578667.26399999997</v>
      </c>
    </row>
    <row r="24" spans="2:25" ht="25.5" x14ac:dyDescent="0.25">
      <c r="B24" s="5">
        <v>21</v>
      </c>
      <c r="C24" s="39" t="s">
        <v>28</v>
      </c>
      <c r="D24" s="17" t="s">
        <v>46</v>
      </c>
      <c r="E24" s="19" t="s">
        <v>65</v>
      </c>
      <c r="F24" s="7" t="s">
        <v>27</v>
      </c>
      <c r="G24" s="40">
        <v>60.899999999999991</v>
      </c>
      <c r="H24" s="47">
        <f t="shared" si="1"/>
        <v>655.52150999999992</v>
      </c>
      <c r="I24" s="43">
        <f t="shared" si="11"/>
        <v>4.5720000000000001</v>
      </c>
      <c r="J24" s="41">
        <v>15</v>
      </c>
      <c r="K24" s="6">
        <v>2006</v>
      </c>
      <c r="L24" s="7">
        <v>2022</v>
      </c>
      <c r="M24" s="7">
        <f t="shared" si="0"/>
        <v>16</v>
      </c>
      <c r="N24" s="41">
        <v>60</v>
      </c>
      <c r="O24" s="7">
        <v>0.05</v>
      </c>
      <c r="P24" s="9">
        <f t="shared" si="10"/>
        <v>1.5833333333333331E-2</v>
      </c>
      <c r="Q24" s="52">
        <v>1100</v>
      </c>
      <c r="R24" s="10">
        <f t="shared" si="6"/>
        <v>11840.289999999999</v>
      </c>
      <c r="S24" s="11">
        <f t="shared" si="7"/>
        <v>721073.66099999985</v>
      </c>
      <c r="T24" s="11">
        <f t="shared" si="8"/>
        <v>182671.99411999993</v>
      </c>
      <c r="U24" s="11">
        <f t="shared" si="9"/>
        <v>538401.66687999992</v>
      </c>
      <c r="V24" s="7">
        <v>0</v>
      </c>
      <c r="W24" s="11">
        <f t="shared" si="3"/>
        <v>538401.66687999992</v>
      </c>
    </row>
    <row r="25" spans="2:25" ht="25.5" x14ac:dyDescent="0.25">
      <c r="B25" s="5">
        <v>22</v>
      </c>
      <c r="C25" s="39" t="s">
        <v>28</v>
      </c>
      <c r="D25" s="17" t="s">
        <v>47</v>
      </c>
      <c r="E25" s="19" t="s">
        <v>65</v>
      </c>
      <c r="F25" s="7" t="s">
        <v>27</v>
      </c>
      <c r="G25" s="40">
        <v>24</v>
      </c>
      <c r="H25" s="47">
        <f t="shared" si="1"/>
        <v>258.33359999999999</v>
      </c>
      <c r="I25" s="43">
        <f t="shared" si="11"/>
        <v>4.8768000000000002</v>
      </c>
      <c r="J25" s="41">
        <v>16</v>
      </c>
      <c r="K25" s="6">
        <v>2006</v>
      </c>
      <c r="L25" s="7">
        <v>2022</v>
      </c>
      <c r="M25" s="7">
        <f t="shared" si="0"/>
        <v>16</v>
      </c>
      <c r="N25" s="41">
        <v>60</v>
      </c>
      <c r="O25" s="7">
        <v>0.05</v>
      </c>
      <c r="P25" s="9">
        <f t="shared" si="10"/>
        <v>1.5833333333333331E-2</v>
      </c>
      <c r="Q25" s="52">
        <v>1100</v>
      </c>
      <c r="R25" s="10">
        <f t="shared" si="6"/>
        <v>11840.289999999999</v>
      </c>
      <c r="S25" s="11">
        <f t="shared" si="7"/>
        <v>284166.95999999996</v>
      </c>
      <c r="T25" s="11">
        <f t="shared" si="8"/>
        <v>71988.963199999984</v>
      </c>
      <c r="U25" s="11">
        <f t="shared" si="9"/>
        <v>212177.99679999996</v>
      </c>
      <c r="V25" s="7">
        <v>0</v>
      </c>
      <c r="W25" s="11">
        <f t="shared" si="3"/>
        <v>212177.99679999996</v>
      </c>
    </row>
    <row r="26" spans="2:25" ht="25.5" x14ac:dyDescent="0.25">
      <c r="B26" s="5">
        <v>23</v>
      </c>
      <c r="C26" s="39" t="s">
        <v>28</v>
      </c>
      <c r="D26" s="17" t="s">
        <v>48</v>
      </c>
      <c r="E26" s="19" t="s">
        <v>65</v>
      </c>
      <c r="F26" s="7" t="s">
        <v>27</v>
      </c>
      <c r="G26" s="40">
        <v>216</v>
      </c>
      <c r="H26" s="47">
        <f t="shared" si="1"/>
        <v>2325.0023999999999</v>
      </c>
      <c r="I26" s="43">
        <f t="shared" si="11"/>
        <v>4.8768000000000002</v>
      </c>
      <c r="J26" s="41">
        <v>16</v>
      </c>
      <c r="K26" s="6">
        <v>2006</v>
      </c>
      <c r="L26" s="7">
        <v>2022</v>
      </c>
      <c r="M26" s="7">
        <f t="shared" si="0"/>
        <v>16</v>
      </c>
      <c r="N26" s="41">
        <v>60</v>
      </c>
      <c r="O26" s="7">
        <v>0.05</v>
      </c>
      <c r="P26" s="9">
        <f t="shared" si="10"/>
        <v>1.5833333333333331E-2</v>
      </c>
      <c r="Q26" s="52">
        <v>1100</v>
      </c>
      <c r="R26" s="10">
        <f t="shared" si="6"/>
        <v>11840.289999999999</v>
      </c>
      <c r="S26" s="11">
        <f t="shared" si="7"/>
        <v>2557502.6399999997</v>
      </c>
      <c r="T26" s="11">
        <f t="shared" si="8"/>
        <v>647900.66879999987</v>
      </c>
      <c r="U26" s="11">
        <f t="shared" si="9"/>
        <v>1909601.9711999998</v>
      </c>
      <c r="V26" s="7">
        <v>0</v>
      </c>
      <c r="W26" s="11">
        <f t="shared" si="3"/>
        <v>1909601.9711999998</v>
      </c>
    </row>
    <row r="27" spans="2:25" ht="25.5" x14ac:dyDescent="0.25">
      <c r="B27" s="5">
        <v>24</v>
      </c>
      <c r="C27" s="39" t="s">
        <v>28</v>
      </c>
      <c r="D27" s="17" t="s">
        <v>49</v>
      </c>
      <c r="E27" s="19" t="s">
        <v>65</v>
      </c>
      <c r="F27" s="7" t="s">
        <v>27</v>
      </c>
      <c r="G27" s="40">
        <v>192</v>
      </c>
      <c r="H27" s="47">
        <f t="shared" si="1"/>
        <v>2066.6687999999999</v>
      </c>
      <c r="I27" s="43">
        <f t="shared" si="11"/>
        <v>4.8768000000000002</v>
      </c>
      <c r="J27" s="41">
        <v>16</v>
      </c>
      <c r="K27" s="6">
        <v>2006</v>
      </c>
      <c r="L27" s="7">
        <v>2022</v>
      </c>
      <c r="M27" s="7">
        <f t="shared" si="0"/>
        <v>16</v>
      </c>
      <c r="N27" s="41">
        <v>60</v>
      </c>
      <c r="O27" s="7">
        <v>0.05</v>
      </c>
      <c r="P27" s="9">
        <f t="shared" si="10"/>
        <v>1.5833333333333331E-2</v>
      </c>
      <c r="Q27" s="52">
        <v>1100</v>
      </c>
      <c r="R27" s="10">
        <f t="shared" si="6"/>
        <v>11840.289999999999</v>
      </c>
      <c r="S27" s="11">
        <f t="shared" si="7"/>
        <v>2273335.6799999997</v>
      </c>
      <c r="T27" s="11">
        <f t="shared" si="8"/>
        <v>575911.70559999987</v>
      </c>
      <c r="U27" s="11">
        <f t="shared" si="9"/>
        <v>1697423.9743999997</v>
      </c>
      <c r="V27" s="7">
        <v>0</v>
      </c>
      <c r="W27" s="11">
        <f t="shared" si="3"/>
        <v>1697423.9743999997</v>
      </c>
    </row>
    <row r="28" spans="2:25" ht="25.5" x14ac:dyDescent="0.25">
      <c r="B28" s="5">
        <v>25</v>
      </c>
      <c r="C28" s="39" t="s">
        <v>28</v>
      </c>
      <c r="D28" s="17" t="s">
        <v>50</v>
      </c>
      <c r="E28" s="19" t="s">
        <v>65</v>
      </c>
      <c r="F28" s="7" t="s">
        <v>27</v>
      </c>
      <c r="G28" s="40">
        <v>70</v>
      </c>
      <c r="H28" s="47">
        <f t="shared" si="1"/>
        <v>753.47299999999996</v>
      </c>
      <c r="I28" s="43">
        <f t="shared" si="11"/>
        <v>4.8768000000000002</v>
      </c>
      <c r="J28" s="41">
        <v>16</v>
      </c>
      <c r="K28" s="6">
        <v>2006</v>
      </c>
      <c r="L28" s="7">
        <v>2022</v>
      </c>
      <c r="M28" s="7">
        <f t="shared" si="0"/>
        <v>16</v>
      </c>
      <c r="N28" s="41">
        <v>60</v>
      </c>
      <c r="O28" s="7">
        <v>0.05</v>
      </c>
      <c r="P28" s="9">
        <f t="shared" si="10"/>
        <v>1.5833333333333331E-2</v>
      </c>
      <c r="Q28" s="52">
        <v>1100</v>
      </c>
      <c r="R28" s="10">
        <f t="shared" si="6"/>
        <v>11840.289999999999</v>
      </c>
      <c r="S28" s="11">
        <f t="shared" si="7"/>
        <v>828820.29999999993</v>
      </c>
      <c r="T28" s="11">
        <f t="shared" si="8"/>
        <v>209967.80933333328</v>
      </c>
      <c r="U28" s="11">
        <f t="shared" si="9"/>
        <v>618852.49066666665</v>
      </c>
      <c r="V28" s="7">
        <v>0</v>
      </c>
      <c r="W28" s="11">
        <f t="shared" si="3"/>
        <v>618852.49066666665</v>
      </c>
    </row>
    <row r="29" spans="2:25" ht="25.5" x14ac:dyDescent="0.25">
      <c r="B29" s="5">
        <v>26</v>
      </c>
      <c r="C29" s="39" t="s">
        <v>26</v>
      </c>
      <c r="D29" s="17" t="s">
        <v>51</v>
      </c>
      <c r="E29" s="19" t="s">
        <v>65</v>
      </c>
      <c r="F29" s="7" t="s">
        <v>27</v>
      </c>
      <c r="G29" s="40">
        <v>1125</v>
      </c>
      <c r="H29" s="47">
        <f t="shared" si="1"/>
        <v>12109.387499999999</v>
      </c>
      <c r="I29" s="43">
        <f t="shared" si="11"/>
        <v>8.0772000000000013</v>
      </c>
      <c r="J29" s="41">
        <v>26.5</v>
      </c>
      <c r="K29" s="6">
        <v>2006</v>
      </c>
      <c r="L29" s="7">
        <v>2022</v>
      </c>
      <c r="M29" s="7">
        <f t="shared" si="0"/>
        <v>16</v>
      </c>
      <c r="N29" s="41">
        <v>60</v>
      </c>
      <c r="O29" s="7">
        <v>0.05</v>
      </c>
      <c r="P29" s="9">
        <f t="shared" si="10"/>
        <v>1.5833333333333331E-2</v>
      </c>
      <c r="Q29" s="52">
        <v>1300</v>
      </c>
      <c r="R29" s="10">
        <f t="shared" si="6"/>
        <v>13993.07</v>
      </c>
      <c r="S29" s="11">
        <f t="shared" si="7"/>
        <v>15742203.75</v>
      </c>
      <c r="T29" s="11">
        <f t="shared" si="8"/>
        <v>3988024.9499999993</v>
      </c>
      <c r="U29" s="11">
        <f t="shared" si="9"/>
        <v>11754178.800000001</v>
      </c>
      <c r="V29" s="7">
        <v>0</v>
      </c>
      <c r="W29" s="11">
        <f t="shared" si="3"/>
        <v>11754178.800000001</v>
      </c>
    </row>
    <row r="30" spans="2:25" ht="25.5" x14ac:dyDescent="0.25">
      <c r="B30" s="5">
        <v>27</v>
      </c>
      <c r="C30" s="39" t="s">
        <v>28</v>
      </c>
      <c r="D30" s="17" t="s">
        <v>52</v>
      </c>
      <c r="E30" s="19" t="s">
        <v>65</v>
      </c>
      <c r="F30" s="7" t="s">
        <v>27</v>
      </c>
      <c r="G30" s="40">
        <v>525</v>
      </c>
      <c r="H30" s="47">
        <f t="shared" si="1"/>
        <v>5651.0474999999997</v>
      </c>
      <c r="I30" s="43">
        <f t="shared" si="11"/>
        <v>4.8768000000000002</v>
      </c>
      <c r="J30" s="41">
        <v>16</v>
      </c>
      <c r="K30" s="6">
        <v>2006</v>
      </c>
      <c r="L30" s="7">
        <v>2022</v>
      </c>
      <c r="M30" s="7">
        <f t="shared" si="0"/>
        <v>16</v>
      </c>
      <c r="N30" s="41">
        <v>60</v>
      </c>
      <c r="O30" s="7">
        <v>0.05</v>
      </c>
      <c r="P30" s="9">
        <f t="shared" si="10"/>
        <v>1.5833333333333331E-2</v>
      </c>
      <c r="Q30" s="52">
        <v>1200</v>
      </c>
      <c r="R30" s="10">
        <f t="shared" si="6"/>
        <v>12916.68</v>
      </c>
      <c r="S30" s="11">
        <f t="shared" si="7"/>
        <v>6781257</v>
      </c>
      <c r="T30" s="11">
        <f t="shared" si="8"/>
        <v>1717918.4399999997</v>
      </c>
      <c r="U30" s="11">
        <f t="shared" si="9"/>
        <v>5063338.5600000005</v>
      </c>
      <c r="V30" s="7">
        <v>0</v>
      </c>
      <c r="W30" s="11">
        <f t="shared" si="3"/>
        <v>5063338.5600000005</v>
      </c>
    </row>
    <row r="31" spans="2:25" ht="25.5" x14ac:dyDescent="0.25">
      <c r="B31" s="5">
        <v>28</v>
      </c>
      <c r="C31" s="39" t="s">
        <v>28</v>
      </c>
      <c r="D31" s="17" t="s">
        <v>53</v>
      </c>
      <c r="E31" s="19" t="s">
        <v>65</v>
      </c>
      <c r="F31" s="7" t="s">
        <v>27</v>
      </c>
      <c r="G31" s="40">
        <v>945</v>
      </c>
      <c r="H31" s="47">
        <f t="shared" si="1"/>
        <v>10171.8855</v>
      </c>
      <c r="I31" s="43">
        <f t="shared" si="11"/>
        <v>4.8768000000000002</v>
      </c>
      <c r="J31" s="41">
        <v>16</v>
      </c>
      <c r="K31" s="6">
        <v>2006</v>
      </c>
      <c r="L31" s="7">
        <v>2022</v>
      </c>
      <c r="M31" s="7">
        <f t="shared" si="0"/>
        <v>16</v>
      </c>
      <c r="N31" s="41">
        <v>60</v>
      </c>
      <c r="O31" s="7">
        <v>0.05</v>
      </c>
      <c r="P31" s="9">
        <f t="shared" si="10"/>
        <v>1.5833333333333331E-2</v>
      </c>
      <c r="Q31" s="52">
        <v>1200</v>
      </c>
      <c r="R31" s="10">
        <f t="shared" si="6"/>
        <v>12916.68</v>
      </c>
      <c r="S31" s="11">
        <f t="shared" si="7"/>
        <v>12206262.6</v>
      </c>
      <c r="T31" s="11">
        <f t="shared" si="8"/>
        <v>3092253.1919999993</v>
      </c>
      <c r="U31" s="11">
        <f t="shared" si="9"/>
        <v>9114009.4079999998</v>
      </c>
      <c r="V31" s="7">
        <v>0</v>
      </c>
      <c r="W31" s="11">
        <f t="shared" si="3"/>
        <v>9114009.4079999998</v>
      </c>
    </row>
    <row r="32" spans="2:25" ht="25.5" x14ac:dyDescent="0.25">
      <c r="B32" s="5">
        <v>29</v>
      </c>
      <c r="C32" s="39" t="s">
        <v>28</v>
      </c>
      <c r="D32" s="17" t="s">
        <v>54</v>
      </c>
      <c r="E32" s="19" t="s">
        <v>65</v>
      </c>
      <c r="F32" s="7" t="s">
        <v>27</v>
      </c>
      <c r="G32" s="40">
        <v>296</v>
      </c>
      <c r="H32" s="47">
        <f t="shared" si="1"/>
        <v>3186.1143999999999</v>
      </c>
      <c r="I32" s="43">
        <f t="shared" si="11"/>
        <v>4.8768000000000002</v>
      </c>
      <c r="J32" s="41">
        <v>16</v>
      </c>
      <c r="K32" s="6">
        <v>2006</v>
      </c>
      <c r="L32" s="7">
        <v>2022</v>
      </c>
      <c r="M32" s="7">
        <f t="shared" si="0"/>
        <v>16</v>
      </c>
      <c r="N32" s="41">
        <v>60</v>
      </c>
      <c r="O32" s="7">
        <v>0.05</v>
      </c>
      <c r="P32" s="9">
        <f t="shared" si="10"/>
        <v>1.5833333333333331E-2</v>
      </c>
      <c r="Q32" s="52">
        <v>1200</v>
      </c>
      <c r="R32" s="10">
        <f t="shared" si="6"/>
        <v>12916.68</v>
      </c>
      <c r="S32" s="11">
        <f t="shared" si="7"/>
        <v>3823337.2800000003</v>
      </c>
      <c r="T32" s="11">
        <f t="shared" si="8"/>
        <v>968578.77759999991</v>
      </c>
      <c r="U32" s="11">
        <f t="shared" si="9"/>
        <v>2854758.5024000006</v>
      </c>
      <c r="V32" s="7">
        <v>0</v>
      </c>
      <c r="W32" s="11">
        <f t="shared" si="3"/>
        <v>2854758.5024000006</v>
      </c>
    </row>
    <row r="33" spans="2:23" ht="25.5" x14ac:dyDescent="0.25">
      <c r="B33" s="5">
        <v>30</v>
      </c>
      <c r="C33" s="39" t="s">
        <v>26</v>
      </c>
      <c r="D33" s="17" t="s">
        <v>56</v>
      </c>
      <c r="E33" s="19" t="s">
        <v>65</v>
      </c>
      <c r="F33" s="7" t="s">
        <v>27</v>
      </c>
      <c r="G33" s="40">
        <v>15832</v>
      </c>
      <c r="H33" s="47">
        <f t="shared" si="1"/>
        <v>170414.06479999999</v>
      </c>
      <c r="I33" s="43">
        <f t="shared" si="11"/>
        <v>9.7536000000000005</v>
      </c>
      <c r="J33" s="41">
        <v>32</v>
      </c>
      <c r="K33" s="6">
        <v>2006</v>
      </c>
      <c r="L33" s="7">
        <v>2022</v>
      </c>
      <c r="M33" s="7">
        <f t="shared" si="0"/>
        <v>16</v>
      </c>
      <c r="N33" s="41">
        <v>60</v>
      </c>
      <c r="O33" s="7">
        <v>0.05</v>
      </c>
      <c r="P33" s="9">
        <f t="shared" si="10"/>
        <v>1.5833333333333331E-2</v>
      </c>
      <c r="Q33" s="52">
        <v>1200</v>
      </c>
      <c r="R33" s="10">
        <f t="shared" si="6"/>
        <v>12916.68</v>
      </c>
      <c r="S33" s="11">
        <f t="shared" si="7"/>
        <v>204496877.75999999</v>
      </c>
      <c r="T33" s="11">
        <f t="shared" si="8"/>
        <v>51805875.699199989</v>
      </c>
      <c r="U33" s="11">
        <f t="shared" si="9"/>
        <v>152691002.06080002</v>
      </c>
      <c r="V33" s="7">
        <v>0</v>
      </c>
      <c r="W33" s="11">
        <f t="shared" si="3"/>
        <v>152691002.06080002</v>
      </c>
    </row>
    <row r="34" spans="2:23" ht="25.5" x14ac:dyDescent="0.25">
      <c r="B34" s="5">
        <v>31</v>
      </c>
      <c r="C34" s="45" t="s">
        <v>28</v>
      </c>
      <c r="D34" s="44" t="s">
        <v>86</v>
      </c>
      <c r="E34" s="19" t="s">
        <v>65</v>
      </c>
      <c r="F34" s="7" t="s">
        <v>27</v>
      </c>
      <c r="G34" s="40">
        <v>48</v>
      </c>
      <c r="H34" s="47">
        <f t="shared" si="1"/>
        <v>516.66719999999998</v>
      </c>
      <c r="I34" s="43">
        <f t="shared" si="11"/>
        <v>3.3528000000000002</v>
      </c>
      <c r="J34" s="41">
        <v>11</v>
      </c>
      <c r="K34" s="6">
        <v>2006</v>
      </c>
      <c r="L34" s="7">
        <v>2022</v>
      </c>
      <c r="M34" s="7">
        <f t="shared" si="0"/>
        <v>16</v>
      </c>
      <c r="N34" s="41">
        <v>60</v>
      </c>
      <c r="O34" s="7">
        <v>0.05</v>
      </c>
      <c r="P34" s="9">
        <f t="shared" si="10"/>
        <v>1.5833333333333331E-2</v>
      </c>
      <c r="Q34" s="52">
        <v>1200</v>
      </c>
      <c r="R34" s="10">
        <f t="shared" si="6"/>
        <v>12916.68</v>
      </c>
      <c r="S34" s="11">
        <f t="shared" si="7"/>
        <v>620000.64</v>
      </c>
      <c r="T34" s="11">
        <f t="shared" si="8"/>
        <v>157066.82879999999</v>
      </c>
      <c r="U34" s="11">
        <f t="shared" si="9"/>
        <v>462933.8112</v>
      </c>
      <c r="V34" s="7">
        <v>0</v>
      </c>
      <c r="W34" s="11">
        <f t="shared" si="3"/>
        <v>462933.8112</v>
      </c>
    </row>
    <row r="35" spans="2:23" ht="25.5" x14ac:dyDescent="0.25">
      <c r="B35" s="5">
        <v>32</v>
      </c>
      <c r="C35" s="45" t="s">
        <v>28</v>
      </c>
      <c r="D35" s="44" t="s">
        <v>87</v>
      </c>
      <c r="E35" s="19" t="s">
        <v>65</v>
      </c>
      <c r="F35" s="7" t="s">
        <v>27</v>
      </c>
      <c r="G35" s="46">
        <v>66</v>
      </c>
      <c r="H35" s="48">
        <f t="shared" si="1"/>
        <v>710.41739999999993</v>
      </c>
      <c r="I35" s="43">
        <f t="shared" si="11"/>
        <v>4.2671999999999999</v>
      </c>
      <c r="J35" s="41">
        <v>14</v>
      </c>
      <c r="K35" s="6">
        <v>2006</v>
      </c>
      <c r="L35" s="7">
        <v>2022</v>
      </c>
      <c r="M35" s="7">
        <f t="shared" si="0"/>
        <v>16</v>
      </c>
      <c r="N35" s="41">
        <v>60</v>
      </c>
      <c r="O35" s="7">
        <v>0.05</v>
      </c>
      <c r="P35" s="9">
        <f t="shared" si="10"/>
        <v>1.5833333333333331E-2</v>
      </c>
      <c r="Q35" s="52">
        <v>1200</v>
      </c>
      <c r="R35" s="10">
        <f t="shared" si="6"/>
        <v>12916.68</v>
      </c>
      <c r="S35" s="11">
        <f t="shared" si="7"/>
        <v>852500.88</v>
      </c>
      <c r="T35" s="11">
        <f t="shared" si="8"/>
        <v>215966.88959999997</v>
      </c>
      <c r="U35" s="11">
        <f t="shared" si="9"/>
        <v>636533.99040000001</v>
      </c>
      <c r="V35" s="7">
        <v>0</v>
      </c>
      <c r="W35" s="11">
        <f t="shared" si="3"/>
        <v>636533.99040000001</v>
      </c>
    </row>
    <row r="36" spans="2:23" ht="25.5" x14ac:dyDescent="0.25">
      <c r="B36" s="5">
        <v>33</v>
      </c>
      <c r="C36" s="45" t="s">
        <v>28</v>
      </c>
      <c r="D36" s="44" t="s">
        <v>88</v>
      </c>
      <c r="E36" s="19" t="s">
        <v>65</v>
      </c>
      <c r="F36" s="7" t="s">
        <v>27</v>
      </c>
      <c r="G36" s="46">
        <v>88</v>
      </c>
      <c r="H36" s="48">
        <f t="shared" si="1"/>
        <v>947.22319999999991</v>
      </c>
      <c r="I36" s="43">
        <f t="shared" si="11"/>
        <v>4.2671999999999999</v>
      </c>
      <c r="J36" s="41">
        <v>14</v>
      </c>
      <c r="K36" s="6">
        <v>2006</v>
      </c>
      <c r="L36" s="7">
        <v>2022</v>
      </c>
      <c r="M36" s="7">
        <f t="shared" si="0"/>
        <v>16</v>
      </c>
      <c r="N36" s="41">
        <v>60</v>
      </c>
      <c r="O36" s="7">
        <v>0.05</v>
      </c>
      <c r="P36" s="9">
        <f t="shared" si="10"/>
        <v>1.5833333333333331E-2</v>
      </c>
      <c r="Q36" s="52">
        <v>1200</v>
      </c>
      <c r="R36" s="10">
        <f t="shared" si="6"/>
        <v>12916.68</v>
      </c>
      <c r="S36" s="11">
        <f t="shared" si="7"/>
        <v>1136667.8400000001</v>
      </c>
      <c r="T36" s="11">
        <f t="shared" si="8"/>
        <v>287955.85279999999</v>
      </c>
      <c r="U36" s="11">
        <f t="shared" si="9"/>
        <v>848711.98720000009</v>
      </c>
      <c r="V36" s="7">
        <v>0</v>
      </c>
      <c r="W36" s="11">
        <f t="shared" si="3"/>
        <v>848711.98720000009</v>
      </c>
    </row>
    <row r="37" spans="2:23" ht="25.5" x14ac:dyDescent="0.25">
      <c r="B37" s="5">
        <v>34</v>
      </c>
      <c r="C37" s="45" t="s">
        <v>26</v>
      </c>
      <c r="D37" s="44" t="s">
        <v>89</v>
      </c>
      <c r="E37" s="19" t="s">
        <v>65</v>
      </c>
      <c r="F37" s="7" t="s">
        <v>27</v>
      </c>
      <c r="G37" s="46">
        <v>18</v>
      </c>
      <c r="H37" s="48">
        <f t="shared" si="1"/>
        <v>193.75020000000001</v>
      </c>
      <c r="I37" s="43">
        <f t="shared" si="11"/>
        <v>3.048</v>
      </c>
      <c r="J37" s="41">
        <v>10</v>
      </c>
      <c r="K37" s="6">
        <v>2006</v>
      </c>
      <c r="L37" s="7">
        <v>2022</v>
      </c>
      <c r="M37" s="7">
        <f t="shared" si="0"/>
        <v>16</v>
      </c>
      <c r="N37" s="41">
        <v>60</v>
      </c>
      <c r="O37" s="7">
        <v>0.05</v>
      </c>
      <c r="P37" s="9">
        <f t="shared" si="10"/>
        <v>1.5833333333333331E-2</v>
      </c>
      <c r="Q37" s="52">
        <v>1100</v>
      </c>
      <c r="R37" s="10">
        <f t="shared" si="6"/>
        <v>11840.289999999999</v>
      </c>
      <c r="S37" s="11">
        <f t="shared" si="7"/>
        <v>213125.21999999997</v>
      </c>
      <c r="T37" s="11">
        <f t="shared" si="8"/>
        <v>53991.722399999984</v>
      </c>
      <c r="U37" s="11">
        <f t="shared" si="9"/>
        <v>159133.4976</v>
      </c>
      <c r="V37" s="7">
        <v>0</v>
      </c>
      <c r="W37" s="11">
        <f t="shared" si="3"/>
        <v>159133.4976</v>
      </c>
    </row>
    <row r="38" spans="2:23" ht="25.5" x14ac:dyDescent="0.25">
      <c r="B38" s="5">
        <v>35</v>
      </c>
      <c r="C38" s="45" t="s">
        <v>28</v>
      </c>
      <c r="D38" s="44" t="s">
        <v>90</v>
      </c>
      <c r="E38" s="19" t="s">
        <v>65</v>
      </c>
      <c r="F38" s="7" t="s">
        <v>27</v>
      </c>
      <c r="G38" s="46">
        <v>43</v>
      </c>
      <c r="H38" s="48">
        <f t="shared" si="1"/>
        <v>462.84769999999997</v>
      </c>
      <c r="I38" s="43">
        <f t="shared" si="11"/>
        <v>3.3528000000000002</v>
      </c>
      <c r="J38" s="41">
        <v>11</v>
      </c>
      <c r="K38" s="6">
        <v>2006</v>
      </c>
      <c r="L38" s="7">
        <v>2022</v>
      </c>
      <c r="M38" s="7">
        <f t="shared" si="0"/>
        <v>16</v>
      </c>
      <c r="N38" s="41">
        <v>60</v>
      </c>
      <c r="O38" s="7">
        <v>0.05</v>
      </c>
      <c r="P38" s="9">
        <f t="shared" si="10"/>
        <v>1.5833333333333331E-2</v>
      </c>
      <c r="Q38" s="52">
        <v>1100</v>
      </c>
      <c r="R38" s="10">
        <f t="shared" si="6"/>
        <v>11840.289999999999</v>
      </c>
      <c r="S38" s="11">
        <f t="shared" si="7"/>
        <v>509132.47</v>
      </c>
      <c r="T38" s="11">
        <f t="shared" si="8"/>
        <v>128980.22573333331</v>
      </c>
      <c r="U38" s="11">
        <f t="shared" si="9"/>
        <v>380152.24426666665</v>
      </c>
      <c r="V38" s="7">
        <v>0</v>
      </c>
      <c r="W38" s="11">
        <f t="shared" si="3"/>
        <v>380152.24426666665</v>
      </c>
    </row>
    <row r="39" spans="2:23" x14ac:dyDescent="0.25">
      <c r="B39" s="120" t="s">
        <v>123</v>
      </c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79">
        <f>SUM(S3:S38)</f>
        <v>826502119.32926381</v>
      </c>
      <c r="W39" s="33">
        <f>SUM(W4:W38)</f>
        <v>560721055.11397433</v>
      </c>
    </row>
  </sheetData>
  <autoFilter ref="B3:W39" xr:uid="{F11BA820-C00A-46DC-95FF-6BC845D83A96}"/>
  <mergeCells count="2">
    <mergeCell ref="B2:Z2"/>
    <mergeCell ref="B39:R39"/>
  </mergeCells>
  <dataValidations count="2">
    <dataValidation type="list" allowBlank="1" showErrorMessage="1" sqref="E6:E8 E10 E19:E20" xr:uid="{37E2490A-F5CE-47EE-8556-3AD642DC3DC3}">
      <formula1>0</formula1>
      <formula2>0</formula2>
    </dataValidation>
    <dataValidation type="list" allowBlank="1" showInputMessage="1" showErrorMessage="1" promptTitle="Condition of Structure" prompt="Condition of Structure" sqref="F4:F38" xr:uid="{E5F59686-8A35-4BBD-8753-B20AD1717688}">
      <formula1>"Poor, Average, Ordinary, Good, Very Good, Excellent"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3B1A-234F-4C37-9236-A29E587838E3}">
  <dimension ref="B2:Z12"/>
  <sheetViews>
    <sheetView topLeftCell="H7" workbookViewId="0">
      <selection activeCell="W12" sqref="W12"/>
    </sheetView>
  </sheetViews>
  <sheetFormatPr defaultRowHeight="15" x14ac:dyDescent="0.25"/>
  <cols>
    <col min="2" max="2" width="6.7109375" customWidth="1"/>
    <col min="3" max="3" width="12.42578125" style="21" customWidth="1"/>
    <col min="4" max="4" width="33.140625" style="21" bestFit="1" customWidth="1"/>
    <col min="5" max="5" width="38.42578125" customWidth="1"/>
    <col min="6" max="6" width="13.140625" customWidth="1"/>
    <col min="7" max="7" width="21" style="21" bestFit="1" customWidth="1"/>
    <col min="8" max="8" width="10.5703125" customWidth="1"/>
    <col min="9" max="9" width="9.140625" customWidth="1"/>
    <col min="10" max="10" width="9.140625" style="58"/>
    <col min="11" max="16" width="9.140625" customWidth="1"/>
    <col min="17" max="17" width="11.85546875" customWidth="1"/>
    <col min="18" max="18" width="12.5703125" customWidth="1"/>
    <col min="19" max="19" width="13.85546875" customWidth="1"/>
    <col min="20" max="20" width="13.7109375" customWidth="1"/>
    <col min="21" max="21" width="14.42578125" customWidth="1"/>
    <col min="22" max="22" width="14.28515625" hidden="1" customWidth="1"/>
    <col min="23" max="23" width="14.140625" customWidth="1"/>
    <col min="24" max="26" width="0" hidden="1" customWidth="1"/>
  </cols>
  <sheetData>
    <row r="2" spans="2:26" x14ac:dyDescent="0.25">
      <c r="B2" s="118" t="s">
        <v>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9"/>
      <c r="R2" s="118"/>
      <c r="S2" s="118"/>
      <c r="T2" s="118"/>
      <c r="U2" s="118"/>
      <c r="V2" s="118"/>
      <c r="W2" s="118"/>
      <c r="X2" s="118"/>
      <c r="Y2" s="118"/>
      <c r="Z2" s="118"/>
    </row>
    <row r="3" spans="2:26" ht="75" x14ac:dyDescent="0.25">
      <c r="B3" s="1" t="s">
        <v>1</v>
      </c>
      <c r="C3" s="1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50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3" t="s">
        <v>23</v>
      </c>
      <c r="Y3" s="4" t="s">
        <v>24</v>
      </c>
      <c r="Z3" s="4" t="s">
        <v>25</v>
      </c>
    </row>
    <row r="4" spans="2:26" ht="38.25" x14ac:dyDescent="0.25">
      <c r="B4" s="5">
        <v>1</v>
      </c>
      <c r="C4" s="39" t="s">
        <v>28</v>
      </c>
      <c r="D4" s="55" t="s">
        <v>91</v>
      </c>
      <c r="E4" s="17" t="s">
        <v>99</v>
      </c>
      <c r="F4" s="7" t="s">
        <v>100</v>
      </c>
      <c r="G4" s="40">
        <v>1974</v>
      </c>
      <c r="H4" s="47">
        <f>G4*10.7639</f>
        <v>21247.938599999998</v>
      </c>
      <c r="I4" s="8">
        <f>J4*0.3048</f>
        <v>3.6576000000000004</v>
      </c>
      <c r="J4" s="8">
        <v>12</v>
      </c>
      <c r="K4" s="6">
        <v>2006</v>
      </c>
      <c r="L4" s="7">
        <v>2022</v>
      </c>
      <c r="M4" s="7">
        <f t="shared" ref="M4:M11" si="0">L4-K4</f>
        <v>16</v>
      </c>
      <c r="N4" s="7">
        <v>60</v>
      </c>
      <c r="O4" s="7">
        <v>0.05</v>
      </c>
      <c r="P4" s="9">
        <f>(1-O4)/N4</f>
        <v>1.5833333333333331E-2</v>
      </c>
      <c r="Q4" s="51">
        <v>1100</v>
      </c>
      <c r="R4" s="10">
        <f>Q4*10.7639</f>
        <v>11840.289999999999</v>
      </c>
      <c r="S4" s="11">
        <f>R4*G4</f>
        <v>23372732.459999997</v>
      </c>
      <c r="T4" s="11">
        <f>S4*P4*M4</f>
        <v>5921092.223199998</v>
      </c>
      <c r="U4" s="11">
        <f>MAX(S4-T4,0)</f>
        <v>17451640.2368</v>
      </c>
      <c r="V4" s="7">
        <v>0</v>
      </c>
      <c r="W4" s="11">
        <f>IF(U4&gt;O4*S4,U4*(1+V4),S4*O4)</f>
        <v>17451640.2368</v>
      </c>
      <c r="X4" s="12">
        <v>800</v>
      </c>
      <c r="Y4" s="13">
        <v>0.99</v>
      </c>
      <c r="Z4" s="14">
        <f>(X4*Y4*G4)</f>
        <v>1563408</v>
      </c>
    </row>
    <row r="5" spans="2:26" ht="27.75" customHeight="1" x14ac:dyDescent="0.25">
      <c r="B5" s="5">
        <v>2</v>
      </c>
      <c r="C5" s="39" t="s">
        <v>28</v>
      </c>
      <c r="D5" s="20" t="s">
        <v>92</v>
      </c>
      <c r="E5" s="17" t="s">
        <v>65</v>
      </c>
      <c r="F5" s="7" t="s">
        <v>100</v>
      </c>
      <c r="G5" s="40">
        <v>2280</v>
      </c>
      <c r="H5" s="47">
        <f t="shared" ref="H5:H11" si="1">G5*10.7639</f>
        <v>24541.691999999999</v>
      </c>
      <c r="I5" s="8">
        <f t="shared" ref="I5:I11" si="2">J5*0.3048</f>
        <v>3.3528000000000002</v>
      </c>
      <c r="J5" s="8">
        <v>11</v>
      </c>
      <c r="K5" s="6">
        <v>2006</v>
      </c>
      <c r="L5" s="7">
        <v>2022</v>
      </c>
      <c r="M5" s="7">
        <f t="shared" si="0"/>
        <v>16</v>
      </c>
      <c r="N5" s="7">
        <v>60</v>
      </c>
      <c r="O5" s="7">
        <v>0.05</v>
      </c>
      <c r="P5" s="9">
        <f>(1-O5)/N5</f>
        <v>1.5833333333333331E-2</v>
      </c>
      <c r="Q5" s="51">
        <v>1100</v>
      </c>
      <c r="R5" s="10">
        <f>Q5*10.7639</f>
        <v>11840.289999999999</v>
      </c>
      <c r="S5" s="11">
        <f>R5*G5</f>
        <v>26995861.199999999</v>
      </c>
      <c r="T5" s="11">
        <f>S5*P5*M5</f>
        <v>6838951.5039999988</v>
      </c>
      <c r="U5" s="11">
        <f>MAX(S5-T5,0)</f>
        <v>20156909.696000002</v>
      </c>
      <c r="V5" s="7">
        <v>0</v>
      </c>
      <c r="W5" s="11">
        <f t="shared" ref="W5:W11" si="3">IF(U5&gt;O5*S5,U5*(1+V5),S5*O5)</f>
        <v>20156909.696000002</v>
      </c>
      <c r="X5" s="12">
        <v>800</v>
      </c>
      <c r="Y5" s="13">
        <v>0.99</v>
      </c>
      <c r="Z5" s="14">
        <f>X5*H5</f>
        <v>19633353.599999998</v>
      </c>
    </row>
    <row r="6" spans="2:26" ht="25.5" x14ac:dyDescent="0.25">
      <c r="B6" s="5">
        <v>3</v>
      </c>
      <c r="C6" s="39" t="s">
        <v>98</v>
      </c>
      <c r="D6" s="20" t="s">
        <v>93</v>
      </c>
      <c r="E6" s="17" t="s">
        <v>65</v>
      </c>
      <c r="F6" s="7" t="s">
        <v>100</v>
      </c>
      <c r="G6" s="40">
        <v>588</v>
      </c>
      <c r="H6" s="47">
        <f t="shared" si="1"/>
        <v>6329.1732000000002</v>
      </c>
      <c r="I6" s="8">
        <f t="shared" si="2"/>
        <v>10.058400000000001</v>
      </c>
      <c r="J6" s="8">
        <v>33</v>
      </c>
      <c r="K6" s="6">
        <v>2006</v>
      </c>
      <c r="L6" s="7">
        <v>2022</v>
      </c>
      <c r="M6" s="7">
        <f t="shared" si="0"/>
        <v>16</v>
      </c>
      <c r="N6" s="7">
        <v>60</v>
      </c>
      <c r="O6" s="7">
        <v>0.05</v>
      </c>
      <c r="P6" s="9">
        <f>(1-O6)/N6</f>
        <v>1.5833333333333331E-2</v>
      </c>
      <c r="Q6" s="51">
        <v>1200</v>
      </c>
      <c r="R6" s="10">
        <f>Q6*10.7639</f>
        <v>12916.68</v>
      </c>
      <c r="S6" s="11">
        <f>R6*G6</f>
        <v>7595007.8399999999</v>
      </c>
      <c r="T6" s="11">
        <f>S6*P6*M6</f>
        <v>1924068.6527999998</v>
      </c>
      <c r="U6" s="11">
        <f>MAX(S6-T6,0)</f>
        <v>5670939.1872000005</v>
      </c>
      <c r="V6" s="7">
        <v>0</v>
      </c>
      <c r="W6" s="11">
        <f t="shared" si="3"/>
        <v>5670939.1872000005</v>
      </c>
      <c r="X6" s="12">
        <v>800</v>
      </c>
      <c r="Y6" s="13"/>
      <c r="Z6" s="14">
        <f t="shared" ref="Z6" si="4">X6*H6</f>
        <v>5063338.5600000005</v>
      </c>
    </row>
    <row r="7" spans="2:26" ht="25.5" x14ac:dyDescent="0.25">
      <c r="B7" s="5">
        <v>4</v>
      </c>
      <c r="C7" s="56" t="s">
        <v>98</v>
      </c>
      <c r="D7" s="41" t="s">
        <v>94</v>
      </c>
      <c r="E7" s="17" t="s">
        <v>65</v>
      </c>
      <c r="F7" s="7" t="s">
        <v>100</v>
      </c>
      <c r="G7" s="41">
        <v>3744</v>
      </c>
      <c r="H7" s="47">
        <f t="shared" si="1"/>
        <v>40300.041599999997</v>
      </c>
      <c r="I7" s="8">
        <f t="shared" si="2"/>
        <v>10.058400000000001</v>
      </c>
      <c r="J7" s="57">
        <v>33</v>
      </c>
      <c r="K7" s="6">
        <v>2006</v>
      </c>
      <c r="L7" s="7">
        <v>2022</v>
      </c>
      <c r="M7" s="7">
        <f t="shared" si="0"/>
        <v>16</v>
      </c>
      <c r="N7" s="7">
        <v>60</v>
      </c>
      <c r="O7" s="7">
        <v>0.05</v>
      </c>
      <c r="P7" s="9">
        <f t="shared" ref="P7:P11" si="5">(1-O7)/N7</f>
        <v>1.5833333333333331E-2</v>
      </c>
      <c r="Q7" s="52">
        <v>1200</v>
      </c>
      <c r="R7" s="10">
        <f t="shared" ref="R7:R11" si="6">Q7*10.7639</f>
        <v>12916.68</v>
      </c>
      <c r="S7" s="11">
        <f t="shared" ref="S7:S11" si="7">R7*G7</f>
        <v>48360049.920000002</v>
      </c>
      <c r="T7" s="11">
        <f t="shared" ref="T7:T11" si="8">S7*P7*M7</f>
        <v>12251212.646399999</v>
      </c>
      <c r="U7" s="11">
        <f t="shared" ref="U7:U11" si="9">MAX(S7-T7,0)</f>
        <v>36108837.273600005</v>
      </c>
      <c r="V7" s="7">
        <v>0</v>
      </c>
      <c r="W7" s="11">
        <f t="shared" si="3"/>
        <v>36108837.273600005</v>
      </c>
    </row>
    <row r="8" spans="2:26" ht="25.5" customHeight="1" x14ac:dyDescent="0.25">
      <c r="B8" s="5">
        <v>5</v>
      </c>
      <c r="C8" s="41" t="s">
        <v>26</v>
      </c>
      <c r="D8" s="41" t="s">
        <v>95</v>
      </c>
      <c r="E8" s="17" t="s">
        <v>65</v>
      </c>
      <c r="F8" s="7" t="s">
        <v>100</v>
      </c>
      <c r="G8" s="41">
        <v>2394</v>
      </c>
      <c r="H8" s="47">
        <f t="shared" si="1"/>
        <v>25768.776599999997</v>
      </c>
      <c r="I8" s="8">
        <f t="shared" si="2"/>
        <v>6.7056000000000004</v>
      </c>
      <c r="J8" s="57">
        <v>22</v>
      </c>
      <c r="K8" s="6">
        <v>2006</v>
      </c>
      <c r="L8" s="7">
        <v>2022</v>
      </c>
      <c r="M8" s="7">
        <f t="shared" si="0"/>
        <v>16</v>
      </c>
      <c r="N8" s="7">
        <v>60</v>
      </c>
      <c r="O8" s="7">
        <v>0.05</v>
      </c>
      <c r="P8" s="9">
        <f t="shared" si="5"/>
        <v>1.5833333333333331E-2</v>
      </c>
      <c r="Q8" s="52">
        <v>1200</v>
      </c>
      <c r="R8" s="10">
        <f t="shared" si="6"/>
        <v>12916.68</v>
      </c>
      <c r="S8" s="11">
        <f t="shared" si="7"/>
        <v>30922531.920000002</v>
      </c>
      <c r="T8" s="11">
        <f t="shared" si="8"/>
        <v>7833708.0863999994</v>
      </c>
      <c r="U8" s="11">
        <f t="shared" si="9"/>
        <v>23088823.833600003</v>
      </c>
      <c r="V8" s="7">
        <v>0</v>
      </c>
      <c r="W8" s="11">
        <f t="shared" si="3"/>
        <v>23088823.833600003</v>
      </c>
    </row>
    <row r="9" spans="2:26" ht="25.5" x14ac:dyDescent="0.25">
      <c r="B9" s="5">
        <v>6</v>
      </c>
      <c r="C9" s="41" t="s">
        <v>28</v>
      </c>
      <c r="D9" s="41" t="s">
        <v>96</v>
      </c>
      <c r="E9" s="17" t="s">
        <v>65</v>
      </c>
      <c r="F9" s="7" t="s">
        <v>100</v>
      </c>
      <c r="G9" s="41">
        <f>1404+432</f>
        <v>1836</v>
      </c>
      <c r="H9" s="47">
        <f t="shared" si="1"/>
        <v>19762.520399999998</v>
      </c>
      <c r="I9" s="8">
        <f t="shared" si="2"/>
        <v>3.6576000000000004</v>
      </c>
      <c r="J9" s="57">
        <v>12</v>
      </c>
      <c r="K9" s="6">
        <v>2006</v>
      </c>
      <c r="L9" s="7">
        <v>2022</v>
      </c>
      <c r="M9" s="7">
        <f t="shared" si="0"/>
        <v>16</v>
      </c>
      <c r="N9" s="7">
        <v>60</v>
      </c>
      <c r="O9" s="7">
        <v>0.05</v>
      </c>
      <c r="P9" s="9">
        <f t="shared" si="5"/>
        <v>1.5833333333333331E-2</v>
      </c>
      <c r="Q9" s="52">
        <v>1200</v>
      </c>
      <c r="R9" s="10">
        <f t="shared" si="6"/>
        <v>12916.68</v>
      </c>
      <c r="S9" s="11">
        <f t="shared" si="7"/>
        <v>23715024.48</v>
      </c>
      <c r="T9" s="11">
        <f t="shared" si="8"/>
        <v>6007806.2015999993</v>
      </c>
      <c r="U9" s="11">
        <f t="shared" si="9"/>
        <v>17707218.2784</v>
      </c>
      <c r="V9" s="7">
        <v>0</v>
      </c>
      <c r="W9" s="11">
        <f t="shared" si="3"/>
        <v>17707218.2784</v>
      </c>
    </row>
    <row r="10" spans="2:26" ht="25.5" x14ac:dyDescent="0.25">
      <c r="B10" s="5">
        <v>7</v>
      </c>
      <c r="C10" s="41" t="s">
        <v>28</v>
      </c>
      <c r="D10" s="41" t="s">
        <v>97</v>
      </c>
      <c r="E10" s="17" t="s">
        <v>65</v>
      </c>
      <c r="F10" s="7" t="s">
        <v>100</v>
      </c>
      <c r="G10" s="41">
        <v>2383</v>
      </c>
      <c r="H10" s="47">
        <f t="shared" si="1"/>
        <v>25650.3737</v>
      </c>
      <c r="I10" s="8">
        <f t="shared" si="2"/>
        <v>3.6576000000000004</v>
      </c>
      <c r="J10" s="57">
        <v>12</v>
      </c>
      <c r="K10" s="6">
        <v>2006</v>
      </c>
      <c r="L10" s="7">
        <v>2022</v>
      </c>
      <c r="M10" s="7">
        <f t="shared" si="0"/>
        <v>16</v>
      </c>
      <c r="N10" s="7">
        <v>60</v>
      </c>
      <c r="O10" s="7">
        <v>0.05</v>
      </c>
      <c r="P10" s="9">
        <f t="shared" si="5"/>
        <v>1.5833333333333331E-2</v>
      </c>
      <c r="Q10" s="52">
        <v>1200</v>
      </c>
      <c r="R10" s="10">
        <f t="shared" si="6"/>
        <v>12916.68</v>
      </c>
      <c r="S10" s="11">
        <f t="shared" si="7"/>
        <v>30780448.440000001</v>
      </c>
      <c r="T10" s="11">
        <f t="shared" si="8"/>
        <v>7797713.6047999989</v>
      </c>
      <c r="U10" s="11">
        <f t="shared" si="9"/>
        <v>22982734.835200004</v>
      </c>
      <c r="V10" s="7">
        <v>0</v>
      </c>
      <c r="W10" s="11">
        <f t="shared" si="3"/>
        <v>22982734.835200004</v>
      </c>
    </row>
    <row r="11" spans="2:26" ht="25.5" x14ac:dyDescent="0.25">
      <c r="B11" s="5">
        <v>8</v>
      </c>
      <c r="C11" s="41" t="s">
        <v>26</v>
      </c>
      <c r="D11" s="41" t="s">
        <v>51</v>
      </c>
      <c r="E11" s="17" t="s">
        <v>65</v>
      </c>
      <c r="F11" s="7" t="s">
        <v>100</v>
      </c>
      <c r="G11" s="41">
        <v>681</v>
      </c>
      <c r="H11" s="47">
        <f t="shared" si="1"/>
        <v>7330.2159000000001</v>
      </c>
      <c r="I11" s="8">
        <f t="shared" si="2"/>
        <v>2.7432000000000003</v>
      </c>
      <c r="J11" s="57">
        <v>9</v>
      </c>
      <c r="K11" s="6">
        <v>2006</v>
      </c>
      <c r="L11" s="7">
        <v>2022</v>
      </c>
      <c r="M11" s="7">
        <f t="shared" si="0"/>
        <v>16</v>
      </c>
      <c r="N11" s="7">
        <v>60</v>
      </c>
      <c r="O11" s="7">
        <v>0.05</v>
      </c>
      <c r="P11" s="9">
        <f t="shared" si="5"/>
        <v>1.5833333333333331E-2</v>
      </c>
      <c r="Q11" s="52">
        <v>1400</v>
      </c>
      <c r="R11" s="10">
        <f t="shared" si="6"/>
        <v>15069.46</v>
      </c>
      <c r="S11" s="11">
        <f t="shared" si="7"/>
        <v>10262302.26</v>
      </c>
      <c r="T11" s="11">
        <f t="shared" si="8"/>
        <v>2599783.2391999997</v>
      </c>
      <c r="U11" s="11">
        <f t="shared" si="9"/>
        <v>7662519.0208000001</v>
      </c>
      <c r="V11" s="7">
        <v>0</v>
      </c>
      <c r="W11" s="11">
        <f t="shared" si="3"/>
        <v>7662519.0208000001</v>
      </c>
    </row>
    <row r="12" spans="2:26" x14ac:dyDescent="0.25">
      <c r="B12" s="120" t="s">
        <v>123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80">
        <f>SUM(S3:S11)</f>
        <v>202003958.51999998</v>
      </c>
      <c r="T12" s="80">
        <f>SUM(T3:T11)</f>
        <v>51174336.158399999</v>
      </c>
      <c r="U12" s="80">
        <f>SUM(U3:U11)</f>
        <v>150829622.36160001</v>
      </c>
      <c r="V12" s="34"/>
      <c r="W12" s="33">
        <f>SUM(W4:W11)</f>
        <v>150829622.36160001</v>
      </c>
    </row>
  </sheetData>
  <mergeCells count="2">
    <mergeCell ref="B2:Z2"/>
    <mergeCell ref="B12:R12"/>
  </mergeCells>
  <dataValidations disablePrompts="1" count="1">
    <dataValidation type="list" allowBlank="1" showInputMessage="1" showErrorMessage="1" promptTitle="Condition of Structure" prompt="Condition of Structure" sqref="F4:F11" xr:uid="{A11C581B-C28D-4672-AB49-97E92AAACA4D}">
      <formula1>"Poor, Average, Ordinary, Good, Very Good, Excellent"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66A3E-A7B4-4634-B972-78A32A9DC6E9}">
  <dimension ref="B4:K19"/>
  <sheetViews>
    <sheetView workbookViewId="0">
      <selection activeCell="I12" sqref="I12"/>
    </sheetView>
  </sheetViews>
  <sheetFormatPr defaultRowHeight="15" x14ac:dyDescent="0.25"/>
  <cols>
    <col min="6" max="6" width="12.28515625" customWidth="1"/>
    <col min="7" max="7" width="11.85546875" customWidth="1"/>
    <col min="8" max="8" width="14.28515625" bestFit="1" customWidth="1"/>
    <col min="9" max="9" width="16.5703125" customWidth="1"/>
    <col min="10" max="11" width="0" hidden="1" customWidth="1"/>
  </cols>
  <sheetData>
    <row r="4" spans="2:11" ht="15.75" x14ac:dyDescent="0.25">
      <c r="B4" s="125" t="s">
        <v>73</v>
      </c>
      <c r="C4" s="125"/>
      <c r="D4" s="125"/>
      <c r="E4" s="125"/>
      <c r="F4" s="125"/>
      <c r="G4" s="125"/>
      <c r="H4" s="125"/>
      <c r="I4" s="125"/>
      <c r="J4" s="125"/>
      <c r="K4" s="126"/>
    </row>
    <row r="5" spans="2:11" ht="90" x14ac:dyDescent="0.25">
      <c r="B5" s="22" t="s">
        <v>74</v>
      </c>
      <c r="C5" s="127" t="s">
        <v>75</v>
      </c>
      <c r="D5" s="128"/>
      <c r="E5" s="129"/>
      <c r="F5" s="22" t="s">
        <v>76</v>
      </c>
      <c r="G5" s="22" t="s">
        <v>77</v>
      </c>
      <c r="H5" s="22" t="s">
        <v>78</v>
      </c>
      <c r="I5" s="22" t="s">
        <v>79</v>
      </c>
      <c r="J5" s="23" t="s">
        <v>80</v>
      </c>
      <c r="K5" s="24" t="s">
        <v>81</v>
      </c>
    </row>
    <row r="6" spans="2:11" x14ac:dyDescent="0.25">
      <c r="B6" s="25">
        <v>1</v>
      </c>
      <c r="C6" s="130" t="s">
        <v>33</v>
      </c>
      <c r="D6" s="131"/>
      <c r="E6" s="132"/>
      <c r="F6" s="26">
        <v>1025</v>
      </c>
      <c r="G6" s="27">
        <f>F6*10.7639</f>
        <v>11032.997499999999</v>
      </c>
      <c r="H6" s="28">
        <v>100</v>
      </c>
      <c r="I6" s="29">
        <f>H6*F6</f>
        <v>102500</v>
      </c>
      <c r="J6" s="30">
        <v>0</v>
      </c>
      <c r="K6" s="30">
        <v>0</v>
      </c>
    </row>
    <row r="7" spans="2:11" x14ac:dyDescent="0.25">
      <c r="B7" s="25">
        <v>2</v>
      </c>
      <c r="C7" s="130" t="s">
        <v>82</v>
      </c>
      <c r="D7" s="131"/>
      <c r="E7" s="132"/>
      <c r="F7" s="26">
        <v>42120</v>
      </c>
      <c r="G7" s="27">
        <f>F7*10.7639</f>
        <v>453375.46799999999</v>
      </c>
      <c r="H7" s="28">
        <v>500</v>
      </c>
      <c r="I7" s="29">
        <f t="shared" ref="I7:I11" si="0">H7*F7</f>
        <v>21060000</v>
      </c>
      <c r="J7" s="30">
        <v>0</v>
      </c>
      <c r="K7" s="30">
        <v>0</v>
      </c>
    </row>
    <row r="8" spans="2:11" x14ac:dyDescent="0.25">
      <c r="B8" s="25">
        <v>3</v>
      </c>
      <c r="C8" s="122" t="s">
        <v>55</v>
      </c>
      <c r="D8" s="123"/>
      <c r="E8" s="124"/>
      <c r="F8" s="26">
        <f>9000+12600</f>
        <v>21600</v>
      </c>
      <c r="G8" s="27">
        <f t="shared" ref="G8:G11" si="1">F8*10.7639</f>
        <v>232500.24</v>
      </c>
      <c r="H8" s="28">
        <v>50</v>
      </c>
      <c r="I8" s="29">
        <f t="shared" si="0"/>
        <v>1080000</v>
      </c>
      <c r="J8" s="31">
        <v>0</v>
      </c>
      <c r="K8" s="30">
        <v>0</v>
      </c>
    </row>
    <row r="9" spans="2:11" x14ac:dyDescent="0.25">
      <c r="B9" s="25">
        <v>4</v>
      </c>
      <c r="C9" s="36"/>
      <c r="D9" s="35" t="s">
        <v>85</v>
      </c>
      <c r="E9" s="37"/>
      <c r="F9" s="26">
        <v>1681</v>
      </c>
      <c r="G9" s="27">
        <f t="shared" si="1"/>
        <v>18094.115900000001</v>
      </c>
      <c r="H9" s="28">
        <v>500</v>
      </c>
      <c r="I9" s="29">
        <f t="shared" si="0"/>
        <v>840500</v>
      </c>
      <c r="J9" s="38"/>
      <c r="K9" s="38"/>
    </row>
    <row r="10" spans="2:11" x14ac:dyDescent="0.25">
      <c r="B10" s="25">
        <v>5</v>
      </c>
      <c r="C10" s="122" t="s">
        <v>32</v>
      </c>
      <c r="D10" s="123"/>
      <c r="E10" s="124"/>
      <c r="F10" s="26">
        <v>1517</v>
      </c>
      <c r="G10" s="27">
        <f t="shared" si="1"/>
        <v>16328.836299999999</v>
      </c>
      <c r="H10" s="28">
        <v>500</v>
      </c>
      <c r="I10" s="29">
        <f t="shared" si="0"/>
        <v>758500</v>
      </c>
      <c r="J10" s="38"/>
      <c r="K10" s="38"/>
    </row>
    <row r="11" spans="2:11" x14ac:dyDescent="0.25">
      <c r="B11" s="25">
        <v>6</v>
      </c>
      <c r="C11" s="122" t="s">
        <v>84</v>
      </c>
      <c r="D11" s="123"/>
      <c r="E11" s="124"/>
      <c r="F11" s="26">
        <f>2016+448</f>
        <v>2464</v>
      </c>
      <c r="G11" s="27">
        <f t="shared" si="1"/>
        <v>26522.249599999999</v>
      </c>
      <c r="H11" s="28">
        <v>500</v>
      </c>
      <c r="I11" s="29">
        <f t="shared" si="0"/>
        <v>1232000</v>
      </c>
      <c r="J11" s="38"/>
      <c r="K11" s="38"/>
    </row>
    <row r="12" spans="2:11" x14ac:dyDescent="0.25">
      <c r="B12" s="121" t="s">
        <v>83</v>
      </c>
      <c r="C12" s="121"/>
      <c r="D12" s="121"/>
      <c r="E12" s="121"/>
      <c r="F12" s="32">
        <f>SUM(F6:F8)</f>
        <v>64745</v>
      </c>
      <c r="G12" s="32"/>
      <c r="H12" s="32"/>
      <c r="I12" s="33">
        <f>SUM(I6:I11)</f>
        <v>25073500</v>
      </c>
      <c r="J12" s="34"/>
      <c r="K12" s="34"/>
    </row>
    <row r="19" spans="9:9" x14ac:dyDescent="0.25">
      <c r="I19" s="54">
        <f>I12+Block_area!W12+Sugar_Unit!W39+Roads_Drain_Boundary!K8</f>
        <v>818619252.47557437</v>
      </c>
    </row>
  </sheetData>
  <mergeCells count="8">
    <mergeCell ref="B12:E12"/>
    <mergeCell ref="C11:E11"/>
    <mergeCell ref="C10:E10"/>
    <mergeCell ref="B4:K4"/>
    <mergeCell ref="C5:E5"/>
    <mergeCell ref="C6:E6"/>
    <mergeCell ref="C7:E7"/>
    <mergeCell ref="C8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BDA87-56B0-43A0-B17C-4A514211E717}">
  <dimension ref="B3:K8"/>
  <sheetViews>
    <sheetView workbookViewId="0">
      <selection activeCell="K8" sqref="K8"/>
    </sheetView>
  </sheetViews>
  <sheetFormatPr defaultRowHeight="15" x14ac:dyDescent="0.25"/>
  <cols>
    <col min="3" max="3" width="32.140625" customWidth="1"/>
    <col min="4" max="5" width="0" hidden="1" customWidth="1"/>
    <col min="6" max="6" width="15" customWidth="1"/>
    <col min="7" max="7" width="37.85546875" customWidth="1"/>
    <col min="8" max="8" width="13.28515625" customWidth="1"/>
    <col min="9" max="9" width="11.28515625" bestFit="1" customWidth="1"/>
    <col min="10" max="10" width="13.28515625" bestFit="1" customWidth="1"/>
    <col min="11" max="11" width="22" bestFit="1" customWidth="1"/>
  </cols>
  <sheetData>
    <row r="3" spans="2:11" x14ac:dyDescent="0.25">
      <c r="B3" s="133" t="s">
        <v>101</v>
      </c>
      <c r="C3" s="133"/>
      <c r="D3" s="133"/>
      <c r="E3" s="133"/>
      <c r="F3" s="133"/>
      <c r="G3" s="133"/>
      <c r="H3" s="133"/>
      <c r="I3" s="133"/>
      <c r="J3" s="133"/>
      <c r="K3" s="133"/>
    </row>
    <row r="4" spans="2:11" ht="51" x14ac:dyDescent="0.25">
      <c r="B4" s="59" t="s">
        <v>74</v>
      </c>
      <c r="C4" s="59" t="s">
        <v>102</v>
      </c>
      <c r="D4" s="59" t="s">
        <v>103</v>
      </c>
      <c r="E4" s="59" t="s">
        <v>104</v>
      </c>
      <c r="F4" s="59" t="s">
        <v>105</v>
      </c>
      <c r="G4" s="59" t="s">
        <v>106</v>
      </c>
      <c r="H4" s="59" t="s">
        <v>107</v>
      </c>
      <c r="I4" s="59" t="s">
        <v>108</v>
      </c>
      <c r="J4" s="59" t="s">
        <v>109</v>
      </c>
      <c r="K4" s="59" t="s">
        <v>110</v>
      </c>
    </row>
    <row r="5" spans="2:11" ht="30" x14ac:dyDescent="0.25">
      <c r="B5" s="60">
        <v>1</v>
      </c>
      <c r="C5" s="61" t="s">
        <v>111</v>
      </c>
      <c r="D5" s="39"/>
      <c r="E5" s="57"/>
      <c r="F5" s="13">
        <v>2006</v>
      </c>
      <c r="G5" s="13" t="s">
        <v>58</v>
      </c>
      <c r="H5" s="57" t="s">
        <v>100</v>
      </c>
      <c r="I5" s="62">
        <v>5243</v>
      </c>
      <c r="J5" s="63">
        <v>12000</v>
      </c>
      <c r="K5" s="63">
        <f t="shared" ref="K5:K7" si="0">J5*I5</f>
        <v>62916000</v>
      </c>
    </row>
    <row r="6" spans="2:11" ht="30" x14ac:dyDescent="0.25">
      <c r="B6" s="64">
        <v>2</v>
      </c>
      <c r="C6" s="65" t="s">
        <v>112</v>
      </c>
      <c r="D6" s="66"/>
      <c r="E6" s="67"/>
      <c r="F6" s="13">
        <v>2006</v>
      </c>
      <c r="G6" s="68" t="s">
        <v>58</v>
      </c>
      <c r="H6" s="67" t="s">
        <v>100</v>
      </c>
      <c r="I6" s="69">
        <v>5514</v>
      </c>
      <c r="J6" s="70">
        <v>2000</v>
      </c>
      <c r="K6" s="70">
        <f t="shared" si="0"/>
        <v>11028000</v>
      </c>
    </row>
    <row r="7" spans="2:11" ht="30" x14ac:dyDescent="0.25">
      <c r="B7" s="60">
        <v>3</v>
      </c>
      <c r="C7" s="61" t="s">
        <v>113</v>
      </c>
      <c r="D7" s="39"/>
      <c r="E7" s="57"/>
      <c r="F7" s="13">
        <v>2006</v>
      </c>
      <c r="G7" s="13" t="s">
        <v>58</v>
      </c>
      <c r="H7" s="57" t="s">
        <v>100</v>
      </c>
      <c r="I7" s="62">
        <v>3220.43</v>
      </c>
      <c r="J7" s="63">
        <v>2500</v>
      </c>
      <c r="K7" s="63">
        <f t="shared" si="0"/>
        <v>8051075</v>
      </c>
    </row>
    <row r="8" spans="2:11" x14ac:dyDescent="0.25">
      <c r="B8" s="134" t="s">
        <v>83</v>
      </c>
      <c r="C8" s="135"/>
      <c r="D8" s="135"/>
      <c r="E8" s="135"/>
      <c r="F8" s="135"/>
      <c r="G8" s="135"/>
      <c r="H8" s="136"/>
      <c r="I8" s="71">
        <f>SUM(I5:I7)</f>
        <v>13977.43</v>
      </c>
      <c r="J8" s="72"/>
      <c r="K8" s="73">
        <f>SUM(K5:K7)</f>
        <v>81995075</v>
      </c>
    </row>
  </sheetData>
  <mergeCells count="2">
    <mergeCell ref="B3:K3"/>
    <mergeCell ref="B8:H8"/>
  </mergeCells>
  <dataValidations count="1">
    <dataValidation type="list" allowBlank="1" showInputMessage="1" showErrorMessage="1" sqref="G5:G7" xr:uid="{B5390519-5107-4E39-AB97-BB5D9B8605FA}">
      <formula1>$I$2:$I$2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FBA26-C52E-4FC3-B1A0-872C63477D4B}">
  <dimension ref="C3:I15"/>
  <sheetViews>
    <sheetView tabSelected="1" workbookViewId="0">
      <selection activeCell="M8" sqref="M8"/>
    </sheetView>
  </sheetViews>
  <sheetFormatPr defaultRowHeight="15" x14ac:dyDescent="0.25"/>
  <cols>
    <col min="3" max="3" width="6.85546875" bestFit="1" customWidth="1"/>
    <col min="4" max="4" width="23" customWidth="1"/>
    <col min="5" max="5" width="18.5703125" customWidth="1"/>
    <col min="6" max="6" width="20.7109375" customWidth="1"/>
  </cols>
  <sheetData>
    <row r="3" spans="3:9" ht="41.25" customHeight="1" x14ac:dyDescent="0.25">
      <c r="C3" s="140" t="s">
        <v>114</v>
      </c>
      <c r="D3" s="140"/>
      <c r="E3" s="140"/>
      <c r="F3" s="140"/>
    </row>
    <row r="4" spans="3:9" ht="30" x14ac:dyDescent="0.25">
      <c r="C4" s="74" t="s">
        <v>1</v>
      </c>
      <c r="D4" s="75" t="s">
        <v>75</v>
      </c>
      <c r="E4" s="76" t="s">
        <v>115</v>
      </c>
      <c r="F4" s="76" t="s">
        <v>110</v>
      </c>
    </row>
    <row r="5" spans="3:9" x14ac:dyDescent="0.25">
      <c r="C5" s="57">
        <v>1</v>
      </c>
      <c r="D5" s="77" t="s">
        <v>116</v>
      </c>
      <c r="E5" s="117">
        <f>Sugar_Unit!S39</f>
        <v>826502119.32926381</v>
      </c>
      <c r="F5" s="81">
        <f>Sugar_Unit!W39</f>
        <v>560721055.11397433</v>
      </c>
    </row>
    <row r="6" spans="3:9" x14ac:dyDescent="0.25">
      <c r="C6" s="57">
        <v>2</v>
      </c>
      <c r="D6" s="77" t="s">
        <v>117</v>
      </c>
      <c r="E6" s="117">
        <f>Block_area!S12</f>
        <v>202003958.51999998</v>
      </c>
      <c r="F6" s="81">
        <f>Block_area!W12</f>
        <v>150829622.36160001</v>
      </c>
    </row>
    <row r="7" spans="3:9" x14ac:dyDescent="0.25">
      <c r="C7" s="57">
        <v>3</v>
      </c>
      <c r="D7" s="77" t="s">
        <v>118</v>
      </c>
      <c r="E7" s="117">
        <f>F7</f>
        <v>107068575</v>
      </c>
      <c r="F7" s="81">
        <f>Yards!I12+Roads_Drain_Boundary!K8</f>
        <v>107068575</v>
      </c>
    </row>
    <row r="8" spans="3:9" x14ac:dyDescent="0.25">
      <c r="C8" s="141" t="s">
        <v>83</v>
      </c>
      <c r="D8" s="141"/>
      <c r="E8" s="82">
        <f>SUM(E5:E7)</f>
        <v>1135574652.8492637</v>
      </c>
      <c r="F8" s="82">
        <f>SUM(F5:F7)</f>
        <v>818619252.47557437</v>
      </c>
    </row>
    <row r="9" spans="3:9" x14ac:dyDescent="0.25">
      <c r="C9" s="142" t="s">
        <v>119</v>
      </c>
      <c r="D9" s="143"/>
      <c r="E9" s="143"/>
      <c r="F9" s="144"/>
    </row>
    <row r="10" spans="3:9" ht="26.25" customHeight="1" x14ac:dyDescent="0.25">
      <c r="C10" s="137" t="s">
        <v>120</v>
      </c>
      <c r="D10" s="138"/>
      <c r="E10" s="138"/>
      <c r="F10" s="139"/>
    </row>
    <row r="11" spans="3:9" ht="23.25" customHeight="1" x14ac:dyDescent="0.25">
      <c r="C11" s="137" t="s">
        <v>121</v>
      </c>
      <c r="D11" s="138"/>
      <c r="E11" s="138"/>
      <c r="F11" s="139"/>
    </row>
    <row r="12" spans="3:9" ht="27.75" customHeight="1" x14ac:dyDescent="0.25">
      <c r="C12" s="137" t="s">
        <v>122</v>
      </c>
      <c r="D12" s="138"/>
      <c r="E12" s="138"/>
      <c r="F12" s="139"/>
    </row>
    <row r="15" spans="3:9" x14ac:dyDescent="0.25">
      <c r="I15">
        <f>10.65+16.995</f>
        <v>27.645000000000003</v>
      </c>
    </row>
  </sheetData>
  <mergeCells count="6">
    <mergeCell ref="C12:F12"/>
    <mergeCell ref="C3:F3"/>
    <mergeCell ref="C8:D8"/>
    <mergeCell ref="C9:F9"/>
    <mergeCell ref="C10:F10"/>
    <mergeCell ref="C11:F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38EE1-93FF-4B4A-ADB4-62327AF55E7B}">
  <dimension ref="C3:I7"/>
  <sheetViews>
    <sheetView workbookViewId="0">
      <selection activeCell="H5" sqref="H5"/>
    </sheetView>
  </sheetViews>
  <sheetFormatPr defaultRowHeight="15" x14ac:dyDescent="0.25"/>
  <cols>
    <col min="3" max="3" width="7.28515625" customWidth="1"/>
    <col min="4" max="4" width="21.7109375" bestFit="1" customWidth="1"/>
    <col min="7" max="7" width="10.5703125" bestFit="1" customWidth="1"/>
    <col min="8" max="8" width="14.28515625" bestFit="1" customWidth="1"/>
    <col min="9" max="9" width="16.85546875" bestFit="1" customWidth="1"/>
  </cols>
  <sheetData>
    <row r="3" spans="3:9" x14ac:dyDescent="0.25">
      <c r="C3" s="146" t="s">
        <v>124</v>
      </c>
      <c r="D3" s="147"/>
      <c r="E3" s="147"/>
      <c r="F3" s="147"/>
      <c r="G3" s="147"/>
      <c r="H3" s="147"/>
      <c r="I3" s="147"/>
    </row>
    <row r="4" spans="3:9" ht="41.25" x14ac:dyDescent="0.25">
      <c r="C4" s="92" t="s">
        <v>1</v>
      </c>
      <c r="D4" s="92" t="s">
        <v>125</v>
      </c>
      <c r="E4" s="83" t="s">
        <v>126</v>
      </c>
      <c r="F4" s="83" t="s">
        <v>127</v>
      </c>
      <c r="G4" s="83" t="s">
        <v>128</v>
      </c>
      <c r="H4" s="83" t="s">
        <v>166</v>
      </c>
      <c r="I4" s="83" t="s">
        <v>165</v>
      </c>
    </row>
    <row r="5" spans="3:9" x14ac:dyDescent="0.25">
      <c r="C5" s="102">
        <v>1</v>
      </c>
      <c r="D5" s="103" t="s">
        <v>129</v>
      </c>
      <c r="E5" s="104">
        <f>F5/2.471</f>
        <v>15.410764872521245</v>
      </c>
      <c r="F5" s="104">
        <v>38.08</v>
      </c>
      <c r="G5" s="84">
        <f>F5*4046.86</f>
        <v>154104.42879999999</v>
      </c>
      <c r="H5" s="105">
        <f>land_acquisition!G5</f>
        <v>5600000</v>
      </c>
      <c r="I5" s="105">
        <f>H5*E5</f>
        <v>86300283.286118969</v>
      </c>
    </row>
    <row r="6" spans="3:9" x14ac:dyDescent="0.25">
      <c r="C6" s="41">
        <v>2</v>
      </c>
      <c r="D6" s="34" t="s">
        <v>130</v>
      </c>
      <c r="E6" s="84">
        <f>F6/2.471</f>
        <v>38.923512747875357</v>
      </c>
      <c r="F6" s="41">
        <v>96.18</v>
      </c>
      <c r="G6" s="84">
        <f>F6*4046.86</f>
        <v>389226.99480000004</v>
      </c>
      <c r="H6" s="105">
        <f>land_acquisition!G6</f>
        <v>5300000</v>
      </c>
      <c r="I6" s="105">
        <f>H6*E6</f>
        <v>206294617.56373939</v>
      </c>
    </row>
    <row r="7" spans="3:9" x14ac:dyDescent="0.25">
      <c r="C7" s="145" t="s">
        <v>83</v>
      </c>
      <c r="D7" s="145"/>
      <c r="E7" s="85">
        <f>SUM(E5:E6)</f>
        <v>54.334277620396605</v>
      </c>
      <c r="F7" s="85">
        <f>SUM(F5:F6)</f>
        <v>134.26</v>
      </c>
      <c r="G7" s="85">
        <f>SUM(G5:G6)</f>
        <v>543331.4236000001</v>
      </c>
      <c r="H7" s="34"/>
      <c r="I7" s="106">
        <f>SUM(I5:I6)</f>
        <v>292594900.84985834</v>
      </c>
    </row>
  </sheetData>
  <mergeCells count="2">
    <mergeCell ref="C7:D7"/>
    <mergeCell ref="C3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FDE6C-59CD-4308-8304-67863AEE760E}">
  <dimension ref="C3:H17"/>
  <sheetViews>
    <sheetView workbookViewId="0">
      <selection activeCell="F20" sqref="F20"/>
    </sheetView>
  </sheetViews>
  <sheetFormatPr defaultRowHeight="15" x14ac:dyDescent="0.25"/>
  <cols>
    <col min="3" max="3" width="9.5703125" customWidth="1"/>
    <col min="4" max="4" width="23.5703125" customWidth="1"/>
    <col min="5" max="5" width="13" customWidth="1"/>
    <col min="6" max="6" width="12.28515625" customWidth="1"/>
    <col min="7" max="7" width="16.7109375" customWidth="1"/>
    <col min="8" max="8" width="18.42578125" customWidth="1"/>
  </cols>
  <sheetData>
    <row r="3" spans="3:8" x14ac:dyDescent="0.25">
      <c r="C3" s="152" t="s">
        <v>131</v>
      </c>
      <c r="D3" s="152"/>
      <c r="E3" s="152"/>
      <c r="F3" s="152"/>
      <c r="G3" s="152"/>
      <c r="H3" s="152"/>
    </row>
    <row r="4" spans="3:8" ht="60" x14ac:dyDescent="0.25">
      <c r="C4" s="86" t="s">
        <v>132</v>
      </c>
      <c r="D4" s="86" t="s">
        <v>125</v>
      </c>
      <c r="E4" s="87" t="s">
        <v>133</v>
      </c>
      <c r="F4" s="87" t="s">
        <v>134</v>
      </c>
      <c r="G4" s="87" t="s">
        <v>135</v>
      </c>
      <c r="H4" s="87" t="s">
        <v>136</v>
      </c>
    </row>
    <row r="5" spans="3:8" x14ac:dyDescent="0.25">
      <c r="C5" s="41">
        <v>1</v>
      </c>
      <c r="D5" s="34" t="s">
        <v>129</v>
      </c>
      <c r="E5" s="88">
        <f>F5/2.471</f>
        <v>15.410764872521245</v>
      </c>
      <c r="F5" s="84">
        <v>38.08</v>
      </c>
      <c r="G5" s="21">
        <v>5600000</v>
      </c>
      <c r="H5" s="89">
        <f>G5*E5</f>
        <v>86300283.286118969</v>
      </c>
    </row>
    <row r="6" spans="3:8" x14ac:dyDescent="0.25">
      <c r="C6" s="41">
        <v>2</v>
      </c>
      <c r="D6" s="34" t="s">
        <v>130</v>
      </c>
      <c r="E6" s="88">
        <f>F6/2.471</f>
        <v>38.923512747875357</v>
      </c>
      <c r="F6" s="41">
        <v>96.18</v>
      </c>
      <c r="G6" s="21">
        <v>5300000</v>
      </c>
      <c r="H6" s="89">
        <f t="shared" ref="H6" si="0">G6*E6</f>
        <v>206294617.56373939</v>
      </c>
    </row>
    <row r="7" spans="3:8" x14ac:dyDescent="0.25">
      <c r="C7" s="121" t="s">
        <v>137</v>
      </c>
      <c r="D7" s="121"/>
      <c r="E7" s="90">
        <f>SUM(E5:E6)</f>
        <v>54.334277620396605</v>
      </c>
      <c r="F7" s="90">
        <f>SUM(F5:F6)</f>
        <v>134.26</v>
      </c>
      <c r="G7" s="34"/>
      <c r="H7" s="89">
        <f>SUM(H5:H6)</f>
        <v>292594900.84985834</v>
      </c>
    </row>
    <row r="8" spans="3:8" x14ac:dyDescent="0.25">
      <c r="C8" s="148"/>
      <c r="D8" s="148"/>
      <c r="E8" s="148"/>
      <c r="F8" s="148"/>
      <c r="G8" s="148"/>
      <c r="H8" s="148"/>
    </row>
    <row r="9" spans="3:8" x14ac:dyDescent="0.25">
      <c r="C9" s="148" t="s">
        <v>138</v>
      </c>
      <c r="D9" s="148"/>
      <c r="E9" s="148"/>
      <c r="F9" s="148" t="s">
        <v>139</v>
      </c>
      <c r="G9" s="148"/>
      <c r="H9" s="89">
        <f>H7*2</f>
        <v>585189801.69971669</v>
      </c>
    </row>
    <row r="10" spans="3:8" x14ac:dyDescent="0.25">
      <c r="C10" s="148"/>
      <c r="D10" s="148"/>
      <c r="E10" s="148"/>
      <c r="F10" s="148"/>
      <c r="G10" s="148"/>
      <c r="H10" s="148"/>
    </row>
    <row r="11" spans="3:8" x14ac:dyDescent="0.25">
      <c r="C11" s="150" t="s">
        <v>140</v>
      </c>
      <c r="D11" s="150"/>
      <c r="E11" s="150"/>
      <c r="F11" s="150"/>
      <c r="G11" s="150"/>
      <c r="H11" s="34">
        <v>0</v>
      </c>
    </row>
    <row r="12" spans="3:8" x14ac:dyDescent="0.25">
      <c r="C12" s="148"/>
      <c r="D12" s="148"/>
      <c r="E12" s="148"/>
      <c r="F12" s="148"/>
      <c r="G12" s="148"/>
      <c r="H12" s="148"/>
    </row>
    <row r="13" spans="3:8" x14ac:dyDescent="0.25">
      <c r="C13" s="151" t="s">
        <v>141</v>
      </c>
      <c r="D13" s="151"/>
      <c r="E13" s="151"/>
      <c r="F13" s="151"/>
      <c r="G13" s="151"/>
      <c r="H13" s="89">
        <f>H11+H9</f>
        <v>585189801.69971669</v>
      </c>
    </row>
    <row r="14" spans="3:8" x14ac:dyDescent="0.25">
      <c r="C14" s="148"/>
      <c r="D14" s="148"/>
      <c r="E14" s="148"/>
      <c r="F14" s="148"/>
      <c r="G14" s="148"/>
      <c r="H14" s="148"/>
    </row>
    <row r="15" spans="3:8" x14ac:dyDescent="0.25">
      <c r="C15" s="150" t="s">
        <v>142</v>
      </c>
      <c r="D15" s="150"/>
      <c r="E15" s="150"/>
      <c r="F15" s="148" t="s">
        <v>143</v>
      </c>
      <c r="G15" s="148"/>
      <c r="H15" s="89">
        <f>H13</f>
        <v>585189801.69971669</v>
      </c>
    </row>
    <row r="16" spans="3:8" x14ac:dyDescent="0.25">
      <c r="C16" s="148"/>
      <c r="D16" s="148"/>
      <c r="E16" s="148"/>
      <c r="F16" s="148"/>
      <c r="G16" s="148"/>
      <c r="H16" s="148"/>
    </row>
    <row r="17" spans="3:8" x14ac:dyDescent="0.25">
      <c r="C17" s="149" t="s">
        <v>144</v>
      </c>
      <c r="D17" s="149"/>
      <c r="E17" s="149"/>
      <c r="F17" s="149"/>
      <c r="G17" s="149"/>
      <c r="H17" s="91">
        <f>H15+H13</f>
        <v>1170379603.3994334</v>
      </c>
    </row>
  </sheetData>
  <mergeCells count="14">
    <mergeCell ref="C10:H10"/>
    <mergeCell ref="C3:H3"/>
    <mergeCell ref="C7:D7"/>
    <mergeCell ref="C8:H8"/>
    <mergeCell ref="C9:E9"/>
    <mergeCell ref="F9:G9"/>
    <mergeCell ref="C16:H16"/>
    <mergeCell ref="C17:G17"/>
    <mergeCell ref="C11:G11"/>
    <mergeCell ref="C12:H12"/>
    <mergeCell ref="C13:G13"/>
    <mergeCell ref="C14:H14"/>
    <mergeCell ref="C15:E15"/>
    <mergeCell ref="F15:G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0C25A-3F56-42F5-89D0-CEA869860338}">
  <dimension ref="B3:P14"/>
  <sheetViews>
    <sheetView workbookViewId="0">
      <selection activeCell="K6" sqref="K6"/>
    </sheetView>
  </sheetViews>
  <sheetFormatPr defaultRowHeight="15" x14ac:dyDescent="0.25"/>
  <cols>
    <col min="4" max="4" width="28" customWidth="1"/>
    <col min="6" max="6" width="14" customWidth="1"/>
    <col min="7" max="7" width="16.5703125" customWidth="1"/>
    <col min="8" max="8" width="21.85546875" bestFit="1" customWidth="1"/>
    <col min="9" max="9" width="14.28515625" bestFit="1" customWidth="1"/>
    <col min="11" max="12" width="14.28515625" bestFit="1" customWidth="1"/>
  </cols>
  <sheetData>
    <row r="3" spans="2:16" ht="15.75" x14ac:dyDescent="0.25">
      <c r="B3" s="168" t="s">
        <v>145</v>
      </c>
      <c r="C3" s="168"/>
      <c r="D3" s="168"/>
      <c r="E3" s="168"/>
      <c r="F3" s="168"/>
      <c r="G3" s="168"/>
      <c r="H3" s="168"/>
    </row>
    <row r="4" spans="2:16" x14ac:dyDescent="0.25">
      <c r="B4" s="169" t="s">
        <v>146</v>
      </c>
      <c r="C4" s="170" t="s">
        <v>147</v>
      </c>
      <c r="D4" s="171"/>
      <c r="E4" s="174" t="s">
        <v>148</v>
      </c>
      <c r="F4" s="175"/>
      <c r="G4" s="176" t="s">
        <v>149</v>
      </c>
      <c r="H4" s="178" t="s">
        <v>150</v>
      </c>
    </row>
    <row r="5" spans="2:16" x14ac:dyDescent="0.25">
      <c r="B5" s="169"/>
      <c r="C5" s="172"/>
      <c r="D5" s="173"/>
      <c r="E5" s="83" t="s">
        <v>151</v>
      </c>
      <c r="F5" s="83" t="s">
        <v>152</v>
      </c>
      <c r="G5" s="177"/>
      <c r="H5" s="178"/>
    </row>
    <row r="6" spans="2:16" x14ac:dyDescent="0.25">
      <c r="B6" s="93">
        <v>1</v>
      </c>
      <c r="C6" s="158" t="s">
        <v>153</v>
      </c>
      <c r="D6" s="159"/>
      <c r="E6" s="84">
        <v>134.26</v>
      </c>
      <c r="F6" s="78">
        <f>E6/2.47</f>
        <v>54.35627530364372</v>
      </c>
      <c r="G6" s="99">
        <v>3300000</v>
      </c>
      <c r="H6" s="94">
        <f>G6*E6</f>
        <v>443057999.99999994</v>
      </c>
      <c r="K6" s="107">
        <f>H6/E6</f>
        <v>3300000</v>
      </c>
    </row>
    <row r="7" spans="2:16" x14ac:dyDescent="0.25">
      <c r="B7" s="57">
        <v>2</v>
      </c>
      <c r="C7" s="160" t="s">
        <v>154</v>
      </c>
      <c r="D7" s="161"/>
      <c r="E7" s="162">
        <v>0.05</v>
      </c>
      <c r="F7" s="162"/>
      <c r="G7" s="162"/>
      <c r="H7" s="95">
        <f>H6*E7</f>
        <v>22152900</v>
      </c>
    </row>
    <row r="8" spans="2:16" x14ac:dyDescent="0.25">
      <c r="B8" s="57">
        <v>3</v>
      </c>
      <c r="C8" s="160" t="s">
        <v>155</v>
      </c>
      <c r="D8" s="161"/>
      <c r="E8" s="162">
        <v>0.1</v>
      </c>
      <c r="F8" s="162"/>
      <c r="G8" s="162"/>
      <c r="H8" s="95">
        <f>H7*E8</f>
        <v>2215290</v>
      </c>
    </row>
    <row r="9" spans="2:16" x14ac:dyDescent="0.25">
      <c r="B9" s="57">
        <v>4</v>
      </c>
      <c r="C9" s="163" t="s">
        <v>156</v>
      </c>
      <c r="D9" s="164"/>
      <c r="E9" s="165" t="s">
        <v>157</v>
      </c>
      <c r="F9" s="166"/>
      <c r="G9" s="167"/>
      <c r="H9" s="95">
        <f>E6*250000</f>
        <v>33565000</v>
      </c>
    </row>
    <row r="10" spans="2:16" x14ac:dyDescent="0.25">
      <c r="B10" s="153" t="s">
        <v>158</v>
      </c>
      <c r="C10" s="154"/>
      <c r="D10" s="154"/>
      <c r="E10" s="154"/>
      <c r="F10" s="154"/>
      <c r="G10" s="155"/>
      <c r="H10" s="96">
        <f>SUM(H6:H9)</f>
        <v>500991189.99999994</v>
      </c>
      <c r="I10" s="100">
        <f>H10/E6</f>
        <v>3731500</v>
      </c>
    </row>
    <row r="11" spans="2:16" x14ac:dyDescent="0.25">
      <c r="B11" s="156" t="s">
        <v>159</v>
      </c>
      <c r="C11" s="156"/>
      <c r="D11" s="156"/>
      <c r="E11" s="156"/>
      <c r="F11" s="156"/>
      <c r="G11" s="156"/>
      <c r="H11" s="156"/>
    </row>
    <row r="12" spans="2:16" x14ac:dyDescent="0.25">
      <c r="B12" s="157" t="s">
        <v>160</v>
      </c>
      <c r="C12" s="157"/>
      <c r="D12" s="157"/>
      <c r="E12" s="157"/>
      <c r="F12" s="157"/>
      <c r="G12" s="157"/>
      <c r="H12" s="157"/>
    </row>
    <row r="13" spans="2:16" ht="36.75" customHeight="1" x14ac:dyDescent="0.25">
      <c r="B13" s="157" t="s">
        <v>164</v>
      </c>
      <c r="C13" s="157"/>
      <c r="D13" s="157"/>
      <c r="E13" s="157"/>
      <c r="F13" s="157"/>
      <c r="G13" s="157"/>
      <c r="H13" s="157"/>
      <c r="K13" s="97" t="s">
        <v>161</v>
      </c>
      <c r="L13" s="97" t="s">
        <v>162</v>
      </c>
      <c r="O13" s="97" t="s">
        <v>163</v>
      </c>
      <c r="P13" s="97" t="s">
        <v>161</v>
      </c>
    </row>
    <row r="14" spans="2:16" x14ac:dyDescent="0.25">
      <c r="K14" s="98">
        <v>700000</v>
      </c>
      <c r="L14" s="98">
        <f>K14*4.84</f>
        <v>3388000</v>
      </c>
      <c r="O14" s="41">
        <v>3300000</v>
      </c>
      <c r="P14" s="41">
        <f>O14/4.84</f>
        <v>681818.18181818188</v>
      </c>
    </row>
  </sheetData>
  <mergeCells count="17">
    <mergeCell ref="B3:H3"/>
    <mergeCell ref="B4:B5"/>
    <mergeCell ref="C4:D5"/>
    <mergeCell ref="E4:F4"/>
    <mergeCell ref="G4:G5"/>
    <mergeCell ref="H4:H5"/>
    <mergeCell ref="B10:G10"/>
    <mergeCell ref="B11:H11"/>
    <mergeCell ref="B12:H12"/>
    <mergeCell ref="B13:H13"/>
    <mergeCell ref="C6:D6"/>
    <mergeCell ref="C7:D7"/>
    <mergeCell ref="E7:G7"/>
    <mergeCell ref="C8:D8"/>
    <mergeCell ref="E8:G8"/>
    <mergeCell ref="C9:D9"/>
    <mergeCell ref="E9:G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37182-10E4-4962-AE46-20B16C100C34}">
  <dimension ref="D4:H15"/>
  <sheetViews>
    <sheetView topLeftCell="A4" workbookViewId="0">
      <selection activeCell="M14" sqref="M14"/>
    </sheetView>
  </sheetViews>
  <sheetFormatPr defaultRowHeight="15" x14ac:dyDescent="0.25"/>
  <cols>
    <col min="4" max="4" width="31.42578125" bestFit="1" customWidth="1"/>
    <col min="5" max="5" width="15.42578125" customWidth="1"/>
    <col min="6" max="6" width="17.28515625" bestFit="1" customWidth="1"/>
    <col min="7" max="7" width="19.28515625" bestFit="1" customWidth="1"/>
    <col min="8" max="8" width="16.7109375" bestFit="1" customWidth="1"/>
  </cols>
  <sheetData>
    <row r="4" spans="4:8" x14ac:dyDescent="0.25">
      <c r="D4" s="179" t="s">
        <v>167</v>
      </c>
      <c r="E4" s="180"/>
      <c r="F4" s="180"/>
      <c r="G4" s="180"/>
      <c r="H4" s="180"/>
    </row>
    <row r="5" spans="4:8" ht="15.75" x14ac:dyDescent="0.25">
      <c r="D5" s="108" t="s">
        <v>168</v>
      </c>
      <c r="E5" s="109" t="s">
        <v>169</v>
      </c>
      <c r="F5" s="109" t="s">
        <v>170</v>
      </c>
      <c r="G5" s="109" t="s">
        <v>171</v>
      </c>
      <c r="H5" s="109" t="s">
        <v>172</v>
      </c>
    </row>
    <row r="6" spans="4:8" ht="15.75" x14ac:dyDescent="0.25">
      <c r="D6" s="110" t="s">
        <v>173</v>
      </c>
      <c r="E6" s="101">
        <v>134.26</v>
      </c>
      <c r="F6" s="111">
        <f>E6*0.25</f>
        <v>33.564999999999998</v>
      </c>
      <c r="G6" s="111">
        <f>E6*0.5</f>
        <v>67.13</v>
      </c>
      <c r="H6" s="111">
        <f>E6*0.25</f>
        <v>33.564999999999998</v>
      </c>
    </row>
    <row r="7" spans="4:8" ht="15.75" x14ac:dyDescent="0.25">
      <c r="D7" s="110" t="s">
        <v>174</v>
      </c>
      <c r="E7" s="57"/>
      <c r="F7" s="112">
        <v>3500000</v>
      </c>
      <c r="G7" s="113">
        <f>F7*0.75</f>
        <v>2625000</v>
      </c>
      <c r="H7" s="113">
        <f>F7*0.6</f>
        <v>2100000</v>
      </c>
    </row>
    <row r="8" spans="4:8" ht="15.75" x14ac:dyDescent="0.25">
      <c r="D8" s="110" t="s">
        <v>175</v>
      </c>
      <c r="E8" s="57"/>
      <c r="F8" s="113">
        <f>F7*F6</f>
        <v>117477499.99999999</v>
      </c>
      <c r="G8" s="113">
        <f t="shared" ref="G8:H8" si="0">G7*G6</f>
        <v>176216250</v>
      </c>
      <c r="H8" s="113">
        <f t="shared" si="0"/>
        <v>70486500</v>
      </c>
    </row>
    <row r="9" spans="4:8" ht="15.75" x14ac:dyDescent="0.25">
      <c r="D9" s="110" t="s">
        <v>176</v>
      </c>
      <c r="E9" s="57"/>
      <c r="F9" s="181">
        <f>SUM(F8:H8)</f>
        <v>364180250</v>
      </c>
      <c r="G9" s="181"/>
      <c r="H9" s="181"/>
    </row>
    <row r="10" spans="4:8" ht="15.75" x14ac:dyDescent="0.25">
      <c r="D10" s="110" t="s">
        <v>177</v>
      </c>
      <c r="E10" s="57"/>
      <c r="F10" s="182">
        <f>F9/E6</f>
        <v>2712500</v>
      </c>
      <c r="G10" s="182"/>
      <c r="H10" s="182"/>
    </row>
    <row r="11" spans="4:8" x14ac:dyDescent="0.25">
      <c r="H11">
        <f>F10/F7</f>
        <v>0.77500000000000002</v>
      </c>
    </row>
    <row r="12" spans="4:8" ht="30" x14ac:dyDescent="0.25">
      <c r="D12" s="114" t="s">
        <v>154</v>
      </c>
      <c r="E12" s="57"/>
      <c r="F12" s="57"/>
      <c r="G12" s="57"/>
      <c r="H12" s="113">
        <f>F9*5%</f>
        <v>18209012.5</v>
      </c>
    </row>
    <row r="13" spans="4:8" ht="75" x14ac:dyDescent="0.25">
      <c r="D13" s="114" t="s">
        <v>178</v>
      </c>
      <c r="E13" s="57"/>
      <c r="F13" s="57"/>
      <c r="G13" s="57"/>
      <c r="H13" s="113">
        <f>F9*5%</f>
        <v>18209012.5</v>
      </c>
    </row>
    <row r="14" spans="4:8" ht="30" x14ac:dyDescent="0.25">
      <c r="D14" s="115" t="s">
        <v>179</v>
      </c>
      <c r="E14" s="57" t="s">
        <v>180</v>
      </c>
      <c r="F14" s="57"/>
      <c r="G14" s="57"/>
      <c r="H14" s="99">
        <f>250000*E6</f>
        <v>33565000</v>
      </c>
    </row>
    <row r="15" spans="4:8" x14ac:dyDescent="0.25">
      <c r="D15" s="183" t="s">
        <v>123</v>
      </c>
      <c r="E15" s="183"/>
      <c r="F15" s="183"/>
      <c r="G15" s="183"/>
      <c r="H15" s="116">
        <f>F9+H12+H13+H14</f>
        <v>434163275</v>
      </c>
    </row>
  </sheetData>
  <mergeCells count="4">
    <mergeCell ref="D4:H4"/>
    <mergeCell ref="F9:H9"/>
    <mergeCell ref="F10:H10"/>
    <mergeCell ref="D15:G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Sugar_Unit</vt:lpstr>
      <vt:lpstr>Block_area</vt:lpstr>
      <vt:lpstr>Yards</vt:lpstr>
      <vt:lpstr>Roads_Drain_Boundary</vt:lpstr>
      <vt:lpstr>Summary</vt:lpstr>
      <vt:lpstr>Circle_rates</vt:lpstr>
      <vt:lpstr>land_acquisition</vt:lpstr>
      <vt:lpstr>FMV_Land</vt:lpstr>
      <vt:lpstr>FMV Belting Method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Arup Banerjee</dc:creator>
  <cp:lastModifiedBy>Arup Banerjee</cp:lastModifiedBy>
  <dcterms:created xsi:type="dcterms:W3CDTF">2022-06-16T10:45:28Z</dcterms:created>
  <dcterms:modified xsi:type="dcterms:W3CDTF">2022-07-27T06:44:11Z</dcterms:modified>
</cp:coreProperties>
</file>