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run Tomar\VIS(2022-23)-PL095-080-133, Ms Ruby High Purity System (Haridwar)\VIS(2022-23)-PL095-080-133_printing_1654494441\"/>
    </mc:Choice>
  </mc:AlternateContent>
  <bookViews>
    <workbookView showVerticalScroll="0" xWindow="0" yWindow="0" windowWidth="24000" windowHeight="9735" activeTab="1"/>
  </bookViews>
  <sheets>
    <sheet name="Land" sheetId="2" r:id="rId1"/>
    <sheet name="building" sheetId="1" r:id="rId2"/>
  </sheets>
  <definedNames>
    <definedName name="_xlnm.Print_Area" localSheetId="1">building!$A$1:$S$14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G20" i="1"/>
  <c r="G19" i="1"/>
  <c r="G18" i="1"/>
  <c r="G16" i="1"/>
  <c r="T19" i="1"/>
  <c r="F16" i="1"/>
  <c r="D15" i="2" l="1"/>
  <c r="U17" i="1"/>
  <c r="U18" i="1"/>
  <c r="T18" i="1"/>
  <c r="U19" i="1" l="1"/>
  <c r="J15" i="2"/>
  <c r="J19" i="2" s="1"/>
  <c r="E15" i="2"/>
  <c r="E14" i="2"/>
  <c r="D14" i="2"/>
  <c r="E29" i="1" l="1"/>
  <c r="D4" i="2" l="1"/>
  <c r="B12" i="2" s="1"/>
  <c r="F8" i="1" l="1"/>
  <c r="F9" i="1"/>
  <c r="O9" i="1" s="1"/>
  <c r="F7" i="1"/>
  <c r="F6" i="1"/>
  <c r="F5" i="1"/>
  <c r="F4" i="1"/>
  <c r="H28" i="1" s="1"/>
  <c r="I28" i="1" s="1"/>
  <c r="M9" i="1"/>
  <c r="J9" i="1"/>
  <c r="O8" i="1"/>
  <c r="M8" i="1"/>
  <c r="J8" i="1"/>
  <c r="H29" i="1" l="1"/>
  <c r="I29" i="1" s="1"/>
  <c r="F10" i="1"/>
  <c r="P8" i="1"/>
  <c r="Q8" i="1" s="1"/>
  <c r="S8" i="1" s="1"/>
  <c r="T8" i="1" s="1"/>
  <c r="P9" i="1"/>
  <c r="Q9" i="1" s="1"/>
  <c r="S9" i="1" s="1"/>
  <c r="T9" i="1" s="1"/>
  <c r="H46" i="1"/>
  <c r="H45" i="1"/>
  <c r="H44" i="1"/>
  <c r="H35" i="1"/>
  <c r="H34" i="1"/>
  <c r="K30" i="1"/>
  <c r="K32" i="1" s="1"/>
  <c r="O5" i="1"/>
  <c r="M5" i="1"/>
  <c r="J5" i="1"/>
  <c r="O6" i="1"/>
  <c r="M6" i="1"/>
  <c r="J6" i="1"/>
  <c r="E34" i="1"/>
  <c r="P5" i="1" l="1"/>
  <c r="Q5" i="1" s="1"/>
  <c r="S5" i="1" s="1"/>
  <c r="T5" i="1" s="1"/>
  <c r="P6" i="1"/>
  <c r="Q6" i="1" s="1"/>
  <c r="S6" i="1" s="1"/>
  <c r="T6" i="1" s="1"/>
  <c r="J7" i="1"/>
  <c r="M7" i="1"/>
  <c r="O7" i="1"/>
  <c r="P7" i="1" l="1"/>
  <c r="Q7" i="1" s="1"/>
  <c r="S7" i="1" s="1"/>
  <c r="T7" i="1" s="1"/>
  <c r="O4" i="1" l="1"/>
  <c r="O10" i="1" s="1"/>
  <c r="M4" i="1"/>
  <c r="J4" i="1" l="1"/>
  <c r="P4" i="1" l="1"/>
  <c r="Q4" i="1" s="1"/>
  <c r="Q10" i="1" s="1"/>
  <c r="S4" i="1" l="1"/>
  <c r="S10" i="1" l="1"/>
  <c r="S28" i="1" s="1"/>
  <c r="T4" i="1"/>
  <c r="D12" i="2" l="1"/>
  <c r="K15" i="2" s="1"/>
</calcChain>
</file>

<file path=xl/comments1.xml><?xml version="1.0" encoding="utf-8"?>
<comments xmlns="http://schemas.openxmlformats.org/spreadsheetml/2006/main">
  <authors>
    <author>admin</author>
  </authors>
  <commentList>
    <comment ref="Q29" authorId="0" shapeId="0">
      <text>
        <r>
          <rPr>
            <b/>
            <sz val="9"/>
            <color indexed="81"/>
            <rFont val="Tahoma"/>
            <family val="2"/>
          </rPr>
          <t>admin:</t>
        </r>
        <r>
          <rPr>
            <sz val="9"/>
            <color indexed="81"/>
            <rFont val="Tahoma"/>
            <family val="2"/>
          </rPr>
          <t xml:space="preserve">
</t>
        </r>
      </text>
    </comment>
  </commentList>
</comments>
</file>

<file path=xl/sharedStrings.xml><?xml version="1.0" encoding="utf-8"?>
<sst xmlns="http://schemas.openxmlformats.org/spreadsheetml/2006/main" count="88" uniqueCount="65">
  <si>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</si>
  <si>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</si>
  <si>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</si>
  <si>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</si>
  <si>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</si>
  <si>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</si>
  <si>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</si>
  <si>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</si>
  <si>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</si>
  <si>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</si>
  <si>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</si>
  <si>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Particular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</si>
  <si>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</si>
  <si>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</si>
  <si>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</si>
  <si>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</si>
  <si>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</si>
  <si>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</si>
  <si>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r>
      <t xml:space="preserve">Area 
</t>
    </r>
    <r>
      <rPr>
        <b/>
        <i/>
        <sz val="10"/>
        <rFont val="Calibri"/>
        <family val="2"/>
        <scheme val="minor"/>
      </rPr>
      <t>(in sq.ft)</t>
    </r>
  </si>
  <si>
    <t>Remarks:</t>
  </si>
  <si>
    <t>RCC framed pillar beam column on RCC slab</t>
  </si>
  <si>
    <t xml:space="preserve"> Building 1</t>
  </si>
  <si>
    <t>Ground Floor</t>
  </si>
  <si>
    <t>First Floor</t>
  </si>
  <si>
    <r>
      <t>3.</t>
    </r>
    <r>
      <rPr>
        <i/>
        <sz val="10"/>
        <color theme="1"/>
        <rFont val="Calibri"/>
        <family val="2"/>
        <scheme val="minor"/>
      </rPr>
      <t xml:space="preserve"> The valuation is done by considering the depreciated replacement cost approach.</t>
    </r>
  </si>
  <si>
    <t>RV</t>
  </si>
  <si>
    <t>DV</t>
  </si>
  <si>
    <t>TOTAL FMV</t>
  </si>
  <si>
    <t>Unit</t>
  </si>
  <si>
    <t>Fabrication Area 1</t>
  </si>
  <si>
    <t>Fabrication Area 2</t>
  </si>
  <si>
    <t>Reception / Office Area</t>
  </si>
  <si>
    <t>Office &amp; Guard Room</t>
  </si>
  <si>
    <t>Hall 1</t>
  </si>
  <si>
    <t>Hall 2</t>
  </si>
  <si>
    <t>Shed Area on Load Bearing wall and structure made of iron</t>
  </si>
  <si>
    <t>Rates</t>
  </si>
  <si>
    <t>Value</t>
  </si>
  <si>
    <t xml:space="preserve">Land </t>
  </si>
  <si>
    <t>Building</t>
  </si>
  <si>
    <t>Total</t>
  </si>
  <si>
    <t>Area in
(Sqm)</t>
  </si>
  <si>
    <t>FMV</t>
  </si>
  <si>
    <t>PL-095</t>
  </si>
  <si>
    <t>GF</t>
  </si>
  <si>
    <t>FF</t>
  </si>
  <si>
    <t>sqft</t>
  </si>
  <si>
    <t>sqm</t>
  </si>
  <si>
    <t>ARUN</t>
  </si>
  <si>
    <t>CONSIDERED IN REPORT   \/</t>
  </si>
  <si>
    <t>Circle Value</t>
  </si>
  <si>
    <t>Circle Rate</t>
  </si>
  <si>
    <r>
      <t xml:space="preserve">Percentage difference between Circle Rate and </t>
    </r>
    <r>
      <rPr>
        <sz val="11"/>
        <color theme="1"/>
        <rFont val="Arial"/>
        <family val="2"/>
      </rPr>
      <t>Fair Market Value</t>
    </r>
  </si>
  <si>
    <r>
      <rPr>
        <b/>
        <sz val="16"/>
        <color theme="1"/>
        <rFont val="Calibri"/>
        <family val="2"/>
        <scheme val="minor"/>
      </rPr>
      <t>&lt;</t>
    </r>
    <r>
      <rPr>
        <sz val="16"/>
        <color theme="1"/>
        <rFont val="Calibri"/>
        <family val="2"/>
        <scheme val="minor"/>
      </rPr>
      <t xml:space="preserve"> L &amp; B</t>
    </r>
  </si>
  <si>
    <t>Permisiable</t>
  </si>
  <si>
    <t>Structure Details</t>
  </si>
  <si>
    <t>Extra Construction</t>
  </si>
  <si>
    <t>Area
(in sq.ft.)</t>
  </si>
  <si>
    <t>Constructed
(Considered for Valuation)</t>
  </si>
  <si>
    <r>
      <t xml:space="preserve">1. </t>
    </r>
    <r>
      <rPr>
        <b/>
        <i/>
        <sz val="10"/>
        <color theme="1"/>
        <rFont val="Calibri"/>
        <family val="2"/>
        <scheme val="minor"/>
      </rPr>
      <t>All the details pertaing to the building area statement such as area, floor, etc has been taken from the onsite survey and since no other relevant building area statement has been provided to us by the bank or client.</t>
    </r>
  </si>
  <si>
    <t>per sqm</t>
  </si>
  <si>
    <t>gf</t>
  </si>
  <si>
    <t>ff</t>
  </si>
  <si>
    <t>BUILDING VALUATION OF M/S. RUBY HIGH PURITY WATER SYSTEMS | HARIDWAR, UTTARAKHAND</t>
  </si>
  <si>
    <r>
      <t xml:space="preserve">2. </t>
    </r>
    <r>
      <rPr>
        <i/>
        <sz val="10"/>
        <color theme="1"/>
        <rFont val="Calibri"/>
        <family val="2"/>
        <scheme val="minor"/>
      </rPr>
      <t>All the structure that has been taken in the area statemnet belonging to M/s. Ruby High Purity Water Systems.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</si>
</sst>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9"/>
      <color indexed="81"/>
      <name val="Tahoma"/>
      <family val="2"/>
    </font>
    <font>
      <b/>
      <sz val="9"/>
      <color indexed="81"/>
      <name val="Tahoma"/>
      <family val="2"/>
    </font>
    <font>
      <b/>
      <i/>
      <sz val="10"/>
      <color theme="1"/>
      <name val="Calibri"/>
      <family val="2"/>
      <scheme val="minor"/>
    </font>
    <font>
      <i/>
      <sz val="10"/>
      <color theme="1"/>
      <name val="Calibri"/>
      <family val="2"/>
      <scheme val="minor"/>
    </font>
    <font>
      <b/>
      <sz val="16"/>
      <color theme="0"/>
      <name val="Calibri"/>
      <family val="2"/>
      <scheme val="minor"/>
    </font>
    <font>
      <sz val="16"/>
      <color theme="1"/>
      <name val="Calibri"/>
      <family val="2"/>
      <scheme val="minor"/>
    </font>
    <font>
      <b/>
      <sz val="16"/>
      <color theme="1"/>
      <name val="Calibri"/>
      <family val="2"/>
      <scheme val="minor"/>
    </font>
    <font>
      <i/>
      <sz val="16"/>
      <color theme="1"/>
      <name val="Calibri"/>
      <family val="2"/>
      <scheme val="minor"/>
    </font>
    <font>
      <b/>
      <i/>
      <sz val="16"/>
      <color theme="1"/>
      <name val="Calibri"/>
      <family val="2"/>
      <scheme val="minor"/>
    </font>
    <font>
      <sz val="11"/>
      <color theme="1"/>
      <name val="Arial"/>
      <family val="2"/>
    </font>
    <font>
      <b/>
      <sz val="11"/>
      <color theme="1"/>
      <name val="Arial"/>
      <family val="2"/>
    </font>
    <font>
      <u/>
      <sz val="11"/>
      <color theme="10"/>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FFFF00"/>
        <bgColor indexed="64"/>
      </patternFill>
    </fill>
    <fill>
      <patternFill patternType="solid">
        <fgColor theme="4"/>
        <bgColor indexed="64"/>
      </patternFill>
    </fill>
    <fill>
      <patternFill patternType="solid">
        <fgColor rgb="FF0070C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0" fillId="0" borderId="0" applyNumberFormat="0" applyFill="0" applyBorder="0" applyAlignment="0" applyProtection="0"/>
  </cellStyleXfs>
  <cellXfs count="63">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xf>
    <xf numFmtId="0" fontId="2" fillId="5" borderId="0" xfId="0" applyFont="1" applyFill="1"/>
    <xf numFmtId="0" fontId="2" fillId="4" borderId="0" xfId="0" applyFont="1" applyFill="1"/>
    <xf numFmtId="164" fontId="2" fillId="0" borderId="1" xfId="3" applyNumberFormat="1" applyFont="1" applyBorder="1" applyAlignment="1">
      <alignment horizontal="center" vertical="center"/>
    </xf>
    <xf numFmtId="0" fontId="14" fillId="0" borderId="1" xfId="0" applyFont="1" applyBorder="1" applyAlignment="1">
      <alignment horizontal="center" vertical="center"/>
    </xf>
    <xf numFmtId="164" fontId="14" fillId="0" borderId="1" xfId="3" applyNumberFormat="1" applyFont="1" applyBorder="1" applyAlignment="1">
      <alignment horizontal="center" vertical="center"/>
    </xf>
    <xf numFmtId="164" fontId="14" fillId="0" borderId="1" xfId="0" applyNumberFormat="1" applyFont="1" applyBorder="1"/>
    <xf numFmtId="0" fontId="13" fillId="6" borderId="1" xfId="0" applyFont="1" applyFill="1" applyBorder="1" applyAlignment="1">
      <alignment horizontal="center" vertical="center" wrapText="1"/>
    </xf>
    <xf numFmtId="0" fontId="13" fillId="6" borderId="1" xfId="0" applyFont="1" applyFill="1" applyBorder="1" applyAlignment="1">
      <alignment horizontal="center" vertical="center"/>
    </xf>
    <xf numFmtId="164" fontId="14" fillId="0" borderId="1" xfId="3" applyNumberFormat="1" applyFont="1" applyBorder="1"/>
    <xf numFmtId="166" fontId="0" fillId="0" borderId="0" xfId="0" applyNumberFormat="1" applyAlignment="1">
      <alignment horizontal="center"/>
    </xf>
    <xf numFmtId="164" fontId="16" fillId="0" borderId="1" xfId="3" applyNumberFormat="1" applyFont="1" applyBorder="1" applyAlignment="1">
      <alignment horizontal="center" vertical="center"/>
    </xf>
    <xf numFmtId="0" fontId="14" fillId="0" borderId="4" xfId="0" applyFont="1" applyBorder="1" applyAlignment="1">
      <alignment horizontal="center" vertical="center"/>
    </xf>
    <xf numFmtId="0" fontId="19" fillId="0" borderId="8" xfId="0" applyFont="1" applyBorder="1" applyAlignment="1">
      <alignment horizontal="center" vertical="center" wrapText="1"/>
    </xf>
    <xf numFmtId="164" fontId="20" fillId="0" borderId="0" xfId="4" applyNumberFormat="1"/>
    <xf numFmtId="0" fontId="5" fillId="2" borderId="5" xfId="0" applyFont="1" applyFill="1" applyBorder="1" applyAlignment="1">
      <alignment horizontal="center" vertical="center" wrapText="1"/>
    </xf>
    <xf numFmtId="164" fontId="0" fillId="0" borderId="1" xfId="0" applyNumberFormat="1" applyBorder="1" applyAlignment="1">
      <alignment horizontal="center" vertical="center"/>
    </xf>
    <xf numFmtId="0" fontId="8" fillId="0" borderId="0" xfId="0" applyFont="1" applyBorder="1" applyAlignment="1">
      <alignment horizontal="left" vertical="center"/>
    </xf>
    <xf numFmtId="0" fontId="0" fillId="0" borderId="7" xfId="0" applyBorder="1" applyAlignment="1">
      <alignment horizontal="center" vertical="center"/>
    </xf>
    <xf numFmtId="43" fontId="0" fillId="0" borderId="0" xfId="0" applyNumberFormat="1"/>
    <xf numFmtId="0" fontId="2" fillId="0" borderId="1" xfId="0" applyFont="1" applyBorder="1" applyAlignment="1">
      <alignment horizontal="center" vertical="center" wrapText="1"/>
    </xf>
    <xf numFmtId="166" fontId="0" fillId="0" borderId="1" xfId="0" applyNumberFormat="1" applyBorder="1" applyAlignment="1">
      <alignment horizontal="center" vertical="center"/>
    </xf>
    <xf numFmtId="0" fontId="2" fillId="0" borderId="1" xfId="0" applyFont="1" applyBorder="1" applyAlignment="1">
      <alignment horizontal="left" vertical="center"/>
    </xf>
    <xf numFmtId="164" fontId="14" fillId="0" borderId="4" xfId="3" applyNumberFormat="1" applyFont="1" applyBorder="1" applyAlignment="1">
      <alignment horizontal="center" vertical="center"/>
    </xf>
    <xf numFmtId="164" fontId="15" fillId="0" borderId="1" xfId="3" applyNumberFormat="1" applyFont="1" applyBorder="1" applyAlignment="1">
      <alignment horizontal="center" vertical="center"/>
    </xf>
    <xf numFmtId="1" fontId="8" fillId="0" borderId="0" xfId="0" applyNumberFormat="1" applyFont="1" applyBorder="1" applyAlignment="1">
      <alignment horizontal="left" vertical="center"/>
    </xf>
    <xf numFmtId="1" fontId="8" fillId="0" borderId="0" xfId="0" applyNumberFormat="1" applyFont="1" applyBorder="1" applyAlignment="1">
      <alignment horizontal="center" vertical="center"/>
    </xf>
    <xf numFmtId="164" fontId="8" fillId="0" borderId="0" xfId="0" applyNumberFormat="1" applyFont="1" applyBorder="1" applyAlignment="1">
      <alignment horizontal="left"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164" fontId="17" fillId="0" borderId="5" xfId="3" applyNumberFormat="1" applyFont="1" applyBorder="1" applyAlignment="1">
      <alignment horizontal="center" vertical="center"/>
    </xf>
    <xf numFmtId="164" fontId="17" fillId="0" borderId="6" xfId="3" applyNumberFormat="1" applyFont="1" applyBorder="1" applyAlignment="1">
      <alignment horizontal="center" vertical="center"/>
    </xf>
    <xf numFmtId="164" fontId="17" fillId="0" borderId="7" xfId="3" applyNumberFormat="1" applyFont="1" applyBorder="1" applyAlignment="1">
      <alignment horizontal="center" vertical="center"/>
    </xf>
    <xf numFmtId="164" fontId="2" fillId="0" borderId="2" xfId="3" applyNumberFormat="1" applyFont="1" applyBorder="1" applyAlignment="1">
      <alignment horizontal="center" vertical="center"/>
    </xf>
    <xf numFmtId="164" fontId="2" fillId="0" borderId="4" xfId="3" applyNumberFormat="1" applyFont="1" applyBorder="1" applyAlignment="1">
      <alignment horizontal="center" vertical="center"/>
    </xf>
    <xf numFmtId="2" fontId="19" fillId="0" borderId="1" xfId="0" applyNumberFormat="1" applyFont="1" applyBorder="1" applyAlignment="1">
      <alignment horizontal="center" vertical="center" wrapText="1"/>
    </xf>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cellXfs>
  <cellStyles count="5">
    <cellStyle name="Comma" xfId="3" builtinId="3"/>
    <cellStyle name="Currency" xfId="1" builtinId="4"/>
    <cellStyle name="Hyperlink" xfId="4" builtinId="8"/>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1131794</xdr:colOff>
      <xdr:row>1</xdr:row>
      <xdr:rowOff>44823</xdr:rowOff>
    </xdr:from>
    <xdr:to>
      <xdr:col>12</xdr:col>
      <xdr:colOff>381000</xdr:colOff>
      <xdr:row>11</xdr:row>
      <xdr:rowOff>134471</xdr:rowOff>
    </xdr:to>
    <xdr:pic>
      <xdr:nvPicPr>
        <xdr:cNvPr id="2" name="Picture 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Layer>
              </a14:imgProps>
            </a:ext>
          </a:extLst>
        </a:blip>
        <a:srcRect l="10370" t="21545" r="6109" b="40322"/>
        <a:stretch/>
      </xdr:blipFill>
      <xdr:spPr>
        <a:xfrm>
          <a:off x="8113059" y="235323"/>
          <a:ext cx="4964206" cy="2498913"/>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3:Q29"/>
  <sheetViews>
    <sheetView zoomScale="85" zoomScaleNormal="85" workbookViewId="0">
      <selection activeCell="J13" sqref="J13"/>
    </sheetView>
  </sheetViews>
  <sheetFormatPr defaultRowHeight="15" x14ac:dyDescent="0.25"/>
  <cols>
    <col min="2" max="2" width="17.7109375" bestFit="1" customWidth="1"/>
    <col min="3" max="3" width="19.28515625" bestFit="1" customWidth="1"/>
    <col min="4" max="4" width="21.7109375" bestFit="1" customWidth="1"/>
    <col min="5" max="5" width="17.7109375" bestFit="1" customWidth="1"/>
    <col min="6" max="6" width="10.28515625" bestFit="1" customWidth="1"/>
    <col min="8" max="8" width="19.28515625" bestFit="1" customWidth="1"/>
    <col min="9" max="9" width="17.42578125" bestFit="1" customWidth="1"/>
    <col min="10" max="10" width="17.85546875" bestFit="1" customWidth="1"/>
    <col min="11" max="11" width="17.7109375" bestFit="1" customWidth="1"/>
    <col min="12" max="12" width="13.42578125" customWidth="1"/>
  </cols>
  <sheetData>
    <row r="3" spans="2:12" ht="42" x14ac:dyDescent="0.25">
      <c r="B3" s="26" t="s">
        <v>41</v>
      </c>
      <c r="C3" s="27" t="s">
        <v>36</v>
      </c>
      <c r="D3" s="27" t="s">
        <v>37</v>
      </c>
    </row>
    <row r="4" spans="2:12" ht="21" x14ac:dyDescent="0.25">
      <c r="B4" s="23">
        <v>800</v>
      </c>
      <c r="C4" s="24">
        <v>12000</v>
      </c>
      <c r="D4" s="24">
        <f>B4*C4</f>
        <v>9600000</v>
      </c>
    </row>
    <row r="11" spans="2:12" ht="21" x14ac:dyDescent="0.25">
      <c r="B11" s="26" t="s">
        <v>38</v>
      </c>
      <c r="C11" s="27" t="s">
        <v>39</v>
      </c>
      <c r="D11" s="27" t="s">
        <v>40</v>
      </c>
    </row>
    <row r="12" spans="2:12" ht="21" x14ac:dyDescent="0.35">
      <c r="B12" s="25">
        <f>D4</f>
        <v>9600000</v>
      </c>
      <c r="C12" s="28">
        <f>building!S10</f>
        <v>8914100.7999999989</v>
      </c>
      <c r="D12" s="25">
        <f>B12+C12</f>
        <v>18514100.799999997</v>
      </c>
      <c r="E12" s="53" t="s">
        <v>49</v>
      </c>
      <c r="F12" s="54"/>
    </row>
    <row r="13" spans="2:12" ht="21" x14ac:dyDescent="0.25">
      <c r="B13" s="47" t="s">
        <v>43</v>
      </c>
      <c r="C13" s="23" t="s">
        <v>42</v>
      </c>
      <c r="D13" s="24">
        <v>18500000</v>
      </c>
      <c r="E13" s="30">
        <v>18500000</v>
      </c>
      <c r="F13" s="50" t="s">
        <v>48</v>
      </c>
      <c r="I13" s="43" t="s">
        <v>51</v>
      </c>
      <c r="J13" s="42">
        <v>14000</v>
      </c>
      <c r="K13" s="31" t="s">
        <v>60</v>
      </c>
    </row>
    <row r="14" spans="2:12" ht="21" x14ac:dyDescent="0.25">
      <c r="B14" s="48"/>
      <c r="C14" s="23" t="s">
        <v>25</v>
      </c>
      <c r="D14" s="24">
        <f>D13*0.85</f>
        <v>15725000</v>
      </c>
      <c r="E14" s="30">
        <f>E13*0.85</f>
        <v>15725000</v>
      </c>
      <c r="F14" s="51"/>
    </row>
    <row r="15" spans="2:12" ht="21" x14ac:dyDescent="0.25">
      <c r="B15" s="49"/>
      <c r="C15" s="23" t="s">
        <v>26</v>
      </c>
      <c r="D15" s="24">
        <f>D13*0.75</f>
        <v>13875000</v>
      </c>
      <c r="E15" s="30">
        <f>E13*0.75</f>
        <v>13875000</v>
      </c>
      <c r="F15" s="52"/>
      <c r="I15" s="43" t="s">
        <v>50</v>
      </c>
      <c r="J15" s="24">
        <f>B4*J13</f>
        <v>11200000</v>
      </c>
      <c r="K15" s="24">
        <f>D12</f>
        <v>18514100.799999997</v>
      </c>
      <c r="L15" s="24" t="s">
        <v>53</v>
      </c>
    </row>
    <row r="18" spans="9:17" ht="15.75" thickBot="1" x14ac:dyDescent="0.3"/>
    <row r="19" spans="9:17" ht="75" thickBot="1" x14ac:dyDescent="0.3">
      <c r="I19" s="32" t="s">
        <v>52</v>
      </c>
      <c r="J19" s="55">
        <f>((K15-J15)/K15)*100</f>
        <v>39.505568642037417</v>
      </c>
      <c r="K19" s="55"/>
    </row>
    <row r="29" spans="9:17" x14ac:dyDescent="0.25"/>
  </sheetData>
  <mergeCells count="4">
    <mergeCell ref="B13:B15"/>
    <mergeCell ref="F13:F15"/>
    <mergeCell ref="E12:F12"/>
    <mergeCell ref="J19:K19"/>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V46"/>
  <sheetViews>
    <sheetView tabSelected="1" zoomScale="85" zoomScaleNormal="85" zoomScaleSheetLayoutView="85" workbookViewId="0">
      <selection activeCell="A2" sqref="A2:S14"/>
    </sheetView>
  </sheetViews>
  <sheetFormatPr defaultRowHeight="15" x14ac:dyDescent="0.25"/>
  <cols>
    <col min="1" max="1" width="7.28515625" bestFit="1" customWidth="1"/>
    <col min="2" max="2" width="13.140625" bestFit="1" customWidth="1"/>
    <col min="3" max="3" width="13.140625" style="18" bestFit="1" customWidth="1"/>
    <col min="4" max="4" width="12.5703125" style="18" customWidth="1"/>
    <col min="5" max="5" width="22.5703125" style="18" customWidth="1"/>
    <col min="6" max="6" width="7.7109375" bestFit="1" customWidth="1"/>
    <col min="7" max="7" width="7" bestFit="1" customWidth="1"/>
    <col min="8" max="8" width="12.28515625" bestFit="1" customWidth="1"/>
    <col min="9" max="9" width="9" customWidth="1"/>
    <col min="10" max="10" width="9.7109375" bestFit="1" customWidth="1"/>
    <col min="11" max="11" width="10.5703125" bestFit="1" customWidth="1"/>
    <col min="12" max="12" width="7.7109375" bestFit="1" customWidth="1"/>
    <col min="13" max="13" width="12.42578125" bestFit="1" customWidth="1"/>
    <col min="14" max="14" width="10.85546875" bestFit="1" customWidth="1"/>
    <col min="15" max="15" width="17.5703125" bestFit="1" customWidth="1"/>
    <col min="16" max="16" width="12.42578125" bestFit="1" customWidth="1"/>
    <col min="17" max="17" width="11.85546875" bestFit="1" customWidth="1"/>
    <col min="18" max="18" width="10.85546875" bestFit="1" customWidth="1"/>
    <col min="19" max="19" width="19" style="19" bestFit="1" customWidth="1"/>
    <col min="20" max="20" width="12.28515625" bestFit="1" customWidth="1"/>
    <col min="21" max="21" width="22.28515625" customWidth="1"/>
    <col min="22" max="22" width="13.140625" bestFit="1" customWidth="1"/>
  </cols>
  <sheetData>
    <row r="2" spans="1:22" ht="15.75" x14ac:dyDescent="0.25">
      <c r="A2" s="57" t="s">
        <v>63</v>
      </c>
      <c r="B2" s="58"/>
      <c r="C2" s="58"/>
      <c r="D2" s="58"/>
      <c r="E2" s="58"/>
      <c r="F2" s="58"/>
      <c r="G2" s="58"/>
      <c r="H2" s="58"/>
      <c r="I2" s="58"/>
      <c r="J2" s="58"/>
      <c r="K2" s="58"/>
      <c r="L2" s="58"/>
      <c r="M2" s="58"/>
      <c r="N2" s="58"/>
      <c r="O2" s="58"/>
      <c r="P2" s="58"/>
      <c r="Q2" s="58"/>
      <c r="R2" s="58"/>
      <c r="S2" s="59"/>
    </row>
    <row r="3" spans="1:22" s="16" customFormat="1" ht="60" x14ac:dyDescent="0.25">
      <c r="A3" s="14" t="s">
        <v>0</v>
      </c>
      <c r="B3" s="14" t="s">
        <v>1</v>
      </c>
      <c r="C3" s="15" t="s">
        <v>11</v>
      </c>
      <c r="D3" s="15" t="s">
        <v>28</v>
      </c>
      <c r="E3" s="15" t="s">
        <v>4</v>
      </c>
      <c r="F3" s="15" t="s">
        <v>18</v>
      </c>
      <c r="G3" s="15" t="s">
        <v>14</v>
      </c>
      <c r="H3" s="15" t="s">
        <v>2</v>
      </c>
      <c r="I3" s="15" t="s">
        <v>3</v>
      </c>
      <c r="J3" s="15" t="s">
        <v>15</v>
      </c>
      <c r="K3" s="15" t="s">
        <v>16</v>
      </c>
      <c r="L3" s="15" t="s">
        <v>5</v>
      </c>
      <c r="M3" s="15" t="s">
        <v>7</v>
      </c>
      <c r="N3" s="15" t="s">
        <v>17</v>
      </c>
      <c r="O3" s="15" t="s">
        <v>12</v>
      </c>
      <c r="P3" s="15" t="s">
        <v>8</v>
      </c>
      <c r="Q3" s="15" t="s">
        <v>9</v>
      </c>
      <c r="R3" s="15" t="s">
        <v>13</v>
      </c>
      <c r="S3" s="15" t="s">
        <v>10</v>
      </c>
    </row>
    <row r="4" spans="1:22" ht="30" x14ac:dyDescent="0.25">
      <c r="A4" s="13">
        <v>1</v>
      </c>
      <c r="B4" s="2" t="s">
        <v>22</v>
      </c>
      <c r="C4" s="17" t="s">
        <v>21</v>
      </c>
      <c r="D4" s="17" t="s">
        <v>29</v>
      </c>
      <c r="E4" s="17" t="s">
        <v>20</v>
      </c>
      <c r="F4" s="10">
        <f>48*54</f>
        <v>2592</v>
      </c>
      <c r="G4" s="10">
        <v>12</v>
      </c>
      <c r="H4" s="2">
        <v>2014</v>
      </c>
      <c r="I4" s="2">
        <v>2022</v>
      </c>
      <c r="J4" s="2">
        <f>I4-H4</f>
        <v>8</v>
      </c>
      <c r="K4" s="2">
        <v>60</v>
      </c>
      <c r="L4" s="3">
        <v>0.1</v>
      </c>
      <c r="M4" s="5">
        <f>(1-L4)/K4</f>
        <v>1.5000000000000001E-2</v>
      </c>
      <c r="N4" s="6">
        <v>1100</v>
      </c>
      <c r="O4" s="6">
        <f>N4*F4</f>
        <v>2851200</v>
      </c>
      <c r="P4" s="6">
        <f t="shared" ref="P4:P7" si="0">O4*M4*J4</f>
        <v>342144</v>
      </c>
      <c r="Q4" s="6">
        <f t="shared" ref="Q4:Q7" si="1">MAX(O4-P4,0)</f>
        <v>2509056</v>
      </c>
      <c r="R4" s="11">
        <v>0.05</v>
      </c>
      <c r="S4" s="6">
        <f t="shared" ref="S4:S7" si="2">IF(Q4&gt;L4*O4,Q4*(1-R4),O4*L4)</f>
        <v>2383603.1999999997</v>
      </c>
      <c r="T4" s="12">
        <f>S4/F4</f>
        <v>919.59999999999991</v>
      </c>
      <c r="U4" s="1"/>
      <c r="V4" s="1"/>
    </row>
    <row r="5" spans="1:22" ht="45" x14ac:dyDescent="0.25">
      <c r="A5" s="13">
        <v>2</v>
      </c>
      <c r="B5" s="2" t="s">
        <v>22</v>
      </c>
      <c r="C5" s="17" t="s">
        <v>21</v>
      </c>
      <c r="D5" s="17" t="s">
        <v>30</v>
      </c>
      <c r="E5" s="17" t="s">
        <v>35</v>
      </c>
      <c r="F5" s="10">
        <f>64*55</f>
        <v>3520</v>
      </c>
      <c r="G5" s="10">
        <v>30</v>
      </c>
      <c r="H5" s="2">
        <v>2014</v>
      </c>
      <c r="I5" s="2">
        <v>2022</v>
      </c>
      <c r="J5" s="2">
        <f>I5-H5</f>
        <v>8</v>
      </c>
      <c r="K5" s="2">
        <v>60</v>
      </c>
      <c r="L5" s="3">
        <v>0.1</v>
      </c>
      <c r="M5" s="5">
        <f>(1-L5)/K5</f>
        <v>1.5000000000000001E-2</v>
      </c>
      <c r="N5" s="6">
        <v>900</v>
      </c>
      <c r="O5" s="6">
        <f>N5*F5</f>
        <v>3168000</v>
      </c>
      <c r="P5" s="6">
        <f>O5*M5*J5</f>
        <v>380160.00000000006</v>
      </c>
      <c r="Q5" s="6">
        <f>MAX(O5-P5,0)</f>
        <v>2787840</v>
      </c>
      <c r="R5" s="11">
        <v>0.05</v>
      </c>
      <c r="S5" s="6">
        <f t="shared" si="2"/>
        <v>2648448</v>
      </c>
      <c r="T5" s="12">
        <f t="shared" ref="T5:T9" si="3">S5/F5</f>
        <v>752.4</v>
      </c>
      <c r="U5" s="33"/>
      <c r="V5" s="1"/>
    </row>
    <row r="6" spans="1:22" ht="30" x14ac:dyDescent="0.25">
      <c r="A6" s="13">
        <v>3</v>
      </c>
      <c r="B6" s="2" t="s">
        <v>22</v>
      </c>
      <c r="C6" s="17" t="s">
        <v>21</v>
      </c>
      <c r="D6" s="17" t="s">
        <v>31</v>
      </c>
      <c r="E6" s="17" t="s">
        <v>20</v>
      </c>
      <c r="F6" s="10">
        <f>11*22</f>
        <v>242</v>
      </c>
      <c r="G6" s="10">
        <v>10</v>
      </c>
      <c r="H6" s="2">
        <v>2014</v>
      </c>
      <c r="I6" s="2">
        <v>2022</v>
      </c>
      <c r="J6" s="2">
        <f t="shared" ref="J6" si="4">I6-H6</f>
        <v>8</v>
      </c>
      <c r="K6" s="2">
        <v>60</v>
      </c>
      <c r="L6" s="3">
        <v>0.1</v>
      </c>
      <c r="M6" s="5">
        <f t="shared" ref="M6" si="5">(1-L6)/K6</f>
        <v>1.5000000000000001E-2</v>
      </c>
      <c r="N6" s="6">
        <v>1300</v>
      </c>
      <c r="O6" s="6">
        <f t="shared" ref="O6" si="6">N6*F6</f>
        <v>314600</v>
      </c>
      <c r="P6" s="6">
        <f t="shared" ref="P6" si="7">O6*M6*J6</f>
        <v>37752</v>
      </c>
      <c r="Q6" s="6">
        <f t="shared" ref="Q6" si="8">MAX(O6-P6,0)</f>
        <v>276848</v>
      </c>
      <c r="R6" s="11">
        <v>0.05</v>
      </c>
      <c r="S6" s="6">
        <f t="shared" ref="S6" si="9">IF(Q6&gt;L6*O6,Q6*(1-R6),O6*L6)</f>
        <v>263005.59999999998</v>
      </c>
      <c r="T6" s="12">
        <f t="shared" si="3"/>
        <v>1086.8</v>
      </c>
      <c r="U6" s="1"/>
      <c r="V6" s="1"/>
    </row>
    <row r="7" spans="1:22" ht="30" x14ac:dyDescent="0.25">
      <c r="A7" s="13">
        <v>4</v>
      </c>
      <c r="B7" s="2" t="s">
        <v>22</v>
      </c>
      <c r="C7" s="17" t="s">
        <v>21</v>
      </c>
      <c r="D7" s="17" t="s">
        <v>32</v>
      </c>
      <c r="E7" s="17" t="s">
        <v>20</v>
      </c>
      <c r="F7" s="10">
        <f>12*25</f>
        <v>300</v>
      </c>
      <c r="G7" s="10">
        <v>10</v>
      </c>
      <c r="H7" s="2">
        <v>2014</v>
      </c>
      <c r="I7" s="2">
        <v>2022</v>
      </c>
      <c r="J7" s="2">
        <f t="shared" ref="J7" si="10">I7-H7</f>
        <v>8</v>
      </c>
      <c r="K7" s="2">
        <v>60</v>
      </c>
      <c r="L7" s="3">
        <v>0.1</v>
      </c>
      <c r="M7" s="5">
        <f t="shared" ref="M7" si="11">(1-L7)/K7</f>
        <v>1.5000000000000001E-2</v>
      </c>
      <c r="N7" s="6">
        <v>1200</v>
      </c>
      <c r="O7" s="6">
        <f t="shared" ref="O7" si="12">N7*F7</f>
        <v>360000</v>
      </c>
      <c r="P7" s="6">
        <f t="shared" si="0"/>
        <v>43200</v>
      </c>
      <c r="Q7" s="6">
        <f t="shared" si="1"/>
        <v>316800</v>
      </c>
      <c r="R7" s="11">
        <v>0.05</v>
      </c>
      <c r="S7" s="6">
        <f t="shared" si="2"/>
        <v>300960</v>
      </c>
      <c r="T7" s="12">
        <f t="shared" si="3"/>
        <v>1003.2</v>
      </c>
      <c r="U7" s="1"/>
      <c r="V7" s="1"/>
    </row>
    <row r="8" spans="1:22" ht="30" x14ac:dyDescent="0.25">
      <c r="A8" s="13">
        <v>1</v>
      </c>
      <c r="B8" s="2" t="s">
        <v>23</v>
      </c>
      <c r="C8" s="17" t="s">
        <v>21</v>
      </c>
      <c r="D8" s="17" t="s">
        <v>33</v>
      </c>
      <c r="E8" s="17" t="s">
        <v>20</v>
      </c>
      <c r="F8" s="10">
        <f>70*22</f>
        <v>1540</v>
      </c>
      <c r="G8" s="10">
        <v>12</v>
      </c>
      <c r="H8" s="2">
        <v>2014</v>
      </c>
      <c r="I8" s="2">
        <v>2022</v>
      </c>
      <c r="J8" s="2">
        <f>I8-H8</f>
        <v>8</v>
      </c>
      <c r="K8" s="2">
        <v>60</v>
      </c>
      <c r="L8" s="3">
        <v>0.1</v>
      </c>
      <c r="M8" s="5">
        <f>(1-L8)/K8</f>
        <v>1.5000000000000001E-2</v>
      </c>
      <c r="N8" s="6">
        <v>1100</v>
      </c>
      <c r="O8" s="6">
        <f>N8*F8</f>
        <v>1694000</v>
      </c>
      <c r="P8" s="6">
        <f t="shared" ref="P8" si="13">O8*M8*J8</f>
        <v>203280.00000000003</v>
      </c>
      <c r="Q8" s="6">
        <f t="shared" ref="Q8" si="14">MAX(O8-P8,0)</f>
        <v>1490720</v>
      </c>
      <c r="R8" s="11">
        <v>0.05</v>
      </c>
      <c r="S8" s="6">
        <f t="shared" ref="S8:S9" si="15">IF(Q8&gt;L8*O8,Q8*(1-R8),O8*L8)</f>
        <v>1416184</v>
      </c>
      <c r="T8" s="12">
        <f t="shared" si="3"/>
        <v>919.6</v>
      </c>
      <c r="U8" s="1"/>
      <c r="V8" s="1"/>
    </row>
    <row r="9" spans="1:22" ht="45" x14ac:dyDescent="0.25">
      <c r="A9" s="13">
        <v>2</v>
      </c>
      <c r="B9" s="2" t="s">
        <v>23</v>
      </c>
      <c r="C9" s="17" t="s">
        <v>21</v>
      </c>
      <c r="D9" s="17" t="s">
        <v>34</v>
      </c>
      <c r="E9" s="17" t="s">
        <v>35</v>
      </c>
      <c r="F9" s="10">
        <f>65*50</f>
        <v>3250</v>
      </c>
      <c r="G9" s="10">
        <v>12</v>
      </c>
      <c r="H9" s="2">
        <v>2014</v>
      </c>
      <c r="I9" s="2">
        <v>2022</v>
      </c>
      <c r="J9" s="2">
        <f>I9-H9</f>
        <v>8</v>
      </c>
      <c r="K9" s="2">
        <v>60</v>
      </c>
      <c r="L9" s="3">
        <v>0.1</v>
      </c>
      <c r="M9" s="5">
        <f>(1-L9)/K9</f>
        <v>1.5000000000000001E-2</v>
      </c>
      <c r="N9" s="6">
        <v>700</v>
      </c>
      <c r="O9" s="6">
        <f>N9*F9</f>
        <v>2275000</v>
      </c>
      <c r="P9" s="6">
        <f>O9*M9*J9</f>
        <v>273000</v>
      </c>
      <c r="Q9" s="6">
        <f>MAX(O9-P9,0)</f>
        <v>2002000</v>
      </c>
      <c r="R9" s="11">
        <v>0.05</v>
      </c>
      <c r="S9" s="6">
        <f t="shared" si="15"/>
        <v>1901900</v>
      </c>
      <c r="T9" s="12">
        <f t="shared" si="3"/>
        <v>585.20000000000005</v>
      </c>
      <c r="U9" s="1"/>
      <c r="V9" s="1"/>
    </row>
    <row r="10" spans="1:22" x14ac:dyDescent="0.25">
      <c r="A10" s="60" t="s">
        <v>6</v>
      </c>
      <c r="B10" s="60"/>
      <c r="C10" s="60"/>
      <c r="D10" s="60"/>
      <c r="E10" s="60"/>
      <c r="F10" s="22">
        <f>SUM(F4:F9)</f>
        <v>11444</v>
      </c>
      <c r="G10" s="9"/>
      <c r="H10" s="60"/>
      <c r="I10" s="60"/>
      <c r="J10" s="60"/>
      <c r="K10" s="60"/>
      <c r="L10" s="60"/>
      <c r="M10" s="60"/>
      <c r="N10" s="60"/>
      <c r="O10" s="7">
        <f>SUM(O4:O9)</f>
        <v>10662800</v>
      </c>
      <c r="P10" s="7"/>
      <c r="Q10" s="7">
        <f>SUM(Q4:Q9)</f>
        <v>9383264</v>
      </c>
      <c r="R10" s="7"/>
      <c r="S10" s="7">
        <f>SUM(S4:S9)</f>
        <v>8914100.7999999989</v>
      </c>
      <c r="T10" s="12"/>
    </row>
    <row r="11" spans="1:22" x14ac:dyDescent="0.25">
      <c r="A11" s="62" t="s">
        <v>19</v>
      </c>
      <c r="B11" s="62"/>
      <c r="C11" s="62"/>
      <c r="D11" s="62"/>
      <c r="E11" s="62"/>
      <c r="F11" s="62"/>
      <c r="G11" s="62"/>
      <c r="H11" s="62"/>
      <c r="I11" s="62"/>
      <c r="J11" s="62"/>
      <c r="K11" s="62"/>
      <c r="L11" s="62"/>
      <c r="M11" s="62"/>
      <c r="N11" s="62"/>
      <c r="O11" s="62"/>
      <c r="P11" s="62"/>
      <c r="Q11" s="62"/>
      <c r="R11" s="62"/>
      <c r="S11" s="62"/>
      <c r="T11" s="12"/>
    </row>
    <row r="12" spans="1:22" x14ac:dyDescent="0.25">
      <c r="A12" s="56" t="s">
        <v>59</v>
      </c>
      <c r="B12" s="56"/>
      <c r="C12" s="56"/>
      <c r="D12" s="56"/>
      <c r="E12" s="56"/>
      <c r="F12" s="56"/>
      <c r="G12" s="56"/>
      <c r="H12" s="56"/>
      <c r="I12" s="56"/>
      <c r="J12" s="56"/>
      <c r="K12" s="56"/>
      <c r="L12" s="56"/>
      <c r="M12" s="56"/>
      <c r="N12" s="56"/>
      <c r="O12" s="56"/>
      <c r="P12" s="56"/>
      <c r="Q12" s="56"/>
      <c r="R12" s="56"/>
      <c r="S12" s="56"/>
      <c r="T12" s="12"/>
    </row>
    <row r="13" spans="1:22" x14ac:dyDescent="0.25">
      <c r="A13" s="61" t="s">
        <v>64</v>
      </c>
      <c r="B13" s="56"/>
      <c r="C13" s="56"/>
      <c r="D13" s="56"/>
      <c r="E13" s="56"/>
      <c r="F13" s="56"/>
      <c r="G13" s="56"/>
      <c r="H13" s="56"/>
      <c r="I13" s="56"/>
      <c r="J13" s="56"/>
      <c r="K13" s="56"/>
      <c r="L13" s="56"/>
      <c r="M13" s="56"/>
      <c r="N13" s="56"/>
      <c r="O13" s="56"/>
      <c r="P13" s="56"/>
      <c r="Q13" s="56"/>
      <c r="R13" s="56"/>
      <c r="S13" s="56"/>
      <c r="T13" s="12"/>
      <c r="U13" s="8"/>
    </row>
    <row r="14" spans="1:22" x14ac:dyDescent="0.25">
      <c r="A14" s="56" t="s">
        <v>24</v>
      </c>
      <c r="B14" s="56"/>
      <c r="C14" s="56"/>
      <c r="D14" s="56"/>
      <c r="E14" s="56"/>
      <c r="F14" s="56"/>
      <c r="G14" s="56"/>
      <c r="H14" s="56"/>
      <c r="I14" s="56"/>
      <c r="J14" s="56"/>
      <c r="K14" s="56"/>
      <c r="L14" s="56"/>
      <c r="M14" s="56"/>
      <c r="N14" s="56"/>
      <c r="O14" s="56"/>
      <c r="P14" s="56"/>
      <c r="Q14" s="56"/>
      <c r="R14" s="56"/>
      <c r="S14" s="56"/>
      <c r="T14" s="12"/>
    </row>
    <row r="15" spans="1:22" x14ac:dyDescent="0.25">
      <c r="A15" s="36"/>
      <c r="B15" s="36"/>
      <c r="C15" s="36"/>
      <c r="D15" s="36"/>
      <c r="E15" s="36"/>
      <c r="F15" s="36"/>
      <c r="G15" s="36"/>
      <c r="H15" s="36"/>
      <c r="I15" s="36"/>
      <c r="J15" s="36"/>
      <c r="K15" s="36"/>
      <c r="L15" s="36"/>
      <c r="M15" s="36"/>
      <c r="N15" s="36"/>
      <c r="O15" s="36"/>
      <c r="P15" s="36"/>
      <c r="Q15" s="36"/>
      <c r="R15" s="36"/>
      <c r="S15" s="36"/>
      <c r="T15" s="12"/>
    </row>
    <row r="16" spans="1:22" ht="60" x14ac:dyDescent="0.25">
      <c r="A16" s="36"/>
      <c r="B16" s="36"/>
      <c r="C16" s="36"/>
      <c r="D16" s="36"/>
      <c r="E16" s="36"/>
      <c r="F16" s="45">
        <f>F4+F6+F7+F8</f>
        <v>4674</v>
      </c>
      <c r="G16" s="46">
        <f>F10-F16</f>
        <v>6770</v>
      </c>
      <c r="H16" s="36"/>
      <c r="I16" s="36"/>
      <c r="J16" s="36"/>
      <c r="K16" s="36"/>
      <c r="L16" s="36"/>
      <c r="M16" s="36"/>
      <c r="N16" s="36"/>
      <c r="O16" s="36"/>
      <c r="P16" s="36"/>
      <c r="Q16" s="36"/>
      <c r="R16" s="36"/>
      <c r="S16" s="34" t="s">
        <v>55</v>
      </c>
      <c r="T16" s="34" t="s">
        <v>57</v>
      </c>
      <c r="U16" s="34" t="s">
        <v>10</v>
      </c>
    </row>
    <row r="17" spans="1:21" x14ac:dyDescent="0.25">
      <c r="A17" s="36"/>
      <c r="B17" s="36"/>
      <c r="C17" s="36"/>
      <c r="D17" s="36"/>
      <c r="E17" s="36"/>
      <c r="F17" s="36"/>
      <c r="G17" s="36"/>
      <c r="H17" s="36"/>
      <c r="I17" s="36"/>
      <c r="J17" s="36"/>
      <c r="K17" s="36"/>
      <c r="L17" s="36"/>
      <c r="M17" s="36"/>
      <c r="N17" s="36"/>
      <c r="O17" s="36"/>
      <c r="P17" s="36"/>
      <c r="Q17" s="36"/>
      <c r="R17" s="36"/>
      <c r="S17" s="41" t="s">
        <v>54</v>
      </c>
      <c r="T17" s="35">
        <v>10333.4</v>
      </c>
      <c r="U17" s="40">
        <f>(U18/T18)*T17</f>
        <v>8049018.6304369085</v>
      </c>
    </row>
    <row r="18" spans="1:21" ht="45" x14ac:dyDescent="0.25">
      <c r="A18" s="36"/>
      <c r="B18" s="36"/>
      <c r="C18" s="36"/>
      <c r="D18" s="36"/>
      <c r="E18" s="36"/>
      <c r="F18" s="36" t="s">
        <v>61</v>
      </c>
      <c r="G18" s="44">
        <f>SUM(F4,F6,F7)</f>
        <v>3134</v>
      </c>
      <c r="H18" s="36"/>
      <c r="I18" s="36"/>
      <c r="J18" s="36"/>
      <c r="K18" s="36"/>
      <c r="L18" s="36"/>
      <c r="M18" s="36"/>
      <c r="N18" s="36"/>
      <c r="O18" s="36"/>
      <c r="P18" s="36"/>
      <c r="Q18" s="36"/>
      <c r="R18" s="36"/>
      <c r="S18" s="39" t="s">
        <v>58</v>
      </c>
      <c r="T18" s="35">
        <f>F10</f>
        <v>11444</v>
      </c>
      <c r="U18" s="40">
        <f>S10</f>
        <v>8914100.7999999989</v>
      </c>
    </row>
    <row r="19" spans="1:21" x14ac:dyDescent="0.25">
      <c r="A19" s="36"/>
      <c r="B19" s="36"/>
      <c r="C19" s="36"/>
      <c r="D19" s="36"/>
      <c r="E19" s="36"/>
      <c r="F19" s="36" t="s">
        <v>62</v>
      </c>
      <c r="G19" s="44">
        <f>SUM(F8)</f>
        <v>1540</v>
      </c>
      <c r="H19" s="36"/>
      <c r="I19" s="36"/>
      <c r="J19" s="36"/>
      <c r="K19" s="36"/>
      <c r="L19" s="36"/>
      <c r="M19" s="36"/>
      <c r="N19" s="36"/>
      <c r="O19" s="36"/>
      <c r="P19" s="36"/>
      <c r="Q19" s="36"/>
      <c r="R19" s="36"/>
      <c r="S19" s="41" t="s">
        <v>56</v>
      </c>
      <c r="T19" s="35">
        <f>T18-T17</f>
        <v>1110.6000000000004</v>
      </c>
      <c r="U19" s="40">
        <f>U18-U17</f>
        <v>865082.16956309043</v>
      </c>
    </row>
    <row r="20" spans="1:21" x14ac:dyDescent="0.25">
      <c r="A20" s="36"/>
      <c r="B20" s="36"/>
      <c r="C20" s="36"/>
      <c r="D20" s="36"/>
      <c r="E20" s="36"/>
      <c r="F20" s="36"/>
      <c r="G20" s="44">
        <f>G18+G19</f>
        <v>4674</v>
      </c>
      <c r="H20" s="36"/>
      <c r="I20" s="36"/>
      <c r="J20" s="36"/>
      <c r="K20" s="36"/>
      <c r="L20" s="36"/>
      <c r="M20" s="36"/>
      <c r="N20" s="36"/>
      <c r="O20" s="36"/>
      <c r="P20" s="36"/>
      <c r="Q20" s="36"/>
      <c r="R20" s="36"/>
      <c r="S20" s="36"/>
      <c r="T20" s="12"/>
    </row>
    <row r="21" spans="1:21" x14ac:dyDescent="0.25">
      <c r="A21" s="36"/>
      <c r="B21" s="36"/>
      <c r="C21" s="36"/>
      <c r="D21" s="36"/>
      <c r="E21" s="36"/>
      <c r="F21" s="36"/>
      <c r="G21" s="36"/>
      <c r="H21" s="36"/>
      <c r="I21" s="36"/>
      <c r="J21" s="36"/>
      <c r="K21" s="36"/>
      <c r="L21" s="36"/>
      <c r="M21" s="36"/>
      <c r="N21" s="36"/>
      <c r="O21" s="36"/>
      <c r="P21" s="36"/>
      <c r="Q21" s="36"/>
      <c r="R21" s="36"/>
      <c r="S21" s="36"/>
      <c r="T21" s="12"/>
    </row>
    <row r="22" spans="1:21" x14ac:dyDescent="0.25">
      <c r="A22" s="36"/>
      <c r="B22" s="36"/>
      <c r="C22" s="36"/>
      <c r="D22" s="36"/>
      <c r="E22" s="36"/>
      <c r="F22" s="36"/>
      <c r="G22" s="36"/>
      <c r="H22" s="36"/>
      <c r="I22" s="36"/>
      <c r="J22" s="36"/>
      <c r="K22" s="36"/>
      <c r="L22" s="36"/>
      <c r="M22" s="36"/>
      <c r="N22" s="36"/>
      <c r="O22" s="36"/>
      <c r="P22" s="36"/>
      <c r="Q22" s="36"/>
      <c r="R22" s="36"/>
      <c r="S22" s="36"/>
      <c r="T22" s="12"/>
    </row>
    <row r="23" spans="1:21" x14ac:dyDescent="0.25">
      <c r="A23" s="36"/>
      <c r="B23" s="36"/>
      <c r="C23" s="36"/>
      <c r="D23" s="36"/>
      <c r="E23" s="36"/>
      <c r="F23" s="36"/>
      <c r="G23" s="36"/>
      <c r="H23" s="36"/>
      <c r="I23" s="36"/>
      <c r="J23" s="36"/>
      <c r="K23" s="36"/>
      <c r="L23" s="36"/>
      <c r="M23" s="36"/>
      <c r="N23" s="36"/>
      <c r="O23" s="36"/>
      <c r="P23" s="36"/>
      <c r="Q23" s="36"/>
      <c r="R23" s="36"/>
      <c r="S23" s="36"/>
      <c r="T23" s="12"/>
    </row>
    <row r="24" spans="1:21" x14ac:dyDescent="0.25">
      <c r="A24" s="36"/>
      <c r="B24" s="36"/>
      <c r="C24" s="36"/>
      <c r="D24" s="36"/>
      <c r="E24" s="36"/>
      <c r="F24" s="36"/>
      <c r="G24" s="36"/>
      <c r="H24" s="36"/>
      <c r="I24" s="36"/>
      <c r="J24" s="36"/>
      <c r="K24" s="36"/>
      <c r="L24" s="36"/>
      <c r="M24" s="36"/>
      <c r="N24" s="36"/>
      <c r="O24" s="36"/>
      <c r="P24" s="36"/>
      <c r="Q24" s="36"/>
      <c r="R24" s="36"/>
      <c r="S24" s="36"/>
      <c r="T24" s="12"/>
    </row>
    <row r="25" spans="1:21" x14ac:dyDescent="0.25">
      <c r="A25" s="36"/>
      <c r="B25" s="36"/>
      <c r="C25" s="36"/>
      <c r="D25" s="36"/>
      <c r="E25" s="36"/>
      <c r="F25" s="36"/>
      <c r="G25" s="36"/>
      <c r="H25" s="36"/>
      <c r="I25" s="36"/>
      <c r="J25" s="36"/>
      <c r="K25" s="36"/>
      <c r="L25" s="36"/>
      <c r="M25" s="36"/>
      <c r="N25" s="36"/>
      <c r="O25" s="36"/>
      <c r="P25" s="36"/>
      <c r="Q25" s="36"/>
      <c r="R25" s="36"/>
      <c r="S25" s="36"/>
      <c r="T25" s="12"/>
    </row>
    <row r="26" spans="1:21" x14ac:dyDescent="0.25">
      <c r="A26" s="36"/>
      <c r="B26" s="36"/>
      <c r="C26" s="36"/>
      <c r="D26" s="36"/>
      <c r="E26" s="36"/>
      <c r="F26" s="36"/>
      <c r="G26" s="36"/>
      <c r="H26" s="36"/>
      <c r="I26" s="36"/>
      <c r="J26" s="36"/>
      <c r="K26" s="36"/>
      <c r="L26" s="36"/>
      <c r="M26" s="36"/>
      <c r="N26" s="36"/>
      <c r="O26" s="36"/>
      <c r="P26" s="36"/>
      <c r="Q26" s="36"/>
      <c r="R26" s="36"/>
      <c r="S26" s="36"/>
      <c r="T26" s="12"/>
    </row>
    <row r="27" spans="1:21" x14ac:dyDescent="0.25">
      <c r="H27" s="37" t="s">
        <v>46</v>
      </c>
      <c r="I27" s="37" t="s">
        <v>47</v>
      </c>
      <c r="T27" s="12"/>
    </row>
    <row r="28" spans="1:21" x14ac:dyDescent="0.25">
      <c r="C28" s="14" t="s">
        <v>1</v>
      </c>
      <c r="G28" s="2" t="s">
        <v>44</v>
      </c>
      <c r="H28" s="2">
        <f>SUM(F4:F7)</f>
        <v>6654</v>
      </c>
      <c r="I28" s="10">
        <f>H28/10.764</f>
        <v>618.1716833890747</v>
      </c>
      <c r="J28" s="10"/>
      <c r="K28" s="10"/>
      <c r="L28" s="2"/>
      <c r="S28" s="29">
        <f>S10</f>
        <v>8914100.7999999989</v>
      </c>
      <c r="T28" s="12"/>
    </row>
    <row r="29" spans="1:21" x14ac:dyDescent="0.25">
      <c r="C29" s="2" t="s">
        <v>22</v>
      </c>
      <c r="E29" s="18">
        <f>SUM(9400+9400+2255+5800)</f>
        <v>26855</v>
      </c>
      <c r="G29" s="2" t="s">
        <v>45</v>
      </c>
      <c r="H29" s="2">
        <f>SUM(F8:F9)</f>
        <v>4790</v>
      </c>
      <c r="I29" s="10">
        <f>H29/10.764</f>
        <v>445.00185804533635</v>
      </c>
      <c r="M29">
        <v>10333.4</v>
      </c>
      <c r="T29" s="12"/>
    </row>
    <row r="30" spans="1:21" x14ac:dyDescent="0.25">
      <c r="C30" s="2" t="s">
        <v>22</v>
      </c>
      <c r="K30">
        <f>1996*9000</f>
        <v>17964000</v>
      </c>
    </row>
    <row r="31" spans="1:21" x14ac:dyDescent="0.25">
      <c r="C31" s="2" t="s">
        <v>22</v>
      </c>
      <c r="K31">
        <v>17960624</v>
      </c>
    </row>
    <row r="32" spans="1:21" x14ac:dyDescent="0.25">
      <c r="C32" s="2" t="s">
        <v>22</v>
      </c>
      <c r="J32" s="20" t="s">
        <v>27</v>
      </c>
      <c r="K32" s="21">
        <f>SUM(K30:K31)</f>
        <v>35924624</v>
      </c>
    </row>
    <row r="33" spans="3:22" x14ac:dyDescent="0.25">
      <c r="C33" s="2" t="s">
        <v>23</v>
      </c>
    </row>
    <row r="34" spans="3:22" x14ac:dyDescent="0.25">
      <c r="C34" s="2" t="s">
        <v>23</v>
      </c>
      <c r="E34" s="18">
        <f>3600-1345</f>
        <v>2255</v>
      </c>
      <c r="G34" s="20" t="s">
        <v>25</v>
      </c>
      <c r="H34" s="21">
        <f>0.85*35900000</f>
        <v>30515000</v>
      </c>
      <c r="T34" s="12"/>
      <c r="U34" s="38"/>
    </row>
    <row r="35" spans="3:22" x14ac:dyDescent="0.25">
      <c r="G35" s="20" t="s">
        <v>26</v>
      </c>
      <c r="H35" s="21">
        <f>0.75*35900000</f>
        <v>26925000</v>
      </c>
      <c r="T35" s="12"/>
    </row>
    <row r="36" spans="3:22" x14ac:dyDescent="0.25">
      <c r="T36" s="12"/>
    </row>
    <row r="38" spans="3:22" x14ac:dyDescent="0.25">
      <c r="T38" s="8"/>
      <c r="U38" s="4"/>
      <c r="V38" s="4"/>
    </row>
    <row r="44" spans="3:22" x14ac:dyDescent="0.25">
      <c r="H44">
        <f>55000000/4200</f>
        <v>13095.238095238095</v>
      </c>
    </row>
    <row r="45" spans="3:22" x14ac:dyDescent="0.25">
      <c r="H45">
        <f>1996*5000</f>
        <v>9980000</v>
      </c>
    </row>
    <row r="46" spans="3:22" x14ac:dyDescent="0.25">
      <c r="H46">
        <f>9980000/35900000</f>
        <v>0.27799442896935933</v>
      </c>
    </row>
  </sheetData>
  <mergeCells count="7">
    <mergeCell ref="A14:S14"/>
    <mergeCell ref="A2:S2"/>
    <mergeCell ref="A10:E10"/>
    <mergeCell ref="H10:N10"/>
    <mergeCell ref="A12:S12"/>
    <mergeCell ref="A13:S13"/>
    <mergeCell ref="A11:S11"/>
  </mergeCells>
  <pageMargins left="0.31496062992125984" right="0.31496062992125984" top="0.31496062992125984" bottom="0.31496062992125984"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Land</vt:lpstr>
      <vt:lpstr>building</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Arun Tomar</cp:lastModifiedBy>
  <cp:lastPrinted>2022-01-07T08:12:53Z</cp:lastPrinted>
  <dcterms:created xsi:type="dcterms:W3CDTF">2021-09-16T11:33:35Z</dcterms:created>
  <dcterms:modified xsi:type="dcterms:W3CDTF">2022-06-13T11:25:55Z</dcterms:modified>
</cp:coreProperties>
</file>