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225"/>
  <workbookPr/>
  <mc:AlternateContent xmlns:mc="http://schemas.openxmlformats.org/markup-compatibility/2006">
    <mc:Choice Requires="x15">
      <x15ac:absPath xmlns:x15ac="http://schemas.microsoft.com/office/spreadsheetml/2010/11/ac" url="Y:\Files For Review\Rajani Gupta\VIS(2022-23)-PL095-080-133( RUBY HIGH PURITY WATER SYSTEM)\VIS(2022-23)-PL095-080-133\other_document\"/>
    </mc:Choice>
  </mc:AlternateContent>
  <xr:revisionPtr revIDLastSave="0" documentId="13_ncr:1_{BD2D2980-4D44-4E2C-8227-40E7A3B15E52}" xr6:coauthVersionLast="47" xr6:coauthVersionMax="47" xr10:uidLastSave="{00000000-0000-0000-0000-000000000000}"/>
  <bookViews>
    <workbookView showVerticalScroll="0" xWindow="-120" yWindow="-120" windowWidth="24240" windowHeight="13140" xr2:uid="{00000000-000D-0000-FFFF-FFFF00000000}"/>
  </bookViews>
  <sheets>
    <sheet name="building" sheetId="1" r:id="rId1"/>
    <sheet name="Land" sheetId="2" r:id="rId2"/>
  </sheets>
  <definedNames>
    <definedName name="_xlnm.Print_Area" localSheetId="0">building!$B$1:$U$14</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E18" i="1" l="1"/>
  <c r="J17" i="2" l="1"/>
  <c r="G18" i="1" l="1"/>
  <c r="D14" i="2" l="1"/>
  <c r="O18" i="1"/>
  <c r="M18" i="1"/>
  <c r="J18" i="1"/>
  <c r="P18" i="1" l="1"/>
  <c r="Q18" i="1" s="1"/>
  <c r="S18" i="1" s="1"/>
  <c r="D15" i="2"/>
  <c r="J16" i="2" l="1"/>
  <c r="J18" i="2" s="1"/>
  <c r="D4" i="2" l="1"/>
  <c r="B12" i="2" s="1"/>
  <c r="G8" i="1" l="1"/>
  <c r="G9" i="1"/>
  <c r="G7" i="1"/>
  <c r="I7" i="1" s="1"/>
  <c r="G6" i="1"/>
  <c r="I6" i="1" s="1"/>
  <c r="G4" i="1"/>
  <c r="O9" i="1"/>
  <c r="L9" i="1"/>
  <c r="O8" i="1"/>
  <c r="L8" i="1"/>
  <c r="I4" i="1" l="1"/>
  <c r="G10" i="1"/>
  <c r="V8" i="1"/>
  <c r="V9" i="1"/>
  <c r="O5" i="1"/>
  <c r="L5" i="1"/>
  <c r="Q6" i="1"/>
  <c r="O6" i="1"/>
  <c r="L6" i="1"/>
  <c r="I10" i="1" l="1"/>
  <c r="V5" i="1"/>
  <c r="R6" i="1"/>
  <c r="S6" i="1" s="1"/>
  <c r="U6" i="1" s="1"/>
  <c r="V6" i="1" s="1"/>
  <c r="L7" i="1"/>
  <c r="O7" i="1"/>
  <c r="Q7" i="1"/>
  <c r="R7" i="1" l="1"/>
  <c r="S7" i="1" s="1"/>
  <c r="U7" i="1" s="1"/>
  <c r="V7" i="1" s="1"/>
  <c r="Q4" i="1" l="1"/>
  <c r="Q10" i="1" s="1"/>
  <c r="O4" i="1"/>
  <c r="L4" i="1" l="1"/>
  <c r="R4" i="1" l="1"/>
  <c r="S4" i="1" s="1"/>
  <c r="S10" i="1" s="1"/>
  <c r="U4" i="1" l="1"/>
  <c r="U10" i="1" l="1"/>
  <c r="U18" i="1" s="1"/>
  <c r="V4" i="1"/>
  <c r="C12" i="2" l="1"/>
  <c r="U21" i="1"/>
  <c r="V13" i="1"/>
  <c r="D12" i="2"/>
  <c r="J20"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author>
  </authors>
  <commentList>
    <comment ref="Q29" authorId="0" shapeId="0" xr:uid="{00000000-0006-0000-0100-000001000000}">
      <text>
        <r>
          <rPr>
            <b/>
            <sz val="9"/>
            <color indexed="81"/>
            <rFont val="Tahoma"/>
            <family val="2"/>
          </rPr>
          <t>admin:</t>
        </r>
        <r>
          <rPr>
            <sz val="9"/>
            <color indexed="81"/>
            <rFont val="Tahoma"/>
            <family val="2"/>
          </rPr>
          <t xml:space="preserve">
</t>
        </r>
      </text>
    </comment>
  </commentList>
</comments>
</file>

<file path=xl/sharedStrings.xml><?xml version="1.0" encoding="utf-8"?>
<sst xmlns="http://schemas.openxmlformats.org/spreadsheetml/2006/main" count="119" uniqueCount="67">
  <si>
    <t>SR. No.</t>
  </si>
  <si>
    <t>Floor</t>
  </si>
  <si>
    <t>Year of Construction</t>
  </si>
  <si>
    <t xml:space="preserve">Year of Valuation </t>
  </si>
  <si>
    <t>Type of Structure</t>
  </si>
  <si>
    <t>Salvage value</t>
  </si>
  <si>
    <t>TOTAL</t>
  </si>
  <si>
    <t>Depreciation Rate</t>
  </si>
  <si>
    <t xml:space="preserve">Depreciation
(INR) </t>
  </si>
  <si>
    <t>Depreciated Value
(INR)</t>
  </si>
  <si>
    <t>Depreciated Replacement Market Value
(INR)</t>
  </si>
  <si>
    <t>Particular</t>
  </si>
  <si>
    <t>Gross Replacement Value
(INR)</t>
  </si>
  <si>
    <t>Discounting Factor</t>
  </si>
  <si>
    <r>
      <t xml:space="preserve">Height </t>
    </r>
    <r>
      <rPr>
        <b/>
        <i/>
        <sz val="10"/>
        <rFont val="Calibri"/>
        <family val="2"/>
        <scheme val="minor"/>
      </rPr>
      <t>(in ft.)</t>
    </r>
  </si>
  <si>
    <r>
      <t xml:space="preserve">Total Life Consumed 
</t>
    </r>
    <r>
      <rPr>
        <b/>
        <i/>
        <sz val="10"/>
        <rFont val="Calibri"/>
        <family val="2"/>
        <scheme val="minor"/>
      </rPr>
      <t>(in years)</t>
    </r>
  </si>
  <si>
    <r>
      <t xml:space="preserve">Total Economical Life
</t>
    </r>
    <r>
      <rPr>
        <b/>
        <i/>
        <sz val="10"/>
        <rFont val="Calibri"/>
        <family val="2"/>
        <scheme val="minor"/>
      </rPr>
      <t>(in years)</t>
    </r>
  </si>
  <si>
    <r>
      <t xml:space="preserve">Plinth Area  Rate 
</t>
    </r>
    <r>
      <rPr>
        <b/>
        <i/>
        <sz val="10"/>
        <rFont val="Calibri"/>
        <family val="2"/>
        <scheme val="minor"/>
      </rPr>
      <t>(in per sq.ft)</t>
    </r>
  </si>
  <si>
    <r>
      <t xml:space="preserve">Area 
</t>
    </r>
    <r>
      <rPr>
        <b/>
        <i/>
        <sz val="10"/>
        <rFont val="Calibri"/>
        <family val="2"/>
        <scheme val="minor"/>
      </rPr>
      <t>(in sq.ft)</t>
    </r>
  </si>
  <si>
    <t>Remarks:</t>
  </si>
  <si>
    <t>RCC framed pillar beam column on RCC slab</t>
  </si>
  <si>
    <t xml:space="preserve"> Building 1</t>
  </si>
  <si>
    <t>Ground Floor</t>
  </si>
  <si>
    <t>First Floor</t>
  </si>
  <si>
    <r>
      <t>3.</t>
    </r>
    <r>
      <rPr>
        <i/>
        <sz val="10"/>
        <color theme="1"/>
        <rFont val="Calibri"/>
        <family val="2"/>
        <scheme val="minor"/>
      </rPr>
      <t xml:space="preserve"> The valuation is done by considering the depreciated replacement cost approach.</t>
    </r>
  </si>
  <si>
    <t>RV</t>
  </si>
  <si>
    <t>DV</t>
  </si>
  <si>
    <t>Unit</t>
  </si>
  <si>
    <t>Fabrication Area 1</t>
  </si>
  <si>
    <t>Fabrication Area 2</t>
  </si>
  <si>
    <t>Reception / Office Area</t>
  </si>
  <si>
    <t>Office &amp; Guard Room</t>
  </si>
  <si>
    <t>Hall 1</t>
  </si>
  <si>
    <t>Hall 2</t>
  </si>
  <si>
    <t>Shed Area on Load Bearing wall and structure made of iron</t>
  </si>
  <si>
    <t>Rates</t>
  </si>
  <si>
    <t>Value</t>
  </si>
  <si>
    <t xml:space="preserve">Land </t>
  </si>
  <si>
    <t>Building</t>
  </si>
  <si>
    <t>Total</t>
  </si>
  <si>
    <t>Area in
(Sqm)</t>
  </si>
  <si>
    <t>FMV</t>
  </si>
  <si>
    <t>PL-095</t>
  </si>
  <si>
    <t>Circle Value</t>
  </si>
  <si>
    <t>Circle Rate</t>
  </si>
  <si>
    <r>
      <t xml:space="preserve">Percentage difference between Circle Rate and </t>
    </r>
    <r>
      <rPr>
        <sz val="11"/>
        <color theme="1"/>
        <rFont val="Arial"/>
        <family val="2"/>
      </rPr>
      <t>Fair Market Value</t>
    </r>
  </si>
  <si>
    <r>
      <t xml:space="preserve">1. </t>
    </r>
    <r>
      <rPr>
        <b/>
        <i/>
        <sz val="10"/>
        <color theme="1"/>
        <rFont val="Calibri"/>
        <family val="2"/>
        <scheme val="minor"/>
      </rPr>
      <t>All the details pertaing to the building area statement such as area, floor, etc has been taken from the onsite survey and since no other relevant building area statement has been provided to us by the bank or client.</t>
    </r>
  </si>
  <si>
    <t>BUILDING VALUATION OF M/S. RUBY HIGH PURITY WATER SYSTEMS | HARIDWAR, UTTARAKHAND</t>
  </si>
  <si>
    <r>
      <t xml:space="preserve">2. </t>
    </r>
    <r>
      <rPr>
        <i/>
        <sz val="10"/>
        <color theme="1"/>
        <rFont val="Calibri"/>
        <family val="2"/>
        <scheme val="minor"/>
      </rPr>
      <t>All the structure that has been taken in the area statemnet belonging to M/s. Ruby High Purity Water Systems.</t>
    </r>
  </si>
  <si>
    <t>Area Considered for Valuation</t>
  </si>
  <si>
    <t>-</t>
  </si>
  <si>
    <t>wall</t>
  </si>
  <si>
    <t>L</t>
  </si>
  <si>
    <t>Wall</t>
  </si>
  <si>
    <t>Building + Wall</t>
  </si>
  <si>
    <t>Land</t>
  </si>
  <si>
    <t>per sqm for land</t>
  </si>
  <si>
    <t>per sqm for building</t>
  </si>
  <si>
    <t>Brick Masonry</t>
  </si>
  <si>
    <t>Area Considered for Valuation in R.Ft.</t>
  </si>
  <si>
    <r>
      <t xml:space="preserve">Plinth Area  Rate 
</t>
    </r>
    <r>
      <rPr>
        <b/>
        <i/>
        <sz val="10"/>
        <rFont val="Calibri"/>
        <family val="2"/>
        <scheme val="minor"/>
      </rPr>
      <t>(in per running ft.)</t>
    </r>
  </si>
  <si>
    <t>Boundary wall valuation</t>
  </si>
  <si>
    <t>Building Area in Sqm</t>
  </si>
  <si>
    <t>LAND VALUATION</t>
  </si>
  <si>
    <t>LAND + BUILDING</t>
  </si>
  <si>
    <t>Referrence Image Attached Above</t>
  </si>
  <si>
    <r>
      <t xml:space="preserve">Length
</t>
    </r>
    <r>
      <rPr>
        <b/>
        <i/>
        <sz val="10"/>
        <rFont val="Calibri"/>
        <family val="2"/>
        <scheme val="minor"/>
      </rPr>
      <t>(in running ft.)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</si>
</sst>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quot;₹&quot;\ * #,##0.00_ ;_ &quot;₹&quot;\ * \-#,##0.00_ ;_ &quot;₹&quot;\ * &quot;-&quot;??_ ;_ @_ "/>
    <numFmt numFmtId="43" formatCode="_ * #,##0.00_ ;_ * \-#,##0.00_ ;_ * &quot;-&quot;??_ ;_ @_ "/>
    <numFmt numFmtId="164" formatCode="_ * #,##0_ ;_ * \-#,##0_ ;_ * &quot;-&quot;??_ ;_ @_ "/>
    <numFmt numFmtId="165" formatCode="0.0000"/>
    <numFmt numFmtId="166" formatCode="_ &quot;₹&quot;\ * #,##0_ ;_ &quot;₹&quot;\ * \-#,##0_ ;_ &quot;₹&quot;\ * &quot;-&quot;??_ ;_ @_ "/>
  </numFmts>
  <fonts count="20" x14ac:knownFonts="1">
    <font>
      <sz val="11"/>
      <color theme="1"/>
      <name val="Calibri"/>
      <family val="2"/>
      <scheme val="minor"/>
    </font>
    <font>
      <sz val="11"/>
      <color theme="1"/>
      <name val="Calibri"/>
      <family val="2"/>
      <scheme val="minor"/>
    </font>
    <font>
      <b/>
      <sz val="11"/>
      <color theme="1"/>
      <name val="Calibri"/>
      <family val="2"/>
      <scheme val="minor"/>
    </font>
    <font>
      <b/>
      <sz val="12"/>
      <color theme="0"/>
      <name val="Calibri"/>
      <family val="2"/>
      <scheme val="minor"/>
    </font>
    <font>
      <b/>
      <i/>
      <sz val="11"/>
      <color theme="1"/>
      <name val="Calibri"/>
      <family val="2"/>
      <scheme val="minor"/>
    </font>
    <font>
      <b/>
      <sz val="11"/>
      <name val="Calibri"/>
      <family val="2"/>
      <scheme val="minor"/>
    </font>
    <font>
      <b/>
      <i/>
      <sz val="10"/>
      <name val="Calibri"/>
      <family val="2"/>
      <scheme val="minor"/>
    </font>
    <font>
      <sz val="11"/>
      <name val="Calibri"/>
      <family val="2"/>
      <scheme val="minor"/>
    </font>
    <font>
      <i/>
      <sz val="11"/>
      <color theme="1"/>
      <name val="Calibri"/>
      <family val="2"/>
      <scheme val="minor"/>
    </font>
    <font>
      <sz val="9"/>
      <color indexed="81"/>
      <name val="Tahoma"/>
      <family val="2"/>
    </font>
    <font>
      <b/>
      <sz val="9"/>
      <color indexed="81"/>
      <name val="Tahoma"/>
      <family val="2"/>
    </font>
    <font>
      <b/>
      <i/>
      <sz val="10"/>
      <color theme="1"/>
      <name val="Calibri"/>
      <family val="2"/>
      <scheme val="minor"/>
    </font>
    <font>
      <i/>
      <sz val="10"/>
      <color theme="1"/>
      <name val="Calibri"/>
      <family val="2"/>
      <scheme val="minor"/>
    </font>
    <font>
      <b/>
      <sz val="16"/>
      <color theme="0"/>
      <name val="Calibri"/>
      <family val="2"/>
      <scheme val="minor"/>
    </font>
    <font>
      <sz val="16"/>
      <color theme="1"/>
      <name val="Calibri"/>
      <family val="2"/>
      <scheme val="minor"/>
    </font>
    <font>
      <b/>
      <sz val="16"/>
      <color theme="1"/>
      <name val="Calibri"/>
      <family val="2"/>
      <scheme val="minor"/>
    </font>
    <font>
      <sz val="11"/>
      <color theme="1"/>
      <name val="Arial"/>
      <family val="2"/>
    </font>
    <font>
      <b/>
      <sz val="11"/>
      <color theme="1"/>
      <name val="Arial"/>
      <family val="2"/>
    </font>
    <font>
      <u/>
      <sz val="11"/>
      <color theme="10"/>
      <name val="Calibri"/>
      <family val="2"/>
      <scheme val="minor"/>
    </font>
    <font>
      <b/>
      <sz val="14"/>
      <color theme="0"/>
      <name val="Calibri"/>
      <family val="2"/>
      <scheme val="minor"/>
    </font>
  </fonts>
  <fills count="6">
    <fill>
      <patternFill patternType="none"/>
    </fill>
    <fill>
      <patternFill patternType="gray125"/>
    </fill>
    <fill>
      <patternFill patternType="solid">
        <fgColor theme="4" tint="0.39997558519241921"/>
        <bgColor indexed="64"/>
      </patternFill>
    </fill>
    <fill>
      <patternFill patternType="solid">
        <fgColor rgb="FF1E3661"/>
        <bgColor indexed="64"/>
      </patternFill>
    </fill>
    <fill>
      <patternFill patternType="solid">
        <fgColor rgb="FF0070C0"/>
        <bgColor indexed="64"/>
      </patternFill>
    </fill>
    <fill>
      <patternFill patternType="solid">
        <fgColor rgb="FF00206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diagonal/>
    </border>
  </borders>
  <cellStyleXfs count="5">
    <xf numFmtId="0" fontId="0" fillId="0" borderId="0"/>
    <xf numFmtId="44"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8" fillId="0" borderId="0" applyNumberFormat="0" applyFill="0" applyBorder="0" applyAlignment="0" applyProtection="0"/>
  </cellStyleXfs>
  <cellXfs count="61">
    <xf numFmtId="0" fontId="0" fillId="0" borderId="0" xfId="0"/>
    <xf numFmtId="164" fontId="0" fillId="0" borderId="0" xfId="0" applyNumberFormat="1"/>
    <xf numFmtId="0" fontId="0" fillId="0" borderId="1" xfId="0" applyBorder="1" applyAlignment="1">
      <alignment horizontal="center" vertical="center"/>
    </xf>
    <xf numFmtId="9" fontId="0" fillId="0" borderId="1" xfId="0" applyNumberFormat="1" applyBorder="1" applyAlignment="1">
      <alignment horizontal="center" vertical="center"/>
    </xf>
    <xf numFmtId="44" fontId="0" fillId="0" borderId="0" xfId="0" applyNumberFormat="1"/>
    <xf numFmtId="165" fontId="0" fillId="0" borderId="1" xfId="0" applyNumberFormat="1" applyBorder="1" applyAlignment="1">
      <alignment horizontal="center" vertical="center"/>
    </xf>
    <xf numFmtId="166" fontId="0" fillId="0" borderId="1" xfId="1" applyNumberFormat="1" applyFont="1" applyBorder="1" applyAlignment="1">
      <alignment horizontal="center" vertical="center"/>
    </xf>
    <xf numFmtId="166" fontId="2" fillId="0" borderId="1" xfId="1" applyNumberFormat="1" applyFont="1" applyBorder="1" applyAlignment="1">
      <alignment horizontal="center" vertical="center"/>
    </xf>
    <xf numFmtId="166" fontId="0" fillId="0" borderId="0" xfId="0" applyNumberFormat="1"/>
    <xf numFmtId="0" fontId="2" fillId="0" borderId="1" xfId="0" applyFont="1" applyBorder="1" applyAlignment="1">
      <alignment horizontal="center" vertical="center"/>
    </xf>
    <xf numFmtId="1" fontId="0" fillId="0" borderId="1" xfId="0" applyNumberFormat="1" applyBorder="1" applyAlignment="1">
      <alignment horizontal="center" vertical="center"/>
    </xf>
    <xf numFmtId="9" fontId="0" fillId="0" borderId="1" xfId="2" applyFont="1" applyBorder="1" applyAlignment="1">
      <alignment horizontal="center" vertical="center"/>
    </xf>
    <xf numFmtId="44" fontId="0" fillId="0" borderId="0" xfId="1" applyFont="1"/>
    <xf numFmtId="0" fontId="0" fillId="0" borderId="1" xfId="0" applyFill="1" applyBorder="1" applyAlignment="1">
      <alignment horizontal="center" vertical="center"/>
    </xf>
    <xf numFmtId="0" fontId="5" fillId="2" borderId="1" xfId="0" applyFont="1" applyFill="1" applyBorder="1" applyAlignment="1">
      <alignment horizontal="center" vertical="center"/>
    </xf>
    <xf numFmtId="0" fontId="5" fillId="2" borderId="1" xfId="0" applyFont="1" applyFill="1" applyBorder="1" applyAlignment="1">
      <alignment horizontal="center" vertical="center" wrapText="1"/>
    </xf>
    <xf numFmtId="0" fontId="7" fillId="0" borderId="0" xfId="0" applyFont="1"/>
    <xf numFmtId="0" fontId="0" fillId="0" borderId="1" xfId="0" applyBorder="1" applyAlignment="1">
      <alignment horizontal="center" vertical="center" wrapText="1"/>
    </xf>
    <xf numFmtId="0" fontId="0" fillId="0" borderId="0" xfId="0" applyAlignment="1">
      <alignment wrapText="1"/>
    </xf>
    <xf numFmtId="0" fontId="0" fillId="0" borderId="0" xfId="0" applyAlignment="1">
      <alignment horizontal="center"/>
    </xf>
    <xf numFmtId="164" fontId="2" fillId="0" borderId="1" xfId="3" applyNumberFormat="1" applyFont="1" applyBorder="1" applyAlignment="1">
      <alignment horizontal="center" vertical="center"/>
    </xf>
    <xf numFmtId="0" fontId="14" fillId="0" borderId="1" xfId="0" applyFont="1" applyBorder="1" applyAlignment="1">
      <alignment horizontal="center" vertical="center"/>
    </xf>
    <xf numFmtId="164" fontId="14" fillId="0" borderId="1" xfId="3" applyNumberFormat="1" applyFont="1" applyBorder="1" applyAlignment="1">
      <alignment horizontal="center" vertical="center"/>
    </xf>
    <xf numFmtId="164" fontId="14" fillId="0" borderId="1" xfId="0" applyNumberFormat="1" applyFont="1" applyBorder="1"/>
    <xf numFmtId="0" fontId="13" fillId="4" borderId="1" xfId="0" applyFont="1" applyFill="1" applyBorder="1" applyAlignment="1">
      <alignment horizontal="center" vertical="center" wrapText="1"/>
    </xf>
    <xf numFmtId="0" fontId="13" fillId="4" borderId="1" xfId="0" applyFont="1" applyFill="1" applyBorder="1" applyAlignment="1">
      <alignment horizontal="center" vertical="center"/>
    </xf>
    <xf numFmtId="164" fontId="14" fillId="0" borderId="1" xfId="3" applyNumberFormat="1" applyFont="1" applyBorder="1"/>
    <xf numFmtId="0" fontId="14" fillId="0" borderId="4" xfId="0" applyFont="1" applyBorder="1" applyAlignment="1">
      <alignment horizontal="center" vertical="center"/>
    </xf>
    <xf numFmtId="0" fontId="17" fillId="0" borderId="8" xfId="0" applyFont="1" applyBorder="1" applyAlignment="1">
      <alignment horizontal="center" vertical="center" wrapText="1"/>
    </xf>
    <xf numFmtId="164" fontId="18" fillId="0" borderId="0" xfId="4" applyNumberFormat="1"/>
    <xf numFmtId="0" fontId="8" fillId="0" borderId="0" xfId="0" applyFont="1" applyBorder="1" applyAlignment="1">
      <alignment horizontal="left" vertical="center"/>
    </xf>
    <xf numFmtId="0" fontId="2" fillId="0" borderId="1" xfId="0" applyFont="1" applyBorder="1" applyAlignment="1">
      <alignment horizontal="center" vertical="center" wrapText="1"/>
    </xf>
    <xf numFmtId="164" fontId="14" fillId="0" borderId="4" xfId="3" applyNumberFormat="1" applyFont="1" applyBorder="1" applyAlignment="1">
      <alignment horizontal="center" vertical="center"/>
    </xf>
    <xf numFmtId="164" fontId="15" fillId="0" borderId="1" xfId="3" applyNumberFormat="1" applyFont="1" applyBorder="1" applyAlignment="1">
      <alignment horizontal="center" vertical="center"/>
    </xf>
    <xf numFmtId="0" fontId="0" fillId="0" borderId="1" xfId="1" applyNumberFormat="1" applyFont="1" applyBorder="1" applyAlignment="1">
      <alignment horizontal="center" vertical="center"/>
    </xf>
    <xf numFmtId="166" fontId="0" fillId="0" borderId="0" xfId="1" applyNumberFormat="1" applyFont="1"/>
    <xf numFmtId="0" fontId="8" fillId="0" borderId="1" xfId="0" applyFont="1" applyBorder="1" applyAlignment="1">
      <alignment horizontal="left" vertical="center"/>
    </xf>
    <xf numFmtId="0" fontId="0" fillId="0" borderId="1" xfId="0" applyBorder="1" applyAlignment="1">
      <alignment horizontal="center" vertical="center" wrapText="1"/>
    </xf>
    <xf numFmtId="0" fontId="0" fillId="0" borderId="0" xfId="0" applyAlignment="1">
      <alignment horizontal="right" vertical="center"/>
    </xf>
    <xf numFmtId="166" fontId="2" fillId="0" borderId="1" xfId="0" applyNumberFormat="1" applyFont="1" applyBorder="1" applyAlignment="1">
      <alignment horizontal="center"/>
    </xf>
    <xf numFmtId="0" fontId="19" fillId="5" borderId="1" xfId="0" applyFont="1" applyFill="1" applyBorder="1" applyAlignment="1">
      <alignment horizontal="center" vertical="center" wrapText="1"/>
    </xf>
    <xf numFmtId="166" fontId="0" fillId="0" borderId="0" xfId="0" applyNumberFormat="1" applyAlignment="1">
      <alignment horizontal="center"/>
    </xf>
    <xf numFmtId="0" fontId="3" fillId="3" borderId="9"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3" fillId="5" borderId="2" xfId="0" applyFont="1" applyFill="1" applyBorder="1" applyAlignment="1">
      <alignment horizontal="center" vertical="center" wrapText="1"/>
    </xf>
    <xf numFmtId="0" fontId="3" fillId="5" borderId="3" xfId="0" applyFont="1" applyFill="1" applyBorder="1" applyAlignment="1">
      <alignment horizontal="center" vertical="center" wrapText="1"/>
    </xf>
    <xf numFmtId="0" fontId="3" fillId="5" borderId="4" xfId="0" applyFont="1" applyFill="1" applyBorder="1" applyAlignment="1">
      <alignment horizontal="center" vertical="center" wrapText="1"/>
    </xf>
    <xf numFmtId="0" fontId="8" fillId="0" borderId="1" xfId="0" applyFont="1" applyBorder="1" applyAlignment="1">
      <alignment horizontal="left" vertical="center"/>
    </xf>
    <xf numFmtId="0" fontId="2" fillId="0" borderId="1" xfId="0" applyFont="1" applyBorder="1" applyAlignment="1">
      <alignment horizontal="center" vertical="center"/>
    </xf>
    <xf numFmtId="0" fontId="8" fillId="0" borderId="1" xfId="0" applyFont="1" applyBorder="1" applyAlignment="1">
      <alignment horizontal="left" vertical="center" wrapText="1"/>
    </xf>
    <xf numFmtId="0" fontId="4" fillId="0" borderId="1" xfId="0" applyFont="1" applyBorder="1" applyAlignment="1">
      <alignment horizontal="left" vertical="center"/>
    </xf>
    <xf numFmtId="2" fontId="17" fillId="0" borderId="1" xfId="0" applyNumberFormat="1" applyFont="1" applyBorder="1" applyAlignment="1">
      <alignment horizontal="center" vertical="center" wrapText="1"/>
    </xf>
    <xf numFmtId="0" fontId="13" fillId="4" borderId="2" xfId="0" applyFont="1" applyFill="1" applyBorder="1" applyAlignment="1">
      <alignment horizontal="center" vertical="center"/>
    </xf>
    <xf numFmtId="0" fontId="13" fillId="4" borderId="3" xfId="0" applyFont="1" applyFill="1" applyBorder="1" applyAlignment="1">
      <alignment horizontal="center" vertical="center"/>
    </xf>
    <xf numFmtId="0" fontId="13" fillId="4" borderId="4" xfId="0" applyFont="1" applyFill="1" applyBorder="1" applyAlignment="1">
      <alignment horizontal="center" vertical="center"/>
    </xf>
    <xf numFmtId="0" fontId="2" fillId="0" borderId="1" xfId="0" applyFont="1" applyBorder="1" applyAlignment="1">
      <alignment horizontal="center" vertical="center" wrapText="1"/>
    </xf>
    <xf numFmtId="0" fontId="0" fillId="0" borderId="0" xfId="0" applyAlignment="1">
      <alignment horizontal="center" vertical="center"/>
    </xf>
    <xf numFmtId="0" fontId="0" fillId="0" borderId="11" xfId="0" applyBorder="1" applyAlignment="1">
      <alignment horizontal="center" vertical="center"/>
    </xf>
    <xf numFmtId="0" fontId="14" fillId="0" borderId="5" xfId="0" applyFont="1" applyBorder="1" applyAlignment="1">
      <alignment horizontal="center" vertical="center"/>
    </xf>
    <xf numFmtId="0" fontId="14" fillId="0" borderId="6" xfId="0" applyFont="1" applyBorder="1" applyAlignment="1">
      <alignment horizontal="center" vertical="center"/>
    </xf>
    <xf numFmtId="0" fontId="14" fillId="0" borderId="7" xfId="0" applyFont="1" applyBorder="1" applyAlignment="1">
      <alignment horizontal="center" vertical="center"/>
    </xf>
  </cellXfs>
  <cellStyles count="5">
    <cellStyle name="Comma" xfId="3" builtinId="3"/>
    <cellStyle name="Currency" xfId="1" builtinId="4"/>
    <cellStyle name="Hyperlink" xfId="4" builtinId="8"/>
    <cellStyle name="Normal" xfId="0" builtinId="0"/>
    <cellStyle name="Percent" xfId="2" builtinId="5"/>
  </cellStyles>
  <dxfs count="0"/>
  <tableStyles count="0" defaultTableStyle="TableStyleMedium2" defaultPivotStyle="PivotStyleLight16"/>
  <colors>
    <mruColors>
      <color rgb="FF1E366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5954</xdr:colOff>
      <xdr:row>1</xdr:row>
      <xdr:rowOff>44823</xdr:rowOff>
    </xdr:from>
    <xdr:to>
      <xdr:col>12</xdr:col>
      <xdr:colOff>369094</xdr:colOff>
      <xdr:row>10</xdr:row>
      <xdr:rowOff>246530</xdr:rowOff>
    </xdr:to>
    <xdr:pic>
      <xdr:nvPicPr>
        <xdr:cNvPr id="2" name="Picture 1">
          <a:extLst>
            <a:ext uri="{FF2B5EF4-FFF2-40B4-BE49-F238E27FC236}">
              <a16:creationId xmlns:a16="http://schemas.microsoft.com/office/drawing/2014/main" id="{00000000-0008-0000-0000-000002000000}"/>
            </a:ext>
          </a:extLst>
        </xdr:cNvPr>
        <xdr:cNvPicPr/>
      </xdr:nvPicPr>
      <xdr:blipFill rotWithShape="1">
        <a:blip xmlns:r="http://schemas.openxmlformats.org/officeDocument/2006/relationships" r:embed="rId1">
          <a:extLst>
            <a:ext uri="{BEBA8EAE-BF5A-486C-A8C5-ECC9F3942E4B}">
              <a14:imgProps xmlns:a14="http://schemas.microsoft.com/office/drawing/2010/main">
                <a14:imgLayer r:embed="rId2">
                  <a14:imgEffect>
                    <a14:sharpenSoften amount="50000"/>
                  </a14:imgEffect>
                </a14:imgLayer>
              </a14:imgProps>
            </a:ext>
          </a:extLst>
        </a:blip>
        <a:srcRect l="10370" t="21545" r="6109" b="40322"/>
        <a:stretch/>
      </xdr:blipFill>
      <xdr:spPr>
        <a:xfrm>
          <a:off x="7369970" y="235323"/>
          <a:ext cx="7381874" cy="2493660"/>
        </a:xfrm>
        <a:prstGeom prst="rect">
          <a:avLst/>
        </a:prstGeom>
        <a:ln>
          <a:solidFill>
            <a:schemeClr val="tx1"/>
          </a:solid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2060"/>
  </sheetPr>
  <dimension ref="B2:X21"/>
  <sheetViews>
    <sheetView tabSelected="1" zoomScale="70" zoomScaleNormal="70" zoomScaleSheetLayoutView="85" workbookViewId="0">
      <selection activeCell="Q29" sqref="Q29"/>
    </sheetView>
  </sheetViews>
  <sheetFormatPr defaultRowHeight="15" x14ac:dyDescent="0.25"/>
  <cols>
    <col min="2" max="2" width="7.28515625" bestFit="1" customWidth="1"/>
    <col min="3" max="3" width="13" customWidth="1"/>
    <col min="4" max="4" width="10.7109375" style="18" customWidth="1"/>
    <col min="5" max="5" width="12.5703125" style="18" customWidth="1"/>
    <col min="6" max="6" width="22.5703125" style="18" customWidth="1"/>
    <col min="7" max="7" width="7.7109375" hidden="1" customWidth="1"/>
    <col min="8" max="8" width="7" bestFit="1" customWidth="1"/>
    <col min="9" max="9" width="11.7109375" customWidth="1"/>
    <col min="10" max="10" width="11.28515625" customWidth="1"/>
    <col min="11" max="11" width="9" customWidth="1"/>
    <col min="12" max="12" width="9.7109375" bestFit="1" customWidth="1"/>
    <col min="13" max="13" width="13.140625" customWidth="1"/>
    <col min="14" max="14" width="11.140625" customWidth="1"/>
    <col min="15" max="15" width="12.5703125" customWidth="1"/>
    <col min="16" max="16" width="10.85546875" bestFit="1" customWidth="1"/>
    <col min="17" max="17" width="16.85546875" customWidth="1"/>
    <col min="18" max="18" width="11.7109375" customWidth="1"/>
    <col min="19" max="19" width="16.5703125" customWidth="1"/>
    <col min="20" max="20" width="10.85546875" bestFit="1" customWidth="1"/>
    <col min="21" max="21" width="18.85546875" style="19" customWidth="1"/>
    <col min="22" max="22" width="19.28515625" customWidth="1"/>
    <col min="23" max="23" width="22.28515625" customWidth="1"/>
    <col min="24" max="24" width="13.140625" bestFit="1" customWidth="1"/>
  </cols>
  <sheetData>
    <row r="2" spans="2:24" ht="15.75" customHeight="1" x14ac:dyDescent="0.25">
      <c r="B2" s="42" t="s">
        <v>47</v>
      </c>
      <c r="C2" s="43"/>
      <c r="D2" s="43"/>
      <c r="E2" s="43"/>
      <c r="F2" s="43"/>
      <c r="G2" s="43"/>
      <c r="H2" s="43"/>
      <c r="I2" s="43"/>
      <c r="J2" s="43"/>
      <c r="K2" s="43"/>
      <c r="L2" s="43"/>
      <c r="M2" s="43"/>
      <c r="N2" s="43"/>
      <c r="O2" s="43"/>
      <c r="P2" s="43"/>
      <c r="Q2" s="43"/>
      <c r="R2" s="43"/>
      <c r="S2" s="43"/>
      <c r="T2" s="43"/>
      <c r="U2" s="43"/>
    </row>
    <row r="3" spans="2:24" s="16" customFormat="1" ht="60" x14ac:dyDescent="0.25">
      <c r="B3" s="14" t="s">
        <v>0</v>
      </c>
      <c r="C3" s="14" t="s">
        <v>1</v>
      </c>
      <c r="D3" s="15" t="s">
        <v>11</v>
      </c>
      <c r="E3" s="15" t="s">
        <v>27</v>
      </c>
      <c r="F3" s="15" t="s">
        <v>4</v>
      </c>
      <c r="G3" s="15" t="s">
        <v>18</v>
      </c>
      <c r="H3" s="15" t="s">
        <v>14</v>
      </c>
      <c r="I3" s="15" t="s">
        <v>49</v>
      </c>
      <c r="J3" s="15" t="s">
        <v>2</v>
      </c>
      <c r="K3" s="15" t="s">
        <v>3</v>
      </c>
      <c r="L3" s="15" t="s">
        <v>15</v>
      </c>
      <c r="M3" s="15" t="s">
        <v>16</v>
      </c>
      <c r="N3" s="15" t="s">
        <v>5</v>
      </c>
      <c r="O3" s="15" t="s">
        <v>7</v>
      </c>
      <c r="P3" s="15" t="s">
        <v>17</v>
      </c>
      <c r="Q3" s="15" t="s">
        <v>12</v>
      </c>
      <c r="R3" s="15" t="s">
        <v>8</v>
      </c>
      <c r="S3" s="15" t="s">
        <v>9</v>
      </c>
      <c r="T3" s="15" t="s">
        <v>13</v>
      </c>
      <c r="U3" s="15" t="s">
        <v>10</v>
      </c>
    </row>
    <row r="4" spans="2:24" ht="30" x14ac:dyDescent="0.25">
      <c r="B4" s="13">
        <v>1</v>
      </c>
      <c r="C4" s="2" t="s">
        <v>22</v>
      </c>
      <c r="D4" s="17" t="s">
        <v>21</v>
      </c>
      <c r="E4" s="17" t="s">
        <v>28</v>
      </c>
      <c r="F4" s="17" t="s">
        <v>20</v>
      </c>
      <c r="G4" s="10">
        <f>48*54</f>
        <v>2592</v>
      </c>
      <c r="H4" s="10">
        <v>12</v>
      </c>
      <c r="I4" s="10">
        <f>G4</f>
        <v>2592</v>
      </c>
      <c r="J4" s="2">
        <v>2014</v>
      </c>
      <c r="K4" s="2">
        <v>2022</v>
      </c>
      <c r="L4" s="2">
        <f>K4-J4</f>
        <v>8</v>
      </c>
      <c r="M4" s="2">
        <v>60</v>
      </c>
      <c r="N4" s="3">
        <v>0.1</v>
      </c>
      <c r="O4" s="5">
        <f>(1-N4)/M4</f>
        <v>1.5000000000000001E-2</v>
      </c>
      <c r="P4" s="6">
        <v>1100</v>
      </c>
      <c r="Q4" s="6">
        <f>P4*G4</f>
        <v>2851200</v>
      </c>
      <c r="R4" s="6">
        <f t="shared" ref="R4:R7" si="0">Q4*O4*L4</f>
        <v>342144</v>
      </c>
      <c r="S4" s="6">
        <f t="shared" ref="S4:S7" si="1">MAX(Q4-R4,0)</f>
        <v>2509056</v>
      </c>
      <c r="T4" s="11">
        <v>0.05</v>
      </c>
      <c r="U4" s="6">
        <f t="shared" ref="U4:U7" si="2">IF(S4&gt;N4*Q4,S4*(1-T4),Q4*N4)</f>
        <v>2383603.1999999997</v>
      </c>
      <c r="V4" s="12">
        <f>U4/G4</f>
        <v>919.59999999999991</v>
      </c>
      <c r="W4" s="1"/>
      <c r="X4" s="1"/>
    </row>
    <row r="5" spans="2:24" ht="45" hidden="1" x14ac:dyDescent="0.25">
      <c r="B5" s="13">
        <v>2</v>
      </c>
      <c r="C5" s="2" t="s">
        <v>22</v>
      </c>
      <c r="D5" s="17" t="s">
        <v>21</v>
      </c>
      <c r="E5" s="17" t="s">
        <v>29</v>
      </c>
      <c r="F5" s="17" t="s">
        <v>34</v>
      </c>
      <c r="G5" s="10">
        <v>3520</v>
      </c>
      <c r="H5" s="10">
        <v>30</v>
      </c>
      <c r="I5" s="10" t="s">
        <v>50</v>
      </c>
      <c r="J5" s="2">
        <v>2014</v>
      </c>
      <c r="K5" s="2">
        <v>2022</v>
      </c>
      <c r="L5" s="2">
        <f>K5-J5</f>
        <v>8</v>
      </c>
      <c r="M5" s="2">
        <v>40</v>
      </c>
      <c r="N5" s="3">
        <v>0.1</v>
      </c>
      <c r="O5" s="5">
        <f>(1-N5)/M5</f>
        <v>2.2499999999999999E-2</v>
      </c>
      <c r="P5" s="6">
        <v>900</v>
      </c>
      <c r="Q5" s="34" t="s">
        <v>50</v>
      </c>
      <c r="R5" s="6" t="s">
        <v>50</v>
      </c>
      <c r="S5" s="6" t="s">
        <v>50</v>
      </c>
      <c r="T5" s="11">
        <v>0.05</v>
      </c>
      <c r="U5" s="6" t="s">
        <v>50</v>
      </c>
      <c r="V5" s="12" t="e">
        <f t="shared" ref="V5:V9" si="3">U5/G5</f>
        <v>#VALUE!</v>
      </c>
      <c r="W5" s="29"/>
      <c r="X5" s="1"/>
    </row>
    <row r="6" spans="2:24" ht="30" x14ac:dyDescent="0.25">
      <c r="B6" s="13">
        <v>3</v>
      </c>
      <c r="C6" s="2" t="s">
        <v>22</v>
      </c>
      <c r="D6" s="17" t="s">
        <v>21</v>
      </c>
      <c r="E6" s="17" t="s">
        <v>30</v>
      </c>
      <c r="F6" s="17" t="s">
        <v>20</v>
      </c>
      <c r="G6" s="10">
        <f>11*22</f>
        <v>242</v>
      </c>
      <c r="H6" s="10">
        <v>10</v>
      </c>
      <c r="I6" s="10">
        <f t="shared" ref="I6:I7" si="4">G6</f>
        <v>242</v>
      </c>
      <c r="J6" s="2">
        <v>2014</v>
      </c>
      <c r="K6" s="2">
        <v>2022</v>
      </c>
      <c r="L6" s="2">
        <f t="shared" ref="L6" si="5">K6-J6</f>
        <v>8</v>
      </c>
      <c r="M6" s="2">
        <v>60</v>
      </c>
      <c r="N6" s="3">
        <v>0.1</v>
      </c>
      <c r="O6" s="5">
        <f t="shared" ref="O6" si="6">(1-N6)/M6</f>
        <v>1.5000000000000001E-2</v>
      </c>
      <c r="P6" s="6">
        <v>1300</v>
      </c>
      <c r="Q6" s="6">
        <f t="shared" ref="Q6" si="7">P6*G6</f>
        <v>314600</v>
      </c>
      <c r="R6" s="6">
        <f t="shared" ref="R6" si="8">Q6*O6*L6</f>
        <v>37752</v>
      </c>
      <c r="S6" s="6">
        <f t="shared" ref="S6" si="9">MAX(Q6-R6,0)</f>
        <v>276848</v>
      </c>
      <c r="T6" s="11">
        <v>0.05</v>
      </c>
      <c r="U6" s="6">
        <f t="shared" ref="U6" si="10">IF(S6&gt;N6*Q6,S6*(1-T6),Q6*N6)</f>
        <v>263005.59999999998</v>
      </c>
      <c r="V6" s="12">
        <f t="shared" si="3"/>
        <v>1086.8</v>
      </c>
      <c r="W6" s="1"/>
      <c r="X6" s="1"/>
    </row>
    <row r="7" spans="2:24" ht="30" x14ac:dyDescent="0.25">
      <c r="B7" s="13">
        <v>4</v>
      </c>
      <c r="C7" s="2" t="s">
        <v>22</v>
      </c>
      <c r="D7" s="17" t="s">
        <v>21</v>
      </c>
      <c r="E7" s="17" t="s">
        <v>31</v>
      </c>
      <c r="F7" s="17" t="s">
        <v>20</v>
      </c>
      <c r="G7" s="10">
        <f>12*25</f>
        <v>300</v>
      </c>
      <c r="H7" s="10">
        <v>10</v>
      </c>
      <c r="I7" s="10">
        <f t="shared" si="4"/>
        <v>300</v>
      </c>
      <c r="J7" s="2">
        <v>2014</v>
      </c>
      <c r="K7" s="2">
        <v>2022</v>
      </c>
      <c r="L7" s="2">
        <f t="shared" ref="L7" si="11">K7-J7</f>
        <v>8</v>
      </c>
      <c r="M7" s="2">
        <v>60</v>
      </c>
      <c r="N7" s="3">
        <v>0.1</v>
      </c>
      <c r="O7" s="5">
        <f t="shared" ref="O7" si="12">(1-N7)/M7</f>
        <v>1.5000000000000001E-2</v>
      </c>
      <c r="P7" s="6">
        <v>1200</v>
      </c>
      <c r="Q7" s="6">
        <f t="shared" ref="Q7" si="13">P7*G7</f>
        <v>360000</v>
      </c>
      <c r="R7" s="6">
        <f t="shared" si="0"/>
        <v>43200</v>
      </c>
      <c r="S7" s="6">
        <f t="shared" si="1"/>
        <v>316800</v>
      </c>
      <c r="T7" s="11">
        <v>0.05</v>
      </c>
      <c r="U7" s="6">
        <f t="shared" si="2"/>
        <v>300960</v>
      </c>
      <c r="V7" s="12">
        <f t="shared" si="3"/>
        <v>1003.2</v>
      </c>
      <c r="W7" s="1"/>
      <c r="X7" s="1"/>
    </row>
    <row r="8" spans="2:24" ht="30" hidden="1" x14ac:dyDescent="0.25">
      <c r="B8" s="13">
        <v>1</v>
      </c>
      <c r="C8" s="2" t="s">
        <v>23</v>
      </c>
      <c r="D8" s="17" t="s">
        <v>21</v>
      </c>
      <c r="E8" s="17" t="s">
        <v>32</v>
      </c>
      <c r="F8" s="17" t="s">
        <v>20</v>
      </c>
      <c r="G8" s="10">
        <f>70*22</f>
        <v>1540</v>
      </c>
      <c r="H8" s="10">
        <v>12</v>
      </c>
      <c r="I8" s="10" t="s">
        <v>50</v>
      </c>
      <c r="J8" s="2">
        <v>2014</v>
      </c>
      <c r="K8" s="2">
        <v>2022</v>
      </c>
      <c r="L8" s="2">
        <f>K8-J8</f>
        <v>8</v>
      </c>
      <c r="M8" s="2">
        <v>60</v>
      </c>
      <c r="N8" s="3">
        <v>0.1</v>
      </c>
      <c r="O8" s="5">
        <f>(1-N8)/M8</f>
        <v>1.5000000000000001E-2</v>
      </c>
      <c r="P8" s="6">
        <v>1100</v>
      </c>
      <c r="Q8" s="34" t="s">
        <v>50</v>
      </c>
      <c r="R8" s="6" t="s">
        <v>50</v>
      </c>
      <c r="S8" s="6" t="s">
        <v>50</v>
      </c>
      <c r="T8" s="11">
        <v>0.05</v>
      </c>
      <c r="U8" s="6" t="s">
        <v>50</v>
      </c>
      <c r="V8" s="12" t="e">
        <f t="shared" si="3"/>
        <v>#VALUE!</v>
      </c>
      <c r="W8" s="1"/>
      <c r="X8" s="1"/>
    </row>
    <row r="9" spans="2:24" ht="45" hidden="1" x14ac:dyDescent="0.25">
      <c r="B9" s="13">
        <v>2</v>
      </c>
      <c r="C9" s="2" t="s">
        <v>23</v>
      </c>
      <c r="D9" s="17" t="s">
        <v>21</v>
      </c>
      <c r="E9" s="17" t="s">
        <v>33</v>
      </c>
      <c r="F9" s="17" t="s">
        <v>34</v>
      </c>
      <c r="G9" s="10">
        <f>65*50</f>
        <v>3250</v>
      </c>
      <c r="H9" s="10">
        <v>12</v>
      </c>
      <c r="I9" s="10" t="s">
        <v>50</v>
      </c>
      <c r="J9" s="2">
        <v>2014</v>
      </c>
      <c r="K9" s="2">
        <v>2022</v>
      </c>
      <c r="L9" s="2">
        <f>K9-J9</f>
        <v>8</v>
      </c>
      <c r="M9" s="2">
        <v>40</v>
      </c>
      <c r="N9" s="3">
        <v>0.1</v>
      </c>
      <c r="O9" s="5">
        <f>(1-N9)/M9</f>
        <v>2.2499999999999999E-2</v>
      </c>
      <c r="P9" s="6">
        <v>700</v>
      </c>
      <c r="Q9" s="34" t="s">
        <v>50</v>
      </c>
      <c r="R9" s="6" t="s">
        <v>50</v>
      </c>
      <c r="S9" s="6" t="s">
        <v>50</v>
      </c>
      <c r="T9" s="11">
        <v>0.05</v>
      </c>
      <c r="U9" s="6" t="s">
        <v>50</v>
      </c>
      <c r="V9" s="12" t="e">
        <f t="shared" si="3"/>
        <v>#VALUE!</v>
      </c>
      <c r="W9" s="1"/>
      <c r="X9" s="1"/>
    </row>
    <row r="10" spans="2:24" x14ac:dyDescent="0.25">
      <c r="B10" s="48" t="s">
        <v>6</v>
      </c>
      <c r="C10" s="48"/>
      <c r="D10" s="48"/>
      <c r="E10" s="48"/>
      <c r="F10" s="48"/>
      <c r="G10" s="20">
        <f>SUM(G4:G9)</f>
        <v>11444</v>
      </c>
      <c r="H10" s="9"/>
      <c r="I10" s="20" t="str">
        <f>SUM(I4:I9) &amp; " Sq. ft."</f>
        <v>3134 Sq. ft.</v>
      </c>
      <c r="J10" s="48"/>
      <c r="K10" s="48"/>
      <c r="L10" s="48"/>
      <c r="M10" s="48"/>
      <c r="N10" s="48"/>
      <c r="O10" s="48"/>
      <c r="P10" s="48"/>
      <c r="Q10" s="7">
        <f>SUM(Q4:Q9)</f>
        <v>3525800</v>
      </c>
      <c r="R10" s="7"/>
      <c r="S10" s="7">
        <f>SUM(S4:S9)</f>
        <v>3102704</v>
      </c>
      <c r="T10" s="7"/>
      <c r="U10" s="7">
        <f>SUM(U4:U9)</f>
        <v>2947568.8</v>
      </c>
      <c r="V10" s="12" t="s">
        <v>38</v>
      </c>
    </row>
    <row r="11" spans="2:24" x14ac:dyDescent="0.25">
      <c r="B11" s="50" t="s">
        <v>19</v>
      </c>
      <c r="C11" s="50"/>
      <c r="D11" s="50"/>
      <c r="E11" s="50"/>
      <c r="F11" s="50"/>
      <c r="G11" s="50"/>
      <c r="H11" s="50"/>
      <c r="I11" s="50"/>
      <c r="J11" s="50"/>
      <c r="K11" s="50"/>
      <c r="L11" s="50"/>
      <c r="M11" s="50"/>
      <c r="N11" s="50"/>
      <c r="O11" s="50"/>
      <c r="P11" s="50"/>
      <c r="Q11" s="50"/>
      <c r="R11" s="50"/>
      <c r="S11" s="50"/>
      <c r="T11" s="50"/>
      <c r="U11" s="50"/>
      <c r="V11" s="12">
        <v>9600000</v>
      </c>
      <c r="W11" t="s">
        <v>52</v>
      </c>
    </row>
    <row r="12" spans="2:24" x14ac:dyDescent="0.25">
      <c r="B12" s="47" t="s">
        <v>46</v>
      </c>
      <c r="C12" s="47"/>
      <c r="D12" s="47"/>
      <c r="E12" s="47"/>
      <c r="F12" s="47"/>
      <c r="G12" s="47"/>
      <c r="H12" s="47"/>
      <c r="I12" s="47"/>
      <c r="J12" s="47"/>
      <c r="K12" s="47"/>
      <c r="L12" s="47"/>
      <c r="M12" s="47"/>
      <c r="N12" s="47"/>
      <c r="O12" s="47"/>
      <c r="P12" s="47"/>
      <c r="Q12" s="47"/>
      <c r="R12" s="47"/>
      <c r="S12" s="47"/>
      <c r="T12" s="47"/>
      <c r="U12" s="47"/>
      <c r="V12" s="12">
        <v>160512</v>
      </c>
      <c r="W12" t="s">
        <v>53</v>
      </c>
    </row>
    <row r="13" spans="2:24" x14ac:dyDescent="0.25">
      <c r="B13" s="49" t="s">
        <v>48</v>
      </c>
      <c r="C13" s="47"/>
      <c r="D13" s="47"/>
      <c r="E13" s="47"/>
      <c r="F13" s="47"/>
      <c r="G13" s="47"/>
      <c r="H13" s="47"/>
      <c r="I13" s="47"/>
      <c r="J13" s="47"/>
      <c r="K13" s="47"/>
      <c r="L13" s="47"/>
      <c r="M13" s="47"/>
      <c r="N13" s="47"/>
      <c r="O13" s="47"/>
      <c r="P13" s="47"/>
      <c r="Q13" s="47"/>
      <c r="R13" s="47"/>
      <c r="S13" s="47"/>
      <c r="T13" s="47"/>
      <c r="U13" s="47"/>
      <c r="V13" s="35">
        <f>U10+V11+V12</f>
        <v>12708080.800000001</v>
      </c>
      <c r="W13" s="8" t="s">
        <v>39</v>
      </c>
    </row>
    <row r="14" spans="2:24" x14ac:dyDescent="0.25">
      <c r="B14" s="47" t="s">
        <v>24</v>
      </c>
      <c r="C14" s="47"/>
      <c r="D14" s="47"/>
      <c r="E14" s="47"/>
      <c r="F14" s="47"/>
      <c r="G14" s="47"/>
      <c r="H14" s="47"/>
      <c r="I14" s="47"/>
      <c r="J14" s="47"/>
      <c r="K14" s="47"/>
      <c r="L14" s="47"/>
      <c r="M14" s="47"/>
      <c r="N14" s="47"/>
      <c r="O14" s="47"/>
      <c r="P14" s="47"/>
      <c r="Q14" s="47"/>
      <c r="R14" s="47"/>
      <c r="S14" s="47"/>
      <c r="T14" s="47"/>
      <c r="U14" s="47"/>
      <c r="V14" s="12"/>
    </row>
    <row r="15" spans="2:24" x14ac:dyDescent="0.25">
      <c r="B15" s="30"/>
      <c r="C15" s="30"/>
      <c r="D15" s="30"/>
      <c r="E15" s="30"/>
      <c r="F15" s="30"/>
      <c r="G15" s="30"/>
      <c r="H15" s="30"/>
      <c r="I15" s="30"/>
      <c r="J15" s="30"/>
      <c r="K15" s="30"/>
      <c r="L15" s="30"/>
      <c r="M15" s="30"/>
      <c r="N15" s="36" t="s">
        <v>24</v>
      </c>
      <c r="O15" s="30"/>
      <c r="P15" s="30"/>
      <c r="Q15" s="30"/>
      <c r="R15" s="30"/>
      <c r="S15" s="30"/>
      <c r="T15" s="30"/>
      <c r="U15" s="30"/>
      <c r="V15" s="12"/>
    </row>
    <row r="16" spans="2:24" ht="23.25" customHeight="1" x14ac:dyDescent="0.25">
      <c r="B16" s="18"/>
      <c r="C16" s="18"/>
      <c r="E16"/>
      <c r="F16" s="44" t="s">
        <v>61</v>
      </c>
      <c r="G16" s="45"/>
      <c r="H16" s="45"/>
      <c r="I16" s="45"/>
      <c r="J16" s="45"/>
      <c r="K16" s="46"/>
      <c r="S16" s="19"/>
      <c r="V16" s="12"/>
    </row>
    <row r="17" spans="2:24" ht="90" customHeight="1" x14ac:dyDescent="0.25">
      <c r="B17" s="15" t="s">
        <v>11</v>
      </c>
      <c r="C17" s="15" t="s">
        <v>27</v>
      </c>
      <c r="D17" s="15" t="s">
        <v>4</v>
      </c>
      <c r="E17" s="15" t="s">
        <v>66</v>
      </c>
      <c r="F17" s="15" t="s">
        <v>14</v>
      </c>
      <c r="G17" s="15" t="s">
        <v>59</v>
      </c>
      <c r="H17" s="15" t="s">
        <v>2</v>
      </c>
      <c r="I17" s="15" t="s">
        <v>3</v>
      </c>
      <c r="J17" s="15" t="s">
        <v>15</v>
      </c>
      <c r="K17" s="15" t="s">
        <v>16</v>
      </c>
      <c r="L17" s="15" t="s">
        <v>5</v>
      </c>
      <c r="M17" s="15" t="s">
        <v>7</v>
      </c>
      <c r="N17" s="15" t="s">
        <v>60</v>
      </c>
      <c r="O17" s="15" t="s">
        <v>12</v>
      </c>
      <c r="P17" s="15" t="s">
        <v>8</v>
      </c>
      <c r="Q17" s="15" t="s">
        <v>9</v>
      </c>
      <c r="R17" s="15" t="s">
        <v>13</v>
      </c>
      <c r="S17" s="15" t="s">
        <v>10</v>
      </c>
      <c r="U17" s="40" t="s">
        <v>54</v>
      </c>
    </row>
    <row r="18" spans="2:24" ht="30" x14ac:dyDescent="0.25">
      <c r="B18" s="37" t="s">
        <v>51</v>
      </c>
      <c r="C18" s="37" t="s">
        <v>51</v>
      </c>
      <c r="D18" s="37" t="s">
        <v>58</v>
      </c>
      <c r="E18" s="10">
        <f>120*3.281</f>
        <v>393.72</v>
      </c>
      <c r="F18" s="10">
        <v>9</v>
      </c>
      <c r="G18" s="10">
        <f>120*3.28</f>
        <v>393.59999999999997</v>
      </c>
      <c r="H18" s="2">
        <v>2014</v>
      </c>
      <c r="I18" s="2">
        <v>2022</v>
      </c>
      <c r="J18" s="2">
        <f>I18-H18</f>
        <v>8</v>
      </c>
      <c r="K18" s="2">
        <v>60</v>
      </c>
      <c r="L18" s="3">
        <v>0.1</v>
      </c>
      <c r="M18" s="5">
        <f>(1-L18)/K18</f>
        <v>1.5000000000000001E-2</v>
      </c>
      <c r="N18" s="6">
        <v>1200</v>
      </c>
      <c r="O18" s="6">
        <f>N18*E18</f>
        <v>472464.00000000006</v>
      </c>
      <c r="P18" s="6">
        <f>O18*M18*J18</f>
        <v>56695.680000000015</v>
      </c>
      <c r="Q18" s="6">
        <f>MAX(O18-P18,0)</f>
        <v>415768.32000000007</v>
      </c>
      <c r="R18" s="11">
        <v>0.05</v>
      </c>
      <c r="S18" s="6">
        <f t="shared" ref="S18" si="14">IF(Q18&gt;L18*O18,Q18*(1-R18),O18*L18)</f>
        <v>394979.90400000004</v>
      </c>
      <c r="U18" s="39">
        <f>U10+S18</f>
        <v>3342548.7039999999</v>
      </c>
      <c r="V18" s="8"/>
      <c r="W18" s="4"/>
      <c r="X18" s="4"/>
    </row>
    <row r="20" spans="2:24" x14ac:dyDescent="0.25">
      <c r="U20" s="19">
        <v>9600000</v>
      </c>
    </row>
    <row r="21" spans="2:24" x14ac:dyDescent="0.25">
      <c r="U21" s="41">
        <f>U18+U20</f>
        <v>12942548.704</v>
      </c>
    </row>
  </sheetData>
  <mergeCells count="8">
    <mergeCell ref="B2:U2"/>
    <mergeCell ref="F16:K16"/>
    <mergeCell ref="B14:U14"/>
    <mergeCell ref="B10:F10"/>
    <mergeCell ref="J10:P10"/>
    <mergeCell ref="B12:U12"/>
    <mergeCell ref="B13:U13"/>
    <mergeCell ref="B11:U11"/>
  </mergeCells>
  <pageMargins left="0.31496062992125984" right="0.31496062992125984" top="0.31496062992125984" bottom="0.31496062992125984" header="0.31496062992125984" footer="0.31496062992125984"/>
  <pageSetup paperSize="9" scale="50"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B2:Q29"/>
  <sheetViews>
    <sheetView zoomScale="85" zoomScaleNormal="85" workbookViewId="0">
      <selection activeCell="J16" sqref="J16"/>
    </sheetView>
  </sheetViews>
  <sheetFormatPr defaultRowHeight="15" x14ac:dyDescent="0.25"/>
  <cols>
    <col min="2" max="2" width="17.7109375" bestFit="1" customWidth="1"/>
    <col min="3" max="3" width="19.28515625" bestFit="1" customWidth="1"/>
    <col min="4" max="4" width="21.7109375" bestFit="1" customWidth="1"/>
    <col min="5" max="5" width="23.28515625" bestFit="1" customWidth="1"/>
    <col min="6" max="6" width="10.28515625" bestFit="1" customWidth="1"/>
    <col min="8" max="8" width="19.28515625" bestFit="1" customWidth="1"/>
    <col min="9" max="9" width="17.42578125" bestFit="1" customWidth="1"/>
    <col min="10" max="10" width="17.85546875" bestFit="1" customWidth="1"/>
    <col min="11" max="11" width="26.42578125" bestFit="1" customWidth="1"/>
    <col min="12" max="12" width="24.28515625" bestFit="1" customWidth="1"/>
  </cols>
  <sheetData>
    <row r="2" spans="2:12" ht="21" x14ac:dyDescent="0.25">
      <c r="B2" s="52" t="s">
        <v>63</v>
      </c>
      <c r="C2" s="53"/>
      <c r="D2" s="54"/>
    </row>
    <row r="3" spans="2:12" ht="42" x14ac:dyDescent="0.25">
      <c r="B3" s="24" t="s">
        <v>40</v>
      </c>
      <c r="C3" s="25" t="s">
        <v>35</v>
      </c>
      <c r="D3" s="25" t="s">
        <v>36</v>
      </c>
    </row>
    <row r="4" spans="2:12" ht="21" x14ac:dyDescent="0.25">
      <c r="B4" s="21">
        <v>800</v>
      </c>
      <c r="C4" s="22">
        <v>12000</v>
      </c>
      <c r="D4" s="22">
        <f>B4*C4</f>
        <v>9600000</v>
      </c>
    </row>
    <row r="10" spans="2:12" ht="21" x14ac:dyDescent="0.25">
      <c r="B10" s="52" t="s">
        <v>64</v>
      </c>
      <c r="C10" s="53"/>
      <c r="D10" s="54"/>
    </row>
    <row r="11" spans="2:12" ht="21" x14ac:dyDescent="0.25">
      <c r="B11" s="24" t="s">
        <v>37</v>
      </c>
      <c r="C11" s="25" t="s">
        <v>38</v>
      </c>
      <c r="D11" s="25" t="s">
        <v>39</v>
      </c>
    </row>
    <row r="12" spans="2:12" ht="21" x14ac:dyDescent="0.35">
      <c r="B12" s="23">
        <f>D4</f>
        <v>9600000</v>
      </c>
      <c r="C12" s="26">
        <f>building!U18</f>
        <v>3342548.7039999999</v>
      </c>
      <c r="D12" s="23">
        <f>B12+C12</f>
        <v>12942548.704</v>
      </c>
    </row>
    <row r="13" spans="2:12" ht="21" x14ac:dyDescent="0.25">
      <c r="B13" s="58" t="s">
        <v>42</v>
      </c>
      <c r="C13" s="21" t="s">
        <v>41</v>
      </c>
      <c r="D13" s="22">
        <v>12900000</v>
      </c>
      <c r="H13" s="38" t="s">
        <v>55</v>
      </c>
      <c r="I13" s="22" t="s">
        <v>44</v>
      </c>
      <c r="J13" s="32">
        <v>14000</v>
      </c>
      <c r="K13" s="27" t="s">
        <v>56</v>
      </c>
      <c r="L13" s="55" t="s">
        <v>65</v>
      </c>
    </row>
    <row r="14" spans="2:12" ht="21" x14ac:dyDescent="0.25">
      <c r="B14" s="59"/>
      <c r="C14" s="21" t="s">
        <v>25</v>
      </c>
      <c r="D14" s="22">
        <f>D13*0.85</f>
        <v>10965000</v>
      </c>
      <c r="H14" s="38" t="s">
        <v>38</v>
      </c>
      <c r="I14" s="22" t="s">
        <v>44</v>
      </c>
      <c r="J14" s="32">
        <v>10000</v>
      </c>
      <c r="K14" s="27" t="s">
        <v>57</v>
      </c>
      <c r="L14" s="55"/>
    </row>
    <row r="15" spans="2:12" ht="21" x14ac:dyDescent="0.25">
      <c r="B15" s="60"/>
      <c r="C15" s="21" t="s">
        <v>26</v>
      </c>
      <c r="D15" s="22">
        <f>D13*0.75</f>
        <v>9675000</v>
      </c>
    </row>
    <row r="16" spans="2:12" ht="21" x14ac:dyDescent="0.25">
      <c r="H16" s="38" t="s">
        <v>55</v>
      </c>
      <c r="I16" s="33" t="s">
        <v>43</v>
      </c>
      <c r="J16" s="33">
        <f>B4*J13</f>
        <v>11200000</v>
      </c>
    </row>
    <row r="17" spans="6:17" ht="21" x14ac:dyDescent="0.25">
      <c r="H17" s="38" t="s">
        <v>38</v>
      </c>
      <c r="I17" s="33" t="s">
        <v>43</v>
      </c>
      <c r="J17" s="33">
        <f>G19*J14</f>
        <v>2911600.0000000005</v>
      </c>
    </row>
    <row r="18" spans="6:17" ht="21" x14ac:dyDescent="0.25">
      <c r="H18" s="56" t="s">
        <v>39</v>
      </c>
      <c r="I18" s="57"/>
      <c r="J18" s="33">
        <f>J16+J17</f>
        <v>14111600</v>
      </c>
    </row>
    <row r="19" spans="6:17" ht="45.75" thickBot="1" x14ac:dyDescent="0.3">
      <c r="F19" s="31" t="s">
        <v>62</v>
      </c>
      <c r="G19" s="2">
        <v>291.16000000000003</v>
      </c>
    </row>
    <row r="20" spans="6:17" ht="75" thickBot="1" x14ac:dyDescent="0.3">
      <c r="I20" s="28" t="s">
        <v>45</v>
      </c>
      <c r="J20" s="51">
        <f>((D12-J18)/D12)*100</f>
        <v>-9.0326204114549355</v>
      </c>
      <c r="K20" s="51"/>
    </row>
    <row r="29" spans="6:17" x14ac:dyDescent="0.25"/>
  </sheetData>
  <mergeCells count="6">
    <mergeCell ref="J20:K20"/>
    <mergeCell ref="B2:D2"/>
    <mergeCell ref="B10:D10"/>
    <mergeCell ref="L13:L14"/>
    <mergeCell ref="H18:I18"/>
    <mergeCell ref="B13:B15"/>
  </mergeCell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building</vt:lpstr>
      <vt:lpstr>Land</vt:lpstr>
      <vt:lpstr>building!Print_Area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trainee4</dc:creator>
  <cp:lastModifiedBy>Rajani Gupta</cp:lastModifiedBy>
  <cp:lastPrinted>2022-01-07T08:12:53Z</cp:lastPrinted>
  <dcterms:created xsi:type="dcterms:W3CDTF">2021-09-16T11:33:35Z</dcterms:created>
  <dcterms:modified xsi:type="dcterms:W3CDTF">2022-06-15T12:52:26Z</dcterms:modified>
</cp:coreProperties>
</file>