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un Tomar\VIS_(2022-23)-PL096-081-134, Ms Ruby High Purity System (Haridwar)\VIS_(2022-23)-PL096-081-134, Ms Ruby High Purity System (Haridwar)\"/>
    </mc:Choice>
  </mc:AlternateContent>
  <bookViews>
    <workbookView showVerticalScroll="0" xWindow="0" yWindow="0" windowWidth="24000" windowHeight="9735"/>
  </bookViews>
  <sheets>
    <sheet name="Land" sheetId="2" r:id="rId1"/>
    <sheet name="building" sheetId="1" r:id="rId2"/>
    <sheet name="Sheet1" sheetId="3" r:id="rId3"/>
  </sheets>
  <definedNames>
    <definedName name="_xlnm.Print_Area" localSheetId="1">building!$B$1:$T$10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2" l="1"/>
  <c r="I26" i="2" l="1"/>
  <c r="I25" i="2"/>
  <c r="E5" i="3" l="1"/>
  <c r="F5" i="3"/>
  <c r="E15" i="2"/>
  <c r="M11" i="2" l="1"/>
  <c r="M10" i="2"/>
  <c r="M9" i="2"/>
  <c r="E14" i="2" l="1"/>
  <c r="J11" i="2"/>
  <c r="L4" i="2" l="1"/>
  <c r="C4" i="2"/>
  <c r="E4" i="2" l="1"/>
  <c r="C12" i="2" l="1"/>
  <c r="D4" i="3"/>
  <c r="G6" i="1"/>
  <c r="I30" i="1"/>
  <c r="I29" i="1"/>
  <c r="I28" i="1"/>
  <c r="I19" i="1"/>
  <c r="I18" i="1"/>
  <c r="L14" i="1"/>
  <c r="L16" i="1" s="1"/>
  <c r="P5" i="1"/>
  <c r="N5" i="1"/>
  <c r="K5" i="1"/>
  <c r="F13" i="1"/>
  <c r="F18" i="1"/>
  <c r="E4" i="3" l="1"/>
  <c r="F4" i="3"/>
  <c r="Q5" i="1"/>
  <c r="R5" i="1" s="1"/>
  <c r="T5" i="1" s="1"/>
  <c r="U5" i="1" s="1"/>
  <c r="P4" i="1" l="1"/>
  <c r="P6" i="1" s="1"/>
  <c r="N4" i="1"/>
  <c r="K4" i="1" l="1"/>
  <c r="Q4" i="1" l="1"/>
  <c r="R4" i="1" s="1"/>
  <c r="R6" i="1" s="1"/>
  <c r="T4" i="1" l="1"/>
  <c r="T6" i="1" l="1"/>
  <c r="D12" i="2" s="1"/>
  <c r="E12" i="2" s="1"/>
  <c r="U4" i="1"/>
</calcChain>
</file>

<file path=xl/comments1.xml><?xml version="1.0" encoding="utf-8"?>
<comments xmlns="http://schemas.openxmlformats.org/spreadsheetml/2006/main">
  <authors>
    <author>admin</author>
  </authors>
  <commentList>
    <comment ref="R29" authorId="0" shapeId="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<sst xmlns="http://schemas.openxmlformats.org/spreadsheetml/2006/main" count="82" uniqueCount="65">
  <si>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</si>
  <si>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</si>
  <si>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</si>
  <si>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</si>
  <si>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</si>
  <si>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</si>
  <si>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</si>
  <si>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</si>
  <si>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</si>
  <si>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</si>
  <si>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</si>
  <si>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Particular</t>
  </si>
  <si>
    <t>Gross Replacement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</si>
  <si>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</si>
  <si>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</si>
  <si>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</si>
  <si>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</si>
  <si>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</si>
  <si>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</si>
  <si>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</si>
  <si>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RCC framed pillar beam column on RCC slab</t>
  </si>
  <si>
    <t xml:space="preserve"> Building 1</t>
  </si>
  <si>
    <t>Ground Floor</t>
  </si>
  <si>
    <t>First Floor</t>
  </si>
  <si>
    <r>
      <t>3.</t>
    </r>
    <r>
      <rPr>
        <i/>
        <sz val="10"/>
        <color theme="1"/>
        <rFont val="Calibri"/>
        <family val="2"/>
        <scheme val="minor"/>
      </rPr>
      <t xml:space="preserve"> The valuation is done by considering the depreciated replacement cost approach.</t>
    </r>
  </si>
  <si>
    <t>RV</t>
  </si>
  <si>
    <t>DV</t>
  </si>
  <si>
    <t>TOTAL FMV</t>
  </si>
  <si>
    <t>Unit</t>
  </si>
  <si>
    <t>Rates</t>
  </si>
  <si>
    <t>Value</t>
  </si>
  <si>
    <t xml:space="preserve">Land </t>
  </si>
  <si>
    <t>Building</t>
  </si>
  <si>
    <t>Total</t>
  </si>
  <si>
    <t>FMV</t>
  </si>
  <si>
    <t>Area in
(SqYards)</t>
  </si>
  <si>
    <t>Rate 1</t>
  </si>
  <si>
    <t>Rate 2</t>
  </si>
  <si>
    <t>Rate 3</t>
  </si>
  <si>
    <t>Average rate</t>
  </si>
  <si>
    <t>Rate Considered</t>
  </si>
  <si>
    <t>Godown</t>
  </si>
  <si>
    <t>Final</t>
  </si>
  <si>
    <t>PL-096</t>
  </si>
  <si>
    <t>in Sqft</t>
  </si>
  <si>
    <t>M/S. RUBY HIGH PURITY WATER SYSTEM</t>
  </si>
  <si>
    <t>Land Value</t>
  </si>
  <si>
    <t>Property Details</t>
  </si>
  <si>
    <t>Sno.</t>
  </si>
  <si>
    <r>
      <rPr>
        <b/>
        <sz val="12"/>
        <color theme="1"/>
        <rFont val="Calibri"/>
        <family val="2"/>
        <scheme val="minor"/>
      </rPr>
      <t>Residential Unit</t>
    </r>
    <r>
      <rPr>
        <sz val="12"/>
        <color theme="1"/>
        <rFont val="Calibri"/>
        <family val="2"/>
        <scheme val="minor"/>
      </rPr>
      <t xml:space="preserve"> @ SALEMPUR, MEHDOOD II, DISTRICT HARIDWAR</t>
    </r>
  </si>
  <si>
    <r>
      <rPr>
        <b/>
        <sz val="12"/>
        <color theme="1"/>
        <rFont val="Calibri"/>
        <family val="2"/>
        <scheme val="minor"/>
      </rPr>
      <t>Industrial Unit</t>
    </r>
    <r>
      <rPr>
        <sz val="12"/>
        <color theme="1"/>
        <rFont val="Calibri"/>
        <family val="2"/>
        <scheme val="minor"/>
      </rPr>
      <t xml:space="preserve"> @ SIDC, BAHADARABAD, DISTRICT HARIDWAR</t>
    </r>
  </si>
  <si>
    <t>TBU</t>
  </si>
  <si>
    <t>2 - k /. Sqft clossest</t>
  </si>
  <si>
    <t>presion by Mr. Chauhan</t>
  </si>
  <si>
    <t>will be given today</t>
  </si>
  <si>
    <t>PLEASE SEE</t>
  </si>
  <si>
    <r>
      <t xml:space="preserve">1. </t>
    </r>
    <r>
      <rPr>
        <b/>
        <i/>
        <sz val="10"/>
        <color theme="1"/>
        <rFont val="Calibri"/>
        <family val="2"/>
        <scheme val="minor"/>
      </rPr>
      <t>All the details pertaing to the building area statement such as area, floor, etc has been taken from the onsite survey and since no other relevant building area statement has been provided to us by the bank or client.</t>
    </r>
  </si>
  <si>
    <t>Circle rate</t>
  </si>
  <si>
    <t>Per Hactare</t>
  </si>
  <si>
    <t>Per sq. mtr</t>
  </si>
  <si>
    <t>Sqmt</t>
  </si>
  <si>
    <r>
      <t xml:space="preserve">2. </t>
    </r>
    <r>
      <rPr>
        <i/>
        <sz val="10"/>
        <color theme="1"/>
        <rFont val="Calibri"/>
        <family val="2"/>
        <scheme val="minor"/>
      </rPr>
      <t>All the structure that has been taken in the area statemnet belonging to M/s. Ruby High Purity Wate Systems.</t>
    </r>
  </si>
  <si>
    <t>BUILDING VALUATION OF M/S. RUBY HIGH PURITY WATER SYSTEMS|  HARIDWAR, UTTARAKHAND</t>
  </si>
  <si>
    <t>% Diffrence</t>
  </si>
  <si>
    <t xml:space="preserve"> is 900 - 1500 / sqft for inner side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</si>
</sst>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9"/>
      <color indexed="81"/>
      <name val="Tahoma"/>
      <charset val="1"/>
    </font>
    <font>
      <b/>
      <sz val="9"/>
      <color indexed="81"/>
      <name val="Tahoma"/>
      <charset val="1"/>
    </font>
    <font>
      <b/>
      <i/>
      <sz val="10"/>
      <color theme="1"/>
      <name val="Calibri"/>
      <family val="2"/>
      <scheme val="minor"/>
    </font>
    <font>
      <i/>
      <sz val="10"/>
      <color theme="1"/>
      <name val="Calibri"/>
      <family val="2"/>
      <scheme val="minor"/>
    </font>
    <font>
      <b/>
      <sz val="16"/>
      <color theme="0"/>
      <name val="Calibri"/>
      <family val="2"/>
      <scheme val="minor"/>
    </font>
    <font>
      <sz val="16"/>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sz val="16"/>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FFFF00"/>
        <bgColor indexed="64"/>
      </patternFill>
    </fill>
    <fill>
      <patternFill patternType="solid">
        <fgColor theme="4"/>
        <bgColor indexed="64"/>
      </patternFill>
    </fill>
    <fill>
      <patternFill patternType="solid">
        <fgColor rgb="FF0070C0"/>
        <bgColor indexed="64"/>
      </patternFill>
    </fill>
    <fill>
      <patternFill patternType="solid">
        <fgColor theme="9" tint="0.79998168889431442"/>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63">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0" fontId="2" fillId="5" borderId="0" xfId="0" applyFont="1" applyFill="1"/>
    <xf numFmtId="0" fontId="2" fillId="4" borderId="0" xfId="0" applyFont="1" applyFill="1"/>
    <xf numFmtId="0" fontId="14" fillId="0" borderId="1" xfId="0" applyFont="1" applyBorder="1" applyAlignment="1">
      <alignment horizontal="center" vertical="center"/>
    </xf>
    <xf numFmtId="164" fontId="14" fillId="0" borderId="1" xfId="3" applyNumberFormat="1" applyFont="1" applyBorder="1" applyAlignment="1">
      <alignment horizontal="center" vertical="center"/>
    </xf>
    <xf numFmtId="164" fontId="14" fillId="0" borderId="1" xfId="0" applyNumberFormat="1" applyFont="1" applyBorder="1"/>
    <xf numFmtId="164" fontId="14" fillId="0" borderId="1" xfId="0" applyNumberFormat="1" applyFont="1" applyBorder="1" applyAlignment="1">
      <alignment horizontal="center" vertical="center"/>
    </xf>
    <xf numFmtId="0" fontId="13" fillId="6" borderId="1" xfId="0" applyFont="1" applyFill="1" applyBorder="1" applyAlignment="1">
      <alignment horizontal="center" vertical="center" wrapText="1"/>
    </xf>
    <xf numFmtId="0" fontId="13" fillId="6" borderId="1" xfId="0" applyFont="1" applyFill="1" applyBorder="1" applyAlignment="1">
      <alignment horizontal="center" vertical="center"/>
    </xf>
    <xf numFmtId="1" fontId="14" fillId="0" borderId="1" xfId="0" applyNumberFormat="1" applyFont="1" applyBorder="1" applyAlignment="1">
      <alignment horizontal="center" vertical="center"/>
    </xf>
    <xf numFmtId="0" fontId="2" fillId="7" borderId="1" xfId="0" applyFont="1" applyFill="1" applyBorder="1" applyAlignment="1">
      <alignment horizontal="center" vertical="center" wrapText="1"/>
    </xf>
    <xf numFmtId="2" fontId="0" fillId="0" borderId="1" xfId="0" applyNumberFormat="1" applyBorder="1" applyAlignment="1">
      <alignment horizontal="center" vertical="center"/>
    </xf>
    <xf numFmtId="164" fontId="14" fillId="0" borderId="1" xfId="3" applyNumberFormat="1" applyFont="1" applyBorder="1"/>
    <xf numFmtId="0" fontId="2" fillId="0" borderId="1" xfId="3" applyNumberFormat="1" applyFont="1" applyBorder="1" applyAlignment="1">
      <alignment horizontal="center" vertical="center"/>
    </xf>
    <xf numFmtId="0" fontId="0" fillId="0" borderId="0" xfId="0" applyAlignment="1">
      <alignment vertical="center"/>
    </xf>
    <xf numFmtId="0" fontId="17" fillId="0" borderId="1" xfId="0" applyFont="1" applyBorder="1"/>
    <xf numFmtId="164" fontId="18" fillId="8" borderId="1" xfId="3" applyNumberFormat="1" applyFont="1" applyFill="1" applyBorder="1" applyAlignment="1">
      <alignment horizontal="center" vertical="center"/>
    </xf>
    <xf numFmtId="0" fontId="0" fillId="0" borderId="0" xfId="0" applyAlignment="1">
      <alignment horizontal="center" vertical="center"/>
    </xf>
    <xf numFmtId="0" fontId="0" fillId="4" borderId="1" xfId="0" applyFill="1" applyBorder="1" applyAlignment="1">
      <alignment horizontal="center" vertical="center"/>
    </xf>
    <xf numFmtId="3"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164" fontId="2" fillId="0" borderId="1" xfId="3" applyNumberFormat="1" applyFont="1" applyBorder="1" applyAlignment="1">
      <alignment horizontal="center" vertical="center"/>
    </xf>
    <xf numFmtId="0" fontId="2" fillId="0" borderId="1" xfId="0" applyFont="1" applyBorder="1"/>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6" fillId="0" borderId="1" xfId="0" applyFont="1" applyBorder="1" applyAlignment="1">
      <alignment horizont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2" fillId="4" borderId="1" xfId="0" applyFont="1" applyFill="1" applyBorder="1" applyAlignment="1">
      <alignment horizontal="center" vertical="center"/>
    </xf>
    <xf numFmtId="0" fontId="0" fillId="0" borderId="1" xfId="0"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3" fillId="3" borderId="8" xfId="0" applyFont="1" applyFill="1" applyBorder="1" applyAlignment="1">
      <alignment horizontal="center" vertical="center"/>
    </xf>
    <xf numFmtId="43" fontId="0" fillId="0" borderId="0" xfId="0" applyNumberFormat="1"/>
  </cellXfs>
  <cellStyles count="6">
    <cellStyle name="Comma" xfId="3" builtinId="3"/>
    <cellStyle name="Comma 2" xfId="5"/>
    <cellStyle name="Currency" xfId="1" builtinId="4"/>
    <cellStyle name="Currency 2" xf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C2:R30"/>
  <sheetViews>
    <sheetView tabSelected="1" topLeftCell="A2" zoomScale="85" zoomScaleNormal="85" workbookViewId="0">
      <selection activeCell="N18" sqref="N18"/>
    </sheetView>
  </sheetViews>
  <sheetFormatPr defaultRowHeight="15" x14ac:dyDescent="0.25"/>
  <cols>
    <col min="3" max="5" width="19.28515625" bestFit="1" customWidth="1"/>
    <col min="6" max="6" width="11.42578125" bestFit="1" customWidth="1"/>
    <col min="7" max="8" width="11.5703125" bestFit="1" customWidth="1"/>
    <col min="9" max="9" width="19.28515625" bestFit="1" customWidth="1"/>
    <col min="10" max="10" width="19.140625" bestFit="1" customWidth="1"/>
    <col min="11" max="11" width="23.140625" bestFit="1" customWidth="1"/>
    <col min="12" max="12" width="12.28515625" bestFit="1" customWidth="1"/>
    <col min="13" max="13" width="10.42578125" bestFit="1" customWidth="1"/>
  </cols>
  <sheetData>
    <row r="2" spans="3:14" x14ac:dyDescent="0.25">
      <c r="M2" t="s">
        <v>51</v>
      </c>
    </row>
    <row r="3" spans="3:14" ht="45" x14ac:dyDescent="0.25">
      <c r="C3" s="25" t="s">
        <v>35</v>
      </c>
      <c r="D3" s="26" t="s">
        <v>29</v>
      </c>
      <c r="E3" s="26" t="s">
        <v>30</v>
      </c>
      <c r="I3" s="28" t="s">
        <v>36</v>
      </c>
      <c r="J3" s="28" t="s">
        <v>37</v>
      </c>
      <c r="K3" s="28" t="s">
        <v>38</v>
      </c>
      <c r="L3" s="28" t="s">
        <v>39</v>
      </c>
      <c r="M3" s="28" t="s">
        <v>40</v>
      </c>
      <c r="N3" s="28"/>
    </row>
    <row r="4" spans="3:14" ht="21" x14ac:dyDescent="0.25">
      <c r="C4" s="27">
        <f>1800*0.1111111003</f>
        <v>199.99998054</v>
      </c>
      <c r="D4" s="22">
        <v>15500</v>
      </c>
      <c r="E4" s="22">
        <f>C4*D4</f>
        <v>3099999.6983699999</v>
      </c>
      <c r="I4" s="2">
        <v>1500</v>
      </c>
      <c r="J4" s="2">
        <v>1800</v>
      </c>
      <c r="K4" s="2">
        <v>2000</v>
      </c>
      <c r="L4" s="29">
        <f>AVERAGE(I4:K4)</f>
        <v>1766.6666666666667</v>
      </c>
      <c r="M4" s="2">
        <v>2250</v>
      </c>
      <c r="N4" s="2"/>
    </row>
    <row r="5" spans="3:14" ht="18.75" x14ac:dyDescent="0.3">
      <c r="I5" s="45" t="s">
        <v>44</v>
      </c>
      <c r="J5" s="45"/>
      <c r="K5" s="45"/>
      <c r="L5" s="45"/>
      <c r="M5" s="45"/>
    </row>
    <row r="9" spans="3:14" x14ac:dyDescent="0.25">
      <c r="M9">
        <f>I4/0.11</f>
        <v>13636.363636363636</v>
      </c>
    </row>
    <row r="10" spans="3:14" x14ac:dyDescent="0.25">
      <c r="M10">
        <f>J4/0.11</f>
        <v>16363.636363636364</v>
      </c>
    </row>
    <row r="11" spans="3:14" ht="21" x14ac:dyDescent="0.25">
      <c r="C11" s="25" t="s">
        <v>31</v>
      </c>
      <c r="D11" s="26" t="s">
        <v>32</v>
      </c>
      <c r="E11" s="26" t="s">
        <v>33</v>
      </c>
      <c r="J11">
        <f>1700*1800</f>
        <v>3060000</v>
      </c>
      <c r="M11">
        <f>K4/0.11</f>
        <v>18181.81818181818</v>
      </c>
    </row>
    <row r="12" spans="3:14" ht="21" x14ac:dyDescent="0.35">
      <c r="C12" s="23">
        <f>E4</f>
        <v>3099999.6983699999</v>
      </c>
      <c r="D12" s="30">
        <f>building!T6</f>
        <v>3321675</v>
      </c>
      <c r="E12" s="23">
        <f>C12+D12</f>
        <v>6421674.6983700003</v>
      </c>
    </row>
    <row r="13" spans="3:14" ht="21" x14ac:dyDescent="0.25">
      <c r="C13" s="42" t="s">
        <v>43</v>
      </c>
      <c r="D13" s="21" t="s">
        <v>34</v>
      </c>
      <c r="E13" s="24">
        <v>6400000</v>
      </c>
      <c r="F13" s="32" t="s">
        <v>42</v>
      </c>
    </row>
    <row r="14" spans="3:14" ht="21" x14ac:dyDescent="0.25">
      <c r="C14" s="43"/>
      <c r="D14" s="21" t="s">
        <v>25</v>
      </c>
      <c r="E14" s="24">
        <f>E13*0.85</f>
        <v>5440000</v>
      </c>
      <c r="F14" s="32" t="s">
        <v>25</v>
      </c>
    </row>
    <row r="15" spans="3:14" ht="21" x14ac:dyDescent="0.25">
      <c r="C15" s="44"/>
      <c r="D15" s="21" t="s">
        <v>26</v>
      </c>
      <c r="E15" s="24">
        <f>E13*0.75</f>
        <v>4800000</v>
      </c>
      <c r="F15" s="32" t="s">
        <v>26</v>
      </c>
    </row>
    <row r="18" spans="6:18" x14ac:dyDescent="0.25">
      <c r="I18" s="49" t="s">
        <v>55</v>
      </c>
      <c r="J18" s="46" t="s">
        <v>52</v>
      </c>
      <c r="K18" s="36" t="s">
        <v>53</v>
      </c>
      <c r="L18" s="50"/>
      <c r="M18" s="50" t="s">
        <v>64</v>
      </c>
    </row>
    <row r="19" spans="6:18" x14ac:dyDescent="0.25">
      <c r="I19" s="49"/>
      <c r="J19" s="47"/>
      <c r="K19" s="36" t="s">
        <v>54</v>
      </c>
      <c r="L19" s="50"/>
      <c r="M19" s="50"/>
    </row>
    <row r="20" spans="6:18" x14ac:dyDescent="0.25">
      <c r="I20" s="49"/>
      <c r="J20" s="47"/>
      <c r="K20" s="36">
        <v>8279468814</v>
      </c>
      <c r="L20" s="50"/>
      <c r="M20" s="50"/>
    </row>
    <row r="21" spans="6:18" x14ac:dyDescent="0.25">
      <c r="I21" s="49"/>
      <c r="J21" s="48"/>
      <c r="K21" s="36">
        <v>9756733218</v>
      </c>
      <c r="L21" s="50"/>
      <c r="M21" s="50"/>
    </row>
    <row r="22" spans="6:18" x14ac:dyDescent="0.25">
      <c r="K22" s="35"/>
    </row>
    <row r="25" spans="6:18" x14ac:dyDescent="0.25">
      <c r="F25" s="39" t="s">
        <v>57</v>
      </c>
      <c r="G25" s="37">
        <v>10000000</v>
      </c>
      <c r="H25" s="39" t="s">
        <v>58</v>
      </c>
      <c r="I25" s="39">
        <f>G25/10000</f>
        <v>1000</v>
      </c>
      <c r="J25" s="39" t="s">
        <v>59</v>
      </c>
    </row>
    <row r="26" spans="6:18" x14ac:dyDescent="0.25">
      <c r="F26" s="41" t="s">
        <v>46</v>
      </c>
      <c r="G26" s="39">
        <v>167.28</v>
      </c>
      <c r="H26" s="38" t="s">
        <v>60</v>
      </c>
      <c r="I26" s="40">
        <f>G26*I25</f>
        <v>167280</v>
      </c>
      <c r="J26" s="38"/>
    </row>
    <row r="29" spans="6:18" x14ac:dyDescent="0.25"/>
    <row r="30" spans="6:18" x14ac:dyDescent="0.25">
      <c r="G30" t="s">
        <v>63</v>
      </c>
      <c r="H30" s="62">
        <f>((E12-I26)/E12)*100</f>
        <v>97.395072035609957</v>
      </c>
    </row>
  </sheetData>
  <mergeCells count="6">
    <mergeCell ref="C13:C15"/>
    <mergeCell ref="I5:M5"/>
    <mergeCell ref="J18:J21"/>
    <mergeCell ref="I18:I21"/>
    <mergeCell ref="L18:L21"/>
    <mergeCell ref="M18:M2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W31"/>
  <sheetViews>
    <sheetView zoomScale="85" zoomScaleNormal="85" zoomScaleSheetLayoutView="85" workbookViewId="0">
      <selection activeCell="B2" sqref="B2:T10"/>
    </sheetView>
  </sheetViews>
  <sheetFormatPr defaultRowHeight="15" x14ac:dyDescent="0.25"/>
  <cols>
    <col min="1" max="1" width="3.42578125" customWidth="1"/>
    <col min="2" max="2" width="7.28515625" bestFit="1" customWidth="1"/>
    <col min="3" max="3" width="13.140625" bestFit="1" customWidth="1"/>
    <col min="4" max="4" width="13.140625" style="17" bestFit="1" customWidth="1"/>
    <col min="5" max="5" width="8.7109375" style="17" bestFit="1" customWidth="1"/>
    <col min="6" max="6" width="20.42578125" style="17" bestFit="1" customWidth="1"/>
    <col min="7" max="7" width="7.7109375" bestFit="1" customWidth="1"/>
    <col min="8" max="8" width="7" bestFit="1" customWidth="1"/>
    <col min="9" max="9" width="12.28515625" bestFit="1" customWidth="1"/>
    <col min="10" max="10" width="9" bestFit="1" customWidth="1"/>
    <col min="11" max="11" width="11.140625" bestFit="1" customWidth="1"/>
    <col min="12" max="12" width="10.5703125" bestFit="1" customWidth="1"/>
    <col min="13" max="13" width="7.7109375" bestFit="1" customWidth="1"/>
    <col min="14" max="14" width="12.42578125" bestFit="1" customWidth="1"/>
    <col min="15" max="15" width="10.85546875" bestFit="1" customWidth="1"/>
    <col min="16" max="16" width="12.7109375" bestFit="1" customWidth="1"/>
    <col min="17" max="17" width="12.42578125" bestFit="1" customWidth="1"/>
    <col min="18" max="18" width="11.7109375" bestFit="1" customWidth="1"/>
    <col min="19" max="19" width="10.85546875" bestFit="1" customWidth="1"/>
    <col min="20" max="20" width="19" style="18" bestFit="1" customWidth="1"/>
    <col min="21" max="21" width="9.28515625" bestFit="1" customWidth="1"/>
    <col min="22" max="23" width="14.28515625" bestFit="1" customWidth="1"/>
  </cols>
  <sheetData>
    <row r="2" spans="1:23" ht="15.75" customHeight="1" x14ac:dyDescent="0.25">
      <c r="B2" s="51" t="s">
        <v>62</v>
      </c>
      <c r="C2" s="52"/>
      <c r="D2" s="52"/>
      <c r="E2" s="52"/>
      <c r="F2" s="52"/>
      <c r="G2" s="52"/>
      <c r="H2" s="52"/>
      <c r="I2" s="52"/>
      <c r="J2" s="52"/>
      <c r="K2" s="52"/>
      <c r="L2" s="52"/>
      <c r="M2" s="52"/>
      <c r="N2" s="52"/>
      <c r="O2" s="52"/>
      <c r="P2" s="52"/>
      <c r="Q2" s="52"/>
      <c r="R2" s="52"/>
      <c r="S2" s="52"/>
      <c r="T2" s="53"/>
    </row>
    <row r="3" spans="1:23" s="15" customFormat="1" ht="60" x14ac:dyDescent="0.25">
      <c r="A3"/>
      <c r="B3" s="13" t="s">
        <v>0</v>
      </c>
      <c r="C3" s="13" t="s">
        <v>1</v>
      </c>
      <c r="D3" s="14" t="s">
        <v>11</v>
      </c>
      <c r="E3" s="14" t="s">
        <v>28</v>
      </c>
      <c r="F3" s="14" t="s">
        <v>4</v>
      </c>
      <c r="G3" s="14" t="s">
        <v>18</v>
      </c>
      <c r="H3" s="14" t="s">
        <v>14</v>
      </c>
      <c r="I3" s="14" t="s">
        <v>2</v>
      </c>
      <c r="J3" s="14" t="s">
        <v>3</v>
      </c>
      <c r="K3" s="14" t="s">
        <v>15</v>
      </c>
      <c r="L3" s="14" t="s">
        <v>16</v>
      </c>
      <c r="M3" s="14" t="s">
        <v>5</v>
      </c>
      <c r="N3" s="14" t="s">
        <v>7</v>
      </c>
      <c r="O3" s="14" t="s">
        <v>17</v>
      </c>
      <c r="P3" s="14" t="s">
        <v>12</v>
      </c>
      <c r="Q3" s="14" t="s">
        <v>8</v>
      </c>
      <c r="R3" s="14" t="s">
        <v>9</v>
      </c>
      <c r="S3" s="14" t="s">
        <v>13</v>
      </c>
      <c r="T3" s="14" t="s">
        <v>10</v>
      </c>
    </row>
    <row r="4" spans="1:23" ht="45" x14ac:dyDescent="0.25">
      <c r="B4" s="12">
        <v>1</v>
      </c>
      <c r="C4" s="2" t="s">
        <v>22</v>
      </c>
      <c r="D4" s="16" t="s">
        <v>21</v>
      </c>
      <c r="E4" s="16" t="s">
        <v>41</v>
      </c>
      <c r="F4" s="16" t="s">
        <v>20</v>
      </c>
      <c r="G4" s="9">
        <v>1800</v>
      </c>
      <c r="H4" s="9">
        <v>10</v>
      </c>
      <c r="I4" s="2">
        <v>2017</v>
      </c>
      <c r="J4" s="2">
        <v>2022</v>
      </c>
      <c r="K4" s="2">
        <f>J4-I4</f>
        <v>5</v>
      </c>
      <c r="L4" s="2">
        <v>60</v>
      </c>
      <c r="M4" s="3">
        <v>0.1</v>
      </c>
      <c r="N4" s="5">
        <f>(1-M4)/L4</f>
        <v>1.5000000000000001E-2</v>
      </c>
      <c r="O4" s="6">
        <v>1050</v>
      </c>
      <c r="P4" s="6">
        <f>O4*G4</f>
        <v>1890000</v>
      </c>
      <c r="Q4" s="6">
        <f t="shared" ref="Q4" si="0">P4*N4*K4</f>
        <v>141750.00000000003</v>
      </c>
      <c r="R4" s="6">
        <f t="shared" ref="R4" si="1">MAX(P4-Q4,0)</f>
        <v>1748250</v>
      </c>
      <c r="S4" s="10">
        <v>0.05</v>
      </c>
      <c r="T4" s="6">
        <f t="shared" ref="T4:T5" si="2">IF(R4&gt;M4*P4,R4*(1-S4),P4*M4)</f>
        <v>1660837.5</v>
      </c>
      <c r="U4" s="11">
        <f>T4/G4</f>
        <v>922.6875</v>
      </c>
      <c r="V4" s="1"/>
      <c r="W4" s="1"/>
    </row>
    <row r="5" spans="1:23" ht="45" x14ac:dyDescent="0.25">
      <c r="B5" s="12">
        <v>2</v>
      </c>
      <c r="C5" s="2" t="s">
        <v>23</v>
      </c>
      <c r="D5" s="16" t="s">
        <v>21</v>
      </c>
      <c r="E5" s="16" t="s">
        <v>41</v>
      </c>
      <c r="F5" s="16" t="s">
        <v>20</v>
      </c>
      <c r="G5" s="9">
        <v>1800</v>
      </c>
      <c r="H5" s="9">
        <v>10</v>
      </c>
      <c r="I5" s="2">
        <v>2017</v>
      </c>
      <c r="J5" s="2">
        <v>2022</v>
      </c>
      <c r="K5" s="2">
        <f>J5-I5</f>
        <v>5</v>
      </c>
      <c r="L5" s="2">
        <v>60</v>
      </c>
      <c r="M5" s="3">
        <v>0.1</v>
      </c>
      <c r="N5" s="5">
        <f>(1-M5)/L5</f>
        <v>1.5000000000000001E-2</v>
      </c>
      <c r="O5" s="6">
        <v>1050</v>
      </c>
      <c r="P5" s="6">
        <f>O5*G5</f>
        <v>1890000</v>
      </c>
      <c r="Q5" s="6">
        <f>P5*N5*K5</f>
        <v>141750.00000000003</v>
      </c>
      <c r="R5" s="6">
        <f>MAX(P5-Q5,0)</f>
        <v>1748250</v>
      </c>
      <c r="S5" s="10">
        <v>0.05</v>
      </c>
      <c r="T5" s="6">
        <f t="shared" si="2"/>
        <v>1660837.5</v>
      </c>
      <c r="U5" s="11">
        <f>T5/G5</f>
        <v>922.6875</v>
      </c>
      <c r="V5" s="1"/>
      <c r="W5" s="1"/>
    </row>
    <row r="6" spans="1:23" x14ac:dyDescent="0.25">
      <c r="B6" s="54" t="s">
        <v>6</v>
      </c>
      <c r="C6" s="54"/>
      <c r="D6" s="54"/>
      <c r="E6" s="54"/>
      <c r="F6" s="54"/>
      <c r="G6" s="31">
        <f>SUM(G4:G5)</f>
        <v>3600</v>
      </c>
      <c r="H6" s="56"/>
      <c r="I6" s="57"/>
      <c r="J6" s="57"/>
      <c r="K6" s="57"/>
      <c r="L6" s="57"/>
      <c r="M6" s="57"/>
      <c r="N6" s="57"/>
      <c r="O6" s="58"/>
      <c r="P6" s="7">
        <f>SUM(P4:P5)</f>
        <v>3780000</v>
      </c>
      <c r="Q6" s="7"/>
      <c r="R6" s="7">
        <f>SUM(R4:R5)</f>
        <v>3496500</v>
      </c>
      <c r="S6" s="7"/>
      <c r="T6" s="7">
        <f>SUM(T4:T5)</f>
        <v>3321675</v>
      </c>
      <c r="U6" s="11"/>
    </row>
    <row r="7" spans="1:23" x14ac:dyDescent="0.25">
      <c r="B7" s="55" t="s">
        <v>19</v>
      </c>
      <c r="C7" s="55"/>
      <c r="D7" s="55"/>
      <c r="E7" s="55"/>
      <c r="F7" s="55"/>
      <c r="G7" s="55"/>
      <c r="H7" s="55"/>
      <c r="I7" s="55"/>
      <c r="J7" s="55"/>
      <c r="K7" s="55"/>
      <c r="L7" s="55"/>
      <c r="M7" s="55"/>
      <c r="N7" s="55"/>
      <c r="O7" s="55"/>
      <c r="P7" s="55"/>
      <c r="Q7" s="55"/>
      <c r="R7" s="55"/>
      <c r="S7" s="55"/>
      <c r="T7" s="55"/>
      <c r="U7" s="11"/>
    </row>
    <row r="8" spans="1:23" x14ac:dyDescent="0.25">
      <c r="B8" s="59" t="s">
        <v>56</v>
      </c>
      <c r="C8" s="59"/>
      <c r="D8" s="59"/>
      <c r="E8" s="59"/>
      <c r="F8" s="59"/>
      <c r="G8" s="59"/>
      <c r="H8" s="59"/>
      <c r="I8" s="59"/>
      <c r="J8" s="59"/>
      <c r="K8" s="59"/>
      <c r="L8" s="59"/>
      <c r="M8" s="59"/>
      <c r="N8" s="59"/>
      <c r="O8" s="59"/>
      <c r="P8" s="59"/>
      <c r="Q8" s="59"/>
      <c r="R8" s="59"/>
      <c r="S8" s="59"/>
      <c r="T8" s="59"/>
      <c r="U8" s="11"/>
    </row>
    <row r="9" spans="1:23" ht="15" customHeight="1" x14ac:dyDescent="0.25">
      <c r="B9" s="60" t="s">
        <v>61</v>
      </c>
      <c r="C9" s="59"/>
      <c r="D9" s="59"/>
      <c r="E9" s="59"/>
      <c r="F9" s="59"/>
      <c r="G9" s="59"/>
      <c r="H9" s="59"/>
      <c r="I9" s="59"/>
      <c r="J9" s="59"/>
      <c r="K9" s="59"/>
      <c r="L9" s="59"/>
      <c r="M9" s="59"/>
      <c r="N9" s="59"/>
      <c r="O9" s="59"/>
      <c r="P9" s="59"/>
      <c r="Q9" s="59"/>
      <c r="R9" s="59"/>
      <c r="S9" s="59"/>
      <c r="T9" s="59"/>
      <c r="U9" s="11"/>
    </row>
    <row r="10" spans="1:23" x14ac:dyDescent="0.25">
      <c r="B10" s="59" t="s">
        <v>24</v>
      </c>
      <c r="C10" s="59"/>
      <c r="D10" s="59"/>
      <c r="E10" s="59"/>
      <c r="F10" s="59"/>
      <c r="G10" s="59"/>
      <c r="H10" s="59"/>
      <c r="I10" s="59"/>
      <c r="J10" s="59"/>
      <c r="K10" s="59"/>
      <c r="L10" s="59"/>
      <c r="M10" s="59"/>
      <c r="N10" s="59"/>
      <c r="O10" s="59"/>
      <c r="P10" s="59"/>
      <c r="Q10" s="59"/>
      <c r="R10" s="59"/>
      <c r="S10" s="59"/>
      <c r="T10" s="59"/>
      <c r="U10" s="11"/>
    </row>
    <row r="11" spans="1:23" x14ac:dyDescent="0.25">
      <c r="U11" s="11"/>
    </row>
    <row r="12" spans="1:23" x14ac:dyDescent="0.25">
      <c r="D12" s="13" t="s">
        <v>1</v>
      </c>
      <c r="U12" s="11"/>
    </row>
    <row r="13" spans="1:23" x14ac:dyDescent="0.25">
      <c r="D13" s="2" t="s">
        <v>22</v>
      </c>
      <c r="F13" s="17">
        <f>SUM(9400+9400+2255+5800)</f>
        <v>26855</v>
      </c>
      <c r="U13" s="11"/>
    </row>
    <row r="14" spans="1:23" x14ac:dyDescent="0.25">
      <c r="D14" s="2" t="s">
        <v>22</v>
      </c>
      <c r="L14">
        <f>1996*9000</f>
        <v>17964000</v>
      </c>
      <c r="U14" s="11"/>
    </row>
    <row r="15" spans="1:23" x14ac:dyDescent="0.25">
      <c r="D15" s="2" t="s">
        <v>22</v>
      </c>
      <c r="L15">
        <v>17960624</v>
      </c>
      <c r="U15" s="11"/>
    </row>
    <row r="16" spans="1:23" x14ac:dyDescent="0.25">
      <c r="D16" s="2" t="s">
        <v>22</v>
      </c>
      <c r="K16" s="19" t="s">
        <v>27</v>
      </c>
      <c r="L16" s="20">
        <f>SUM(L14:L15)</f>
        <v>35924624</v>
      </c>
      <c r="U16" s="11"/>
    </row>
    <row r="17" spans="4:23" x14ac:dyDescent="0.25">
      <c r="D17" s="2" t="s">
        <v>23</v>
      </c>
      <c r="U17" s="11"/>
    </row>
    <row r="18" spans="4:23" x14ac:dyDescent="0.25">
      <c r="D18" s="2" t="s">
        <v>23</v>
      </c>
      <c r="F18" s="17">
        <f>3600-1345</f>
        <v>2255</v>
      </c>
      <c r="H18" s="19" t="s">
        <v>25</v>
      </c>
      <c r="I18" s="20">
        <f>0.85*35900000</f>
        <v>30515000</v>
      </c>
      <c r="U18" s="11"/>
    </row>
    <row r="19" spans="4:23" x14ac:dyDescent="0.25">
      <c r="H19" s="19" t="s">
        <v>26</v>
      </c>
      <c r="I19" s="20">
        <f>0.75*35900000</f>
        <v>26925000</v>
      </c>
      <c r="U19" s="11"/>
    </row>
    <row r="20" spans="4:23" x14ac:dyDescent="0.25">
      <c r="U20" s="11"/>
    </row>
    <row r="22" spans="4:23" x14ac:dyDescent="0.25">
      <c r="U22" s="8"/>
      <c r="V22" s="4"/>
      <c r="W22" s="4"/>
    </row>
    <row r="28" spans="4:23" x14ac:dyDescent="0.25">
      <c r="I28">
        <f>55000000/4200</f>
        <v>13095.238095238095</v>
      </c>
    </row>
    <row r="29" spans="4:23" x14ac:dyDescent="0.25">
      <c r="I29">
        <f>1996*5000</f>
        <v>9980000</v>
      </c>
    </row>
    <row r="30" spans="4:23" x14ac:dyDescent="0.25">
      <c r="I30">
        <f>9980000/35900000</f>
        <v>0.27799442896935933</v>
      </c>
    </row>
    <row r="31" spans="4:23" ht="15" customHeight="1" x14ac:dyDescent="0.25"/>
  </sheetData>
  <mergeCells count="7">
    <mergeCell ref="B2:T2"/>
    <mergeCell ref="B6:F6"/>
    <mergeCell ref="B7:T7"/>
    <mergeCell ref="H6:O6"/>
    <mergeCell ref="B10:T10"/>
    <mergeCell ref="B8:T8"/>
    <mergeCell ref="B9:T9"/>
  </mergeCells>
  <pageMargins left="0.31496062992125984" right="0.31496062992125984" top="0.31496062992125984" bottom="0.31496062992125984"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
  <sheetViews>
    <sheetView zoomScale="160" zoomScaleNormal="160" workbookViewId="0">
      <selection activeCell="F4" sqref="F4"/>
    </sheetView>
  </sheetViews>
  <sheetFormatPr defaultColWidth="16" defaultRowHeight="15" x14ac:dyDescent="0.25"/>
  <cols>
    <col min="1" max="1" width="6.28515625" customWidth="1"/>
    <col min="3" max="3" width="65" bestFit="1" customWidth="1"/>
  </cols>
  <sheetData>
    <row r="2" spans="2:6" ht="15.75" x14ac:dyDescent="0.25">
      <c r="B2" s="61" t="s">
        <v>45</v>
      </c>
      <c r="C2" s="61"/>
      <c r="D2" s="61"/>
      <c r="E2" s="61"/>
      <c r="F2" s="61"/>
    </row>
    <row r="3" spans="2:6" ht="21" x14ac:dyDescent="0.25">
      <c r="B3" s="34" t="s">
        <v>48</v>
      </c>
      <c r="C3" s="34" t="s">
        <v>47</v>
      </c>
      <c r="D3" s="34" t="s">
        <v>46</v>
      </c>
      <c r="E3" s="34" t="s">
        <v>25</v>
      </c>
      <c r="F3" s="34" t="s">
        <v>26</v>
      </c>
    </row>
    <row r="4" spans="2:6" ht="21" x14ac:dyDescent="0.25">
      <c r="B4" s="21">
        <v>1</v>
      </c>
      <c r="C4" s="33" t="s">
        <v>49</v>
      </c>
      <c r="D4" s="22">
        <f>Land!E4</f>
        <v>3099999.6983699999</v>
      </c>
      <c r="E4" s="22">
        <f>D4*0.85</f>
        <v>2634999.7436144999</v>
      </c>
      <c r="F4" s="22">
        <f>D4*0.75</f>
        <v>2324999.7737774998</v>
      </c>
    </row>
    <row r="5" spans="2:6" ht="21" x14ac:dyDescent="0.25">
      <c r="B5" s="21">
        <v>2</v>
      </c>
      <c r="C5" s="33" t="s">
        <v>50</v>
      </c>
      <c r="D5" s="22">
        <v>9600000</v>
      </c>
      <c r="E5" s="22">
        <f>D5*0.85</f>
        <v>8160000</v>
      </c>
      <c r="F5" s="22">
        <f>D5*0.75</f>
        <v>7200000</v>
      </c>
    </row>
  </sheetData>
  <mergeCells count="1">
    <mergeCell ref="B2:F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Land</vt:lpstr>
      <vt:lpstr>building</vt:lpstr>
      <vt:lpstr>Sheet1</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Arun Tomar</cp:lastModifiedBy>
  <cp:lastPrinted>2022-01-07T08:12:53Z</cp:lastPrinted>
  <dcterms:created xsi:type="dcterms:W3CDTF">2021-09-16T11:33:35Z</dcterms:created>
  <dcterms:modified xsi:type="dcterms:W3CDTF">2022-06-13T12:25:21Z</dcterms:modified>
</cp:coreProperties>
</file>