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Y:\Files For Review\Rajani Gupta\VIS(2022-23)-PL099-083-138 (Holostik India Ltd.)\PreparerReport\"/>
    </mc:Choice>
  </mc:AlternateContent>
  <xr:revisionPtr revIDLastSave="0" documentId="13_ncr:1_{BAD50039-74EC-4D10-A0E2-77D389835177}" xr6:coauthVersionLast="47" xr6:coauthVersionMax="47" xr10:uidLastSave="{00000000-0000-0000-0000-000000000000}"/>
  <bookViews>
    <workbookView showVerticalScroll="0" xWindow="-120" yWindow="-120" windowWidth="24240" windowHeight="13140" xr2:uid="{00000000-000D-0000-FFFF-FFFF00000000}"/>
  </bookViews>
  <sheets>
    <sheet name="Building" sheetId="1" r:id="rId1"/>
    <sheet name="Sheet3" sheetId="3" r:id="rId2"/>
    <sheet name="Land" sheetId="2" r:id="rId3"/>
  </sheets>
  <definedNames>
    <definedName name="_xlnm.Print_Area" localSheetId="0">Building!$B$1:$S$16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3" i="1" l="1"/>
  <c r="K21" i="1"/>
  <c r="F11" i="1" l="1"/>
  <c r="O11" i="1" s="1"/>
  <c r="P11" i="1" s="1"/>
  <c r="H26" i="1"/>
  <c r="H25" i="1"/>
  <c r="Q11" i="1" l="1"/>
  <c r="S11" i="1" s="1"/>
  <c r="F9" i="1"/>
  <c r="M10" i="1"/>
  <c r="J10" i="1"/>
  <c r="F10" i="1"/>
  <c r="O10" i="1" s="1"/>
  <c r="F8" i="1"/>
  <c r="F7" i="1"/>
  <c r="F6" i="1"/>
  <c r="F5" i="1"/>
  <c r="F4" i="1"/>
  <c r="P10" i="1" l="1"/>
  <c r="Q10" i="1" s="1"/>
  <c r="S10" i="1" s="1"/>
  <c r="F12" i="1"/>
  <c r="O8" i="1"/>
  <c r="O9" i="1"/>
  <c r="M9" i="1"/>
  <c r="J9" i="1"/>
  <c r="M8" i="1"/>
  <c r="J8" i="1"/>
  <c r="P8" i="1" l="1"/>
  <c r="Q8" i="1" s="1"/>
  <c r="P9" i="1"/>
  <c r="Q9" i="1" s="1"/>
  <c r="S9" i="1" s="1"/>
  <c r="O5" i="1"/>
  <c r="M5" i="1"/>
  <c r="J5" i="1"/>
  <c r="O6" i="1"/>
  <c r="M6" i="1"/>
  <c r="J6" i="1"/>
  <c r="S8" i="1" l="1"/>
  <c r="P5" i="1"/>
  <c r="Q5" i="1" s="1"/>
  <c r="S5" i="1" s="1"/>
  <c r="P6" i="1"/>
  <c r="Q6" i="1" s="1"/>
  <c r="S6" i="1" s="1"/>
  <c r="J7" i="1"/>
  <c r="M7" i="1"/>
  <c r="O7" i="1"/>
  <c r="P7" i="1" l="1"/>
  <c r="Q7" i="1" s="1"/>
  <c r="S7" i="1" s="1"/>
  <c r="O4" i="1" l="1"/>
  <c r="O12" i="1" s="1"/>
  <c r="M4" i="1"/>
  <c r="J4" i="1" l="1"/>
  <c r="P4" i="1" l="1"/>
  <c r="Q4" i="1" l="1"/>
  <c r="Q12" i="1" s="1"/>
  <c r="P12" i="1"/>
  <c r="S4" i="1" l="1"/>
  <c r="S12" i="1" s="1"/>
  <c r="K20" i="1" s="1"/>
  <c r="K23" i="1" s="1"/>
  <c r="H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29" authorId="0" shapeId="0" xr:uid="{00000000-0006-0000-0200-00000100000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<sst xmlns="http://schemas.openxmlformats.org/spreadsheetml/2006/main" count="54" uniqueCount="45">
  <si>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</si>
  <si>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</si>
  <si>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</si>
  <si>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</si>
  <si>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</si>
  <si>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</si>
  <si>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</si>
  <si>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</si>
  <si>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</si>
  <si>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</si>
  <si>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</si>
  <si>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</si>
  <si>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</si>
  <si>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</si>
  <si>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</si>
  <si>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</si>
  <si>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</si>
  <si>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</si>
  <si>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</si>
  <si>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</si>
  <si>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Ground Floor</t>
  </si>
  <si>
    <r>
      <t>3.</t>
    </r>
    <r>
      <rPr>
        <i/>
        <sz val="10"/>
        <color theme="1"/>
        <rFont val="Calibri"/>
        <family val="2"/>
        <scheme val="minor"/>
      </rPr>
      <t xml:space="preserve"> The valuation is done by considering the depreciated replacement cost approach.</t>
    </r>
  </si>
  <si>
    <t>RV</t>
  </si>
  <si>
    <t>DV</t>
  </si>
  <si>
    <t>TOTAL FMV</t>
  </si>
  <si>
    <t>Unit</t>
  </si>
  <si>
    <t>Shed Area on Load Bearing wall and structure made of iron</t>
  </si>
  <si>
    <t>BUILDING VALUATION OF M/S. HOLOSTIK INDIA  LTD.|PANT NAGAR,UTTARKHAND</t>
  </si>
  <si>
    <t>Office Room</t>
  </si>
  <si>
    <t xml:space="preserve">Lunch Room &amp; Panel Room </t>
  </si>
  <si>
    <t>Guard Room</t>
  </si>
  <si>
    <t>Store Room</t>
  </si>
  <si>
    <t xml:space="preserve">Unit 1 </t>
  </si>
  <si>
    <t>DG Room 1</t>
  </si>
  <si>
    <t>DG Room 2</t>
  </si>
  <si>
    <t>Tin shed over steel structue bounded by brick wall</t>
  </si>
  <si>
    <t>Tin shed over RCC framed column and wall</t>
  </si>
  <si>
    <r>
      <t xml:space="preserve">2. </t>
    </r>
    <r>
      <rPr>
        <i/>
        <sz val="10"/>
        <color theme="1"/>
        <rFont val="Calibri"/>
        <family val="2"/>
        <scheme val="minor"/>
      </rPr>
      <t>All the structure that has been taken in the area statemnet belonging to M/s. Holostik India Ltd.</t>
    </r>
  </si>
  <si>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</si>
  <si>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BUILDING</t>
  </si>
  <si>
    <t>LAND</t>
  </si>
  <si>
    <t>ROUND OFF</t>
  </si>
  <si>
    <t>PREMIIUM</t>
  </si>
  <si>
    <t>revised rate</t>
  </si>
  <si>
    <t>LAND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</si>
</sst>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1">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164" fontId="2" fillId="0" borderId="1" xfId="3" applyNumberFormat="1" applyFont="1" applyBorder="1" applyAlignment="1">
      <alignment horizontal="center" vertical="center"/>
    </xf>
    <xf numFmtId="0" fontId="2" fillId="6" borderId="0" xfId="0" applyFont="1" applyFill="1" applyAlignment="1">
      <alignment wrapText="1"/>
    </xf>
    <xf numFmtId="167" fontId="2" fillId="5" borderId="0" xfId="1" applyNumberFormat="1" applyFont="1" applyFill="1"/>
    <xf numFmtId="166" fontId="0" fillId="5" borderId="0" xfId="0" applyNumberFormat="1" applyFill="1"/>
    <xf numFmtId="167" fontId="0" fillId="5" borderId="0" xfId="0" applyNumberFormat="1" applyFill="1"/>
    <xf numFmtId="167" fontId="2" fillId="5" borderId="0" xfId="0" applyNumberFormat="1" applyFont="1" applyFill="1"/>
    <xf numFmtId="0" fontId="0" fillId="6" borderId="0" xfId="0" applyFill="1" applyAlignment="1">
      <alignment wrapText="1"/>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38"/>
  <sheetViews>
    <sheetView tabSelected="1" topLeftCell="A7" zoomScale="96" zoomScaleNormal="96" zoomScaleSheetLayoutView="85" workbookViewId="0">
      <selection activeCell="U12" sqref="U12"/>
    </sheetView>
  </sheetViews>
  <sheetFormatPr defaultRowHeight="15" x14ac:dyDescent="0.25"/>
  <cols>
    <col min="2" max="2" width="7.28515625" bestFit="1" customWidth="1"/>
    <col min="3" max="3" width="12.7109375" customWidth="1"/>
    <col min="4" max="4" width="14.7109375" style="18" customWidth="1"/>
    <col min="5" max="5" width="22.7109375" style="18" customWidth="1"/>
    <col min="6" max="6" width="8.5703125" customWidth="1"/>
    <col min="7" max="7" width="9.42578125" customWidth="1"/>
    <col min="8" max="8" width="12.140625" customWidth="1"/>
    <col min="9" max="9" width="9.42578125" customWidth="1"/>
    <col min="10" max="10" width="9.7109375" bestFit="1" customWidth="1"/>
    <col min="11" max="11" width="10.85546875" customWidth="1"/>
    <col min="12" max="12" width="7.7109375" hidden="1" customWidth="1"/>
    <col min="13" max="13" width="12.42578125" hidden="1" customWidth="1"/>
    <col min="14" max="14" width="9.7109375" customWidth="1"/>
    <col min="15" max="15" width="13.7109375" customWidth="1"/>
    <col min="16" max="16" width="14.140625" customWidth="1"/>
    <col min="17" max="17" width="14" hidden="1" customWidth="1"/>
    <col min="18" max="18" width="11.140625" hidden="1" customWidth="1"/>
    <col min="19" max="19" width="13.42578125" style="22" customWidth="1"/>
    <col min="20" max="20" width="17" hidden="1" customWidth="1"/>
    <col min="21" max="22" width="14.28515625" bestFit="1" customWidth="1"/>
  </cols>
  <sheetData>
    <row r="2" spans="2:22" ht="12.75" customHeight="1" x14ac:dyDescent="0.25">
      <c r="B2" s="32" t="s">
        <v>27</v>
      </c>
      <c r="C2" s="33"/>
      <c r="D2" s="33"/>
      <c r="E2" s="33"/>
      <c r="F2" s="33"/>
      <c r="G2" s="33"/>
      <c r="H2" s="33"/>
      <c r="I2" s="33"/>
      <c r="J2" s="33"/>
      <c r="K2" s="33"/>
      <c r="L2" s="33"/>
      <c r="M2" s="33"/>
      <c r="N2" s="33"/>
      <c r="O2" s="33"/>
      <c r="P2" s="33"/>
      <c r="Q2" s="33"/>
      <c r="R2" s="33"/>
      <c r="S2" s="34"/>
    </row>
    <row r="3" spans="2:22" s="16" customFormat="1" ht="63.75" customHeight="1" x14ac:dyDescent="0.25">
      <c r="B3" s="14" t="s">
        <v>0</v>
      </c>
      <c r="C3" s="14" t="s">
        <v>1</v>
      </c>
      <c r="D3" s="15" t="s">
        <v>25</v>
      </c>
      <c r="E3" s="15" t="s">
        <v>4</v>
      </c>
      <c r="F3" s="15" t="s">
        <v>17</v>
      </c>
      <c r="G3" s="15" t="s">
        <v>13</v>
      </c>
      <c r="H3" s="15" t="s">
        <v>2</v>
      </c>
      <c r="I3" s="15" t="s">
        <v>3</v>
      </c>
      <c r="J3" s="15" t="s">
        <v>14</v>
      </c>
      <c r="K3" s="15" t="s">
        <v>15</v>
      </c>
      <c r="L3" s="15" t="s">
        <v>5</v>
      </c>
      <c r="M3" s="15" t="s">
        <v>7</v>
      </c>
      <c r="N3" s="15" t="s">
        <v>16</v>
      </c>
      <c r="O3" s="15" t="s">
        <v>11</v>
      </c>
      <c r="P3" s="15" t="s">
        <v>8</v>
      </c>
      <c r="Q3" s="15" t="s">
        <v>9</v>
      </c>
      <c r="R3" s="15" t="s">
        <v>12</v>
      </c>
      <c r="S3" s="15" t="s">
        <v>10</v>
      </c>
      <c r="T3" s="16" t="s">
        <v>43</v>
      </c>
    </row>
    <row r="4" spans="2:22" ht="30" x14ac:dyDescent="0.25">
      <c r="B4" s="13">
        <v>1</v>
      </c>
      <c r="C4" s="2" t="s">
        <v>20</v>
      </c>
      <c r="D4" s="17" t="s">
        <v>28</v>
      </c>
      <c r="E4" s="17" t="s">
        <v>19</v>
      </c>
      <c r="F4" s="10">
        <f>13*50*O19</f>
        <v>6996.5349999999999</v>
      </c>
      <c r="G4" s="10">
        <v>12</v>
      </c>
      <c r="H4" s="2">
        <v>2006</v>
      </c>
      <c r="I4" s="2">
        <v>2022</v>
      </c>
      <c r="J4" s="2">
        <f>I4-H4</f>
        <v>16</v>
      </c>
      <c r="K4" s="2">
        <v>60</v>
      </c>
      <c r="L4" s="3">
        <v>0.1</v>
      </c>
      <c r="M4" s="5">
        <f>(1-L4)/K4</f>
        <v>1.5000000000000001E-2</v>
      </c>
      <c r="N4" s="6">
        <v>1400</v>
      </c>
      <c r="O4" s="6">
        <f>N4*F4</f>
        <v>9795149</v>
      </c>
      <c r="P4" s="6">
        <f t="shared" ref="P4:P7" si="0">O4*M4*J4</f>
        <v>2350835.7600000002</v>
      </c>
      <c r="Q4" s="6">
        <f t="shared" ref="Q4:Q7" si="1">MAX(O4-P4,0)</f>
        <v>7444313.2400000002</v>
      </c>
      <c r="R4" s="11">
        <v>0</v>
      </c>
      <c r="S4" s="6">
        <f t="shared" ref="S4:S7" si="2">IF(Q4&gt;L4*O4,Q4*(1-R4),O4*L4)</f>
        <v>7444313.2400000002</v>
      </c>
      <c r="T4" s="12">
        <v>1400</v>
      </c>
      <c r="U4" s="1"/>
      <c r="V4" s="1"/>
    </row>
    <row r="5" spans="2:22" ht="33.75" customHeight="1" x14ac:dyDescent="0.25">
      <c r="B5" s="13">
        <v>2</v>
      </c>
      <c r="C5" s="2" t="s">
        <v>20</v>
      </c>
      <c r="D5" s="17" t="s">
        <v>29</v>
      </c>
      <c r="E5" s="17" t="s">
        <v>19</v>
      </c>
      <c r="F5" s="10">
        <f>42*7*O19</f>
        <v>3164.5866000000001</v>
      </c>
      <c r="G5" s="10">
        <v>15</v>
      </c>
      <c r="H5" s="2">
        <v>2006</v>
      </c>
      <c r="I5" s="2">
        <v>2022</v>
      </c>
      <c r="J5" s="2">
        <f>I5-H5</f>
        <v>16</v>
      </c>
      <c r="K5" s="2">
        <v>60</v>
      </c>
      <c r="L5" s="3">
        <v>0.1</v>
      </c>
      <c r="M5" s="5">
        <f>(1-L5)/K5</f>
        <v>1.5000000000000001E-2</v>
      </c>
      <c r="N5" s="6">
        <v>1100</v>
      </c>
      <c r="O5" s="6">
        <f>N5*F5</f>
        <v>3481045.2600000002</v>
      </c>
      <c r="P5" s="6">
        <f>O5*M5*J5</f>
        <v>835450.8624000001</v>
      </c>
      <c r="Q5" s="6">
        <f>MAX(O5-P5,0)</f>
        <v>2645594.3976000003</v>
      </c>
      <c r="R5" s="11">
        <v>0</v>
      </c>
      <c r="S5" s="6">
        <f t="shared" si="2"/>
        <v>2645594.3976000003</v>
      </c>
      <c r="T5" s="12">
        <v>1100</v>
      </c>
      <c r="U5" s="1"/>
      <c r="V5" s="1"/>
    </row>
    <row r="6" spans="2:22" ht="30" x14ac:dyDescent="0.25">
      <c r="B6" s="13">
        <v>3</v>
      </c>
      <c r="C6" s="2" t="s">
        <v>20</v>
      </c>
      <c r="D6" s="17" t="s">
        <v>30</v>
      </c>
      <c r="E6" s="17" t="s">
        <v>19</v>
      </c>
      <c r="F6" s="10">
        <f>10*3.6*O19</f>
        <v>387.50040000000001</v>
      </c>
      <c r="G6" s="10">
        <v>12</v>
      </c>
      <c r="H6" s="2">
        <v>2006</v>
      </c>
      <c r="I6" s="2">
        <v>2022</v>
      </c>
      <c r="J6" s="2">
        <f t="shared" ref="J6" si="3">I6-H6</f>
        <v>16</v>
      </c>
      <c r="K6" s="2">
        <v>60</v>
      </c>
      <c r="L6" s="3">
        <v>0.1</v>
      </c>
      <c r="M6" s="5">
        <f t="shared" ref="M6" si="4">(1-L6)/K6</f>
        <v>1.5000000000000001E-2</v>
      </c>
      <c r="N6" s="6">
        <v>1000</v>
      </c>
      <c r="O6" s="6">
        <f t="shared" ref="O6" si="5">N6*F6</f>
        <v>387500.4</v>
      </c>
      <c r="P6" s="6">
        <f t="shared" ref="P6" si="6">O6*M6*J6</f>
        <v>93000.09600000002</v>
      </c>
      <c r="Q6" s="6">
        <f t="shared" ref="Q6" si="7">MAX(O6-P6,0)</f>
        <v>294500.304</v>
      </c>
      <c r="R6" s="11">
        <v>0</v>
      </c>
      <c r="S6" s="6">
        <f t="shared" ref="S6" si="8">IF(Q6&gt;L6*O6,Q6*(1-R6),O6*L6)</f>
        <v>294500.304</v>
      </c>
      <c r="T6" s="12">
        <v>1000</v>
      </c>
      <c r="U6" s="1"/>
      <c r="V6" s="1"/>
    </row>
    <row r="7" spans="2:22" ht="30" x14ac:dyDescent="0.25">
      <c r="B7" s="13">
        <v>4</v>
      </c>
      <c r="C7" s="2" t="s">
        <v>20</v>
      </c>
      <c r="D7" s="17" t="s">
        <v>31</v>
      </c>
      <c r="E7" s="17" t="s">
        <v>19</v>
      </c>
      <c r="F7" s="10">
        <f>25*15*O19</f>
        <v>4036.4624999999996</v>
      </c>
      <c r="G7" s="10">
        <v>15</v>
      </c>
      <c r="H7" s="2">
        <v>2006</v>
      </c>
      <c r="I7" s="2">
        <v>2022</v>
      </c>
      <c r="J7" s="2">
        <f t="shared" ref="J7" si="9">I7-H7</f>
        <v>16</v>
      </c>
      <c r="K7" s="2">
        <v>60</v>
      </c>
      <c r="L7" s="3">
        <v>0.1</v>
      </c>
      <c r="M7" s="5">
        <f t="shared" ref="M7" si="10">(1-L7)/K7</f>
        <v>1.5000000000000001E-2</v>
      </c>
      <c r="N7" s="6">
        <v>1100</v>
      </c>
      <c r="O7" s="6">
        <f t="shared" ref="O7" si="11">N7*F7</f>
        <v>4440108.75</v>
      </c>
      <c r="P7" s="6">
        <f t="shared" si="0"/>
        <v>1065626.1000000001</v>
      </c>
      <c r="Q7" s="6">
        <f t="shared" si="1"/>
        <v>3374482.65</v>
      </c>
      <c r="R7" s="11">
        <v>0</v>
      </c>
      <c r="S7" s="6">
        <f t="shared" si="2"/>
        <v>3374482.65</v>
      </c>
      <c r="T7" s="12">
        <v>1100</v>
      </c>
      <c r="U7" s="1"/>
      <c r="V7" s="1"/>
    </row>
    <row r="8" spans="2:22" ht="43.5" customHeight="1" x14ac:dyDescent="0.25">
      <c r="B8" s="13">
        <v>5</v>
      </c>
      <c r="C8" s="2" t="s">
        <v>20</v>
      </c>
      <c r="D8" s="17" t="s">
        <v>32</v>
      </c>
      <c r="E8" s="17" t="s">
        <v>26</v>
      </c>
      <c r="F8" s="10">
        <f>60*56*O19</f>
        <v>36166.703999999998</v>
      </c>
      <c r="G8" s="10">
        <v>35</v>
      </c>
      <c r="H8" s="2">
        <v>2006</v>
      </c>
      <c r="I8" s="2">
        <v>2022</v>
      </c>
      <c r="J8" s="2">
        <f>I8-H8</f>
        <v>16</v>
      </c>
      <c r="K8" s="2">
        <v>40</v>
      </c>
      <c r="L8" s="3">
        <v>0.1</v>
      </c>
      <c r="M8" s="5">
        <f>(1-L8)/K8</f>
        <v>2.2499999999999999E-2</v>
      </c>
      <c r="N8" s="6">
        <v>1100</v>
      </c>
      <c r="O8" s="6">
        <f>N8*F8</f>
        <v>39783374.399999999</v>
      </c>
      <c r="P8" s="6">
        <f t="shared" ref="P8" si="12">O8*M8*J8</f>
        <v>14322014.783999998</v>
      </c>
      <c r="Q8" s="6">
        <f t="shared" ref="Q8" si="13">MAX(O8-P8,0)</f>
        <v>25461359.616</v>
      </c>
      <c r="R8" s="11">
        <v>0</v>
      </c>
      <c r="S8" s="6">
        <f t="shared" ref="S8:S10" si="14">IF(Q8&gt;L8*O8,Q8*(1-R8),O8*L8)</f>
        <v>25461359.616</v>
      </c>
      <c r="T8" s="12">
        <v>1100</v>
      </c>
      <c r="U8" s="1"/>
      <c r="V8" s="1"/>
    </row>
    <row r="9" spans="2:22" ht="38.25" customHeight="1" x14ac:dyDescent="0.25">
      <c r="B9" s="13">
        <v>6</v>
      </c>
      <c r="C9" s="2" t="s">
        <v>20</v>
      </c>
      <c r="D9" s="17" t="s">
        <v>33</v>
      </c>
      <c r="E9" s="17" t="s">
        <v>35</v>
      </c>
      <c r="F9" s="10">
        <f>9.28*13.43*O19</f>
        <v>1341.5091625599998</v>
      </c>
      <c r="G9" s="10">
        <v>20</v>
      </c>
      <c r="H9" s="2">
        <v>2006</v>
      </c>
      <c r="I9" s="2">
        <v>2022</v>
      </c>
      <c r="J9" s="2">
        <f>I9-H9</f>
        <v>16</v>
      </c>
      <c r="K9" s="2">
        <v>40</v>
      </c>
      <c r="L9" s="3">
        <v>0.1</v>
      </c>
      <c r="M9" s="5">
        <f>(1-L9)/K9</f>
        <v>2.2499999999999999E-2</v>
      </c>
      <c r="N9" s="6">
        <v>800</v>
      </c>
      <c r="O9" s="6">
        <f>N9*F9</f>
        <v>1073207.330048</v>
      </c>
      <c r="P9" s="6">
        <f>O9*M9*J9</f>
        <v>386354.63881727995</v>
      </c>
      <c r="Q9" s="6">
        <f>MAX(O9-P9,0)</f>
        <v>686852.69123072003</v>
      </c>
      <c r="R9" s="11">
        <v>0</v>
      </c>
      <c r="S9" s="6">
        <f t="shared" si="14"/>
        <v>686852.69123072003</v>
      </c>
      <c r="T9" s="12">
        <v>800</v>
      </c>
      <c r="U9" s="1"/>
      <c r="V9" s="1"/>
    </row>
    <row r="10" spans="2:22" ht="30" x14ac:dyDescent="0.25">
      <c r="B10" s="13">
        <v>7</v>
      </c>
      <c r="C10" s="2" t="s">
        <v>20</v>
      </c>
      <c r="D10" s="17" t="s">
        <v>34</v>
      </c>
      <c r="E10" s="17" t="s">
        <v>36</v>
      </c>
      <c r="F10" s="10">
        <f>10*9.28*O19</f>
        <v>998.88991999999996</v>
      </c>
      <c r="G10" s="10">
        <v>20</v>
      </c>
      <c r="H10" s="2">
        <v>2006</v>
      </c>
      <c r="I10" s="2">
        <v>2022</v>
      </c>
      <c r="J10" s="2">
        <f>I10-H10</f>
        <v>16</v>
      </c>
      <c r="K10" s="2">
        <v>40</v>
      </c>
      <c r="L10" s="3">
        <v>0.1</v>
      </c>
      <c r="M10" s="5">
        <f>(1-L10)/K10</f>
        <v>2.2499999999999999E-2</v>
      </c>
      <c r="N10" s="6">
        <v>800</v>
      </c>
      <c r="O10" s="6">
        <f>N10*F10</f>
        <v>799111.93599999999</v>
      </c>
      <c r="P10" s="6">
        <f>O10*M10*J10</f>
        <v>287680.29696000001</v>
      </c>
      <c r="Q10" s="6">
        <f>MAX(O10-P10,0)</f>
        <v>511431.63903999998</v>
      </c>
      <c r="R10" s="11">
        <v>0</v>
      </c>
      <c r="S10" s="6">
        <f t="shared" si="14"/>
        <v>511431.63903999998</v>
      </c>
      <c r="T10" s="12">
        <v>800</v>
      </c>
      <c r="U10" s="1"/>
      <c r="V10" s="1"/>
    </row>
    <row r="11" spans="2:22" hidden="1" x14ac:dyDescent="0.25">
      <c r="B11" s="13"/>
      <c r="C11" s="2"/>
      <c r="D11" s="17"/>
      <c r="E11" s="17"/>
      <c r="F11" s="10">
        <f>560*3.28</f>
        <v>1836.8</v>
      </c>
      <c r="G11" s="10"/>
      <c r="H11" s="2"/>
      <c r="I11" s="2"/>
      <c r="J11" s="2"/>
      <c r="K11" s="2"/>
      <c r="L11" s="3"/>
      <c r="M11" s="5"/>
      <c r="N11" s="6">
        <v>1100</v>
      </c>
      <c r="O11" s="6">
        <f>N11*F11</f>
        <v>2020480</v>
      </c>
      <c r="P11" s="6">
        <f>O11*M11*J11</f>
        <v>0</v>
      </c>
      <c r="Q11" s="6">
        <f>MAX(O11-P11,0)</f>
        <v>2020480</v>
      </c>
      <c r="R11" s="11"/>
      <c r="S11" s="6">
        <f t="shared" ref="S11" si="15">IF(Q11&gt;L11*O11,Q11*(1-R11),O11*L11)</f>
        <v>2020480</v>
      </c>
      <c r="T11" s="12"/>
      <c r="U11" s="1"/>
      <c r="V11" s="1"/>
    </row>
    <row r="12" spans="2:22" x14ac:dyDescent="0.25">
      <c r="B12" s="35" t="s">
        <v>6</v>
      </c>
      <c r="C12" s="35"/>
      <c r="D12" s="35"/>
      <c r="E12" s="35"/>
      <c r="F12" s="24">
        <f>SUM(F4:F10)</f>
        <v>53092.18758256</v>
      </c>
      <c r="G12" s="9"/>
      <c r="H12" s="35"/>
      <c r="I12" s="35"/>
      <c r="J12" s="35"/>
      <c r="K12" s="35"/>
      <c r="L12" s="35"/>
      <c r="M12" s="35"/>
      <c r="N12" s="35"/>
      <c r="O12" s="7">
        <f>SUM(O4:O10)</f>
        <v>59759497.076048002</v>
      </c>
      <c r="P12" s="7">
        <f>SUM(P4:P11)</f>
        <v>19340962.538177278</v>
      </c>
      <c r="Q12" s="7">
        <f>SUM(Q4:Q10)</f>
        <v>40418534.53787072</v>
      </c>
      <c r="R12" s="7"/>
      <c r="S12" s="7">
        <f>SUM((S4:S10))</f>
        <v>40418534.53787072</v>
      </c>
      <c r="T12" s="12"/>
    </row>
    <row r="13" spans="2:22" x14ac:dyDescent="0.25">
      <c r="B13" s="37" t="s">
        <v>18</v>
      </c>
      <c r="C13" s="37"/>
      <c r="D13" s="37"/>
      <c r="E13" s="37"/>
      <c r="F13" s="37"/>
      <c r="G13" s="37"/>
      <c r="H13" s="37"/>
      <c r="I13" s="37"/>
      <c r="J13" s="37"/>
      <c r="K13" s="37"/>
      <c r="L13" s="37"/>
      <c r="M13" s="37"/>
      <c r="N13" s="37"/>
      <c r="O13" s="37"/>
      <c r="P13" s="37"/>
      <c r="Q13" s="37"/>
      <c r="R13" s="37"/>
      <c r="S13" s="37"/>
      <c r="T13" s="12"/>
    </row>
    <row r="14" spans="2:22" x14ac:dyDescent="0.25">
      <c r="B14" s="31" t="s">
        <v>38</v>
      </c>
      <c r="C14" s="31"/>
      <c r="D14" s="31"/>
      <c r="E14" s="31"/>
      <c r="F14" s="31"/>
      <c r="G14" s="31"/>
      <c r="H14" s="31"/>
      <c r="I14" s="31"/>
      <c r="J14" s="31"/>
      <c r="K14" s="31"/>
      <c r="L14" s="31"/>
      <c r="M14" s="31"/>
      <c r="N14" s="31"/>
      <c r="O14" s="31"/>
      <c r="P14" s="31"/>
      <c r="Q14" s="31"/>
      <c r="R14" s="31"/>
      <c r="S14" s="31"/>
      <c r="T14" s="12"/>
    </row>
    <row r="15" spans="2:22" x14ac:dyDescent="0.25">
      <c r="B15" s="36" t="s">
        <v>37</v>
      </c>
      <c r="C15" s="31"/>
      <c r="D15" s="31"/>
      <c r="E15" s="31"/>
      <c r="F15" s="31"/>
      <c r="G15" s="31"/>
      <c r="H15" s="31"/>
      <c r="I15" s="31"/>
      <c r="J15" s="31"/>
      <c r="K15" s="31"/>
      <c r="L15" s="31"/>
      <c r="M15" s="31"/>
      <c r="N15" s="31"/>
      <c r="O15" s="31"/>
      <c r="P15" s="31"/>
      <c r="Q15" s="31"/>
      <c r="R15" s="31"/>
      <c r="S15" s="31"/>
      <c r="T15" s="12"/>
    </row>
    <row r="16" spans="2:22" x14ac:dyDescent="0.25">
      <c r="B16" s="31" t="s">
        <v>21</v>
      </c>
      <c r="C16" s="31"/>
      <c r="D16" s="31"/>
      <c r="E16" s="31"/>
      <c r="F16" s="31"/>
      <c r="G16" s="31"/>
      <c r="H16" s="31"/>
      <c r="I16" s="31"/>
      <c r="J16" s="31"/>
      <c r="K16" s="31"/>
      <c r="L16" s="31"/>
      <c r="M16" s="31"/>
      <c r="N16" s="31"/>
      <c r="O16" s="31"/>
      <c r="P16" s="31"/>
      <c r="Q16" s="31"/>
      <c r="R16" s="31"/>
      <c r="S16" s="31"/>
      <c r="T16" s="12"/>
    </row>
    <row r="17" spans="7:22" x14ac:dyDescent="0.25">
      <c r="T17" s="12"/>
    </row>
    <row r="18" spans="7:22" x14ac:dyDescent="0.25">
      <c r="T18" s="12"/>
    </row>
    <row r="19" spans="7:22" x14ac:dyDescent="0.25">
      <c r="O19">
        <v>10.7639</v>
      </c>
      <c r="T19" s="12"/>
    </row>
    <row r="20" spans="7:22" x14ac:dyDescent="0.25">
      <c r="J20" s="23" t="s">
        <v>39</v>
      </c>
      <c r="K20" s="27">
        <f>S12</f>
        <v>40418534.53787072</v>
      </c>
      <c r="T20" s="12"/>
    </row>
    <row r="21" spans="7:22" x14ac:dyDescent="0.25">
      <c r="J21" s="23" t="s">
        <v>40</v>
      </c>
      <c r="K21" s="28">
        <f>3150*19694</f>
        <v>62036100</v>
      </c>
      <c r="T21" s="12"/>
    </row>
    <row r="22" spans="7:22" x14ac:dyDescent="0.25">
      <c r="J22" s="23" t="s">
        <v>42</v>
      </c>
      <c r="K22" s="28">
        <v>2000000</v>
      </c>
      <c r="T22" s="12"/>
    </row>
    <row r="23" spans="7:22" ht="45" x14ac:dyDescent="0.25">
      <c r="G23" s="30" t="s">
        <v>44</v>
      </c>
      <c r="H23" s="27">
        <f>(K20+K21)</f>
        <v>102454634.53787072</v>
      </c>
      <c r="J23" s="25" t="s">
        <v>24</v>
      </c>
      <c r="K23" s="26">
        <f>SUM((K20:K22))</f>
        <v>104454634.53787072</v>
      </c>
      <c r="P23">
        <f>6500*19694</f>
        <v>128011000</v>
      </c>
      <c r="T23" s="12"/>
    </row>
    <row r="24" spans="7:22" ht="30" x14ac:dyDescent="0.25">
      <c r="J24" s="25" t="s">
        <v>41</v>
      </c>
      <c r="K24" s="29">
        <v>102500000</v>
      </c>
      <c r="T24" s="12"/>
    </row>
    <row r="25" spans="7:22" x14ac:dyDescent="0.25">
      <c r="G25" s="23" t="s">
        <v>22</v>
      </c>
      <c r="H25" s="29">
        <f>0.85*K24</f>
        <v>87125000</v>
      </c>
      <c r="T25" s="12"/>
    </row>
    <row r="26" spans="7:22" x14ac:dyDescent="0.25">
      <c r="G26" s="23" t="s">
        <v>23</v>
      </c>
      <c r="H26" s="29">
        <f>0.75*K24</f>
        <v>76875000</v>
      </c>
      <c r="T26" s="12"/>
    </row>
    <row r="27" spans="7:22" x14ac:dyDescent="0.25">
      <c r="T27" s="12"/>
    </row>
    <row r="29" spans="7:22" x14ac:dyDescent="0.25">
      <c r="T29" s="8"/>
      <c r="U29" s="4"/>
      <c r="V29" s="4"/>
    </row>
    <row r="38" ht="15" customHeight="1" x14ac:dyDescent="0.25"/>
  </sheetData>
  <mergeCells count="7">
    <mergeCell ref="B16:S16"/>
    <mergeCell ref="B2:S2"/>
    <mergeCell ref="B12:E12"/>
    <mergeCell ref="H12:N12"/>
    <mergeCell ref="B14:S14"/>
    <mergeCell ref="B15:S15"/>
    <mergeCell ref="B13:S13"/>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38"/>
      <c r="C9" s="39"/>
      <c r="D9" s="40"/>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Rajani Gupta</cp:lastModifiedBy>
  <cp:lastPrinted>2022-01-07T08:12:53Z</cp:lastPrinted>
  <dcterms:created xsi:type="dcterms:W3CDTF">2021-09-16T11:33:35Z</dcterms:created>
  <dcterms:modified xsi:type="dcterms:W3CDTF">2022-06-15T10:08:24Z</dcterms:modified>
</cp:coreProperties>
</file>